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4.xml" ContentType="application/vnd.openxmlformats-officedocument.spreadsheetml.comment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8.xml" ContentType="application/vnd.openxmlformats-officedocument.drawing+xml"/>
  <Override PartName="/xl/comments10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comments11.xml" ContentType="application/vnd.openxmlformats-officedocument.spreadsheetml.comments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9.xml" ContentType="application/vnd.openxmlformats-officedocument.drawing+xml"/>
  <Override PartName="/xl/comments12.xml" ContentType="application/vnd.openxmlformats-officedocument.spreadsheetml.comment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10.xml" ContentType="application/vnd.openxmlformats-officedocument.drawing+xml"/>
  <Override PartName="/xl/comments13.xml" ContentType="application/vnd.openxmlformats-officedocument.spreadsheetml.comment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comments14.xml" ContentType="application/vnd.openxmlformats-officedocument.spreadsheetml.comments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D:\Users\ADMIN\Documents\4. Emprendimiento\Base Total_Los Tunos Parrilla\1. Finance System\"/>
    </mc:Choice>
  </mc:AlternateContent>
  <xr:revisionPtr revIDLastSave="0" documentId="13_ncr:1_{DE535A1A-B4FB-4043-A643-C0C9B572B1A3}" xr6:coauthVersionLast="47" xr6:coauthVersionMax="47" xr10:uidLastSave="{00000000-0000-0000-0000-000000000000}"/>
  <bookViews>
    <workbookView xWindow="20370" yWindow="-2070" windowWidth="21840" windowHeight="13140" firstSheet="2" activeTab="2" xr2:uid="{00000000-000D-0000-FFFF-FFFF00000000}"/>
  </bookViews>
  <sheets>
    <sheet name="Scotiabank_Platino" sheetId="10" state="hidden" r:id="rId1"/>
    <sheet name="Bancolombia" sheetId="9" state="hidden" r:id="rId2"/>
    <sheet name="Inicio" sheetId="24" r:id="rId3"/>
    <sheet name="Inversión sociedad" sheetId="11" state="hidden" r:id="rId4"/>
    <sheet name="Flujo de caja" sheetId="1" state="hidden" r:id="rId5"/>
    <sheet name="Ventas" sheetId="14" r:id="rId6"/>
    <sheet name="Clientes institucionales" sheetId="37" state="hidden" r:id="rId7"/>
    <sheet name="Revenue Forecasting" sheetId="25" r:id="rId8"/>
    <sheet name="Clima" sheetId="35" state="hidden" r:id="rId9"/>
    <sheet name="Modelo Econométrico" sheetId="36" state="hidden" r:id="rId10"/>
    <sheet name="Bono Yery" sheetId="31" state="hidden" r:id="rId11"/>
    <sheet name="Revenue Forecasting (2)" sheetId="32" state="hidden" r:id="rId12"/>
    <sheet name="Anàlisis de ingreso" sheetId="28" r:id="rId13"/>
    <sheet name="Anàlisis de producto" sheetId="43" state="hidden" r:id="rId14"/>
    <sheet name="OPEX_deuda" sheetId="44" r:id="rId15"/>
    <sheet name="OPEX (3)" sheetId="48" state="hidden" r:id="rId16"/>
    <sheet name="OPEX" sheetId="39" r:id="rId17"/>
    <sheet name="Forecast Mes" sheetId="55" r:id="rId18"/>
    <sheet name="PE" sheetId="40" r:id="rId19"/>
    <sheet name="PE (2)" sheetId="45" state="hidden" r:id="rId20"/>
    <sheet name="Profitability" sheetId="41" r:id="rId21"/>
    <sheet name="PE (3)" sheetId="49" state="hidden" r:id="rId22"/>
    <sheet name="PE (0)" sheetId="52" state="hidden" r:id="rId23"/>
    <sheet name="No. Dias" sheetId="38" state="hidden" r:id="rId24"/>
    <sheet name="Profitability (0)" sheetId="53" state="hidden" r:id="rId25"/>
    <sheet name="Profitability (2-Mensualizado)" sheetId="54" state="hidden" r:id="rId26"/>
    <sheet name="Profitability  (2)" sheetId="47" state="hidden" r:id="rId27"/>
    <sheet name="_x0009_Profitability (3)" sheetId="50" state="hidden" r:id="rId28"/>
    <sheet name="Expetures Forecasting " sheetId="33" state="hidden" r:id="rId29"/>
    <sheet name="Análisis por producto" sheetId="30" state="hidden" r:id="rId30"/>
    <sheet name="Cámara de Comecio" sheetId="34" state="hidden" r:id="rId31"/>
    <sheet name="Agenda" sheetId="27" state="hidden" r:id="rId32"/>
    <sheet name="Pro. Financiero" sheetId="8" state="hidden" r:id="rId33"/>
    <sheet name="Prov. Domicilio" sheetId="18" state="hidden" r:id="rId34"/>
    <sheet name="Prov. pagos online" sheetId="19" state="hidden" r:id="rId35"/>
    <sheet name="SICOV" sheetId="12" state="hidden" r:id="rId36"/>
    <sheet name="RRHH" sheetId="13" state="hidden" r:id="rId37"/>
    <sheet name="Perfil de cliente" sheetId="17" state="hidden" r:id="rId38"/>
    <sheet name="Fondo-Emprender" sheetId="7" state="hidden" r:id="rId39"/>
    <sheet name="Georeferenciaciòn" sheetId="2" state="hidden" r:id="rId40"/>
    <sheet name="Finanzas personales" sheetId="3" state="hidden" r:id="rId41"/>
    <sheet name="Falabella" sheetId="4" state="hidden" r:id="rId42"/>
    <sheet name="ICETEX" sheetId="6" state="hidden" r:id="rId43"/>
  </sheets>
  <externalReferences>
    <externalReference r:id="rId44"/>
    <externalReference r:id="rId45"/>
  </externalReferences>
  <definedNames>
    <definedName name="_Fill" localSheetId="27" hidden="1">#REF!</definedName>
    <definedName name="_Fill" localSheetId="12" hidden="1">#REF!</definedName>
    <definedName name="_Fill" localSheetId="13" hidden="1">#REF!</definedName>
    <definedName name="_Fill" localSheetId="1" hidden="1">#REF!</definedName>
    <definedName name="_Fill" localSheetId="16" hidden="1">#REF!</definedName>
    <definedName name="_Fill" localSheetId="15" hidden="1">#REF!</definedName>
    <definedName name="_Fill" localSheetId="14" hidden="1">#REF!</definedName>
    <definedName name="_Fill" localSheetId="18" hidden="1">#REF!</definedName>
    <definedName name="_Fill" localSheetId="22" hidden="1">#REF!</definedName>
    <definedName name="_Fill" localSheetId="19" hidden="1">#REF!</definedName>
    <definedName name="_Fill" localSheetId="21" hidden="1">#REF!</definedName>
    <definedName name="_Fill" localSheetId="20" hidden="1">#REF!</definedName>
    <definedName name="_Fill" localSheetId="26" hidden="1">#REF!</definedName>
    <definedName name="_Fill" localSheetId="24" hidden="1">#REF!</definedName>
    <definedName name="_Fill" localSheetId="25" hidden="1">#REF!</definedName>
    <definedName name="_Fill" localSheetId="11" hidden="1">#REF!</definedName>
    <definedName name="_Fill" localSheetId="0" hidden="1">#REF!</definedName>
    <definedName name="_Fill" hidden="1">#REF!</definedName>
    <definedName name="_xlnm._FilterDatabase" localSheetId="27" hidden="1">'	Profitability (3)'!$G$11:$N$64</definedName>
    <definedName name="_xlnm._FilterDatabase" localSheetId="38" hidden="1">'Fondo-Emprender'!$A$6:$H$25</definedName>
    <definedName name="_xlnm._FilterDatabase" localSheetId="17" hidden="1">'Forecast Mes'!$A$9:$E$41</definedName>
    <definedName name="_xlnm._FilterDatabase" localSheetId="20" hidden="1">Profitability!$G$13:$N$77</definedName>
    <definedName name="_xlnm._FilterDatabase" localSheetId="26" hidden="1">'Profitability  (2)'!$G$11:$N$64</definedName>
    <definedName name="_xlnm._FilterDatabase" localSheetId="24" hidden="1">'Profitability (0)'!$G$13:$N$66</definedName>
    <definedName name="_xlnm._FilterDatabase" localSheetId="25" hidden="1">'Profitability (2-Mensualizado)'!$C$12:$N$76</definedName>
    <definedName name="_xlcn.WorksheetConnection_LosTunos_Parrilla_Forecast.xlsxVentas1" hidden="1">Ventas[]</definedName>
    <definedName name="empleados">[1]Empleados!$A$6:$H$17</definedName>
    <definedName name="fDate">'[2]Previsión de ventas'!$D$3</definedName>
    <definedName name="fYear">'[2]Previsión de ventas'!$I$2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Ventas!$I$266</definedName>
    <definedName name="solver_typ" localSheetId="5" hidden="1">1</definedName>
    <definedName name="solver_val" localSheetId="5" hidden="1">0</definedName>
    <definedName name="solver_ver" localSheetId="5" hidden="1">3</definedName>
    <definedName name="THE">[1]HorasExtras!$A$13:$P$24</definedName>
  </definedNames>
  <calcPr calcId="191029"/>
  <pivotCaches>
    <pivotCache cacheId="22" r:id="rId46"/>
    <pivotCache cacheId="23" r:id="rId47"/>
    <pivotCache cacheId="44" r:id="rId4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-344e64b1-609d-449e-adeb-5ee0ddfd71b2" name="Ventas" connection="WorksheetConnection_Los Tunos_ Parrilla_Forecast.xlsx!Vent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71" i="14" l="1"/>
  <c r="B652" i="14"/>
  <c r="F40" i="55" l="1"/>
  <c r="F39" i="55"/>
  <c r="F38" i="55"/>
  <c r="F37" i="55"/>
  <c r="F33" i="55"/>
  <c r="F32" i="55"/>
  <c r="F31" i="55"/>
  <c r="F30" i="55"/>
  <c r="F26" i="55"/>
  <c r="F25" i="55"/>
  <c r="F24" i="55"/>
  <c r="F23" i="55"/>
  <c r="F19" i="55"/>
  <c r="F18" i="55"/>
  <c r="F17" i="55"/>
  <c r="F12" i="55"/>
  <c r="D40" i="55" l="1"/>
  <c r="C40" i="55" s="1"/>
  <c r="D39" i="55"/>
  <c r="C39" i="55" s="1"/>
  <c r="D38" i="55"/>
  <c r="C38" i="55" s="1"/>
  <c r="D37" i="55"/>
  <c r="C37" i="55" s="1"/>
  <c r="D33" i="55"/>
  <c r="C33" i="55" s="1"/>
  <c r="D32" i="55"/>
  <c r="C32" i="55" s="1"/>
  <c r="D31" i="55"/>
  <c r="C31" i="55" s="1"/>
  <c r="D30" i="55"/>
  <c r="C30" i="55" s="1"/>
  <c r="D26" i="55"/>
  <c r="C26" i="55" s="1"/>
  <c r="D25" i="55"/>
  <c r="C25" i="55" s="1"/>
  <c r="D24" i="55"/>
  <c r="C24" i="55" s="1"/>
  <c r="D23" i="55"/>
  <c r="C23" i="55" s="1"/>
  <c r="D19" i="55"/>
  <c r="C19" i="55" s="1"/>
  <c r="D18" i="55"/>
  <c r="C18" i="55" s="1"/>
  <c r="D17" i="55"/>
  <c r="C17" i="55" s="1"/>
  <c r="D12" i="55"/>
  <c r="C12" i="55" s="1"/>
  <c r="AE11" i="39"/>
  <c r="AE12" i="39" l="1"/>
  <c r="P30" i="55" l="1"/>
  <c r="N3" i="55"/>
  <c r="M11" i="55" s="1"/>
  <c r="Q11" i="55" s="1"/>
  <c r="N5" i="55"/>
  <c r="O5" i="55" s="1"/>
  <c r="N4" i="55"/>
  <c r="P4" i="55" s="1"/>
  <c r="N2" i="55"/>
  <c r="P2" i="55" s="1"/>
  <c r="B11" i="55"/>
  <c r="A12" i="55"/>
  <c r="B12" i="55" s="1"/>
  <c r="M26" i="55" l="1"/>
  <c r="P26" i="55" s="1"/>
  <c r="M14" i="55"/>
  <c r="M30" i="55"/>
  <c r="M18" i="55"/>
  <c r="P18" i="55" s="1"/>
  <c r="M34" i="55"/>
  <c r="M22" i="55"/>
  <c r="M38" i="55"/>
  <c r="M15" i="55"/>
  <c r="M19" i="55"/>
  <c r="P19" i="55" s="1"/>
  <c r="M23" i="55"/>
  <c r="P23" i="55" s="1"/>
  <c r="M27" i="55"/>
  <c r="M31" i="55"/>
  <c r="M35" i="55"/>
  <c r="M39" i="55"/>
  <c r="M12" i="55"/>
  <c r="M16" i="55"/>
  <c r="M20" i="55"/>
  <c r="M24" i="55"/>
  <c r="P24" i="55" s="1"/>
  <c r="M28" i="55"/>
  <c r="M32" i="55"/>
  <c r="M36" i="55"/>
  <c r="M40" i="55"/>
  <c r="M13" i="55"/>
  <c r="M17" i="55"/>
  <c r="P17" i="55" s="1"/>
  <c r="M21" i="55"/>
  <c r="M25" i="55"/>
  <c r="P25" i="55" s="1"/>
  <c r="M29" i="55"/>
  <c r="M33" i="55"/>
  <c r="M37" i="55"/>
  <c r="M41" i="55"/>
  <c r="P3" i="55"/>
  <c r="P5" i="55"/>
  <c r="O4" i="55"/>
  <c r="O3" i="55"/>
  <c r="N6" i="55"/>
  <c r="O2" i="55"/>
  <c r="A13" i="55"/>
  <c r="O17" i="28"/>
  <c r="P17" i="28"/>
  <c r="X32" i="39"/>
  <c r="AD32" i="39" s="1"/>
  <c r="W32" i="39"/>
  <c r="W30" i="39" s="1"/>
  <c r="K22" i="40"/>
  <c r="K32" i="40" s="1"/>
  <c r="I32" i="40" s="1"/>
  <c r="Y30" i="39"/>
  <c r="Z33" i="39" s="1"/>
  <c r="Y31" i="39"/>
  <c r="Q26" i="40"/>
  <c r="O24" i="28"/>
  <c r="P23" i="28"/>
  <c r="Q23" i="28"/>
  <c r="P24" i="28"/>
  <c r="Q24" i="28"/>
  <c r="P25" i="28"/>
  <c r="P26" i="28"/>
  <c r="P27" i="28"/>
  <c r="P28" i="28"/>
  <c r="P29" i="28"/>
  <c r="P30" i="28"/>
  <c r="G41" i="55" l="1"/>
  <c r="F41" i="55" s="1"/>
  <c r="G29" i="55"/>
  <c r="F29" i="55" s="1"/>
  <c r="G21" i="55"/>
  <c r="F21" i="55" s="1"/>
  <c r="G14" i="55"/>
  <c r="F14" i="55" s="1"/>
  <c r="E36" i="55"/>
  <c r="D36" i="55" s="1"/>
  <c r="C36" i="55" s="1"/>
  <c r="E28" i="55"/>
  <c r="D28" i="55" s="1"/>
  <c r="C28" i="55" s="1"/>
  <c r="E20" i="55"/>
  <c r="D20" i="55" s="1"/>
  <c r="C20" i="55" s="1"/>
  <c r="E16" i="55"/>
  <c r="D16" i="55" s="1"/>
  <c r="C16" i="55" s="1"/>
  <c r="E34" i="55"/>
  <c r="D34" i="55" s="1"/>
  <c r="C34" i="55" s="1"/>
  <c r="E14" i="55"/>
  <c r="D14" i="55" s="1"/>
  <c r="C14" i="55" s="1"/>
  <c r="G34" i="55"/>
  <c r="F34" i="55" s="1"/>
  <c r="G15" i="55"/>
  <c r="F15" i="55" s="1"/>
  <c r="E29" i="55"/>
  <c r="D29" i="55" s="1"/>
  <c r="C29" i="55" s="1"/>
  <c r="E13" i="55"/>
  <c r="D13" i="55" s="1"/>
  <c r="C13" i="55" s="1"/>
  <c r="G36" i="55"/>
  <c r="F36" i="55" s="1"/>
  <c r="G28" i="55"/>
  <c r="F28" i="55" s="1"/>
  <c r="G20" i="55"/>
  <c r="F20" i="55" s="1"/>
  <c r="G13" i="55"/>
  <c r="F13" i="55" s="1"/>
  <c r="E35" i="55"/>
  <c r="D35" i="55" s="1"/>
  <c r="C35" i="55" s="1"/>
  <c r="E27" i="55"/>
  <c r="D27" i="55" s="1"/>
  <c r="C27" i="55" s="1"/>
  <c r="E15" i="55"/>
  <c r="D15" i="55" s="1"/>
  <c r="C15" i="55" s="1"/>
  <c r="E11" i="55"/>
  <c r="G35" i="55"/>
  <c r="F35" i="55" s="1"/>
  <c r="G27" i="55"/>
  <c r="F27" i="55" s="1"/>
  <c r="G16" i="55"/>
  <c r="F16" i="55" s="1"/>
  <c r="G11" i="55"/>
  <c r="F11" i="55" s="1"/>
  <c r="E22" i="55"/>
  <c r="D22" i="55" s="1"/>
  <c r="C22" i="55" s="1"/>
  <c r="G22" i="55"/>
  <c r="F22" i="55" s="1"/>
  <c r="E41" i="55"/>
  <c r="D41" i="55" s="1"/>
  <c r="C41" i="55" s="1"/>
  <c r="E21" i="55"/>
  <c r="D21" i="55" s="1"/>
  <c r="C21" i="55" s="1"/>
  <c r="AE32" i="39"/>
  <c r="P20" i="55"/>
  <c r="P13" i="55"/>
  <c r="P12" i="55"/>
  <c r="Q12" i="55"/>
  <c r="P6" i="55"/>
  <c r="O6" i="55"/>
  <c r="A14" i="55"/>
  <c r="B13" i="55"/>
  <c r="P21" i="55" l="1"/>
  <c r="P14" i="55"/>
  <c r="Q13" i="55"/>
  <c r="Q14" i="55" s="1"/>
  <c r="P28" i="55"/>
  <c r="P29" i="55"/>
  <c r="P22" i="55"/>
  <c r="P15" i="55"/>
  <c r="Q15" i="55"/>
  <c r="Q16" i="55" s="1"/>
  <c r="Q17" i="55" s="1"/>
  <c r="Q18" i="55" s="1"/>
  <c r="Q19" i="55" s="1"/>
  <c r="Q20" i="55" s="1"/>
  <c r="Q21" i="55" s="1"/>
  <c r="Q22" i="55" s="1"/>
  <c r="Q23" i="55" s="1"/>
  <c r="Q24" i="55" s="1"/>
  <c r="Q25" i="55" s="1"/>
  <c r="Q26" i="55" s="1"/>
  <c r="Q27" i="55" s="1"/>
  <c r="Q28" i="55" s="1"/>
  <c r="Q29" i="55" s="1"/>
  <c r="Q30" i="55" s="1"/>
  <c r="Q31" i="55" s="1"/>
  <c r="Q32" i="55" s="1"/>
  <c r="Q33" i="55" s="1"/>
  <c r="Q34" i="55" s="1"/>
  <c r="Q35" i="55" s="1"/>
  <c r="Q36" i="55" s="1"/>
  <c r="Q37" i="55" s="1"/>
  <c r="Q38" i="55" s="1"/>
  <c r="Q39" i="55" s="1"/>
  <c r="Q40" i="55" s="1"/>
  <c r="Q41" i="55" s="1"/>
  <c r="D11" i="55"/>
  <c r="C11" i="55" s="1"/>
  <c r="P11" i="55"/>
  <c r="P27" i="55"/>
  <c r="P16" i="55"/>
  <c r="A15" i="55"/>
  <c r="B14" i="55"/>
  <c r="A16" i="55" l="1"/>
  <c r="B15" i="55"/>
  <c r="AE13" i="39"/>
  <c r="A17" i="55" l="1"/>
  <c r="B16" i="55"/>
  <c r="S12" i="39"/>
  <c r="G12" i="39"/>
  <c r="G10" i="39"/>
  <c r="AD25" i="39"/>
  <c r="AE24" i="39"/>
  <c r="AC24" i="39"/>
  <c r="AE26" i="39"/>
  <c r="AC25" i="39"/>
  <c r="AE23" i="39"/>
  <c r="AD7" i="39"/>
  <c r="AD6" i="39"/>
  <c r="AD5" i="39"/>
  <c r="AD24" i="39" s="1"/>
  <c r="AC3" i="39"/>
  <c r="AE9" i="39" l="1"/>
  <c r="AE16" i="39"/>
  <c r="AE10" i="39"/>
  <c r="A18" i="55"/>
  <c r="B17" i="55"/>
  <c r="AE15" i="39"/>
  <c r="AE3" i="39"/>
  <c r="AE27" i="39" l="1"/>
  <c r="A19" i="55"/>
  <c r="B18" i="55"/>
  <c r="AE25" i="39"/>
  <c r="AC17" i="39"/>
  <c r="AC4" i="39"/>
  <c r="AC19" i="39"/>
  <c r="AC18" i="39"/>
  <c r="AD27" i="39" l="1"/>
  <c r="A20" i="55"/>
  <c r="B19" i="55"/>
  <c r="AC27" i="39"/>
  <c r="AD26" i="39"/>
  <c r="AC26" i="39"/>
  <c r="AC23" i="39"/>
  <c r="AD23" i="39"/>
  <c r="A21" i="55" l="1"/>
  <c r="B20" i="55"/>
  <c r="Y26" i="39"/>
  <c r="Y24" i="39"/>
  <c r="Y23" i="39"/>
  <c r="X25" i="39"/>
  <c r="X24" i="39"/>
  <c r="W25" i="39"/>
  <c r="S24" i="39"/>
  <c r="M24" i="39"/>
  <c r="S26" i="39"/>
  <c r="M26" i="39"/>
  <c r="K25" i="39"/>
  <c r="S31" i="39"/>
  <c r="S30" i="39"/>
  <c r="M31" i="39"/>
  <c r="M30" i="39"/>
  <c r="G30" i="39"/>
  <c r="G31" i="39"/>
  <c r="K32" i="39"/>
  <c r="K31" i="39" s="1"/>
  <c r="W31" i="39"/>
  <c r="R32" i="39"/>
  <c r="R31" i="39" s="1"/>
  <c r="Q32" i="39"/>
  <c r="Q31" i="39" s="1"/>
  <c r="L32" i="39"/>
  <c r="L30" i="39" s="1"/>
  <c r="R25" i="39"/>
  <c r="Q25" i="39"/>
  <c r="L25" i="39"/>
  <c r="M23" i="39"/>
  <c r="S23" i="39"/>
  <c r="W3" i="39"/>
  <c r="Y10" i="39" s="1"/>
  <c r="Q3" i="39"/>
  <c r="S11" i="39" s="1"/>
  <c r="K3" i="39"/>
  <c r="F32" i="39"/>
  <c r="F30" i="39" s="1"/>
  <c r="E32" i="39"/>
  <c r="E30" i="39" s="1"/>
  <c r="F25" i="39"/>
  <c r="E25" i="39"/>
  <c r="G23" i="39"/>
  <c r="A22" i="55" l="1"/>
  <c r="B21" i="55"/>
  <c r="X31" i="39"/>
  <c r="E31" i="39"/>
  <c r="X30" i="39"/>
  <c r="Q30" i="39"/>
  <c r="L31" i="39"/>
  <c r="K30" i="39"/>
  <c r="R30" i="39"/>
  <c r="F31" i="39"/>
  <c r="A23" i="55" l="1"/>
  <c r="B22" i="55"/>
  <c r="AD31" i="39"/>
  <c r="AD30" i="39"/>
  <c r="G29" i="44"/>
  <c r="G30" i="44" s="1"/>
  <c r="G32" i="44" s="1"/>
  <c r="G33" i="44" s="1"/>
  <c r="S14" i="39"/>
  <c r="S13" i="39"/>
  <c r="S10" i="39"/>
  <c r="S9" i="39"/>
  <c r="A24" i="55" l="1"/>
  <c r="B23" i="55"/>
  <c r="AE31" i="39"/>
  <c r="AE34" i="39" s="1"/>
  <c r="AE36" i="39" s="1"/>
  <c r="AE30" i="39"/>
  <c r="S25" i="39"/>
  <c r="M494" i="14"/>
  <c r="A25" i="55" l="1"/>
  <c r="B24" i="55"/>
  <c r="Q28" i="45"/>
  <c r="K26" i="40"/>
  <c r="S33" i="45"/>
  <c r="O19" i="28"/>
  <c r="N19" i="28"/>
  <c r="O30" i="28"/>
  <c r="O29" i="28"/>
  <c r="O28" i="28"/>
  <c r="O27" i="28"/>
  <c r="O26" i="28"/>
  <c r="O25" i="28"/>
  <c r="O23" i="28"/>
  <c r="O43" i="28"/>
  <c r="N43" i="28"/>
  <c r="O42" i="28"/>
  <c r="N42" i="28"/>
  <c r="O41" i="28"/>
  <c r="N41" i="28"/>
  <c r="O40" i="28"/>
  <c r="N40" i="28"/>
  <c r="O39" i="28"/>
  <c r="N39" i="28"/>
  <c r="O38" i="28"/>
  <c r="N38" i="28"/>
  <c r="O37" i="28"/>
  <c r="N37" i="28"/>
  <c r="O36" i="28"/>
  <c r="N36" i="28"/>
  <c r="N30" i="28"/>
  <c r="N29" i="28"/>
  <c r="N28" i="28"/>
  <c r="N27" i="28"/>
  <c r="N26" i="28"/>
  <c r="N25" i="28"/>
  <c r="N24" i="28"/>
  <c r="N23" i="28"/>
  <c r="N17" i="28"/>
  <c r="A26" i="55" l="1"/>
  <c r="B25" i="55"/>
  <c r="C19" i="28"/>
  <c r="A27" i="55" l="1"/>
  <c r="B26" i="55"/>
  <c r="V7" i="28"/>
  <c r="U10" i="28"/>
  <c r="V10" i="28" s="1"/>
  <c r="U9" i="28"/>
  <c r="V9" i="28" s="1"/>
  <c r="U8" i="28"/>
  <c r="V8" i="28" s="1"/>
  <c r="M19" i="28"/>
  <c r="L19" i="28"/>
  <c r="K19" i="28"/>
  <c r="J19" i="28"/>
  <c r="I19" i="28"/>
  <c r="H19" i="28"/>
  <c r="G19" i="28"/>
  <c r="F19" i="28"/>
  <c r="E19" i="28"/>
  <c r="D19" i="28"/>
  <c r="M17" i="28"/>
  <c r="L17" i="28"/>
  <c r="A28" i="55" l="1"/>
  <c r="B27" i="55"/>
  <c r="M34" i="45"/>
  <c r="K23" i="45"/>
  <c r="K33" i="45" s="1"/>
  <c r="E62" i="25"/>
  <c r="K39" i="25"/>
  <c r="N39" i="25"/>
  <c r="Q39" i="25"/>
  <c r="T39" i="25"/>
  <c r="G38" i="25"/>
  <c r="E68" i="25"/>
  <c r="G68" i="25"/>
  <c r="H67" i="25"/>
  <c r="H66" i="25"/>
  <c r="G66" i="25"/>
  <c r="H65" i="25"/>
  <c r="T42" i="25" s="1"/>
  <c r="G65" i="25"/>
  <c r="H64" i="25"/>
  <c r="T41" i="25" s="1"/>
  <c r="G64" i="25"/>
  <c r="H63" i="25"/>
  <c r="G63" i="25"/>
  <c r="H62" i="25"/>
  <c r="G62" i="25"/>
  <c r="H61" i="25"/>
  <c r="G61" i="25"/>
  <c r="H60" i="25"/>
  <c r="G60" i="25"/>
  <c r="H59" i="25"/>
  <c r="G59" i="25"/>
  <c r="H58" i="25"/>
  <c r="G58" i="25"/>
  <c r="H57" i="25"/>
  <c r="G57" i="25"/>
  <c r="H56" i="25"/>
  <c r="G56" i="25"/>
  <c r="H55" i="25"/>
  <c r="G55" i="25"/>
  <c r="H54" i="25"/>
  <c r="G54" i="25"/>
  <c r="H53" i="25"/>
  <c r="G53" i="25"/>
  <c r="H52" i="25"/>
  <c r="G52" i="25"/>
  <c r="H51" i="25"/>
  <c r="G51" i="25"/>
  <c r="Q44" i="25" s="1"/>
  <c r="H50" i="25"/>
  <c r="G50" i="25"/>
  <c r="H49" i="25"/>
  <c r="G49" i="25"/>
  <c r="H48" i="25"/>
  <c r="G48" i="25"/>
  <c r="H47" i="25"/>
  <c r="G47" i="25"/>
  <c r="H46" i="25"/>
  <c r="G46" i="25"/>
  <c r="H45" i="25"/>
  <c r="G45" i="25"/>
  <c r="H44" i="25"/>
  <c r="G44" i="25"/>
  <c r="H43" i="25"/>
  <c r="G43" i="25"/>
  <c r="H42" i="25"/>
  <c r="G42" i="25"/>
  <c r="H41" i="25"/>
  <c r="G41" i="25"/>
  <c r="H40" i="25"/>
  <c r="G40" i="25"/>
  <c r="H39" i="25"/>
  <c r="G39" i="25"/>
  <c r="H38" i="25"/>
  <c r="M43" i="28"/>
  <c r="M42" i="28"/>
  <c r="M41" i="28"/>
  <c r="M40" i="28"/>
  <c r="M39" i="28"/>
  <c r="M38" i="28"/>
  <c r="M37" i="28"/>
  <c r="M36" i="28"/>
  <c r="M30" i="28"/>
  <c r="M29" i="28"/>
  <c r="M28" i="28"/>
  <c r="M27" i="28"/>
  <c r="M26" i="28"/>
  <c r="M25" i="28"/>
  <c r="M24" i="28"/>
  <c r="M23" i="28"/>
  <c r="A29" i="55" l="1"/>
  <c r="B28" i="55"/>
  <c r="Q42" i="25"/>
  <c r="S42" i="25" s="1"/>
  <c r="Q41" i="25"/>
  <c r="Q43" i="25"/>
  <c r="T43" i="25"/>
  <c r="T47" i="25" s="1"/>
  <c r="T40" i="25"/>
  <c r="A30" i="55" l="1"/>
  <c r="B29" i="55"/>
  <c r="Q47" i="25"/>
  <c r="S41" i="25"/>
  <c r="S43" i="25"/>
  <c r="R41" i="25"/>
  <c r="R42" i="25"/>
  <c r="R43" i="25"/>
  <c r="E67" i="25"/>
  <c r="A31" i="55" l="1"/>
  <c r="B30" i="55"/>
  <c r="F82" i="54"/>
  <c r="E82" i="54"/>
  <c r="L82" i="54" s="1"/>
  <c r="D82" i="54"/>
  <c r="C82" i="54"/>
  <c r="N82" i="54" s="1"/>
  <c r="F81" i="54"/>
  <c r="H81" i="54" s="1"/>
  <c r="E81" i="54"/>
  <c r="L81" i="54" s="1"/>
  <c r="D81" i="54"/>
  <c r="C81" i="54"/>
  <c r="N81" i="54" s="1"/>
  <c r="H80" i="54"/>
  <c r="E80" i="54"/>
  <c r="L80" i="54" s="1"/>
  <c r="D80" i="54"/>
  <c r="C80" i="54"/>
  <c r="N80" i="54" s="1"/>
  <c r="H79" i="54"/>
  <c r="E79" i="54"/>
  <c r="L79" i="54" s="1"/>
  <c r="D79" i="54"/>
  <c r="C79" i="54"/>
  <c r="N79" i="54" s="1"/>
  <c r="H78" i="54"/>
  <c r="E78" i="54"/>
  <c r="L78" i="54" s="1"/>
  <c r="D78" i="54"/>
  <c r="C78" i="54"/>
  <c r="N78" i="54" s="1"/>
  <c r="E77" i="54"/>
  <c r="L77" i="54" s="1"/>
  <c r="D77" i="54"/>
  <c r="C77" i="54"/>
  <c r="N77" i="54" s="1"/>
  <c r="N83" i="41"/>
  <c r="L83" i="41"/>
  <c r="N82" i="41"/>
  <c r="L82" i="41"/>
  <c r="N81" i="41"/>
  <c r="L81" i="41"/>
  <c r="N80" i="41"/>
  <c r="L80" i="41"/>
  <c r="N79" i="41"/>
  <c r="L79" i="41"/>
  <c r="N78" i="41"/>
  <c r="L78" i="41"/>
  <c r="E66" i="25"/>
  <c r="L23" i="28"/>
  <c r="L24" i="28"/>
  <c r="L25" i="28"/>
  <c r="L26" i="28"/>
  <c r="L27" i="28"/>
  <c r="L28" i="28"/>
  <c r="L29" i="28"/>
  <c r="L30" i="28"/>
  <c r="L43" i="28"/>
  <c r="L42" i="28"/>
  <c r="L41" i="28"/>
  <c r="L40" i="28"/>
  <c r="L39" i="28"/>
  <c r="L38" i="28"/>
  <c r="L37" i="28"/>
  <c r="L36" i="28"/>
  <c r="K43" i="28"/>
  <c r="J43" i="28"/>
  <c r="K42" i="28"/>
  <c r="J42" i="28"/>
  <c r="K41" i="28"/>
  <c r="J41" i="28"/>
  <c r="K40" i="28"/>
  <c r="J40" i="28"/>
  <c r="K39" i="28"/>
  <c r="J39" i="28"/>
  <c r="K38" i="28"/>
  <c r="J38" i="28"/>
  <c r="K37" i="28"/>
  <c r="J37" i="28"/>
  <c r="K36" i="28"/>
  <c r="E61" i="25"/>
  <c r="E65" i="25"/>
  <c r="E64" i="25"/>
  <c r="E63" i="25"/>
  <c r="E60" i="25"/>
  <c r="E59" i="25"/>
  <c r="E58" i="25"/>
  <c r="E57" i="25"/>
  <c r="E56" i="25"/>
  <c r="E55" i="25"/>
  <c r="A32" i="55" l="1"/>
  <c r="B31" i="55"/>
  <c r="H82" i="54"/>
  <c r="H77" i="54"/>
  <c r="F76" i="54"/>
  <c r="H76" i="54" s="1"/>
  <c r="E76" i="54"/>
  <c r="L76" i="54" s="1"/>
  <c r="D76" i="54"/>
  <c r="C76" i="54"/>
  <c r="N76" i="54" s="1"/>
  <c r="F75" i="54"/>
  <c r="H75" i="54" s="1"/>
  <c r="E75" i="54"/>
  <c r="L75" i="54" s="1"/>
  <c r="D75" i="54"/>
  <c r="C75" i="54"/>
  <c r="N75" i="54" s="1"/>
  <c r="F74" i="54"/>
  <c r="H74" i="54" s="1"/>
  <c r="E74" i="54"/>
  <c r="L74" i="54" s="1"/>
  <c r="D74" i="54"/>
  <c r="C74" i="54"/>
  <c r="N74" i="54" s="1"/>
  <c r="H73" i="54"/>
  <c r="E73" i="54"/>
  <c r="L73" i="54" s="1"/>
  <c r="D73" i="54"/>
  <c r="C73" i="54"/>
  <c r="N73" i="54" s="1"/>
  <c r="H72" i="54"/>
  <c r="E72" i="54"/>
  <c r="L72" i="54" s="1"/>
  <c r="D72" i="54"/>
  <c r="C72" i="54"/>
  <c r="N72" i="54" s="1"/>
  <c r="H71" i="54"/>
  <c r="E71" i="54"/>
  <c r="L71" i="54" s="1"/>
  <c r="D71" i="54"/>
  <c r="C71" i="54"/>
  <c r="N71" i="54" s="1"/>
  <c r="H70" i="54"/>
  <c r="E70" i="54"/>
  <c r="L70" i="54" s="1"/>
  <c r="D70" i="54"/>
  <c r="C70" i="54"/>
  <c r="N70" i="54" s="1"/>
  <c r="N77" i="41"/>
  <c r="L77" i="41"/>
  <c r="N76" i="41"/>
  <c r="L76" i="41"/>
  <c r="N75" i="41"/>
  <c r="L75" i="41"/>
  <c r="N74" i="41"/>
  <c r="L74" i="41"/>
  <c r="N73" i="41"/>
  <c r="L73" i="41"/>
  <c r="N72" i="41"/>
  <c r="L72" i="41"/>
  <c r="N71" i="41"/>
  <c r="L71" i="41"/>
  <c r="E53" i="25"/>
  <c r="G71" i="25"/>
  <c r="F71" i="25"/>
  <c r="E54" i="25"/>
  <c r="E52" i="25"/>
  <c r="E51" i="25"/>
  <c r="K17" i="28"/>
  <c r="J17" i="28"/>
  <c r="K24" i="28"/>
  <c r="K26" i="28"/>
  <c r="K27" i="28"/>
  <c r="K28" i="28"/>
  <c r="K29" i="28"/>
  <c r="K30" i="28"/>
  <c r="K25" i="28"/>
  <c r="M570" i="14"/>
  <c r="A33" i="55" l="1"/>
  <c r="B32" i="55"/>
  <c r="K23" i="28"/>
  <c r="A34" i="55" l="1"/>
  <c r="B33" i="55"/>
  <c r="N70" i="41"/>
  <c r="L70" i="41"/>
  <c r="N69" i="41"/>
  <c r="L69" i="41"/>
  <c r="N68" i="41"/>
  <c r="L68" i="41"/>
  <c r="N67" i="41"/>
  <c r="L67" i="41"/>
  <c r="H64" i="54"/>
  <c r="H65" i="54"/>
  <c r="H66" i="54"/>
  <c r="F69" i="54"/>
  <c r="H69" i="54" s="1"/>
  <c r="F68" i="54"/>
  <c r="H68" i="54" s="1"/>
  <c r="F67" i="54"/>
  <c r="J30" i="28"/>
  <c r="J29" i="28"/>
  <c r="J28" i="28"/>
  <c r="J27" i="28"/>
  <c r="J26" i="28"/>
  <c r="J25" i="28"/>
  <c r="M562" i="14"/>
  <c r="B34" i="55" l="1"/>
  <c r="A35" i="55"/>
  <c r="H83" i="41"/>
  <c r="H82" i="41"/>
  <c r="H81" i="41"/>
  <c r="H80" i="41"/>
  <c r="H79" i="41"/>
  <c r="H78" i="41"/>
  <c r="H69" i="41"/>
  <c r="H77" i="41"/>
  <c r="H76" i="41"/>
  <c r="H75" i="41"/>
  <c r="H74" i="41"/>
  <c r="H73" i="41"/>
  <c r="H72" i="41"/>
  <c r="H71" i="41"/>
  <c r="H68" i="41"/>
  <c r="H67" i="41"/>
  <c r="H70" i="41"/>
  <c r="H67" i="54"/>
  <c r="A36" i="55" l="1"/>
  <c r="B35" i="55"/>
  <c r="M560" i="14"/>
  <c r="M561" i="14"/>
  <c r="A37" i="55" l="1"/>
  <c r="B36" i="55"/>
  <c r="F13" i="54"/>
  <c r="D69" i="54"/>
  <c r="D68" i="54"/>
  <c r="D67" i="54"/>
  <c r="D66" i="54"/>
  <c r="D65" i="54"/>
  <c r="D64" i="54"/>
  <c r="D63" i="54"/>
  <c r="D62" i="54"/>
  <c r="D61" i="54"/>
  <c r="D60" i="54"/>
  <c r="D59" i="54"/>
  <c r="D58" i="54"/>
  <c r="D57" i="54"/>
  <c r="D56" i="54"/>
  <c r="D55" i="54"/>
  <c r="D54" i="54"/>
  <c r="D53" i="54"/>
  <c r="D52" i="54"/>
  <c r="D51" i="54"/>
  <c r="D50" i="54"/>
  <c r="D49" i="54"/>
  <c r="D48" i="54"/>
  <c r="D47" i="54"/>
  <c r="D46" i="54"/>
  <c r="D45" i="54"/>
  <c r="D44" i="54"/>
  <c r="D43" i="54"/>
  <c r="D42" i="54"/>
  <c r="D41" i="54"/>
  <c r="D40" i="54"/>
  <c r="D39" i="54"/>
  <c r="D38" i="54"/>
  <c r="D37" i="54"/>
  <c r="D36" i="54"/>
  <c r="D35" i="54"/>
  <c r="D34" i="54"/>
  <c r="D33" i="54"/>
  <c r="D32" i="54"/>
  <c r="D31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E69" i="54"/>
  <c r="L69" i="54" s="1"/>
  <c r="C69" i="54"/>
  <c r="N69" i="54" s="1"/>
  <c r="E68" i="54"/>
  <c r="L68" i="54" s="1"/>
  <c r="C68" i="54"/>
  <c r="N68" i="54" s="1"/>
  <c r="E67" i="54"/>
  <c r="L67" i="54" s="1"/>
  <c r="C67" i="54"/>
  <c r="N67" i="54" s="1"/>
  <c r="E66" i="54"/>
  <c r="L66" i="54" s="1"/>
  <c r="C66" i="54"/>
  <c r="N66" i="54" s="1"/>
  <c r="E65" i="54"/>
  <c r="C65" i="54"/>
  <c r="N65" i="54" s="1"/>
  <c r="E64" i="54"/>
  <c r="C64" i="54"/>
  <c r="N64" i="54" s="1"/>
  <c r="F63" i="54"/>
  <c r="E63" i="54"/>
  <c r="C63" i="54"/>
  <c r="N63" i="54" s="1"/>
  <c r="F62" i="54"/>
  <c r="E62" i="54"/>
  <c r="C62" i="54"/>
  <c r="N62" i="54" s="1"/>
  <c r="F61" i="54"/>
  <c r="E61" i="54"/>
  <c r="C61" i="54"/>
  <c r="N61" i="54" s="1"/>
  <c r="F60" i="54"/>
  <c r="E60" i="54"/>
  <c r="C60" i="54"/>
  <c r="N60" i="54" s="1"/>
  <c r="E59" i="54"/>
  <c r="C59" i="54"/>
  <c r="N59" i="54" s="1"/>
  <c r="E58" i="54"/>
  <c r="C58" i="54"/>
  <c r="N58" i="54" s="1"/>
  <c r="E57" i="54"/>
  <c r="C57" i="54"/>
  <c r="N57" i="54" s="1"/>
  <c r="F56" i="54"/>
  <c r="E56" i="54"/>
  <c r="C56" i="54"/>
  <c r="N56" i="54" s="1"/>
  <c r="F55" i="54"/>
  <c r="E55" i="54"/>
  <c r="C55" i="54"/>
  <c r="N55" i="54" s="1"/>
  <c r="F54" i="54"/>
  <c r="E54" i="54"/>
  <c r="C54" i="54"/>
  <c r="N54" i="54" s="1"/>
  <c r="F53" i="54"/>
  <c r="E53" i="54"/>
  <c r="C53" i="54"/>
  <c r="N53" i="54" s="1"/>
  <c r="E52" i="54"/>
  <c r="C52" i="54"/>
  <c r="N52" i="54" s="1"/>
  <c r="E51" i="54"/>
  <c r="C51" i="54"/>
  <c r="N51" i="54" s="1"/>
  <c r="E50" i="54"/>
  <c r="C50" i="54"/>
  <c r="N50" i="54" s="1"/>
  <c r="E49" i="54"/>
  <c r="C49" i="54"/>
  <c r="N49" i="54" s="1"/>
  <c r="F48" i="54"/>
  <c r="E48" i="54"/>
  <c r="C48" i="54"/>
  <c r="N48" i="54" s="1"/>
  <c r="F47" i="54"/>
  <c r="E47" i="54"/>
  <c r="C47" i="54"/>
  <c r="N47" i="54" s="1"/>
  <c r="F46" i="54"/>
  <c r="E46" i="54"/>
  <c r="C46" i="54"/>
  <c r="N46" i="54" s="1"/>
  <c r="E45" i="54"/>
  <c r="C45" i="54"/>
  <c r="N45" i="54" s="1"/>
  <c r="E44" i="54"/>
  <c r="C44" i="54"/>
  <c r="N44" i="54" s="1"/>
  <c r="E43" i="54"/>
  <c r="C43" i="54"/>
  <c r="N43" i="54" s="1"/>
  <c r="E42" i="54"/>
  <c r="C42" i="54"/>
  <c r="N42" i="54" s="1"/>
  <c r="F41" i="54"/>
  <c r="E41" i="54"/>
  <c r="C41" i="54"/>
  <c r="N41" i="54" s="1"/>
  <c r="F40" i="54"/>
  <c r="E40" i="54"/>
  <c r="C40" i="54"/>
  <c r="N40" i="54" s="1"/>
  <c r="F39" i="54"/>
  <c r="E39" i="54"/>
  <c r="C39" i="54"/>
  <c r="N39" i="54" s="1"/>
  <c r="E38" i="54"/>
  <c r="C38" i="54"/>
  <c r="N38" i="54" s="1"/>
  <c r="E37" i="54"/>
  <c r="C37" i="54"/>
  <c r="N37" i="54" s="1"/>
  <c r="E36" i="54"/>
  <c r="C36" i="54"/>
  <c r="N36" i="54" s="1"/>
  <c r="F35" i="54"/>
  <c r="E35" i="54"/>
  <c r="C35" i="54"/>
  <c r="N35" i="54" s="1"/>
  <c r="F34" i="54"/>
  <c r="H34" i="54" s="1"/>
  <c r="E34" i="54"/>
  <c r="C34" i="54"/>
  <c r="F33" i="54"/>
  <c r="H33" i="54" s="1"/>
  <c r="E33" i="54"/>
  <c r="C33" i="54"/>
  <c r="F32" i="54"/>
  <c r="H32" i="54" s="1"/>
  <c r="E32" i="54"/>
  <c r="C32" i="54"/>
  <c r="E31" i="54"/>
  <c r="C31" i="54"/>
  <c r="E30" i="54"/>
  <c r="C30" i="54"/>
  <c r="E29" i="54"/>
  <c r="C29" i="54"/>
  <c r="E28" i="54"/>
  <c r="C28" i="54"/>
  <c r="F27" i="54"/>
  <c r="H27" i="54" s="1"/>
  <c r="E27" i="54"/>
  <c r="C27" i="54"/>
  <c r="F26" i="54"/>
  <c r="H26" i="54" s="1"/>
  <c r="E26" i="54"/>
  <c r="C26" i="54"/>
  <c r="F25" i="54"/>
  <c r="H25" i="54" s="1"/>
  <c r="E25" i="54"/>
  <c r="C25" i="54"/>
  <c r="E24" i="54"/>
  <c r="C24" i="54"/>
  <c r="E23" i="54"/>
  <c r="C23" i="54"/>
  <c r="E22" i="54"/>
  <c r="C22" i="54"/>
  <c r="E21" i="54"/>
  <c r="C21" i="54"/>
  <c r="F20" i="54"/>
  <c r="H20" i="54" s="1"/>
  <c r="E20" i="54"/>
  <c r="C20" i="54"/>
  <c r="F19" i="54"/>
  <c r="H19" i="54" s="1"/>
  <c r="E19" i="54"/>
  <c r="C19" i="54"/>
  <c r="F18" i="54"/>
  <c r="E18" i="54"/>
  <c r="C18" i="54"/>
  <c r="E17" i="54"/>
  <c r="C17" i="54"/>
  <c r="E16" i="54"/>
  <c r="C16" i="54"/>
  <c r="E15" i="54"/>
  <c r="C15" i="54"/>
  <c r="E14" i="54"/>
  <c r="C14" i="54"/>
  <c r="E13" i="54"/>
  <c r="C13" i="54"/>
  <c r="A38" i="55" l="1"/>
  <c r="B37" i="55"/>
  <c r="H18" i="54"/>
  <c r="H13" i="54"/>
  <c r="H40" i="54"/>
  <c r="H48" i="54"/>
  <c r="H56" i="54"/>
  <c r="H61" i="54"/>
  <c r="H41" i="54"/>
  <c r="H53" i="54"/>
  <c r="F11" i="54"/>
  <c r="H62" i="54"/>
  <c r="H35" i="54"/>
  <c r="H39" i="54"/>
  <c r="H47" i="54"/>
  <c r="H55" i="54"/>
  <c r="H60" i="54"/>
  <c r="H46" i="54"/>
  <c r="H54" i="54"/>
  <c r="H63" i="54"/>
  <c r="F8" i="54"/>
  <c r="L65" i="54"/>
  <c r="L64" i="54"/>
  <c r="L63" i="54"/>
  <c r="L62" i="54"/>
  <c r="L61" i="54"/>
  <c r="L60" i="54"/>
  <c r="L59" i="54"/>
  <c r="L58" i="54"/>
  <c r="L57" i="54"/>
  <c r="L56" i="54"/>
  <c r="L55" i="54"/>
  <c r="L54" i="54"/>
  <c r="L53" i="54"/>
  <c r="L52" i="54"/>
  <c r="L51" i="54"/>
  <c r="L50" i="54"/>
  <c r="L49" i="54"/>
  <c r="L48" i="54"/>
  <c r="L47" i="54"/>
  <c r="L46" i="54"/>
  <c r="L45" i="54"/>
  <c r="L44" i="54"/>
  <c r="L43" i="54"/>
  <c r="L42" i="54"/>
  <c r="L41" i="54"/>
  <c r="L40" i="54"/>
  <c r="L39" i="54"/>
  <c r="L38" i="54"/>
  <c r="L37" i="54"/>
  <c r="L36" i="54"/>
  <c r="L35" i="54"/>
  <c r="Q5" i="45"/>
  <c r="K5" i="45"/>
  <c r="W5" i="28" s="1"/>
  <c r="Q4" i="45"/>
  <c r="Q3" i="45"/>
  <c r="K4" i="45"/>
  <c r="W4" i="28" s="1"/>
  <c r="K3" i="45"/>
  <c r="W3" i="28" s="1"/>
  <c r="G5" i="45"/>
  <c r="G4" i="45"/>
  <c r="G3" i="45"/>
  <c r="C3" i="45"/>
  <c r="N34" i="54"/>
  <c r="L34" i="54"/>
  <c r="N33" i="54"/>
  <c r="L33" i="54"/>
  <c r="N32" i="54"/>
  <c r="L32" i="54"/>
  <c r="N31" i="54"/>
  <c r="L31" i="54"/>
  <c r="N30" i="54"/>
  <c r="L30" i="54"/>
  <c r="N29" i="54"/>
  <c r="L29" i="54"/>
  <c r="N28" i="54"/>
  <c r="L28" i="54"/>
  <c r="N27" i="54"/>
  <c r="L27" i="54"/>
  <c r="N26" i="54"/>
  <c r="L26" i="54"/>
  <c r="N25" i="54"/>
  <c r="L25" i="54"/>
  <c r="N24" i="54"/>
  <c r="L24" i="54"/>
  <c r="N23" i="54"/>
  <c r="L23" i="54"/>
  <c r="N22" i="54"/>
  <c r="L22" i="54"/>
  <c r="N21" i="54"/>
  <c r="L21" i="54"/>
  <c r="N20" i="54"/>
  <c r="L20" i="54"/>
  <c r="N19" i="54"/>
  <c r="L19" i="54"/>
  <c r="N18" i="54"/>
  <c r="L18" i="54"/>
  <c r="N17" i="54"/>
  <c r="L17" i="54"/>
  <c r="N16" i="54"/>
  <c r="L16" i="54"/>
  <c r="N15" i="54"/>
  <c r="L15" i="54"/>
  <c r="N14" i="54"/>
  <c r="L14" i="54"/>
  <c r="N13" i="54"/>
  <c r="L13" i="54"/>
  <c r="K28" i="49"/>
  <c r="K22" i="49"/>
  <c r="K33" i="49" s="1"/>
  <c r="A39" i="55" l="1"/>
  <c r="B38" i="55"/>
  <c r="H8" i="54"/>
  <c r="H11" i="54"/>
  <c r="N66" i="53"/>
  <c r="L66" i="53"/>
  <c r="N65" i="53"/>
  <c r="L65" i="53"/>
  <c r="N64" i="53"/>
  <c r="L64" i="53"/>
  <c r="N63" i="53"/>
  <c r="L63" i="53"/>
  <c r="N62" i="53"/>
  <c r="L62" i="53"/>
  <c r="N61" i="53"/>
  <c r="L61" i="53"/>
  <c r="N60" i="53"/>
  <c r="L60" i="53"/>
  <c r="N59" i="53"/>
  <c r="L59" i="53"/>
  <c r="N58" i="53"/>
  <c r="L58" i="53"/>
  <c r="N57" i="53"/>
  <c r="L57" i="53"/>
  <c r="N56" i="53"/>
  <c r="L56" i="53"/>
  <c r="N55" i="53"/>
  <c r="L55" i="53"/>
  <c r="N54" i="53"/>
  <c r="L54" i="53"/>
  <c r="N53" i="53"/>
  <c r="L53" i="53"/>
  <c r="N52" i="53"/>
  <c r="L52" i="53"/>
  <c r="N51" i="53"/>
  <c r="L51" i="53"/>
  <c r="N50" i="53"/>
  <c r="L50" i="53"/>
  <c r="N49" i="53"/>
  <c r="L49" i="53"/>
  <c r="N48" i="53"/>
  <c r="L48" i="53"/>
  <c r="N47" i="53"/>
  <c r="L47" i="53"/>
  <c r="N46" i="53"/>
  <c r="L46" i="53"/>
  <c r="N45" i="53"/>
  <c r="L45" i="53"/>
  <c r="N44" i="53"/>
  <c r="L44" i="53"/>
  <c r="N43" i="53"/>
  <c r="L43" i="53"/>
  <c r="N42" i="53"/>
  <c r="L42" i="53"/>
  <c r="N41" i="53"/>
  <c r="L41" i="53"/>
  <c r="N40" i="53"/>
  <c r="L40" i="53"/>
  <c r="N39" i="53"/>
  <c r="L39" i="53"/>
  <c r="N38" i="53"/>
  <c r="L38" i="53"/>
  <c r="N37" i="53"/>
  <c r="L37" i="53"/>
  <c r="N36" i="53"/>
  <c r="L36" i="53"/>
  <c r="N35" i="53"/>
  <c r="L35" i="53"/>
  <c r="N34" i="53"/>
  <c r="L34" i="53"/>
  <c r="N33" i="53"/>
  <c r="L33" i="53"/>
  <c r="N32" i="53"/>
  <c r="L32" i="53"/>
  <c r="N31" i="53"/>
  <c r="L31" i="53"/>
  <c r="N30" i="53"/>
  <c r="L30" i="53"/>
  <c r="N29" i="53"/>
  <c r="L29" i="53"/>
  <c r="N28" i="53"/>
  <c r="L28" i="53"/>
  <c r="N27" i="53"/>
  <c r="L27" i="53"/>
  <c r="N26" i="53"/>
  <c r="L26" i="53"/>
  <c r="N25" i="53"/>
  <c r="L25" i="53"/>
  <c r="N24" i="53"/>
  <c r="L24" i="53"/>
  <c r="N23" i="53"/>
  <c r="L23" i="53"/>
  <c r="N22" i="53"/>
  <c r="L22" i="53"/>
  <c r="N21" i="53"/>
  <c r="L21" i="53"/>
  <c r="N20" i="53"/>
  <c r="L20" i="53"/>
  <c r="N19" i="53"/>
  <c r="L19" i="53"/>
  <c r="N18" i="53"/>
  <c r="L18" i="53"/>
  <c r="N17" i="53"/>
  <c r="L17" i="53"/>
  <c r="N16" i="53"/>
  <c r="L16" i="53"/>
  <c r="N15" i="53"/>
  <c r="L15" i="53"/>
  <c r="N14" i="53"/>
  <c r="L14" i="53"/>
  <c r="K26" i="52"/>
  <c r="Q5" i="52"/>
  <c r="K5" i="52"/>
  <c r="G5" i="52"/>
  <c r="C5" i="52"/>
  <c r="Q4" i="52"/>
  <c r="K4" i="52"/>
  <c r="G4" i="52"/>
  <c r="C4" i="52"/>
  <c r="Q3" i="52"/>
  <c r="K3" i="52"/>
  <c r="G3" i="52"/>
  <c r="C3" i="52"/>
  <c r="A40" i="55" l="1"/>
  <c r="B39" i="55"/>
  <c r="R5" i="52"/>
  <c r="S3" i="52"/>
  <c r="M4" i="52"/>
  <c r="R4" i="52"/>
  <c r="L3" i="52"/>
  <c r="L4" i="52"/>
  <c r="M3" i="52"/>
  <c r="M5" i="52"/>
  <c r="R3" i="52"/>
  <c r="S4" i="52"/>
  <c r="L5" i="52"/>
  <c r="S5" i="52"/>
  <c r="B40" i="55" l="1"/>
  <c r="A41" i="55"/>
  <c r="B41" i="55" s="1"/>
  <c r="K2" i="50"/>
  <c r="P28" i="49"/>
  <c r="O13" i="48"/>
  <c r="O12" i="48"/>
  <c r="K2" i="47"/>
  <c r="N29" i="50"/>
  <c r="L29" i="50"/>
  <c r="N28" i="50"/>
  <c r="L28" i="50"/>
  <c r="N27" i="50"/>
  <c r="L27" i="50"/>
  <c r="N26" i="50"/>
  <c r="L26" i="50"/>
  <c r="N25" i="50"/>
  <c r="L25" i="50"/>
  <c r="N24" i="50"/>
  <c r="L24" i="50"/>
  <c r="N23" i="50"/>
  <c r="L23" i="50"/>
  <c r="N22" i="50"/>
  <c r="L22" i="50"/>
  <c r="N21" i="50"/>
  <c r="L21" i="50"/>
  <c r="N20" i="50"/>
  <c r="L20" i="50"/>
  <c r="N19" i="50"/>
  <c r="L19" i="50"/>
  <c r="N18" i="50"/>
  <c r="L18" i="50"/>
  <c r="N17" i="50"/>
  <c r="L17" i="50"/>
  <c r="N16" i="50"/>
  <c r="L16" i="50"/>
  <c r="N15" i="50"/>
  <c r="L15" i="50"/>
  <c r="N14" i="50"/>
  <c r="L14" i="50"/>
  <c r="N13" i="50"/>
  <c r="L13" i="50"/>
  <c r="N12" i="50"/>
  <c r="L12" i="50"/>
  <c r="Q5" i="49"/>
  <c r="K5" i="49"/>
  <c r="G5" i="49"/>
  <c r="C5" i="49"/>
  <c r="Q4" i="49"/>
  <c r="K4" i="49"/>
  <c r="G4" i="49"/>
  <c r="C4" i="49"/>
  <c r="Q3" i="49"/>
  <c r="K3" i="49"/>
  <c r="G3" i="49"/>
  <c r="C3" i="49"/>
  <c r="E21" i="48"/>
  <c r="S18" i="48"/>
  <c r="K18" i="48"/>
  <c r="D18" i="48"/>
  <c r="AE17" i="48"/>
  <c r="W17" i="48"/>
  <c r="O17" i="48"/>
  <c r="G17" i="48"/>
  <c r="AE16" i="48"/>
  <c r="X16" i="48"/>
  <c r="W16" i="48"/>
  <c r="O16" i="48"/>
  <c r="G16" i="48"/>
  <c r="AE15" i="48"/>
  <c r="W15" i="48"/>
  <c r="O15" i="48"/>
  <c r="G15" i="48"/>
  <c r="AE14" i="48"/>
  <c r="W14" i="48"/>
  <c r="O14" i="48"/>
  <c r="G14" i="48"/>
  <c r="AE13" i="48"/>
  <c r="W13" i="48"/>
  <c r="G13" i="48"/>
  <c r="AE12" i="48"/>
  <c r="W12" i="48"/>
  <c r="G12" i="48"/>
  <c r="AE11" i="48"/>
  <c r="W11" i="48"/>
  <c r="O11" i="48"/>
  <c r="G11" i="48"/>
  <c r="AE10" i="48"/>
  <c r="W10" i="48"/>
  <c r="O10" i="48"/>
  <c r="G10" i="48"/>
  <c r="AE9" i="48"/>
  <c r="W9" i="48"/>
  <c r="O9" i="48"/>
  <c r="G9" i="48"/>
  <c r="AC7" i="48"/>
  <c r="AC6" i="48"/>
  <c r="AC5" i="48"/>
  <c r="AE3" i="48"/>
  <c r="AC21" i="48" s="1"/>
  <c r="W3" i="48"/>
  <c r="U19" i="48" s="1"/>
  <c r="O3" i="48"/>
  <c r="M4" i="48" s="1"/>
  <c r="G3" i="48"/>
  <c r="E4" i="48" s="1"/>
  <c r="N36" i="47"/>
  <c r="L36" i="47"/>
  <c r="N35" i="47"/>
  <c r="L35" i="47"/>
  <c r="N34" i="47"/>
  <c r="L34" i="47"/>
  <c r="N33" i="47"/>
  <c r="L33" i="47"/>
  <c r="N32" i="47"/>
  <c r="L32" i="47"/>
  <c r="N31" i="47"/>
  <c r="L31" i="47"/>
  <c r="N30" i="47"/>
  <c r="L30" i="47"/>
  <c r="N29" i="47"/>
  <c r="L29" i="47"/>
  <c r="N28" i="47"/>
  <c r="L28" i="47"/>
  <c r="N27" i="47"/>
  <c r="L27" i="47"/>
  <c r="N26" i="47"/>
  <c r="L26" i="47"/>
  <c r="N25" i="47"/>
  <c r="L25" i="47"/>
  <c r="N24" i="47"/>
  <c r="L24" i="47"/>
  <c r="N23" i="47"/>
  <c r="L23" i="47"/>
  <c r="N22" i="47"/>
  <c r="L22" i="47"/>
  <c r="N21" i="47"/>
  <c r="L21" i="47"/>
  <c r="N20" i="47"/>
  <c r="L20" i="47"/>
  <c r="N19" i="47"/>
  <c r="L19" i="47"/>
  <c r="N18" i="47"/>
  <c r="L18" i="47"/>
  <c r="N17" i="47"/>
  <c r="L17" i="47"/>
  <c r="N16" i="47"/>
  <c r="L16" i="47"/>
  <c r="N15" i="47"/>
  <c r="L15" i="47"/>
  <c r="N14" i="47"/>
  <c r="L14" i="47"/>
  <c r="N13" i="47"/>
  <c r="L13" i="47"/>
  <c r="N12" i="47"/>
  <c r="L12" i="47"/>
  <c r="W9" i="44"/>
  <c r="G2" i="49" l="1"/>
  <c r="G6" i="49" s="1"/>
  <c r="G34" i="49" s="1"/>
  <c r="C28" i="49"/>
  <c r="G22" i="49"/>
  <c r="G33" i="49" s="1"/>
  <c r="E33" i="49" s="1"/>
  <c r="G23" i="48"/>
  <c r="G25" i="48" s="1"/>
  <c r="G24" i="48" s="1"/>
  <c r="K2" i="49"/>
  <c r="M2" i="49" s="1"/>
  <c r="Q2" i="49"/>
  <c r="S2" i="49" s="1"/>
  <c r="AE23" i="48"/>
  <c r="AE25" i="48" s="1"/>
  <c r="AE24" i="48" s="1"/>
  <c r="C2" i="49"/>
  <c r="C6" i="49" s="1"/>
  <c r="G28" i="49"/>
  <c r="Q22" i="49"/>
  <c r="C22" i="49"/>
  <c r="C33" i="49" s="1"/>
  <c r="S3" i="49"/>
  <c r="S5" i="49"/>
  <c r="I33" i="49"/>
  <c r="S4" i="49"/>
  <c r="O23" i="48"/>
  <c r="O25" i="48" s="1"/>
  <c r="O24" i="48" s="1"/>
  <c r="M3" i="49"/>
  <c r="M4" i="49"/>
  <c r="M5" i="49"/>
  <c r="R3" i="49"/>
  <c r="R4" i="49"/>
  <c r="R5" i="49"/>
  <c r="L2" i="49"/>
  <c r="L3" i="49"/>
  <c r="L4" i="49"/>
  <c r="L5" i="49"/>
  <c r="AC19" i="48"/>
  <c r="M7" i="48"/>
  <c r="W23" i="48"/>
  <c r="W25" i="48" s="1"/>
  <c r="W24" i="48" s="1"/>
  <c r="F23" i="48"/>
  <c r="F25" i="48" s="1"/>
  <c r="F24" i="48" s="1"/>
  <c r="E23" i="48"/>
  <c r="E25" i="48" s="1"/>
  <c r="E24" i="48" s="1"/>
  <c r="U18" i="48"/>
  <c r="AC4" i="48"/>
  <c r="M6" i="48"/>
  <c r="U7" i="48"/>
  <c r="AC18" i="48"/>
  <c r="M20" i="48"/>
  <c r="M21" i="48"/>
  <c r="M5" i="48"/>
  <c r="U6" i="48"/>
  <c r="M18" i="48"/>
  <c r="M19" i="48"/>
  <c r="U20" i="48"/>
  <c r="U21" i="48"/>
  <c r="U4" i="48"/>
  <c r="U5" i="48"/>
  <c r="AC20" i="48"/>
  <c r="Q6" i="49" l="1"/>
  <c r="Q8" i="49" s="1"/>
  <c r="K6" i="49"/>
  <c r="K34" i="49" s="1"/>
  <c r="K35" i="49" s="1"/>
  <c r="K37" i="49" s="1"/>
  <c r="R2" i="49"/>
  <c r="Q23" i="49"/>
  <c r="R8" i="49" s="1"/>
  <c r="M23" i="48"/>
  <c r="M25" i="48" s="1"/>
  <c r="M24" i="48" s="1"/>
  <c r="C8" i="49"/>
  <c r="C34" i="49"/>
  <c r="C35" i="49" s="1"/>
  <c r="C37" i="49" s="1"/>
  <c r="G35" i="49"/>
  <c r="G37" i="49" s="1"/>
  <c r="G8" i="49"/>
  <c r="G16" i="50" s="1"/>
  <c r="M16" i="50" s="1"/>
  <c r="A33" i="49"/>
  <c r="H13" i="50"/>
  <c r="H14" i="50"/>
  <c r="H12" i="50"/>
  <c r="G21" i="50"/>
  <c r="M21" i="50" s="1"/>
  <c r="H20" i="50"/>
  <c r="H22" i="50"/>
  <c r="V23" i="48"/>
  <c r="V25" i="48" s="1"/>
  <c r="U23" i="48"/>
  <c r="U25" i="48" s="1"/>
  <c r="N23" i="48"/>
  <c r="N25" i="48" s="1"/>
  <c r="N24" i="48" s="1"/>
  <c r="AD23" i="48"/>
  <c r="AD25" i="48" s="1"/>
  <c r="AD24" i="48" s="1"/>
  <c r="AC23" i="48"/>
  <c r="AC25" i="48" s="1"/>
  <c r="AC24" i="48" s="1"/>
  <c r="G20" i="50" l="1"/>
  <c r="M20" i="50" s="1"/>
  <c r="G15" i="50"/>
  <c r="M15" i="50" s="1"/>
  <c r="G18" i="50"/>
  <c r="M18" i="50" s="1"/>
  <c r="G23" i="50"/>
  <c r="M23" i="50" s="1"/>
  <c r="G19" i="50"/>
  <c r="M19" i="50" s="1"/>
  <c r="G17" i="50"/>
  <c r="M17" i="50" s="1"/>
  <c r="G22" i="50"/>
  <c r="M22" i="50" s="1"/>
  <c r="R6" i="49"/>
  <c r="M6" i="49"/>
  <c r="K8" i="49"/>
  <c r="G27" i="50" s="1"/>
  <c r="M27" i="50" s="1"/>
  <c r="S6" i="49"/>
  <c r="L6" i="49"/>
  <c r="R22" i="49"/>
  <c r="G26" i="50"/>
  <c r="M26" i="50" s="1"/>
  <c r="I22" i="50"/>
  <c r="J22" i="50" s="1"/>
  <c r="G23" i="49"/>
  <c r="H8" i="49" s="1"/>
  <c r="G13" i="50"/>
  <c r="M13" i="50" s="1"/>
  <c r="C23" i="49"/>
  <c r="D8" i="49" s="1"/>
  <c r="G12" i="50"/>
  <c r="M12" i="50" s="1"/>
  <c r="G14" i="50"/>
  <c r="M14" i="50" s="1"/>
  <c r="H19" i="50"/>
  <c r="I19" i="50" s="1"/>
  <c r="J19" i="50" s="1"/>
  <c r="L2" i="50" s="1"/>
  <c r="I20" i="50"/>
  <c r="J20" i="50" s="1"/>
  <c r="H18" i="50"/>
  <c r="H21" i="50"/>
  <c r="I21" i="50" s="1"/>
  <c r="J21" i="50" s="1"/>
  <c r="H15" i="50"/>
  <c r="I15" i="50" s="1"/>
  <c r="J15" i="50" s="1"/>
  <c r="H23" i="50"/>
  <c r="H16" i="50"/>
  <c r="I16" i="50" s="1"/>
  <c r="J16" i="50" s="1"/>
  <c r="H17" i="50"/>
  <c r="I17" i="50" s="1"/>
  <c r="J17" i="50" s="1"/>
  <c r="U24" i="48"/>
  <c r="O27" i="48"/>
  <c r="V24" i="48"/>
  <c r="O28" i="48"/>
  <c r="I18" i="50" l="1"/>
  <c r="J18" i="50" s="1"/>
  <c r="G28" i="50"/>
  <c r="M28" i="50" s="1"/>
  <c r="I23" i="50"/>
  <c r="J23" i="50" s="1"/>
  <c r="G29" i="50"/>
  <c r="M29" i="50" s="1"/>
  <c r="G24" i="50"/>
  <c r="M24" i="50" s="1"/>
  <c r="K23" i="49"/>
  <c r="G25" i="50"/>
  <c r="M25" i="50" s="1"/>
  <c r="H22" i="49"/>
  <c r="G29" i="49"/>
  <c r="G30" i="49" s="1"/>
  <c r="I14" i="50"/>
  <c r="J14" i="50" s="1"/>
  <c r="I12" i="50"/>
  <c r="D22" i="49"/>
  <c r="C29" i="49"/>
  <c r="C30" i="49" s="1"/>
  <c r="I13" i="50"/>
  <c r="J13" i="50" s="1"/>
  <c r="K3" i="50" s="1"/>
  <c r="L4" i="50"/>
  <c r="L3" i="50"/>
  <c r="H29" i="50"/>
  <c r="H27" i="50"/>
  <c r="I27" i="50" s="1"/>
  <c r="J27" i="50" s="1"/>
  <c r="H25" i="50"/>
  <c r="I25" i="50" s="1"/>
  <c r="J25" i="50" s="1"/>
  <c r="H28" i="50"/>
  <c r="I28" i="50" s="1"/>
  <c r="J28" i="50" s="1"/>
  <c r="H26" i="50"/>
  <c r="I26" i="50" s="1"/>
  <c r="J26" i="50" s="1"/>
  <c r="H24" i="50"/>
  <c r="I24" i="50" s="1"/>
  <c r="J24" i="50" s="1"/>
  <c r="M3" i="50" s="1"/>
  <c r="O29" i="48"/>
  <c r="O30" i="48" s="1"/>
  <c r="M2" i="50" l="1"/>
  <c r="N2" i="50" s="1"/>
  <c r="I29" i="50"/>
  <c r="J29" i="50" s="1"/>
  <c r="K29" i="49"/>
  <c r="K30" i="49" s="1"/>
  <c r="L22" i="49"/>
  <c r="L8" i="49"/>
  <c r="L5" i="50"/>
  <c r="J12" i="50"/>
  <c r="G10" i="50"/>
  <c r="H10" i="50"/>
  <c r="N3" i="50"/>
  <c r="M4" i="50"/>
  <c r="M5" i="50" l="1"/>
  <c r="K12" i="50"/>
  <c r="K13" i="50" s="1"/>
  <c r="K14" i="50" s="1"/>
  <c r="K15" i="50" s="1"/>
  <c r="K16" i="50" s="1"/>
  <c r="K17" i="50" s="1"/>
  <c r="K18" i="50" s="1"/>
  <c r="K19" i="50" s="1"/>
  <c r="K20" i="50" s="1"/>
  <c r="K21" i="50" s="1"/>
  <c r="K22" i="50" s="1"/>
  <c r="K23" i="50" s="1"/>
  <c r="K24" i="50" s="1"/>
  <c r="K25" i="50" s="1"/>
  <c r="K26" i="50" s="1"/>
  <c r="K27" i="50" s="1"/>
  <c r="K28" i="50" s="1"/>
  <c r="K29" i="50" s="1"/>
  <c r="K4" i="50"/>
  <c r="K5" i="50" s="1"/>
  <c r="N4" i="50" l="1"/>
  <c r="N5" i="50" s="1"/>
  <c r="N66" i="41"/>
  <c r="L66" i="41"/>
  <c r="N65" i="41"/>
  <c r="N64" i="41"/>
  <c r="N63" i="41"/>
  <c r="N62" i="41"/>
  <c r="N61" i="41"/>
  <c r="N60" i="41"/>
  <c r="N59" i="41"/>
  <c r="N58" i="41"/>
  <c r="N57" i="41"/>
  <c r="N56" i="41"/>
  <c r="N55" i="41"/>
  <c r="N54" i="41"/>
  <c r="N53" i="41"/>
  <c r="N52" i="41"/>
  <c r="N51" i="41"/>
  <c r="N50" i="41"/>
  <c r="N49" i="41"/>
  <c r="N48" i="41"/>
  <c r="N47" i="41"/>
  <c r="N46" i="41"/>
  <c r="N45" i="41"/>
  <c r="N44" i="41"/>
  <c r="N43" i="41"/>
  <c r="N42" i="41"/>
  <c r="N41" i="41"/>
  <c r="N40" i="41"/>
  <c r="N39" i="41"/>
  <c r="N38" i="41"/>
  <c r="N37" i="41"/>
  <c r="N36" i="41"/>
  <c r="N35" i="41"/>
  <c r="N34" i="41"/>
  <c r="N33" i="41"/>
  <c r="N32" i="41"/>
  <c r="N31" i="41"/>
  <c r="N30" i="41"/>
  <c r="N29" i="41"/>
  <c r="N28" i="41"/>
  <c r="N27" i="41"/>
  <c r="N26" i="41"/>
  <c r="N25" i="41"/>
  <c r="N24" i="41"/>
  <c r="N23" i="41"/>
  <c r="N22" i="41"/>
  <c r="N21" i="41"/>
  <c r="N20" i="41"/>
  <c r="N19" i="41"/>
  <c r="N18" i="41"/>
  <c r="N17" i="41"/>
  <c r="N16" i="41"/>
  <c r="N15" i="41"/>
  <c r="N14" i="41"/>
  <c r="L5" i="45" l="1"/>
  <c r="M3" i="45"/>
  <c r="M5" i="45"/>
  <c r="C5" i="45"/>
  <c r="C4" i="45"/>
  <c r="S3" i="45"/>
  <c r="O9" i="44"/>
  <c r="E21" i="44"/>
  <c r="S18" i="44"/>
  <c r="K18" i="44"/>
  <c r="D18" i="44"/>
  <c r="AE17" i="44"/>
  <c r="W17" i="44"/>
  <c r="O17" i="44"/>
  <c r="G17" i="44"/>
  <c r="AE16" i="44"/>
  <c r="X16" i="44"/>
  <c r="W16" i="44"/>
  <c r="O16" i="44"/>
  <c r="G16" i="44"/>
  <c r="AE15" i="44"/>
  <c r="W15" i="44"/>
  <c r="O15" i="44"/>
  <c r="G15" i="44"/>
  <c r="AE14" i="44"/>
  <c r="W14" i="44"/>
  <c r="O14" i="44"/>
  <c r="G14" i="44"/>
  <c r="AE13" i="44"/>
  <c r="W13" i="44"/>
  <c r="O13" i="44"/>
  <c r="G13" i="44"/>
  <c r="AE12" i="44"/>
  <c r="W12" i="44"/>
  <c r="O12" i="44"/>
  <c r="G12" i="44"/>
  <c r="AE11" i="44"/>
  <c r="W11" i="44"/>
  <c r="O11" i="44"/>
  <c r="G11" i="44"/>
  <c r="AE10" i="44"/>
  <c r="W10" i="44"/>
  <c r="O10" i="44"/>
  <c r="G10" i="44"/>
  <c r="AE9" i="44"/>
  <c r="G9" i="44"/>
  <c r="AC7" i="44"/>
  <c r="M7" i="44"/>
  <c r="AC6" i="44"/>
  <c r="AC5" i="44"/>
  <c r="AE3" i="44"/>
  <c r="W3" i="44"/>
  <c r="K28" i="45" s="1"/>
  <c r="O3" i="44"/>
  <c r="G28" i="45" s="1"/>
  <c r="G3" i="44"/>
  <c r="C28" i="45" s="1"/>
  <c r="G9" i="39"/>
  <c r="E47" i="25"/>
  <c r="E50" i="25"/>
  <c r="E49" i="25"/>
  <c r="I43" i="28"/>
  <c r="H43" i="28"/>
  <c r="G43" i="28"/>
  <c r="F43" i="28"/>
  <c r="E43" i="28"/>
  <c r="D43" i="28"/>
  <c r="C43" i="28"/>
  <c r="I42" i="28"/>
  <c r="H42" i="28"/>
  <c r="G42" i="28"/>
  <c r="F42" i="28"/>
  <c r="E42" i="28"/>
  <c r="D42" i="28"/>
  <c r="C42" i="28"/>
  <c r="I41" i="28"/>
  <c r="H41" i="28"/>
  <c r="G41" i="28"/>
  <c r="F41" i="28"/>
  <c r="E41" i="28"/>
  <c r="D41" i="28"/>
  <c r="C41" i="28"/>
  <c r="I40" i="28"/>
  <c r="H40" i="28"/>
  <c r="G40" i="28"/>
  <c r="F40" i="28"/>
  <c r="E40" i="28"/>
  <c r="D40" i="28"/>
  <c r="C40" i="28"/>
  <c r="I39" i="28"/>
  <c r="H39" i="28"/>
  <c r="G39" i="28"/>
  <c r="F39" i="28"/>
  <c r="E39" i="28"/>
  <c r="D39" i="28"/>
  <c r="C39" i="28"/>
  <c r="I38" i="28"/>
  <c r="H38" i="28"/>
  <c r="G38" i="28"/>
  <c r="F38" i="28"/>
  <c r="E38" i="28"/>
  <c r="D38" i="28"/>
  <c r="C38" i="28"/>
  <c r="I37" i="28"/>
  <c r="H37" i="28"/>
  <c r="G37" i="28"/>
  <c r="F37" i="28"/>
  <c r="E37" i="28"/>
  <c r="D37" i="28"/>
  <c r="C37" i="28"/>
  <c r="J36" i="28"/>
  <c r="I36" i="28"/>
  <c r="H36" i="28"/>
  <c r="G36" i="28"/>
  <c r="F36" i="28"/>
  <c r="E36" i="28"/>
  <c r="D36" i="28"/>
  <c r="C36" i="28"/>
  <c r="I30" i="28"/>
  <c r="H30" i="28"/>
  <c r="G30" i="28"/>
  <c r="F30" i="28"/>
  <c r="E30" i="28"/>
  <c r="D30" i="28"/>
  <c r="I29" i="28"/>
  <c r="H29" i="28"/>
  <c r="G29" i="28"/>
  <c r="F29" i="28"/>
  <c r="E29" i="28"/>
  <c r="D29" i="28"/>
  <c r="C29" i="28"/>
  <c r="I28" i="28"/>
  <c r="H28" i="28"/>
  <c r="G28" i="28"/>
  <c r="F28" i="28"/>
  <c r="E28" i="28"/>
  <c r="D28" i="28"/>
  <c r="I27" i="28"/>
  <c r="H27" i="28"/>
  <c r="G27" i="28"/>
  <c r="F27" i="28"/>
  <c r="E27" i="28"/>
  <c r="D27" i="28"/>
  <c r="I26" i="28"/>
  <c r="H26" i="28"/>
  <c r="G26" i="28"/>
  <c r="F26" i="28"/>
  <c r="E26" i="28"/>
  <c r="D26" i="28"/>
  <c r="I25" i="28"/>
  <c r="H25" i="28"/>
  <c r="G25" i="28"/>
  <c r="F25" i="28"/>
  <c r="E25" i="28"/>
  <c r="D25" i="28"/>
  <c r="J24" i="28"/>
  <c r="I24" i="28"/>
  <c r="H24" i="28"/>
  <c r="G24" i="28"/>
  <c r="F24" i="28"/>
  <c r="E24" i="28"/>
  <c r="D24" i="28"/>
  <c r="J23" i="28"/>
  <c r="I23" i="28"/>
  <c r="H23" i="28"/>
  <c r="G23" i="28"/>
  <c r="F23" i="28"/>
  <c r="E23" i="28"/>
  <c r="D23" i="28"/>
  <c r="W23" i="44" l="1"/>
  <c r="O23" i="44"/>
  <c r="AE23" i="44"/>
  <c r="G23" i="44"/>
  <c r="W25" i="44"/>
  <c r="W24" i="44" s="1"/>
  <c r="U19" i="44"/>
  <c r="U6" i="44"/>
  <c r="U5" i="44"/>
  <c r="U4" i="44"/>
  <c r="U7" i="44"/>
  <c r="AE25" i="44"/>
  <c r="AE24" i="44" s="1"/>
  <c r="Q2" i="45"/>
  <c r="Q6" i="45" s="1"/>
  <c r="AC21" i="44"/>
  <c r="Q23" i="45"/>
  <c r="Q33" i="45" s="1"/>
  <c r="C23" i="45"/>
  <c r="C33" i="45" s="1"/>
  <c r="A33" i="45" s="1"/>
  <c r="G25" i="44"/>
  <c r="G24" i="44" s="1"/>
  <c r="C2" i="45"/>
  <c r="C6" i="45" s="1"/>
  <c r="E4" i="44"/>
  <c r="E23" i="44" s="1"/>
  <c r="E25" i="44" s="1"/>
  <c r="E24" i="44" s="1"/>
  <c r="M5" i="44"/>
  <c r="G23" i="45"/>
  <c r="G33" i="45" s="1"/>
  <c r="E33" i="45" s="1"/>
  <c r="K2" i="45"/>
  <c r="W2" i="28" s="1"/>
  <c r="W6" i="28" s="1"/>
  <c r="W9" i="28" s="1"/>
  <c r="O25" i="44"/>
  <c r="O24" i="44" s="1"/>
  <c r="G2" i="45"/>
  <c r="G6" i="45" s="1"/>
  <c r="G34" i="45" s="1"/>
  <c r="M4" i="44"/>
  <c r="L3" i="45"/>
  <c r="M4" i="45"/>
  <c r="S5" i="45"/>
  <c r="AC19" i="44"/>
  <c r="L4" i="45"/>
  <c r="F23" i="44"/>
  <c r="F25" i="44" s="1"/>
  <c r="F24" i="44" s="1"/>
  <c r="S4" i="45"/>
  <c r="R3" i="45"/>
  <c r="R4" i="45"/>
  <c r="R5" i="45"/>
  <c r="M21" i="44"/>
  <c r="M6" i="44"/>
  <c r="M20" i="44"/>
  <c r="AC4" i="44"/>
  <c r="M18" i="44"/>
  <c r="M19" i="44"/>
  <c r="U20" i="44"/>
  <c r="U21" i="44"/>
  <c r="U18" i="44"/>
  <c r="AC18" i="44"/>
  <c r="AC20" i="44"/>
  <c r="F17" i="28"/>
  <c r="E17" i="28"/>
  <c r="I17" i="28"/>
  <c r="H17" i="28"/>
  <c r="G17" i="28"/>
  <c r="L65" i="41"/>
  <c r="L64" i="41"/>
  <c r="E48" i="25"/>
  <c r="M23" i="44" l="1"/>
  <c r="M25" i="44" s="1"/>
  <c r="M24" i="44" s="1"/>
  <c r="L2" i="45"/>
  <c r="C8" i="45"/>
  <c r="C24" i="45" s="1"/>
  <c r="G8" i="45"/>
  <c r="G16" i="47" s="1"/>
  <c r="M16" i="47" s="1"/>
  <c r="G35" i="45"/>
  <c r="G37" i="45" s="1"/>
  <c r="Q8" i="45"/>
  <c r="Q24" i="45" s="1"/>
  <c r="Q29" i="45" s="1"/>
  <c r="Q30" i="45" s="1"/>
  <c r="C34" i="45"/>
  <c r="C35" i="45" s="1"/>
  <c r="C37" i="45" s="1"/>
  <c r="M2" i="45"/>
  <c r="S2" i="45"/>
  <c r="K6" i="45"/>
  <c r="R2" i="45"/>
  <c r="AC23" i="44"/>
  <c r="AC25" i="44" s="1"/>
  <c r="AC24" i="44" s="1"/>
  <c r="AD23" i="44"/>
  <c r="AD25" i="44" s="1"/>
  <c r="AD24" i="44" s="1"/>
  <c r="V23" i="44"/>
  <c r="V25" i="44" s="1"/>
  <c r="U23" i="44"/>
  <c r="U25" i="44" s="1"/>
  <c r="N23" i="44"/>
  <c r="N25" i="44" s="1"/>
  <c r="N24" i="44" s="1"/>
  <c r="L27" i="41"/>
  <c r="G19" i="47" l="1"/>
  <c r="M19" i="47" s="1"/>
  <c r="G23" i="47"/>
  <c r="M23" i="47" s="1"/>
  <c r="G18" i="47"/>
  <c r="M18" i="47" s="1"/>
  <c r="G24" i="47"/>
  <c r="M24" i="47" s="1"/>
  <c r="G21" i="47"/>
  <c r="M21" i="47" s="1"/>
  <c r="G27" i="47"/>
  <c r="M27" i="47" s="1"/>
  <c r="G26" i="47"/>
  <c r="M26" i="47" s="1"/>
  <c r="G28" i="47"/>
  <c r="M28" i="47" s="1"/>
  <c r="G25" i="47"/>
  <c r="M25" i="47" s="1"/>
  <c r="G20" i="47"/>
  <c r="M20" i="47" s="1"/>
  <c r="G22" i="47"/>
  <c r="M22" i="47" s="1"/>
  <c r="G17" i="47"/>
  <c r="M17" i="47" s="1"/>
  <c r="K7" i="45"/>
  <c r="K8" i="45" s="1"/>
  <c r="K24" i="45" s="1"/>
  <c r="K29" i="45" s="1"/>
  <c r="R6" i="45"/>
  <c r="S6" i="45"/>
  <c r="G14" i="47"/>
  <c r="M14" i="47" s="1"/>
  <c r="D8" i="45"/>
  <c r="G15" i="47"/>
  <c r="M15" i="47" s="1"/>
  <c r="G12" i="47"/>
  <c r="M12" i="47" s="1"/>
  <c r="G13" i="47"/>
  <c r="M13" i="47" s="1"/>
  <c r="M6" i="45"/>
  <c r="L6" i="45"/>
  <c r="O27" i="44"/>
  <c r="U24" i="44"/>
  <c r="V24" i="44"/>
  <c r="O28" i="44"/>
  <c r="L63" i="41"/>
  <c r="L62" i="41"/>
  <c r="L61" i="41"/>
  <c r="L60" i="41"/>
  <c r="L59" i="41"/>
  <c r="L58" i="41"/>
  <c r="L57" i="41"/>
  <c r="L56" i="41"/>
  <c r="L55" i="41"/>
  <c r="L54" i="41"/>
  <c r="L53" i="41"/>
  <c r="L52" i="41"/>
  <c r="L51" i="41"/>
  <c r="L50" i="41"/>
  <c r="L49" i="41"/>
  <c r="L48" i="41"/>
  <c r="L47" i="41"/>
  <c r="L46" i="41"/>
  <c r="L45" i="41"/>
  <c r="L44" i="41"/>
  <c r="L43" i="41"/>
  <c r="L42" i="41"/>
  <c r="L41" i="41"/>
  <c r="L40" i="41"/>
  <c r="L39" i="41"/>
  <c r="L38" i="41"/>
  <c r="L37" i="41"/>
  <c r="L36" i="41"/>
  <c r="L35" i="41"/>
  <c r="L34" i="41"/>
  <c r="L33" i="41"/>
  <c r="L32" i="41"/>
  <c r="L31" i="41"/>
  <c r="L30" i="41"/>
  <c r="L29" i="41"/>
  <c r="L28" i="41"/>
  <c r="L26" i="41"/>
  <c r="L25" i="41"/>
  <c r="L24" i="41"/>
  <c r="L23" i="41"/>
  <c r="L22" i="41"/>
  <c r="L21" i="41"/>
  <c r="L20" i="41"/>
  <c r="L19" i="41"/>
  <c r="L18" i="41"/>
  <c r="L17" i="41"/>
  <c r="L16" i="41"/>
  <c r="L15" i="41"/>
  <c r="L14" i="41"/>
  <c r="K30" i="45" l="1"/>
  <c r="G36" i="47"/>
  <c r="M36" i="47" s="1"/>
  <c r="G32" i="47"/>
  <c r="M32" i="47" s="1"/>
  <c r="G34" i="47"/>
  <c r="M34" i="47" s="1"/>
  <c r="G33" i="47"/>
  <c r="M33" i="47" s="1"/>
  <c r="G35" i="47"/>
  <c r="M35" i="47" s="1"/>
  <c r="G31" i="47"/>
  <c r="M31" i="47" s="1"/>
  <c r="G30" i="47"/>
  <c r="M30" i="47" s="1"/>
  <c r="G29" i="47"/>
  <c r="M29" i="47" s="1"/>
  <c r="O29" i="44"/>
  <c r="O30" i="44" s="1"/>
  <c r="E6" i="14"/>
  <c r="E7" i="14"/>
  <c r="E5" i="14"/>
  <c r="C3" i="40"/>
  <c r="C5" i="40"/>
  <c r="C4" i="40"/>
  <c r="G15" i="39"/>
  <c r="G14" i="39"/>
  <c r="G13" i="39"/>
  <c r="G11" i="39"/>
  <c r="Y12" i="39"/>
  <c r="Q5" i="40"/>
  <c r="Q4" i="40"/>
  <c r="Q3" i="40"/>
  <c r="Y15" i="39"/>
  <c r="Y13" i="39"/>
  <c r="Y16" i="39"/>
  <c r="G3" i="40"/>
  <c r="K3" i="40"/>
  <c r="G4" i="40"/>
  <c r="G5" i="40"/>
  <c r="K5" i="40"/>
  <c r="G3" i="39"/>
  <c r="M3" i="39"/>
  <c r="S3" i="39"/>
  <c r="K34" i="45" s="1"/>
  <c r="K35" i="45" s="1"/>
  <c r="W5" i="39"/>
  <c r="W6" i="39"/>
  <c r="W7" i="39"/>
  <c r="M9" i="39"/>
  <c r="M10" i="39"/>
  <c r="M11" i="39"/>
  <c r="M12" i="39"/>
  <c r="M13" i="39"/>
  <c r="M14" i="39"/>
  <c r="M15" i="39"/>
  <c r="S15" i="39"/>
  <c r="M16" i="39"/>
  <c r="S16" i="39"/>
  <c r="D17" i="39"/>
  <c r="E20" i="39"/>
  <c r="G25" i="39" l="1"/>
  <c r="S27" i="39"/>
  <c r="S34" i="39" s="1"/>
  <c r="S36" i="39" s="1"/>
  <c r="K18" i="39"/>
  <c r="K17" i="39"/>
  <c r="K19" i="39"/>
  <c r="W24" i="39"/>
  <c r="M25" i="39"/>
  <c r="M27" i="39"/>
  <c r="M34" i="39" s="1"/>
  <c r="M36" i="39" s="1"/>
  <c r="G27" i="39"/>
  <c r="G34" i="39" s="1"/>
  <c r="G36" i="39" s="1"/>
  <c r="C2" i="52"/>
  <c r="C6" i="52" s="1"/>
  <c r="C8" i="52" s="1"/>
  <c r="G20" i="53" s="1"/>
  <c r="K7" i="39"/>
  <c r="G26" i="52"/>
  <c r="G22" i="40"/>
  <c r="G32" i="40" s="1"/>
  <c r="E32" i="40" s="1"/>
  <c r="G26" i="40"/>
  <c r="G9" i="45"/>
  <c r="C26" i="40"/>
  <c r="C22" i="40"/>
  <c r="C26" i="52"/>
  <c r="C9" i="45"/>
  <c r="K2" i="40"/>
  <c r="K2" i="52"/>
  <c r="G2" i="52"/>
  <c r="G6" i="52" s="1"/>
  <c r="G8" i="52" s="1"/>
  <c r="K37" i="45"/>
  <c r="K9" i="45"/>
  <c r="K5" i="39"/>
  <c r="Q17" i="39"/>
  <c r="E4" i="39"/>
  <c r="K20" i="39"/>
  <c r="Q6" i="39"/>
  <c r="Q20" i="39"/>
  <c r="Q5" i="39"/>
  <c r="Q4" i="39"/>
  <c r="Q19" i="39"/>
  <c r="Q7" i="39"/>
  <c r="Q18" i="39"/>
  <c r="K6" i="39"/>
  <c r="K4" i="39"/>
  <c r="C2" i="40"/>
  <c r="C6" i="40" s="1"/>
  <c r="G2" i="40"/>
  <c r="G6" i="40" s="1"/>
  <c r="G33" i="40" s="1"/>
  <c r="R5" i="40"/>
  <c r="S3" i="40"/>
  <c r="S5" i="40"/>
  <c r="R3" i="40"/>
  <c r="L3" i="40"/>
  <c r="L5" i="40"/>
  <c r="M5" i="40"/>
  <c r="M3" i="40"/>
  <c r="E46" i="25"/>
  <c r="E45" i="25"/>
  <c r="K43" i="25" s="1"/>
  <c r="E44" i="25"/>
  <c r="K42" i="25" s="1"/>
  <c r="M555" i="14"/>
  <c r="L24" i="39" l="1"/>
  <c r="K24" i="39"/>
  <c r="K26" i="39"/>
  <c r="L26" i="39"/>
  <c r="Q24" i="39"/>
  <c r="R24" i="39"/>
  <c r="R26" i="39"/>
  <c r="Q26" i="39"/>
  <c r="K23" i="39"/>
  <c r="L39" i="39" s="1"/>
  <c r="L23" i="39"/>
  <c r="K27" i="39"/>
  <c r="L40" i="39" s="1"/>
  <c r="L27" i="39"/>
  <c r="E23" i="39"/>
  <c r="F39" i="39" s="1"/>
  <c r="F23" i="39"/>
  <c r="Q23" i="39"/>
  <c r="R39" i="39" s="1"/>
  <c r="R23" i="39"/>
  <c r="R27" i="39"/>
  <c r="Q27" i="39"/>
  <c r="R40" i="39" s="1"/>
  <c r="E27" i="39"/>
  <c r="F40" i="39" s="1"/>
  <c r="F27" i="39"/>
  <c r="C23" i="52"/>
  <c r="C22" i="52" s="1"/>
  <c r="H16" i="53" s="1"/>
  <c r="G14" i="53"/>
  <c r="M14" i="53" s="1"/>
  <c r="G17" i="53"/>
  <c r="M17" i="53" s="1"/>
  <c r="G15" i="53"/>
  <c r="M15" i="53" s="1"/>
  <c r="G18" i="53"/>
  <c r="M18" i="53" s="1"/>
  <c r="G22" i="53"/>
  <c r="M22" i="53" s="1"/>
  <c r="G21" i="53"/>
  <c r="M21" i="53" s="1"/>
  <c r="G16" i="53"/>
  <c r="M16" i="53" s="1"/>
  <c r="G19" i="53"/>
  <c r="M19" i="53" s="1"/>
  <c r="G34" i="40"/>
  <c r="G36" i="40" s="1"/>
  <c r="G81" i="54"/>
  <c r="G77" i="54"/>
  <c r="G78" i="54"/>
  <c r="G82" i="54"/>
  <c r="G80" i="54"/>
  <c r="G79" i="54"/>
  <c r="G76" i="54"/>
  <c r="G73" i="54"/>
  <c r="G70" i="54"/>
  <c r="G75" i="54"/>
  <c r="G72" i="54"/>
  <c r="G74" i="54"/>
  <c r="G71" i="54"/>
  <c r="K6" i="52"/>
  <c r="L2" i="52"/>
  <c r="M2" i="52"/>
  <c r="C32" i="40"/>
  <c r="A32" i="40" s="1"/>
  <c r="H19" i="41"/>
  <c r="M20" i="53"/>
  <c r="M24" i="45"/>
  <c r="G67" i="54"/>
  <c r="G66" i="54"/>
  <c r="G69" i="54"/>
  <c r="G64" i="54"/>
  <c r="G68" i="54"/>
  <c r="G63" i="54"/>
  <c r="L9" i="45"/>
  <c r="G58" i="54"/>
  <c r="G61" i="54"/>
  <c r="G60" i="54"/>
  <c r="G54" i="54"/>
  <c r="G57" i="54"/>
  <c r="G56" i="54"/>
  <c r="G59" i="54"/>
  <c r="G53" i="54"/>
  <c r="G62" i="54"/>
  <c r="G65" i="54"/>
  <c r="G55" i="54"/>
  <c r="E4" i="54"/>
  <c r="E4" i="53"/>
  <c r="E4" i="50"/>
  <c r="E4" i="47"/>
  <c r="G21" i="54"/>
  <c r="G13" i="54"/>
  <c r="I13" i="54" s="1"/>
  <c r="J13" i="54" s="1"/>
  <c r="G14" i="54"/>
  <c r="G20" i="54"/>
  <c r="G18" i="54"/>
  <c r="G19" i="54"/>
  <c r="G15" i="54"/>
  <c r="G16" i="54"/>
  <c r="G17" i="54"/>
  <c r="D9" i="45"/>
  <c r="D4" i="54"/>
  <c r="D4" i="53"/>
  <c r="D4" i="50"/>
  <c r="D4" i="47"/>
  <c r="G23" i="52"/>
  <c r="G22" i="52" s="1"/>
  <c r="G51" i="53"/>
  <c r="M51" i="53" s="1"/>
  <c r="G47" i="53"/>
  <c r="M47" i="53" s="1"/>
  <c r="G43" i="53"/>
  <c r="M43" i="53" s="1"/>
  <c r="G39" i="53"/>
  <c r="M39" i="53" s="1"/>
  <c r="G35" i="53"/>
  <c r="M35" i="53" s="1"/>
  <c r="G31" i="53"/>
  <c r="M31" i="53" s="1"/>
  <c r="G27" i="53"/>
  <c r="M27" i="53" s="1"/>
  <c r="G23" i="53"/>
  <c r="G52" i="53"/>
  <c r="M52" i="53" s="1"/>
  <c r="G48" i="53"/>
  <c r="M48" i="53" s="1"/>
  <c r="G44" i="53"/>
  <c r="M44" i="53" s="1"/>
  <c r="G40" i="53"/>
  <c r="M40" i="53" s="1"/>
  <c r="G36" i="53"/>
  <c r="M36" i="53" s="1"/>
  <c r="G32" i="53"/>
  <c r="M32" i="53" s="1"/>
  <c r="G28" i="53"/>
  <c r="M28" i="53" s="1"/>
  <c r="G24" i="53"/>
  <c r="M24" i="53" s="1"/>
  <c r="G50" i="53"/>
  <c r="M50" i="53" s="1"/>
  <c r="G46" i="53"/>
  <c r="M46" i="53" s="1"/>
  <c r="G42" i="53"/>
  <c r="M42" i="53" s="1"/>
  <c r="G38" i="53"/>
  <c r="M38" i="53" s="1"/>
  <c r="G34" i="53"/>
  <c r="M34" i="53" s="1"/>
  <c r="G30" i="53"/>
  <c r="M30" i="53" s="1"/>
  <c r="G26" i="53"/>
  <c r="M26" i="53" s="1"/>
  <c r="G53" i="53"/>
  <c r="M53" i="53" s="1"/>
  <c r="G49" i="53"/>
  <c r="M49" i="53" s="1"/>
  <c r="G45" i="53"/>
  <c r="M45" i="53" s="1"/>
  <c r="G41" i="53"/>
  <c r="M41" i="53" s="1"/>
  <c r="G37" i="53"/>
  <c r="M37" i="53" s="1"/>
  <c r="G33" i="53"/>
  <c r="M33" i="53" s="1"/>
  <c r="G29" i="53"/>
  <c r="M29" i="53" s="1"/>
  <c r="G25" i="53"/>
  <c r="M25" i="53" s="1"/>
  <c r="G50" i="54"/>
  <c r="G34" i="54"/>
  <c r="G39" i="54"/>
  <c r="G41" i="54"/>
  <c r="G25" i="54"/>
  <c r="G48" i="54"/>
  <c r="G32" i="54"/>
  <c r="G43" i="54"/>
  <c r="G46" i="54"/>
  <c r="G30" i="54"/>
  <c r="G27" i="54"/>
  <c r="G37" i="54"/>
  <c r="G47" i="54"/>
  <c r="G44" i="54"/>
  <c r="G28" i="54"/>
  <c r="G31" i="54"/>
  <c r="G42" i="54"/>
  <c r="G26" i="54"/>
  <c r="G49" i="54"/>
  <c r="G33" i="54"/>
  <c r="G35" i="54"/>
  <c r="G40" i="54"/>
  <c r="G24" i="54"/>
  <c r="G23" i="54"/>
  <c r="G38" i="54"/>
  <c r="G51" i="54"/>
  <c r="G45" i="54"/>
  <c r="G29" i="54"/>
  <c r="G52" i="54"/>
  <c r="G36" i="54"/>
  <c r="G22" i="54"/>
  <c r="C33" i="40"/>
  <c r="C8" i="40"/>
  <c r="G22" i="41" s="1"/>
  <c r="M22" i="41" s="1"/>
  <c r="G8" i="40"/>
  <c r="G45" i="41" s="1"/>
  <c r="M45" i="41" s="1"/>
  <c r="D4" i="41"/>
  <c r="E4" i="41"/>
  <c r="M2" i="40"/>
  <c r="L2" i="40"/>
  <c r="M554" i="14"/>
  <c r="L41" i="39" l="1"/>
  <c r="M43" i="39" s="1"/>
  <c r="R41" i="39"/>
  <c r="S43" i="39" s="1"/>
  <c r="F41" i="39"/>
  <c r="H22" i="53"/>
  <c r="I22" i="53" s="1"/>
  <c r="J22" i="53" s="1"/>
  <c r="H19" i="53"/>
  <c r="H20" i="53"/>
  <c r="I20" i="53" s="1"/>
  <c r="J20" i="53" s="1"/>
  <c r="K7" i="53" s="1"/>
  <c r="C27" i="52"/>
  <c r="C28" i="52" s="1"/>
  <c r="H14" i="53"/>
  <c r="H17" i="53"/>
  <c r="I17" i="53" s="1"/>
  <c r="J17" i="53" s="1"/>
  <c r="K4" i="53" s="1"/>
  <c r="H18" i="53"/>
  <c r="I18" i="53" s="1"/>
  <c r="J18" i="53" s="1"/>
  <c r="K5" i="53" s="1"/>
  <c r="H21" i="53"/>
  <c r="I21" i="53" s="1"/>
  <c r="J21" i="53" s="1"/>
  <c r="H15" i="53"/>
  <c r="I15" i="53" s="1"/>
  <c r="J15" i="53" s="1"/>
  <c r="I19" i="53"/>
  <c r="J19" i="53" s="1"/>
  <c r="K6" i="53" s="1"/>
  <c r="G20" i="41"/>
  <c r="M20" i="41" s="1"/>
  <c r="G10" i="53"/>
  <c r="I16" i="53"/>
  <c r="J16" i="53" s="1"/>
  <c r="K3" i="53" s="1"/>
  <c r="G15" i="41"/>
  <c r="M15" i="41" s="1"/>
  <c r="G19" i="41"/>
  <c r="M19" i="41" s="1"/>
  <c r="G16" i="41"/>
  <c r="M16" i="41" s="1"/>
  <c r="G17" i="41"/>
  <c r="M17" i="41" s="1"/>
  <c r="G14" i="41"/>
  <c r="M14" i="41" s="1"/>
  <c r="M72" i="54"/>
  <c r="I72" i="54"/>
  <c r="J72" i="54" s="1"/>
  <c r="K72" i="54" s="1"/>
  <c r="M76" i="54"/>
  <c r="I76" i="54"/>
  <c r="J76" i="54" s="1"/>
  <c r="K76" i="54" s="1"/>
  <c r="M78" i="54"/>
  <c r="I78" i="54"/>
  <c r="J78" i="54" s="1"/>
  <c r="K78" i="54" s="1"/>
  <c r="M74" i="54"/>
  <c r="I74" i="54"/>
  <c r="J74" i="54" s="1"/>
  <c r="K74" i="54" s="1"/>
  <c r="M73" i="54"/>
  <c r="I73" i="54"/>
  <c r="J73" i="54" s="1"/>
  <c r="K73" i="54" s="1"/>
  <c r="M82" i="54"/>
  <c r="I82" i="54"/>
  <c r="J82" i="54" s="1"/>
  <c r="K82" i="54" s="1"/>
  <c r="I75" i="54"/>
  <c r="J75" i="54" s="1"/>
  <c r="K75" i="54" s="1"/>
  <c r="M75" i="54"/>
  <c r="I79" i="54"/>
  <c r="J79" i="54" s="1"/>
  <c r="K79" i="54" s="1"/>
  <c r="M79" i="54"/>
  <c r="M77" i="54"/>
  <c r="I77" i="54"/>
  <c r="J77" i="54" s="1"/>
  <c r="K77" i="54" s="1"/>
  <c r="G32" i="41"/>
  <c r="M32" i="41" s="1"/>
  <c r="M71" i="54"/>
  <c r="I71" i="54"/>
  <c r="J71" i="54" s="1"/>
  <c r="K71" i="54" s="1"/>
  <c r="M70" i="54"/>
  <c r="I70" i="54"/>
  <c r="J70" i="54" s="1"/>
  <c r="K70" i="54" s="1"/>
  <c r="M80" i="54"/>
  <c r="I80" i="54"/>
  <c r="J80" i="54" s="1"/>
  <c r="K80" i="54" s="1"/>
  <c r="M81" i="54"/>
  <c r="I81" i="54"/>
  <c r="J81" i="54" s="1"/>
  <c r="K81" i="54" s="1"/>
  <c r="C34" i="40"/>
  <c r="C36" i="40" s="1"/>
  <c r="M36" i="54"/>
  <c r="I36" i="54"/>
  <c r="J36" i="54" s="1"/>
  <c r="K36" i="54" s="1"/>
  <c r="I51" i="54"/>
  <c r="J51" i="54" s="1"/>
  <c r="K51" i="54" s="1"/>
  <c r="M51" i="54"/>
  <c r="I44" i="54"/>
  <c r="J44" i="54" s="1"/>
  <c r="K44" i="54" s="1"/>
  <c r="M44" i="54"/>
  <c r="M34" i="54"/>
  <c r="I34" i="54"/>
  <c r="J34" i="54" s="1"/>
  <c r="K34" i="54" s="1"/>
  <c r="M23" i="54"/>
  <c r="I23" i="54"/>
  <c r="J23" i="54" s="1"/>
  <c r="M37" i="54"/>
  <c r="I37" i="54"/>
  <c r="J37" i="54" s="1"/>
  <c r="K37" i="54" s="1"/>
  <c r="M23" i="53"/>
  <c r="G11" i="53"/>
  <c r="H52" i="53"/>
  <c r="H48" i="53"/>
  <c r="H44" i="53"/>
  <c r="H40" i="53"/>
  <c r="H36" i="53"/>
  <c r="H32" i="53"/>
  <c r="H28" i="53"/>
  <c r="H24" i="53"/>
  <c r="H53" i="53"/>
  <c r="H49" i="53"/>
  <c r="H45" i="53"/>
  <c r="H41" i="53"/>
  <c r="H37" i="53"/>
  <c r="H33" i="53"/>
  <c r="H29" i="53"/>
  <c r="H25" i="53"/>
  <c r="H51" i="53"/>
  <c r="H47" i="53"/>
  <c r="H43" i="53"/>
  <c r="H39" i="53"/>
  <c r="H35" i="53"/>
  <c r="H31" i="53"/>
  <c r="H27" i="53"/>
  <c r="H23" i="53"/>
  <c r="H50" i="53"/>
  <c r="H46" i="53"/>
  <c r="H42" i="53"/>
  <c r="H38" i="53"/>
  <c r="H34" i="53"/>
  <c r="H30" i="53"/>
  <c r="H26" i="53"/>
  <c r="I15" i="54"/>
  <c r="J15" i="54" s="1"/>
  <c r="M15" i="54"/>
  <c r="I14" i="54"/>
  <c r="J14" i="54" s="1"/>
  <c r="M14" i="54"/>
  <c r="M53" i="54"/>
  <c r="I53" i="54"/>
  <c r="G8" i="54"/>
  <c r="G11" i="54"/>
  <c r="I54" i="54"/>
  <c r="J54" i="54" s="1"/>
  <c r="M54" i="54"/>
  <c r="I69" i="54"/>
  <c r="J69" i="54" s="1"/>
  <c r="K69" i="54" s="1"/>
  <c r="M69" i="54"/>
  <c r="I29" i="54"/>
  <c r="J29" i="54" s="1"/>
  <c r="K29" i="54" s="1"/>
  <c r="M29" i="54"/>
  <c r="I33" i="54"/>
  <c r="J33" i="54" s="1"/>
  <c r="K33" i="54" s="1"/>
  <c r="M33" i="54"/>
  <c r="M31" i="54"/>
  <c r="I31" i="54"/>
  <c r="J31" i="54" s="1"/>
  <c r="K31" i="54" s="1"/>
  <c r="I43" i="54"/>
  <c r="J43" i="54" s="1"/>
  <c r="K43" i="54" s="1"/>
  <c r="M43" i="54"/>
  <c r="I41" i="54"/>
  <c r="J41" i="54" s="1"/>
  <c r="K41" i="54" s="1"/>
  <c r="M41" i="54"/>
  <c r="E6" i="54"/>
  <c r="E7" i="54" s="1"/>
  <c r="E6" i="53"/>
  <c r="E7" i="53" s="1"/>
  <c r="E6" i="50"/>
  <c r="E7" i="50" s="1"/>
  <c r="E6" i="47"/>
  <c r="E7" i="47" s="1"/>
  <c r="I22" i="54"/>
  <c r="J22" i="54" s="1"/>
  <c r="M22" i="54"/>
  <c r="I45" i="54"/>
  <c r="J45" i="54" s="1"/>
  <c r="K45" i="54" s="1"/>
  <c r="M45" i="54"/>
  <c r="M24" i="54"/>
  <c r="I24" i="54"/>
  <c r="J24" i="54" s="1"/>
  <c r="I49" i="54"/>
  <c r="J49" i="54" s="1"/>
  <c r="K49" i="54" s="1"/>
  <c r="M49" i="54"/>
  <c r="M28" i="54"/>
  <c r="I28" i="54"/>
  <c r="J28" i="54" s="1"/>
  <c r="M27" i="54"/>
  <c r="I27" i="54"/>
  <c r="J27" i="54" s="1"/>
  <c r="M32" i="54"/>
  <c r="I32" i="54"/>
  <c r="J32" i="54" s="1"/>
  <c r="K32" i="54" s="1"/>
  <c r="I39" i="54"/>
  <c r="J39" i="54" s="1"/>
  <c r="K39" i="54" s="1"/>
  <c r="M39" i="54"/>
  <c r="G27" i="52"/>
  <c r="G28" i="52" s="1"/>
  <c r="I19" i="54"/>
  <c r="J19" i="54" s="1"/>
  <c r="M19" i="54"/>
  <c r="M13" i="54"/>
  <c r="I55" i="54"/>
  <c r="J55" i="54" s="1"/>
  <c r="M55" i="54"/>
  <c r="I59" i="54"/>
  <c r="J59" i="54" s="1"/>
  <c r="M59" i="54"/>
  <c r="I60" i="54"/>
  <c r="J60" i="54" s="1"/>
  <c r="K60" i="54" s="1"/>
  <c r="M60" i="54"/>
  <c r="M63" i="54"/>
  <c r="I63" i="54"/>
  <c r="J63" i="54" s="1"/>
  <c r="K63" i="54" s="1"/>
  <c r="M66" i="54"/>
  <c r="I66" i="54"/>
  <c r="J66" i="54" s="1"/>
  <c r="K66" i="54" s="1"/>
  <c r="I14" i="53"/>
  <c r="J14" i="53" s="1"/>
  <c r="I17" i="54"/>
  <c r="J17" i="54" s="1"/>
  <c r="M17" i="54"/>
  <c r="I21" i="54"/>
  <c r="J21" i="54" s="1"/>
  <c r="K21" i="54" s="1"/>
  <c r="M21" i="54"/>
  <c r="M65" i="54"/>
  <c r="I65" i="54"/>
  <c r="J65" i="54" s="1"/>
  <c r="K65" i="54" s="1"/>
  <c r="I56" i="54"/>
  <c r="J56" i="54" s="1"/>
  <c r="M56" i="54"/>
  <c r="I61" i="54"/>
  <c r="J61" i="54" s="1"/>
  <c r="K61" i="54" s="1"/>
  <c r="M61" i="54"/>
  <c r="I68" i="54"/>
  <c r="J68" i="54" s="1"/>
  <c r="K68" i="54" s="1"/>
  <c r="M68" i="54"/>
  <c r="M67" i="54"/>
  <c r="I67" i="54"/>
  <c r="J67" i="54" s="1"/>
  <c r="K67" i="54" s="1"/>
  <c r="D6" i="54"/>
  <c r="D7" i="54" s="1"/>
  <c r="D6" i="53"/>
  <c r="D7" i="53" s="1"/>
  <c r="D6" i="50"/>
  <c r="D7" i="50" s="1"/>
  <c r="D6" i="47"/>
  <c r="D7" i="47" s="1"/>
  <c r="I40" i="54"/>
  <c r="J40" i="54" s="1"/>
  <c r="K40" i="54" s="1"/>
  <c r="M40" i="54"/>
  <c r="M26" i="54"/>
  <c r="I26" i="54"/>
  <c r="J26" i="54" s="1"/>
  <c r="I30" i="54"/>
  <c r="J30" i="54" s="1"/>
  <c r="K30" i="54" s="1"/>
  <c r="M30" i="54"/>
  <c r="I48" i="54"/>
  <c r="J48" i="54" s="1"/>
  <c r="K48" i="54" s="1"/>
  <c r="M48" i="54"/>
  <c r="I18" i="54"/>
  <c r="J18" i="54" s="1"/>
  <c r="M18" i="54"/>
  <c r="I52" i="54"/>
  <c r="J52" i="54" s="1"/>
  <c r="K52" i="54" s="1"/>
  <c r="M52" i="54"/>
  <c r="I38" i="54"/>
  <c r="J38" i="54" s="1"/>
  <c r="K38" i="54" s="1"/>
  <c r="M38" i="54"/>
  <c r="M35" i="54"/>
  <c r="I35" i="54"/>
  <c r="J35" i="54" s="1"/>
  <c r="K35" i="54" s="1"/>
  <c r="I42" i="54"/>
  <c r="J42" i="54" s="1"/>
  <c r="K42" i="54" s="1"/>
  <c r="M42" i="54"/>
  <c r="I47" i="54"/>
  <c r="J47" i="54" s="1"/>
  <c r="K47" i="54" s="1"/>
  <c r="M47" i="54"/>
  <c r="I46" i="54"/>
  <c r="J46" i="54" s="1"/>
  <c r="K46" i="54" s="1"/>
  <c r="M46" i="54"/>
  <c r="I25" i="54"/>
  <c r="J25" i="54" s="1"/>
  <c r="M25" i="54"/>
  <c r="I50" i="54"/>
  <c r="J50" i="54" s="1"/>
  <c r="K50" i="54" s="1"/>
  <c r="M50" i="54"/>
  <c r="I16" i="54"/>
  <c r="J16" i="54" s="1"/>
  <c r="M16" i="54"/>
  <c r="I20" i="54"/>
  <c r="J20" i="54" s="1"/>
  <c r="K20" i="54" s="1"/>
  <c r="M20" i="54"/>
  <c r="I62" i="54"/>
  <c r="J62" i="54" s="1"/>
  <c r="K62" i="54" s="1"/>
  <c r="M62" i="54"/>
  <c r="I57" i="54"/>
  <c r="J57" i="54" s="1"/>
  <c r="M57" i="54"/>
  <c r="I58" i="54"/>
  <c r="J58" i="54" s="1"/>
  <c r="M58" i="54"/>
  <c r="M64" i="54"/>
  <c r="I64" i="54"/>
  <c r="J64" i="54" s="1"/>
  <c r="K64" i="54" s="1"/>
  <c r="L6" i="52"/>
  <c r="K8" i="52"/>
  <c r="M6" i="52"/>
  <c r="G30" i="41"/>
  <c r="M30" i="41" s="1"/>
  <c r="G47" i="41"/>
  <c r="M47" i="41" s="1"/>
  <c r="G23" i="40"/>
  <c r="G52" i="41"/>
  <c r="M52" i="41" s="1"/>
  <c r="G42" i="41"/>
  <c r="M42" i="41" s="1"/>
  <c r="G49" i="41"/>
  <c r="M49" i="41" s="1"/>
  <c r="G44" i="41"/>
  <c r="M44" i="41" s="1"/>
  <c r="G46" i="41"/>
  <c r="M46" i="41" s="1"/>
  <c r="G31" i="41"/>
  <c r="M31" i="41" s="1"/>
  <c r="C23" i="40"/>
  <c r="G21" i="41"/>
  <c r="M21" i="41" s="1"/>
  <c r="G18" i="41"/>
  <c r="M18" i="41" s="1"/>
  <c r="G28" i="41"/>
  <c r="M28" i="41" s="1"/>
  <c r="G26" i="41"/>
  <c r="M26" i="41" s="1"/>
  <c r="G29" i="41"/>
  <c r="M29" i="41" s="1"/>
  <c r="G33" i="41"/>
  <c r="M33" i="41" s="1"/>
  <c r="G39" i="41"/>
  <c r="M39" i="41" s="1"/>
  <c r="E5" i="41"/>
  <c r="D5" i="41"/>
  <c r="G48" i="41"/>
  <c r="M48" i="41" s="1"/>
  <c r="G24" i="41"/>
  <c r="M24" i="41" s="1"/>
  <c r="G34" i="41"/>
  <c r="M34" i="41" s="1"/>
  <c r="G50" i="41"/>
  <c r="M50" i="41" s="1"/>
  <c r="G37" i="41"/>
  <c r="M37" i="41" s="1"/>
  <c r="G23" i="41"/>
  <c r="G43" i="41"/>
  <c r="M43" i="41" s="1"/>
  <c r="G36" i="41"/>
  <c r="M36" i="41" s="1"/>
  <c r="G40" i="41"/>
  <c r="M40" i="41" s="1"/>
  <c r="G38" i="41"/>
  <c r="M38" i="41" s="1"/>
  <c r="G25" i="41"/>
  <c r="M25" i="41" s="1"/>
  <c r="G41" i="41"/>
  <c r="M41" i="41" s="1"/>
  <c r="G27" i="41"/>
  <c r="M27" i="41" s="1"/>
  <c r="G53" i="41"/>
  <c r="M53" i="41" s="1"/>
  <c r="G35" i="41"/>
  <c r="M35" i="41" s="1"/>
  <c r="G51" i="41"/>
  <c r="M51" i="41" s="1"/>
  <c r="E6" i="41"/>
  <c r="E7" i="41" s="1"/>
  <c r="D6" i="41"/>
  <c r="D7" i="41" s="1"/>
  <c r="K2" i="53" l="1"/>
  <c r="H10" i="53"/>
  <c r="I11" i="54"/>
  <c r="I9" i="54" s="1"/>
  <c r="K58" i="54"/>
  <c r="M4" i="54"/>
  <c r="K16" i="54"/>
  <c r="K4" i="54"/>
  <c r="K17" i="54"/>
  <c r="K5" i="54"/>
  <c r="K14" i="53"/>
  <c r="K15" i="53" s="1"/>
  <c r="K16" i="53" s="1"/>
  <c r="K17" i="53" s="1"/>
  <c r="K18" i="53" s="1"/>
  <c r="K19" i="53" s="1"/>
  <c r="K20" i="53" s="1"/>
  <c r="K21" i="53" s="1"/>
  <c r="K22" i="53" s="1"/>
  <c r="K8" i="53"/>
  <c r="K9" i="53" s="1"/>
  <c r="K59" i="54"/>
  <c r="M5" i="54"/>
  <c r="K8" i="54"/>
  <c r="K13" i="54"/>
  <c r="K27" i="54"/>
  <c r="L8" i="54"/>
  <c r="I8" i="54"/>
  <c r="I7" i="54" s="1"/>
  <c r="J53" i="54"/>
  <c r="J11" i="54" s="1"/>
  <c r="K18" i="54"/>
  <c r="K6" i="54"/>
  <c r="M2" i="54"/>
  <c r="K56" i="54"/>
  <c r="K54" i="54"/>
  <c r="M7" i="54"/>
  <c r="K3" i="54"/>
  <c r="K15" i="54"/>
  <c r="E5" i="54"/>
  <c r="E5" i="53"/>
  <c r="E5" i="50"/>
  <c r="E5" i="47"/>
  <c r="K23" i="52"/>
  <c r="G64" i="53"/>
  <c r="G60" i="53"/>
  <c r="G56" i="53"/>
  <c r="G65" i="53"/>
  <c r="G61" i="53"/>
  <c r="G57" i="53"/>
  <c r="G63" i="53"/>
  <c r="G59" i="53"/>
  <c r="G55" i="53"/>
  <c r="G66" i="53"/>
  <c r="G62" i="53"/>
  <c r="G58" i="53"/>
  <c r="G54" i="53"/>
  <c r="K26" i="54"/>
  <c r="L7" i="54"/>
  <c r="K55" i="54"/>
  <c r="M8" i="54"/>
  <c r="K19" i="54"/>
  <c r="K7" i="54"/>
  <c r="L2" i="54"/>
  <c r="K28" i="54"/>
  <c r="K24" i="54"/>
  <c r="L5" i="54"/>
  <c r="K23" i="54"/>
  <c r="L4" i="54"/>
  <c r="D5" i="54"/>
  <c r="D5" i="53"/>
  <c r="D5" i="47"/>
  <c r="D5" i="50"/>
  <c r="K57" i="54"/>
  <c r="M3" i="54"/>
  <c r="L6" i="54"/>
  <c r="K25" i="54"/>
  <c r="L3" i="54"/>
  <c r="K22" i="54"/>
  <c r="K14" i="54"/>
  <c r="K2" i="54"/>
  <c r="G10" i="41"/>
  <c r="D22" i="40"/>
  <c r="C27" i="40"/>
  <c r="H8" i="40"/>
  <c r="H22" i="40"/>
  <c r="G27" i="40"/>
  <c r="G28" i="40" s="1"/>
  <c r="G31" i="49" s="1"/>
  <c r="D8" i="40"/>
  <c r="G11" i="41"/>
  <c r="M23" i="41"/>
  <c r="H16" i="41"/>
  <c r="I16" i="41" s="1"/>
  <c r="J16" i="41" s="1"/>
  <c r="C28" i="40"/>
  <c r="C31" i="49" s="1"/>
  <c r="H22" i="41"/>
  <c r="I22" i="41" s="1"/>
  <c r="J22" i="41" s="1"/>
  <c r="H20" i="41"/>
  <c r="I20" i="41" s="1"/>
  <c r="J20" i="41" s="1"/>
  <c r="H18" i="41"/>
  <c r="I18" i="41" s="1"/>
  <c r="J18" i="41" s="1"/>
  <c r="H17" i="41"/>
  <c r="I17" i="41" s="1"/>
  <c r="J17" i="41" s="1"/>
  <c r="H15" i="41"/>
  <c r="I15" i="41" s="1"/>
  <c r="J15" i="41" s="1"/>
  <c r="K2" i="41" s="1"/>
  <c r="H21" i="41"/>
  <c r="I21" i="41" s="1"/>
  <c r="J21" i="41" s="1"/>
  <c r="I19" i="41"/>
  <c r="J19" i="41" s="1"/>
  <c r="H25" i="41"/>
  <c r="I25" i="41" s="1"/>
  <c r="J25" i="41" s="1"/>
  <c r="H27" i="41"/>
  <c r="I27" i="41" s="1"/>
  <c r="J27" i="41" s="1"/>
  <c r="H29" i="41"/>
  <c r="I29" i="41" s="1"/>
  <c r="J29" i="41" s="1"/>
  <c r="H31" i="41"/>
  <c r="I31" i="41" s="1"/>
  <c r="J31" i="41" s="1"/>
  <c r="H33" i="41"/>
  <c r="I33" i="41" s="1"/>
  <c r="J33" i="41" s="1"/>
  <c r="H35" i="41"/>
  <c r="I35" i="41" s="1"/>
  <c r="J35" i="41" s="1"/>
  <c r="H37" i="41"/>
  <c r="I37" i="41" s="1"/>
  <c r="J37" i="41" s="1"/>
  <c r="H39" i="41"/>
  <c r="I39" i="41" s="1"/>
  <c r="J39" i="41" s="1"/>
  <c r="H41" i="41"/>
  <c r="I41" i="41" s="1"/>
  <c r="J41" i="41" s="1"/>
  <c r="H43" i="41"/>
  <c r="I43" i="41" s="1"/>
  <c r="J43" i="41" s="1"/>
  <c r="H45" i="41"/>
  <c r="I45" i="41" s="1"/>
  <c r="J45" i="41" s="1"/>
  <c r="H47" i="41"/>
  <c r="I47" i="41" s="1"/>
  <c r="J47" i="41" s="1"/>
  <c r="H49" i="41"/>
  <c r="I49" i="41" s="1"/>
  <c r="J49" i="41" s="1"/>
  <c r="H51" i="41"/>
  <c r="I51" i="41" s="1"/>
  <c r="J51" i="41" s="1"/>
  <c r="H53" i="41"/>
  <c r="I53" i="41" s="1"/>
  <c r="J53" i="41" s="1"/>
  <c r="H24" i="41"/>
  <c r="I24" i="41" s="1"/>
  <c r="J24" i="41" s="1"/>
  <c r="H26" i="41"/>
  <c r="I26" i="41" s="1"/>
  <c r="J26" i="41" s="1"/>
  <c r="H28" i="41"/>
  <c r="I28" i="41" s="1"/>
  <c r="J28" i="41" s="1"/>
  <c r="H30" i="41"/>
  <c r="I30" i="41" s="1"/>
  <c r="J30" i="41" s="1"/>
  <c r="H32" i="41"/>
  <c r="I32" i="41" s="1"/>
  <c r="J32" i="41" s="1"/>
  <c r="H34" i="41"/>
  <c r="I34" i="41" s="1"/>
  <c r="J34" i="41" s="1"/>
  <c r="H36" i="41"/>
  <c r="I36" i="41" s="1"/>
  <c r="J36" i="41" s="1"/>
  <c r="H38" i="41"/>
  <c r="I38" i="41" s="1"/>
  <c r="J38" i="41" s="1"/>
  <c r="H40" i="41"/>
  <c r="I40" i="41" s="1"/>
  <c r="J40" i="41" s="1"/>
  <c r="H42" i="41"/>
  <c r="I42" i="41" s="1"/>
  <c r="J42" i="41" s="1"/>
  <c r="H44" i="41"/>
  <c r="I44" i="41" s="1"/>
  <c r="J44" i="41" s="1"/>
  <c r="H46" i="41"/>
  <c r="I46" i="41" s="1"/>
  <c r="J46" i="41" s="1"/>
  <c r="H48" i="41"/>
  <c r="I48" i="41" s="1"/>
  <c r="J48" i="41" s="1"/>
  <c r="H50" i="41"/>
  <c r="I50" i="41" s="1"/>
  <c r="J50" i="41" s="1"/>
  <c r="H52" i="41"/>
  <c r="I52" i="41" s="1"/>
  <c r="J52" i="41" s="1"/>
  <c r="H23" i="41"/>
  <c r="E70" i="25"/>
  <c r="E43" i="25"/>
  <c r="K41" i="25" s="1"/>
  <c r="K47" i="25" s="1"/>
  <c r="D67" i="25"/>
  <c r="D68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E41" i="25"/>
  <c r="E42" i="25"/>
  <c r="E40" i="25"/>
  <c r="E39" i="25"/>
  <c r="E38" i="25"/>
  <c r="G67" i="25"/>
  <c r="F38" i="25"/>
  <c r="K40" i="25" l="1"/>
  <c r="Q40" i="25"/>
  <c r="N3" i="54"/>
  <c r="M66" i="53"/>
  <c r="M57" i="53"/>
  <c r="M60" i="53"/>
  <c r="K9" i="54"/>
  <c r="N2" i="54"/>
  <c r="G12" i="53"/>
  <c r="M54" i="53"/>
  <c r="M55" i="53"/>
  <c r="M61" i="53"/>
  <c r="M64" i="53"/>
  <c r="N8" i="54"/>
  <c r="L9" i="54"/>
  <c r="M58" i="53"/>
  <c r="M59" i="53"/>
  <c r="M65" i="53"/>
  <c r="K22" i="52"/>
  <c r="K27" i="52"/>
  <c r="K28" i="52" s="1"/>
  <c r="N5" i="54"/>
  <c r="N4" i="54"/>
  <c r="N7" i="54"/>
  <c r="M62" i="53"/>
  <c r="M63" i="53"/>
  <c r="M56" i="53"/>
  <c r="K53" i="54"/>
  <c r="M6" i="54"/>
  <c r="M9" i="54" s="1"/>
  <c r="I23" i="41"/>
  <c r="J23" i="41" s="1"/>
  <c r="L3" i="41" s="1"/>
  <c r="H11" i="41"/>
  <c r="H14" i="41"/>
  <c r="K5" i="41"/>
  <c r="K7" i="41"/>
  <c r="K4" i="41"/>
  <c r="K6" i="41"/>
  <c r="K3" i="41"/>
  <c r="L6" i="41"/>
  <c r="L5" i="41"/>
  <c r="L4" i="41"/>
  <c r="L2" i="41"/>
  <c r="L8" i="41"/>
  <c r="L7" i="41"/>
  <c r="S47" i="25" l="1"/>
  <c r="R47" i="25"/>
  <c r="R40" i="25"/>
  <c r="S40" i="25"/>
  <c r="H63" i="53"/>
  <c r="I63" i="53" s="1"/>
  <c r="J63" i="53" s="1"/>
  <c r="H59" i="53"/>
  <c r="I59" i="53" s="1"/>
  <c r="J59" i="53" s="1"/>
  <c r="H55" i="53"/>
  <c r="H64" i="53"/>
  <c r="I64" i="53" s="1"/>
  <c r="J64" i="53" s="1"/>
  <c r="H60" i="53"/>
  <c r="I60" i="53" s="1"/>
  <c r="J60" i="53" s="1"/>
  <c r="M5" i="53" s="1"/>
  <c r="H56" i="53"/>
  <c r="I56" i="53" s="1"/>
  <c r="J56" i="53" s="1"/>
  <c r="H66" i="53"/>
  <c r="I66" i="53" s="1"/>
  <c r="J66" i="53" s="1"/>
  <c r="H62" i="53"/>
  <c r="I62" i="53" s="1"/>
  <c r="J62" i="53" s="1"/>
  <c r="H58" i="53"/>
  <c r="I58" i="53" s="1"/>
  <c r="J58" i="53" s="1"/>
  <c r="H54" i="53"/>
  <c r="I54" i="53" s="1"/>
  <c r="J54" i="53" s="1"/>
  <c r="H65" i="53"/>
  <c r="I65" i="53" s="1"/>
  <c r="J65" i="53" s="1"/>
  <c r="H61" i="53"/>
  <c r="I61" i="53" s="1"/>
  <c r="J61" i="53" s="1"/>
  <c r="H57" i="53"/>
  <c r="I57" i="53" s="1"/>
  <c r="J57" i="53" s="1"/>
  <c r="N6" i="54"/>
  <c r="N9" i="54" s="1"/>
  <c r="I14" i="41"/>
  <c r="J14" i="41" s="1"/>
  <c r="K8" i="41" s="1"/>
  <c r="K9" i="41" s="1"/>
  <c r="K10" i="41" s="1"/>
  <c r="H10" i="41"/>
  <c r="L9" i="41"/>
  <c r="L10" i="41" s="1"/>
  <c r="C8" i="6"/>
  <c r="D8" i="6" s="1"/>
  <c r="C5" i="6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D6" i="4"/>
  <c r="E6" i="4" s="1"/>
  <c r="D5" i="4"/>
  <c r="E5" i="4" s="1"/>
  <c r="D4" i="4"/>
  <c r="E4" i="4" s="1"/>
  <c r="D3" i="4"/>
  <c r="E3" i="4" s="1"/>
  <c r="D2" i="4"/>
  <c r="E2" i="4" s="1"/>
  <c r="K31" i="3"/>
  <c r="F28" i="3"/>
  <c r="F16" i="3"/>
  <c r="F11" i="3"/>
  <c r="E5" i="3"/>
  <c r="M4" i="3"/>
  <c r="E4" i="3"/>
  <c r="M3" i="3"/>
  <c r="M2" i="3"/>
  <c r="L1" i="3"/>
  <c r="M1" i="3" s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D4" i="7"/>
  <c r="B4" i="7"/>
  <c r="D3" i="7"/>
  <c r="B3" i="7"/>
  <c r="D2" i="7"/>
  <c r="B2" i="7"/>
  <c r="E21" i="17"/>
  <c r="B10" i="12"/>
  <c r="E18" i="8"/>
  <c r="E14" i="8"/>
  <c r="G13" i="8"/>
  <c r="H12" i="8"/>
  <c r="G12" i="8"/>
  <c r="I11" i="8"/>
  <c r="G11" i="8"/>
  <c r="I10" i="8"/>
  <c r="G10" i="8"/>
  <c r="I9" i="8"/>
  <c r="G9" i="8"/>
  <c r="I8" i="8"/>
  <c r="G8" i="8"/>
  <c r="I7" i="8"/>
  <c r="G7" i="8"/>
  <c r="F6" i="8"/>
  <c r="G6" i="8" s="1"/>
  <c r="I19" i="33"/>
  <c r="C19" i="33"/>
  <c r="I18" i="33"/>
  <c r="C18" i="33"/>
  <c r="I17" i="33"/>
  <c r="C17" i="33"/>
  <c r="J16" i="33"/>
  <c r="I16" i="33"/>
  <c r="K16" i="33" s="1"/>
  <c r="E16" i="33"/>
  <c r="J15" i="33"/>
  <c r="J21" i="33" s="1"/>
  <c r="J24" i="33" s="1"/>
  <c r="I15" i="33"/>
  <c r="E15" i="33"/>
  <c r="K14" i="33"/>
  <c r="E14" i="33"/>
  <c r="K13" i="33"/>
  <c r="E13" i="33"/>
  <c r="K12" i="33"/>
  <c r="E12" i="33"/>
  <c r="K11" i="33"/>
  <c r="E11" i="33"/>
  <c r="K10" i="33"/>
  <c r="E10" i="33"/>
  <c r="K9" i="33"/>
  <c r="E9" i="33"/>
  <c r="K8" i="33"/>
  <c r="E8" i="33"/>
  <c r="I7" i="33"/>
  <c r="I6" i="33"/>
  <c r="C6" i="33"/>
  <c r="I5" i="33"/>
  <c r="C5" i="33"/>
  <c r="I4" i="33"/>
  <c r="C4" i="33"/>
  <c r="I3" i="33"/>
  <c r="C3" i="33"/>
  <c r="D17" i="28"/>
  <c r="F70" i="32"/>
  <c r="F72" i="32" s="1"/>
  <c r="E70" i="32"/>
  <c r="D68" i="32"/>
  <c r="F67" i="32"/>
  <c r="D67" i="32"/>
  <c r="F66" i="32"/>
  <c r="D66" i="32"/>
  <c r="F65" i="32"/>
  <c r="K42" i="32" s="1"/>
  <c r="D65" i="32"/>
  <c r="F64" i="32"/>
  <c r="K41" i="32" s="1"/>
  <c r="D64" i="32"/>
  <c r="F63" i="32"/>
  <c r="D63" i="32"/>
  <c r="F62" i="32"/>
  <c r="D62" i="32"/>
  <c r="F61" i="32"/>
  <c r="D61" i="32"/>
  <c r="F60" i="32"/>
  <c r="D60" i="32"/>
  <c r="F59" i="32"/>
  <c r="D59" i="32"/>
  <c r="F58" i="32"/>
  <c r="E58" i="32"/>
  <c r="D58" i="32"/>
  <c r="F57" i="32"/>
  <c r="E57" i="32"/>
  <c r="D57" i="32"/>
  <c r="F56" i="32"/>
  <c r="E56" i="32"/>
  <c r="D56" i="32"/>
  <c r="F55" i="32"/>
  <c r="E55" i="32"/>
  <c r="D55" i="32"/>
  <c r="F54" i="32"/>
  <c r="E54" i="32"/>
  <c r="D54" i="32"/>
  <c r="F53" i="32"/>
  <c r="E53" i="32"/>
  <c r="D53" i="32"/>
  <c r="F52" i="32"/>
  <c r="E52" i="32"/>
  <c r="D52" i="32"/>
  <c r="F51" i="32"/>
  <c r="E51" i="32"/>
  <c r="D51" i="32"/>
  <c r="F50" i="32"/>
  <c r="E50" i="32"/>
  <c r="D50" i="32"/>
  <c r="F49" i="32"/>
  <c r="E49" i="32"/>
  <c r="D49" i="32"/>
  <c r="F48" i="32"/>
  <c r="E48" i="32"/>
  <c r="D48" i="32"/>
  <c r="K47" i="32"/>
  <c r="I47" i="32"/>
  <c r="F47" i="32"/>
  <c r="E47" i="32"/>
  <c r="D47" i="32"/>
  <c r="I46" i="32"/>
  <c r="F46" i="32"/>
  <c r="E46" i="32"/>
  <c r="D46" i="32"/>
  <c r="F45" i="32"/>
  <c r="E45" i="32"/>
  <c r="D45" i="32"/>
  <c r="F44" i="32"/>
  <c r="E44" i="32"/>
  <c r="D44" i="32"/>
  <c r="F43" i="32"/>
  <c r="E43" i="32"/>
  <c r="D43" i="32"/>
  <c r="F42" i="32"/>
  <c r="E42" i="32"/>
  <c r="D42" i="32"/>
  <c r="F41" i="32"/>
  <c r="E41" i="32"/>
  <c r="D41" i="32"/>
  <c r="F40" i="32"/>
  <c r="E40" i="32"/>
  <c r="D40" i="32"/>
  <c r="K39" i="32"/>
  <c r="J39" i="32"/>
  <c r="F39" i="32"/>
  <c r="E39" i="32"/>
  <c r="D39" i="32"/>
  <c r="F38" i="32"/>
  <c r="E38" i="32"/>
  <c r="D38" i="32"/>
  <c r="F12" i="31"/>
  <c r="F11" i="31"/>
  <c r="F10" i="31"/>
  <c r="F9" i="31"/>
  <c r="F8" i="31"/>
  <c r="F7" i="31"/>
  <c r="F6" i="31"/>
  <c r="F5" i="31"/>
  <c r="F4" i="31"/>
  <c r="A3" i="35"/>
  <c r="A4" i="35" s="1"/>
  <c r="C2" i="35"/>
  <c r="B2" i="35"/>
  <c r="F67" i="25"/>
  <c r="F66" i="25"/>
  <c r="F65" i="25"/>
  <c r="F64" i="25"/>
  <c r="F63" i="25"/>
  <c r="F62" i="25"/>
  <c r="F61" i="25"/>
  <c r="F60" i="25"/>
  <c r="F59" i="25"/>
  <c r="F58" i="25"/>
  <c r="F57" i="25"/>
  <c r="F56" i="25"/>
  <c r="F55" i="25"/>
  <c r="F54" i="25"/>
  <c r="F53" i="25"/>
  <c r="F52" i="25"/>
  <c r="F51" i="25"/>
  <c r="F50" i="25"/>
  <c r="F49" i="25"/>
  <c r="D49" i="25"/>
  <c r="F48" i="25"/>
  <c r="D48" i="25"/>
  <c r="F47" i="25"/>
  <c r="D47" i="25"/>
  <c r="F46" i="25"/>
  <c r="D46" i="25"/>
  <c r="F45" i="25"/>
  <c r="D45" i="25"/>
  <c r="F44" i="25"/>
  <c r="D44" i="25"/>
  <c r="F43" i="25"/>
  <c r="D43" i="25"/>
  <c r="F42" i="25"/>
  <c r="D42" i="25"/>
  <c r="F41" i="25"/>
  <c r="D41" i="25"/>
  <c r="F40" i="25"/>
  <c r="D40" i="25"/>
  <c r="F39" i="25"/>
  <c r="D39" i="25"/>
  <c r="D38" i="25"/>
  <c r="M540" i="14"/>
  <c r="C535" i="14"/>
  <c r="D535" i="14" s="1"/>
  <c r="M534" i="14"/>
  <c r="E534" i="14"/>
  <c r="D534" i="14"/>
  <c r="M533" i="14"/>
  <c r="E533" i="14"/>
  <c r="D533" i="14"/>
  <c r="M532" i="14"/>
  <c r="E532" i="14"/>
  <c r="D532" i="14"/>
  <c r="M531" i="14"/>
  <c r="E531" i="14"/>
  <c r="D531" i="14"/>
  <c r="M530" i="14"/>
  <c r="E530" i="14"/>
  <c r="D530" i="14"/>
  <c r="M529" i="14"/>
  <c r="E529" i="14"/>
  <c r="D529" i="14"/>
  <c r="M528" i="14"/>
  <c r="E528" i="14"/>
  <c r="D528" i="14"/>
  <c r="M527" i="14"/>
  <c r="E527" i="14"/>
  <c r="D527" i="14"/>
  <c r="M526" i="14"/>
  <c r="E526" i="14"/>
  <c r="D526" i="14"/>
  <c r="M525" i="14"/>
  <c r="E525" i="14"/>
  <c r="D525" i="14"/>
  <c r="M524" i="14"/>
  <c r="E524" i="14"/>
  <c r="D524" i="14"/>
  <c r="M523" i="14"/>
  <c r="E523" i="14"/>
  <c r="D523" i="14"/>
  <c r="M522" i="14"/>
  <c r="E522" i="14"/>
  <c r="D522" i="14"/>
  <c r="M521" i="14"/>
  <c r="E521" i="14"/>
  <c r="D521" i="14"/>
  <c r="M520" i="14"/>
  <c r="E520" i="14"/>
  <c r="D520" i="14"/>
  <c r="M519" i="14"/>
  <c r="E519" i="14"/>
  <c r="D519" i="14"/>
  <c r="M518" i="14"/>
  <c r="E518" i="14"/>
  <c r="D518" i="14"/>
  <c r="M517" i="14"/>
  <c r="E517" i="14"/>
  <c r="D517" i="14"/>
  <c r="M516" i="14"/>
  <c r="E516" i="14"/>
  <c r="D516" i="14"/>
  <c r="M515" i="14"/>
  <c r="E515" i="14"/>
  <c r="D515" i="14"/>
  <c r="M514" i="14"/>
  <c r="E514" i="14"/>
  <c r="D514" i="14"/>
  <c r="M513" i="14"/>
  <c r="E513" i="14"/>
  <c r="D513" i="14"/>
  <c r="M512" i="14"/>
  <c r="E512" i="14"/>
  <c r="D512" i="14"/>
  <c r="M511" i="14"/>
  <c r="E511" i="14"/>
  <c r="D511" i="14"/>
  <c r="M510" i="14"/>
  <c r="E510" i="14"/>
  <c r="D510" i="14"/>
  <c r="M509" i="14"/>
  <c r="E509" i="14"/>
  <c r="D509" i="14"/>
  <c r="M508" i="14"/>
  <c r="E508" i="14"/>
  <c r="D508" i="14"/>
  <c r="M507" i="14"/>
  <c r="E507" i="14"/>
  <c r="D507" i="14"/>
  <c r="M506" i="14"/>
  <c r="E506" i="14"/>
  <c r="D506" i="14"/>
  <c r="M505" i="14"/>
  <c r="E505" i="14"/>
  <c r="D505" i="14"/>
  <c r="M504" i="14"/>
  <c r="E504" i="14"/>
  <c r="D504" i="14"/>
  <c r="L503" i="14"/>
  <c r="M503" i="14" s="1"/>
  <c r="E503" i="14"/>
  <c r="D503" i="14"/>
  <c r="L502" i="14"/>
  <c r="M502" i="14" s="1"/>
  <c r="E502" i="14"/>
  <c r="D502" i="14"/>
  <c r="M501" i="14"/>
  <c r="E501" i="14"/>
  <c r="D501" i="14"/>
  <c r="M500" i="14"/>
  <c r="E500" i="14"/>
  <c r="D500" i="14"/>
  <c r="M499" i="14"/>
  <c r="E499" i="14"/>
  <c r="D499" i="14"/>
  <c r="M498" i="14"/>
  <c r="E498" i="14"/>
  <c r="D498" i="14"/>
  <c r="M497" i="14"/>
  <c r="E497" i="14"/>
  <c r="D497" i="14"/>
  <c r="M496" i="14"/>
  <c r="E496" i="14"/>
  <c r="D496" i="14"/>
  <c r="M495" i="14"/>
  <c r="E495" i="14"/>
  <c r="D495" i="14"/>
  <c r="E494" i="14"/>
  <c r="D494" i="14"/>
  <c r="M493" i="14"/>
  <c r="E493" i="14"/>
  <c r="D493" i="14"/>
  <c r="M492" i="14"/>
  <c r="E492" i="14"/>
  <c r="D492" i="14"/>
  <c r="M491" i="14"/>
  <c r="E491" i="14"/>
  <c r="D491" i="14"/>
  <c r="M490" i="14"/>
  <c r="E490" i="14"/>
  <c r="D490" i="14"/>
  <c r="M489" i="14"/>
  <c r="E489" i="14"/>
  <c r="D489" i="14"/>
  <c r="M488" i="14"/>
  <c r="E488" i="14"/>
  <c r="D488" i="14"/>
  <c r="M487" i="14"/>
  <c r="E487" i="14"/>
  <c r="D487" i="14"/>
  <c r="M486" i="14"/>
  <c r="E486" i="14"/>
  <c r="D486" i="14"/>
  <c r="M485" i="14"/>
  <c r="E485" i="14"/>
  <c r="D485" i="14"/>
  <c r="M484" i="14"/>
  <c r="E484" i="14"/>
  <c r="D484" i="14"/>
  <c r="M483" i="14"/>
  <c r="E483" i="14"/>
  <c r="D483" i="14"/>
  <c r="M482" i="14"/>
  <c r="E482" i="14"/>
  <c r="D482" i="14"/>
  <c r="M481" i="14"/>
  <c r="E481" i="14"/>
  <c r="D481" i="14"/>
  <c r="M480" i="14"/>
  <c r="E480" i="14"/>
  <c r="D480" i="14"/>
  <c r="M479" i="14"/>
  <c r="E479" i="14"/>
  <c r="D479" i="14"/>
  <c r="M478" i="14"/>
  <c r="E478" i="14"/>
  <c r="D478" i="14"/>
  <c r="M477" i="14"/>
  <c r="E477" i="14"/>
  <c r="D477" i="14"/>
  <c r="M476" i="14"/>
  <c r="E476" i="14"/>
  <c r="D476" i="14"/>
  <c r="M475" i="14"/>
  <c r="E475" i="14"/>
  <c r="D475" i="14"/>
  <c r="M474" i="14"/>
  <c r="E474" i="14"/>
  <c r="D474" i="14"/>
  <c r="M473" i="14"/>
  <c r="E473" i="14"/>
  <c r="D473" i="14"/>
  <c r="M472" i="14"/>
  <c r="E472" i="14"/>
  <c r="D472" i="14"/>
  <c r="M471" i="14"/>
  <c r="E471" i="14"/>
  <c r="D471" i="14"/>
  <c r="M470" i="14"/>
  <c r="E470" i="14"/>
  <c r="D470" i="14"/>
  <c r="M469" i="14"/>
  <c r="E469" i="14"/>
  <c r="D469" i="14"/>
  <c r="M468" i="14"/>
  <c r="E468" i="14"/>
  <c r="D468" i="14"/>
  <c r="M467" i="14"/>
  <c r="E467" i="14"/>
  <c r="D467" i="14"/>
  <c r="M466" i="14"/>
  <c r="E466" i="14"/>
  <c r="D466" i="14"/>
  <c r="M465" i="14"/>
  <c r="E465" i="14"/>
  <c r="D465" i="14"/>
  <c r="M464" i="14"/>
  <c r="E464" i="14"/>
  <c r="D464" i="14"/>
  <c r="M463" i="14"/>
  <c r="E463" i="14"/>
  <c r="D463" i="14"/>
  <c r="M462" i="14"/>
  <c r="E462" i="14"/>
  <c r="D462" i="14"/>
  <c r="M461" i="14"/>
  <c r="E461" i="14"/>
  <c r="D461" i="14"/>
  <c r="M460" i="14"/>
  <c r="E460" i="14"/>
  <c r="D460" i="14"/>
  <c r="M459" i="14"/>
  <c r="E459" i="14"/>
  <c r="D459" i="14"/>
  <c r="M458" i="14"/>
  <c r="E458" i="14"/>
  <c r="D458" i="14"/>
  <c r="M457" i="14"/>
  <c r="E457" i="14"/>
  <c r="D457" i="14"/>
  <c r="M456" i="14"/>
  <c r="E456" i="14"/>
  <c r="D456" i="14"/>
  <c r="M455" i="14"/>
  <c r="E455" i="14"/>
  <c r="D455" i="14"/>
  <c r="M454" i="14"/>
  <c r="E454" i="14"/>
  <c r="D454" i="14"/>
  <c r="M453" i="14"/>
  <c r="E453" i="14"/>
  <c r="D453" i="14"/>
  <c r="M452" i="14"/>
  <c r="E452" i="14"/>
  <c r="D452" i="14"/>
  <c r="M451" i="14"/>
  <c r="E451" i="14"/>
  <c r="D451" i="14"/>
  <c r="M450" i="14"/>
  <c r="E450" i="14"/>
  <c r="D450" i="14"/>
  <c r="M448" i="14"/>
  <c r="E448" i="14"/>
  <c r="D448" i="14"/>
  <c r="M447" i="14"/>
  <c r="E447" i="14"/>
  <c r="D447" i="14"/>
  <c r="M446" i="14"/>
  <c r="E446" i="14"/>
  <c r="D446" i="14"/>
  <c r="M445" i="14"/>
  <c r="E445" i="14"/>
  <c r="D445" i="14"/>
  <c r="M444" i="14"/>
  <c r="E444" i="14"/>
  <c r="D444" i="14"/>
  <c r="M443" i="14"/>
  <c r="E443" i="14"/>
  <c r="D443" i="14"/>
  <c r="M442" i="14"/>
  <c r="C442" i="14"/>
  <c r="E442" i="14" s="1"/>
  <c r="M441" i="14"/>
  <c r="C441" i="14"/>
  <c r="M440" i="14"/>
  <c r="C440" i="14"/>
  <c r="M439" i="14"/>
  <c r="C439" i="14"/>
  <c r="M438" i="14"/>
  <c r="C438" i="14"/>
  <c r="M437" i="14"/>
  <c r="C437" i="14"/>
  <c r="M436" i="14"/>
  <c r="C436" i="14"/>
  <c r="M435" i="14"/>
  <c r="C435" i="14"/>
  <c r="M434" i="14"/>
  <c r="C434" i="14"/>
  <c r="E434" i="14" s="1"/>
  <c r="M433" i="14"/>
  <c r="C433" i="14"/>
  <c r="E433" i="14" s="1"/>
  <c r="M432" i="14"/>
  <c r="C432" i="14"/>
  <c r="E432" i="14" s="1"/>
  <c r="M431" i="14"/>
  <c r="C431" i="14"/>
  <c r="E431" i="14" s="1"/>
  <c r="M430" i="14"/>
  <c r="C430" i="14"/>
  <c r="M429" i="14"/>
  <c r="C429" i="14"/>
  <c r="M428" i="14"/>
  <c r="C428" i="14"/>
  <c r="M427" i="14"/>
  <c r="C427" i="14"/>
  <c r="M426" i="14"/>
  <c r="C426" i="14"/>
  <c r="M425" i="14"/>
  <c r="C425" i="14"/>
  <c r="M424" i="14"/>
  <c r="C424" i="14"/>
  <c r="M423" i="14"/>
  <c r="C423" i="14"/>
  <c r="C449" i="14" s="1"/>
  <c r="M422" i="14"/>
  <c r="E422" i="14"/>
  <c r="D422" i="14"/>
  <c r="M421" i="14"/>
  <c r="E421" i="14"/>
  <c r="D421" i="14"/>
  <c r="M420" i="14"/>
  <c r="E420" i="14"/>
  <c r="D420" i="14"/>
  <c r="M419" i="14"/>
  <c r="E419" i="14"/>
  <c r="D419" i="14"/>
  <c r="M418" i="14"/>
  <c r="E418" i="14"/>
  <c r="D418" i="14"/>
  <c r="M417" i="14"/>
  <c r="E417" i="14"/>
  <c r="D417" i="14"/>
  <c r="M416" i="14"/>
  <c r="E416" i="14"/>
  <c r="D416" i="14"/>
  <c r="M415" i="14"/>
  <c r="E415" i="14"/>
  <c r="D415" i="14"/>
  <c r="M414" i="14"/>
  <c r="E414" i="14"/>
  <c r="D414" i="14"/>
  <c r="M413" i="14"/>
  <c r="E413" i="14"/>
  <c r="D413" i="14"/>
  <c r="M412" i="14"/>
  <c r="E412" i="14"/>
  <c r="D412" i="14"/>
  <c r="M411" i="14"/>
  <c r="E411" i="14"/>
  <c r="D411" i="14"/>
  <c r="M410" i="14"/>
  <c r="E410" i="14"/>
  <c r="D410" i="14"/>
  <c r="M409" i="14"/>
  <c r="E409" i="14"/>
  <c r="D409" i="14"/>
  <c r="M408" i="14"/>
  <c r="E408" i="14"/>
  <c r="D408" i="14"/>
  <c r="M407" i="14"/>
  <c r="E407" i="14"/>
  <c r="D407" i="14"/>
  <c r="M406" i="14"/>
  <c r="E406" i="14"/>
  <c r="D406" i="14"/>
  <c r="M405" i="14"/>
  <c r="E405" i="14"/>
  <c r="D405" i="14"/>
  <c r="M404" i="14"/>
  <c r="E404" i="14"/>
  <c r="D404" i="14"/>
  <c r="M403" i="14"/>
  <c r="E403" i="14"/>
  <c r="D403" i="14"/>
  <c r="M402" i="14"/>
  <c r="E402" i="14"/>
  <c r="D402" i="14"/>
  <c r="M401" i="14"/>
  <c r="C401" i="14"/>
  <c r="M400" i="14"/>
  <c r="C400" i="14"/>
  <c r="M399" i="14"/>
  <c r="C399" i="14"/>
  <c r="D399" i="14" s="1"/>
  <c r="M398" i="14"/>
  <c r="C398" i="14"/>
  <c r="M397" i="14"/>
  <c r="C397" i="14"/>
  <c r="M396" i="14"/>
  <c r="C396" i="14"/>
  <c r="M395" i="14"/>
  <c r="C395" i="14"/>
  <c r="D395" i="14" s="1"/>
  <c r="M394" i="14"/>
  <c r="C394" i="14"/>
  <c r="M393" i="14"/>
  <c r="C393" i="14"/>
  <c r="M392" i="14"/>
  <c r="C392" i="14"/>
  <c r="M391" i="14"/>
  <c r="C391" i="14"/>
  <c r="M390" i="14"/>
  <c r="C390" i="14"/>
  <c r="M389" i="14"/>
  <c r="C389" i="14"/>
  <c r="M388" i="14"/>
  <c r="C388" i="14"/>
  <c r="M387" i="14"/>
  <c r="C387" i="14"/>
  <c r="D387" i="14" s="1"/>
  <c r="M386" i="14"/>
  <c r="C386" i="14"/>
  <c r="M385" i="14"/>
  <c r="C385" i="14"/>
  <c r="M384" i="14"/>
  <c r="C384" i="14"/>
  <c r="M383" i="14"/>
  <c r="C383" i="14"/>
  <c r="D383" i="14" s="1"/>
  <c r="M382" i="14"/>
  <c r="C382" i="14"/>
  <c r="M381" i="14"/>
  <c r="E381" i="14"/>
  <c r="D381" i="14"/>
  <c r="M380" i="14"/>
  <c r="E380" i="14"/>
  <c r="D380" i="14"/>
  <c r="M379" i="14"/>
  <c r="E379" i="14"/>
  <c r="D379" i="14"/>
  <c r="M378" i="14"/>
  <c r="E378" i="14"/>
  <c r="D378" i="14"/>
  <c r="M377" i="14"/>
  <c r="E377" i="14"/>
  <c r="D377" i="14"/>
  <c r="M376" i="14"/>
  <c r="E376" i="14"/>
  <c r="D376" i="14"/>
  <c r="M375" i="14"/>
  <c r="E375" i="14"/>
  <c r="D375" i="14"/>
  <c r="M374" i="14"/>
  <c r="E374" i="14"/>
  <c r="D374" i="14"/>
  <c r="M373" i="14"/>
  <c r="E373" i="14"/>
  <c r="D373" i="14"/>
  <c r="M372" i="14"/>
  <c r="E372" i="14"/>
  <c r="D372" i="14"/>
  <c r="M371" i="14"/>
  <c r="E371" i="14"/>
  <c r="D371" i="14"/>
  <c r="M370" i="14"/>
  <c r="E370" i="14"/>
  <c r="D370" i="14"/>
  <c r="M369" i="14"/>
  <c r="E369" i="14"/>
  <c r="D369" i="14"/>
  <c r="M368" i="14"/>
  <c r="E368" i="14"/>
  <c r="D368" i="14"/>
  <c r="M367" i="14"/>
  <c r="E367" i="14"/>
  <c r="D367" i="14"/>
  <c r="M366" i="14"/>
  <c r="E366" i="14"/>
  <c r="D366" i="14"/>
  <c r="M365" i="14"/>
  <c r="E365" i="14"/>
  <c r="D365" i="14"/>
  <c r="M364" i="14"/>
  <c r="E364" i="14"/>
  <c r="D364" i="14"/>
  <c r="M363" i="14"/>
  <c r="E363" i="14"/>
  <c r="D363" i="14"/>
  <c r="M362" i="14"/>
  <c r="E362" i="14"/>
  <c r="D362" i="14"/>
  <c r="M361" i="14"/>
  <c r="E361" i="14"/>
  <c r="D361" i="14"/>
  <c r="M360" i="14"/>
  <c r="E360" i="14"/>
  <c r="D360" i="14"/>
  <c r="M359" i="14"/>
  <c r="E359" i="14"/>
  <c r="D359" i="14"/>
  <c r="M358" i="14"/>
  <c r="E358" i="14"/>
  <c r="D358" i="14"/>
  <c r="M357" i="14"/>
  <c r="E357" i="14"/>
  <c r="D357" i="14"/>
  <c r="M356" i="14"/>
  <c r="E356" i="14"/>
  <c r="D356" i="14"/>
  <c r="M355" i="14"/>
  <c r="E355" i="14"/>
  <c r="D355" i="14"/>
  <c r="M354" i="14"/>
  <c r="E354" i="14"/>
  <c r="D354" i="14"/>
  <c r="M353" i="14"/>
  <c r="E353" i="14"/>
  <c r="D353" i="14"/>
  <c r="M352" i="14"/>
  <c r="E352" i="14"/>
  <c r="D352" i="14"/>
  <c r="M351" i="14"/>
  <c r="E351" i="14"/>
  <c r="D351" i="14"/>
  <c r="M350" i="14"/>
  <c r="E350" i="14"/>
  <c r="D350" i="14"/>
  <c r="M349" i="14"/>
  <c r="E349" i="14"/>
  <c r="D349" i="14"/>
  <c r="M348" i="14"/>
  <c r="E348" i="14"/>
  <c r="D348" i="14"/>
  <c r="M347" i="14"/>
  <c r="E347" i="14"/>
  <c r="D347" i="14"/>
  <c r="M346" i="14"/>
  <c r="C346" i="14"/>
  <c r="M345" i="14"/>
  <c r="E345" i="14"/>
  <c r="D345" i="14"/>
  <c r="M344" i="14"/>
  <c r="E344" i="14"/>
  <c r="D344" i="14"/>
  <c r="M343" i="14"/>
  <c r="E343" i="14"/>
  <c r="D343" i="14"/>
  <c r="M342" i="14"/>
  <c r="E342" i="14"/>
  <c r="D342" i="14"/>
  <c r="M341" i="14"/>
  <c r="E341" i="14"/>
  <c r="D341" i="14"/>
  <c r="M340" i="14"/>
  <c r="E340" i="14"/>
  <c r="D340" i="14"/>
  <c r="M339" i="14"/>
  <c r="E339" i="14"/>
  <c r="D339" i="14"/>
  <c r="M338" i="14"/>
  <c r="E338" i="14"/>
  <c r="D338" i="14"/>
  <c r="M337" i="14"/>
  <c r="E337" i="14"/>
  <c r="D337" i="14"/>
  <c r="M336" i="14"/>
  <c r="E336" i="14"/>
  <c r="D336" i="14"/>
  <c r="M335" i="14"/>
  <c r="E335" i="14"/>
  <c r="D335" i="14"/>
  <c r="M334" i="14"/>
  <c r="E334" i="14"/>
  <c r="D334" i="14"/>
  <c r="M333" i="14"/>
  <c r="E333" i="14"/>
  <c r="D333" i="14"/>
  <c r="M332" i="14"/>
  <c r="E332" i="14"/>
  <c r="D332" i="14"/>
  <c r="M331" i="14"/>
  <c r="E331" i="14"/>
  <c r="D331" i="14"/>
  <c r="M330" i="14"/>
  <c r="E330" i="14"/>
  <c r="D330" i="14"/>
  <c r="M329" i="14"/>
  <c r="E329" i="14"/>
  <c r="D329" i="14"/>
  <c r="M328" i="14"/>
  <c r="E328" i="14"/>
  <c r="D328" i="14"/>
  <c r="M327" i="14"/>
  <c r="E327" i="14"/>
  <c r="D327" i="14"/>
  <c r="M326" i="14"/>
  <c r="E326" i="14"/>
  <c r="D326" i="14"/>
  <c r="M325" i="14"/>
  <c r="E325" i="14"/>
  <c r="D325" i="14"/>
  <c r="M324" i="14"/>
  <c r="E324" i="14"/>
  <c r="D324" i="14"/>
  <c r="M323" i="14"/>
  <c r="E323" i="14"/>
  <c r="D323" i="14"/>
  <c r="M322" i="14"/>
  <c r="E322" i="14"/>
  <c r="D322" i="14"/>
  <c r="M321" i="14"/>
  <c r="E321" i="14"/>
  <c r="D321" i="14"/>
  <c r="M320" i="14"/>
  <c r="E320" i="14"/>
  <c r="D320" i="14"/>
  <c r="M319" i="14"/>
  <c r="E319" i="14"/>
  <c r="D319" i="14"/>
  <c r="M318" i="14"/>
  <c r="E318" i="14"/>
  <c r="D318" i="14"/>
  <c r="M317" i="14"/>
  <c r="E317" i="14"/>
  <c r="D317" i="14"/>
  <c r="M316" i="14"/>
  <c r="E316" i="14"/>
  <c r="D316" i="14"/>
  <c r="M315" i="14"/>
  <c r="E315" i="14"/>
  <c r="D315" i="14"/>
  <c r="M314" i="14"/>
  <c r="E314" i="14"/>
  <c r="D314" i="14"/>
  <c r="M313" i="14"/>
  <c r="E313" i="14"/>
  <c r="D313" i="14"/>
  <c r="M312" i="14"/>
  <c r="E312" i="14"/>
  <c r="D312" i="14"/>
  <c r="M311" i="14"/>
  <c r="E311" i="14"/>
  <c r="D311" i="14"/>
  <c r="M310" i="14"/>
  <c r="E310" i="14"/>
  <c r="D310" i="14"/>
  <c r="M309" i="14"/>
  <c r="E309" i="14"/>
  <c r="D309" i="14"/>
  <c r="M308" i="14"/>
  <c r="E308" i="14"/>
  <c r="D308" i="14"/>
  <c r="M307" i="14"/>
  <c r="E307" i="14"/>
  <c r="D307" i="14"/>
  <c r="M306" i="14"/>
  <c r="E306" i="14"/>
  <c r="D306" i="14"/>
  <c r="M305" i="14"/>
  <c r="E305" i="14"/>
  <c r="D305" i="14"/>
  <c r="M304" i="14"/>
  <c r="E304" i="14"/>
  <c r="D304" i="14"/>
  <c r="M303" i="14"/>
  <c r="E303" i="14"/>
  <c r="D303" i="14"/>
  <c r="M302" i="14"/>
  <c r="E302" i="14"/>
  <c r="D302" i="14"/>
  <c r="M301" i="14"/>
  <c r="E301" i="14"/>
  <c r="D301" i="14"/>
  <c r="M300" i="14"/>
  <c r="E300" i="14"/>
  <c r="D300" i="14"/>
  <c r="L299" i="14"/>
  <c r="M299" i="14" s="1"/>
  <c r="E299" i="14"/>
  <c r="D299" i="14"/>
  <c r="M298" i="14"/>
  <c r="E298" i="14"/>
  <c r="D298" i="14"/>
  <c r="M297" i="14"/>
  <c r="E297" i="14"/>
  <c r="D297" i="14"/>
  <c r="M296" i="14"/>
  <c r="E296" i="14"/>
  <c r="D296" i="14"/>
  <c r="M295" i="14"/>
  <c r="E295" i="14"/>
  <c r="D295" i="14"/>
  <c r="M294" i="14"/>
  <c r="E294" i="14"/>
  <c r="D294" i="14"/>
  <c r="M293" i="14"/>
  <c r="E293" i="14"/>
  <c r="D293" i="14"/>
  <c r="M292" i="14"/>
  <c r="E292" i="14"/>
  <c r="D292" i="14"/>
  <c r="L291" i="14"/>
  <c r="M291" i="14" s="1"/>
  <c r="E291" i="14"/>
  <c r="D291" i="14"/>
  <c r="M290" i="14"/>
  <c r="E290" i="14"/>
  <c r="D290" i="14"/>
  <c r="M289" i="14"/>
  <c r="E289" i="14"/>
  <c r="D289" i="14"/>
  <c r="M288" i="14"/>
  <c r="E288" i="14"/>
  <c r="D288" i="14"/>
  <c r="M287" i="14"/>
  <c r="E287" i="14"/>
  <c r="D287" i="14"/>
  <c r="M286" i="14"/>
  <c r="E286" i="14"/>
  <c r="D286" i="14"/>
  <c r="M285" i="14"/>
  <c r="E285" i="14"/>
  <c r="D285" i="14"/>
  <c r="M284" i="14"/>
  <c r="E284" i="14"/>
  <c r="D284" i="14"/>
  <c r="M283" i="14"/>
  <c r="E283" i="14"/>
  <c r="D283" i="14"/>
  <c r="M282" i="14"/>
  <c r="E282" i="14"/>
  <c r="D282" i="14"/>
  <c r="M281" i="14"/>
  <c r="E281" i="14"/>
  <c r="D281" i="14"/>
  <c r="M280" i="14"/>
  <c r="E280" i="14"/>
  <c r="D280" i="14"/>
  <c r="M279" i="14"/>
  <c r="E279" i="14"/>
  <c r="D279" i="14"/>
  <c r="M278" i="14"/>
  <c r="E278" i="14"/>
  <c r="D278" i="14"/>
  <c r="M277" i="14"/>
  <c r="E277" i="14"/>
  <c r="D277" i="14"/>
  <c r="M276" i="14"/>
  <c r="E276" i="14"/>
  <c r="D276" i="14"/>
  <c r="M275" i="14"/>
  <c r="E275" i="14"/>
  <c r="D275" i="14"/>
  <c r="M274" i="14"/>
  <c r="E274" i="14"/>
  <c r="D274" i="14"/>
  <c r="M273" i="14"/>
  <c r="E273" i="14"/>
  <c r="D273" i="14"/>
  <c r="M272" i="14"/>
  <c r="E272" i="14"/>
  <c r="D272" i="14"/>
  <c r="M271" i="14"/>
  <c r="E271" i="14"/>
  <c r="D271" i="14"/>
  <c r="M270" i="14"/>
  <c r="E270" i="14"/>
  <c r="D270" i="14"/>
  <c r="M269" i="14"/>
  <c r="E269" i="14"/>
  <c r="D269" i="14"/>
  <c r="M268" i="14"/>
  <c r="E268" i="14"/>
  <c r="D268" i="14"/>
  <c r="M267" i="14"/>
  <c r="E267" i="14"/>
  <c r="D267" i="14"/>
  <c r="M266" i="14"/>
  <c r="E266" i="14"/>
  <c r="D266" i="14"/>
  <c r="M265" i="14"/>
  <c r="E265" i="14"/>
  <c r="D265" i="14"/>
  <c r="M264" i="14"/>
  <c r="E264" i="14"/>
  <c r="D264" i="14"/>
  <c r="M263" i="14"/>
  <c r="E263" i="14"/>
  <c r="D263" i="14"/>
  <c r="M262" i="14"/>
  <c r="E262" i="14"/>
  <c r="D262" i="14"/>
  <c r="M261" i="14"/>
  <c r="E261" i="14"/>
  <c r="D261" i="14"/>
  <c r="L260" i="14"/>
  <c r="M260" i="14" s="1"/>
  <c r="E260" i="14"/>
  <c r="D260" i="14"/>
  <c r="M259" i="14"/>
  <c r="E259" i="14"/>
  <c r="D259" i="14"/>
  <c r="M258" i="14"/>
  <c r="E258" i="14"/>
  <c r="D258" i="14"/>
  <c r="M257" i="14"/>
  <c r="E257" i="14"/>
  <c r="D257" i="14"/>
  <c r="M256" i="14"/>
  <c r="E256" i="14"/>
  <c r="D256" i="14"/>
  <c r="M255" i="14"/>
  <c r="E255" i="14"/>
  <c r="D255" i="14"/>
  <c r="M254" i="14"/>
  <c r="E254" i="14"/>
  <c r="D254" i="14"/>
  <c r="M253" i="14"/>
  <c r="E253" i="14"/>
  <c r="D253" i="14"/>
  <c r="M252" i="14"/>
  <c r="E252" i="14"/>
  <c r="D252" i="14"/>
  <c r="M251" i="14"/>
  <c r="E251" i="14"/>
  <c r="D251" i="14"/>
  <c r="M250" i="14"/>
  <c r="E250" i="14"/>
  <c r="D250" i="14"/>
  <c r="M249" i="14"/>
  <c r="E249" i="14"/>
  <c r="D249" i="14"/>
  <c r="M248" i="14"/>
  <c r="E248" i="14"/>
  <c r="D248" i="14"/>
  <c r="M247" i="14"/>
  <c r="E247" i="14"/>
  <c r="D247" i="14"/>
  <c r="M246" i="14"/>
  <c r="E246" i="14"/>
  <c r="D246" i="14"/>
  <c r="M245" i="14"/>
  <c r="E245" i="14"/>
  <c r="D245" i="14"/>
  <c r="M244" i="14"/>
  <c r="E244" i="14"/>
  <c r="D244" i="14"/>
  <c r="M243" i="14"/>
  <c r="E243" i="14"/>
  <c r="D243" i="14"/>
  <c r="M242" i="14"/>
  <c r="E242" i="14"/>
  <c r="D242" i="14"/>
  <c r="M241" i="14"/>
  <c r="E241" i="14"/>
  <c r="D241" i="14"/>
  <c r="M240" i="14"/>
  <c r="E240" i="14"/>
  <c r="D240" i="14"/>
  <c r="M239" i="14"/>
  <c r="E239" i="14"/>
  <c r="D239" i="14"/>
  <c r="L238" i="14"/>
  <c r="M238" i="14" s="1"/>
  <c r="E238" i="14"/>
  <c r="D238" i="14"/>
  <c r="M237" i="14"/>
  <c r="E237" i="14"/>
  <c r="D237" i="14"/>
  <c r="M236" i="14"/>
  <c r="E236" i="14"/>
  <c r="D236" i="14"/>
  <c r="M235" i="14"/>
  <c r="E235" i="14"/>
  <c r="D235" i="14"/>
  <c r="M234" i="14"/>
  <c r="E234" i="14"/>
  <c r="D234" i="14"/>
  <c r="M233" i="14"/>
  <c r="E233" i="14"/>
  <c r="D233" i="14"/>
  <c r="M232" i="14"/>
  <c r="E232" i="14"/>
  <c r="D232" i="14"/>
  <c r="M231" i="14"/>
  <c r="E231" i="14"/>
  <c r="D231" i="14"/>
  <c r="M230" i="14"/>
  <c r="E230" i="14"/>
  <c r="D230" i="14"/>
  <c r="M229" i="14"/>
  <c r="E229" i="14"/>
  <c r="D229" i="14"/>
  <c r="M228" i="14"/>
  <c r="E228" i="14"/>
  <c r="D228" i="14"/>
  <c r="E227" i="14"/>
  <c r="D227" i="14"/>
  <c r="E226" i="14"/>
  <c r="D226" i="14"/>
  <c r="E225" i="14"/>
  <c r="D225" i="14"/>
  <c r="E224" i="14"/>
  <c r="D224" i="14"/>
  <c r="E223" i="14"/>
  <c r="D223" i="14"/>
  <c r="E222" i="14"/>
  <c r="D222" i="14"/>
  <c r="E221" i="14"/>
  <c r="D221" i="14"/>
  <c r="E220" i="14"/>
  <c r="D220" i="14"/>
  <c r="E219" i="14"/>
  <c r="D219" i="14"/>
  <c r="E218" i="14"/>
  <c r="D218" i="14"/>
  <c r="M217" i="14"/>
  <c r="E217" i="14"/>
  <c r="D217" i="14"/>
  <c r="E216" i="14"/>
  <c r="D216" i="14"/>
  <c r="E215" i="14"/>
  <c r="D215" i="14"/>
  <c r="M214" i="14"/>
  <c r="E214" i="14"/>
  <c r="D214" i="14"/>
  <c r="M213" i="14"/>
  <c r="E213" i="14"/>
  <c r="D213" i="14"/>
  <c r="M212" i="14"/>
  <c r="E212" i="14"/>
  <c r="D212" i="14"/>
  <c r="M211" i="14"/>
  <c r="E211" i="14"/>
  <c r="D211" i="14"/>
  <c r="M210" i="14"/>
  <c r="E210" i="14"/>
  <c r="D210" i="14"/>
  <c r="M209" i="14"/>
  <c r="E209" i="14"/>
  <c r="D209" i="14"/>
  <c r="M208" i="14"/>
  <c r="E208" i="14"/>
  <c r="D208" i="14"/>
  <c r="M207" i="14"/>
  <c r="E207" i="14"/>
  <c r="D207" i="14"/>
  <c r="M206" i="14"/>
  <c r="E206" i="14"/>
  <c r="D206" i="14"/>
  <c r="M205" i="14"/>
  <c r="E205" i="14"/>
  <c r="D205" i="14"/>
  <c r="M204" i="14"/>
  <c r="E204" i="14"/>
  <c r="D204" i="14"/>
  <c r="M203" i="14"/>
  <c r="E203" i="14"/>
  <c r="D203" i="14"/>
  <c r="M202" i="14"/>
  <c r="E202" i="14"/>
  <c r="D202" i="14"/>
  <c r="M201" i="14"/>
  <c r="E201" i="14"/>
  <c r="D201" i="14"/>
  <c r="M200" i="14"/>
  <c r="E200" i="14"/>
  <c r="D200" i="14"/>
  <c r="M199" i="14"/>
  <c r="E199" i="14"/>
  <c r="D199" i="14"/>
  <c r="M198" i="14"/>
  <c r="E198" i="14"/>
  <c r="D198" i="14"/>
  <c r="M197" i="14"/>
  <c r="E197" i="14"/>
  <c r="D197" i="14"/>
  <c r="M196" i="14"/>
  <c r="E196" i="14"/>
  <c r="D196" i="14"/>
  <c r="M195" i="14"/>
  <c r="E195" i="14"/>
  <c r="D195" i="14"/>
  <c r="M194" i="14"/>
  <c r="E194" i="14"/>
  <c r="D194" i="14"/>
  <c r="M193" i="14"/>
  <c r="E193" i="14"/>
  <c r="D193" i="14"/>
  <c r="M192" i="14"/>
  <c r="E192" i="14"/>
  <c r="D192" i="14"/>
  <c r="M191" i="14"/>
  <c r="E191" i="14"/>
  <c r="D191" i="14"/>
  <c r="M190" i="14"/>
  <c r="E190" i="14"/>
  <c r="D190" i="14"/>
  <c r="M189" i="14"/>
  <c r="E189" i="14"/>
  <c r="D189" i="14"/>
  <c r="M188" i="14"/>
  <c r="E188" i="14"/>
  <c r="D188" i="14"/>
  <c r="M187" i="14"/>
  <c r="E187" i="14"/>
  <c r="D187" i="14"/>
  <c r="M186" i="14"/>
  <c r="E186" i="14"/>
  <c r="D186" i="14"/>
  <c r="M185" i="14"/>
  <c r="E185" i="14"/>
  <c r="D185" i="14"/>
  <c r="M184" i="14"/>
  <c r="E184" i="14"/>
  <c r="D184" i="14"/>
  <c r="M183" i="14"/>
  <c r="E183" i="14"/>
  <c r="D183" i="14"/>
  <c r="M182" i="14"/>
  <c r="E182" i="14"/>
  <c r="D182" i="14"/>
  <c r="M181" i="14"/>
  <c r="E181" i="14"/>
  <c r="D181" i="14"/>
  <c r="M180" i="14"/>
  <c r="E180" i="14"/>
  <c r="D180" i="14"/>
  <c r="M179" i="14"/>
  <c r="E179" i="14"/>
  <c r="D179" i="14"/>
  <c r="M178" i="14"/>
  <c r="E178" i="14"/>
  <c r="D178" i="14"/>
  <c r="M177" i="14"/>
  <c r="E177" i="14"/>
  <c r="D177" i="14"/>
  <c r="M176" i="14"/>
  <c r="E176" i="14"/>
  <c r="D176" i="14"/>
  <c r="M175" i="14"/>
  <c r="E175" i="14"/>
  <c r="D175" i="14"/>
  <c r="M174" i="14"/>
  <c r="E174" i="14"/>
  <c r="D174" i="14"/>
  <c r="M173" i="14"/>
  <c r="E173" i="14"/>
  <c r="D173" i="14"/>
  <c r="M172" i="14"/>
  <c r="E172" i="14"/>
  <c r="D172" i="14"/>
  <c r="M171" i="14"/>
  <c r="E171" i="14"/>
  <c r="D171" i="14"/>
  <c r="M170" i="14"/>
  <c r="E170" i="14"/>
  <c r="D170" i="14"/>
  <c r="M169" i="14"/>
  <c r="E169" i="14"/>
  <c r="M168" i="14"/>
  <c r="E168" i="14"/>
  <c r="M167" i="14"/>
  <c r="E167" i="14"/>
  <c r="M166" i="14"/>
  <c r="E166" i="14"/>
  <c r="M165" i="14"/>
  <c r="E165" i="14"/>
  <c r="M164" i="14"/>
  <c r="E164" i="14"/>
  <c r="M163" i="14"/>
  <c r="E163" i="14"/>
  <c r="M162" i="14"/>
  <c r="E162" i="14"/>
  <c r="M161" i="14"/>
  <c r="E161" i="14"/>
  <c r="M160" i="14"/>
  <c r="E160" i="14"/>
  <c r="M159" i="14"/>
  <c r="E159" i="14"/>
  <c r="M158" i="14"/>
  <c r="E158" i="14"/>
  <c r="M157" i="14"/>
  <c r="E157" i="14"/>
  <c r="M156" i="14"/>
  <c r="E156" i="14"/>
  <c r="M155" i="14"/>
  <c r="E155" i="14"/>
  <c r="M154" i="14"/>
  <c r="E154" i="14"/>
  <c r="M153" i="14"/>
  <c r="E153" i="14"/>
  <c r="M152" i="14"/>
  <c r="E152" i="14"/>
  <c r="M151" i="14"/>
  <c r="E151" i="14"/>
  <c r="M150" i="14"/>
  <c r="E150" i="14"/>
  <c r="M149" i="14"/>
  <c r="E149" i="14"/>
  <c r="M148" i="14"/>
  <c r="E148" i="14"/>
  <c r="M147" i="14"/>
  <c r="E147" i="14"/>
  <c r="M146" i="14"/>
  <c r="E146" i="14"/>
  <c r="M145" i="14"/>
  <c r="E145" i="14"/>
  <c r="M144" i="14"/>
  <c r="E144" i="14"/>
  <c r="M143" i="14"/>
  <c r="E143" i="14"/>
  <c r="M142" i="14"/>
  <c r="E142" i="14"/>
  <c r="M141" i="14"/>
  <c r="E141" i="14"/>
  <c r="M140" i="14"/>
  <c r="E140" i="14"/>
  <c r="M139" i="14"/>
  <c r="E139" i="14"/>
  <c r="M138" i="14"/>
  <c r="E138" i="14"/>
  <c r="M137" i="14"/>
  <c r="E137" i="14"/>
  <c r="M136" i="14"/>
  <c r="E136" i="14"/>
  <c r="M135" i="14"/>
  <c r="E135" i="14"/>
  <c r="M134" i="14"/>
  <c r="E134" i="14"/>
  <c r="M133" i="14"/>
  <c r="E133" i="14"/>
  <c r="M132" i="14"/>
  <c r="E132" i="14"/>
  <c r="M131" i="14"/>
  <c r="E131" i="14"/>
  <c r="M130" i="14"/>
  <c r="E130" i="14"/>
  <c r="M129" i="14"/>
  <c r="E129" i="14"/>
  <c r="M128" i="14"/>
  <c r="E128" i="14"/>
  <c r="M127" i="14"/>
  <c r="E127" i="14"/>
  <c r="M126" i="14"/>
  <c r="E126" i="14"/>
  <c r="M125" i="14"/>
  <c r="E125" i="14"/>
  <c r="M124" i="14"/>
  <c r="E124" i="14"/>
  <c r="M123" i="14"/>
  <c r="E123" i="14"/>
  <c r="M122" i="14"/>
  <c r="E122" i="14"/>
  <c r="M121" i="14"/>
  <c r="E121" i="14"/>
  <c r="M120" i="14"/>
  <c r="E120" i="14"/>
  <c r="M119" i="14"/>
  <c r="E119" i="14"/>
  <c r="M118" i="14"/>
  <c r="E118" i="14"/>
  <c r="M117" i="14"/>
  <c r="E117" i="14"/>
  <c r="M116" i="14"/>
  <c r="E116" i="14"/>
  <c r="M115" i="14"/>
  <c r="E115" i="14"/>
  <c r="M114" i="14"/>
  <c r="E114" i="14"/>
  <c r="M113" i="14"/>
  <c r="E113" i="14"/>
  <c r="M112" i="14"/>
  <c r="E112" i="14"/>
  <c r="M111" i="14"/>
  <c r="E111" i="14"/>
  <c r="M110" i="14"/>
  <c r="E110" i="14"/>
  <c r="M109" i="14"/>
  <c r="E109" i="14"/>
  <c r="M108" i="14"/>
  <c r="E108" i="14"/>
  <c r="M107" i="14"/>
  <c r="E107" i="14"/>
  <c r="M106" i="14"/>
  <c r="E106" i="14"/>
  <c r="M105" i="14"/>
  <c r="E105" i="14"/>
  <c r="M104" i="14"/>
  <c r="E104" i="14"/>
  <c r="M103" i="14"/>
  <c r="E103" i="14"/>
  <c r="M102" i="14"/>
  <c r="E102" i="14"/>
  <c r="M101" i="14"/>
  <c r="E101" i="14"/>
  <c r="D101" i="14"/>
  <c r="M100" i="14"/>
  <c r="E100" i="14"/>
  <c r="D100" i="14"/>
  <c r="M99" i="14"/>
  <c r="E99" i="14"/>
  <c r="D99" i="14"/>
  <c r="M98" i="14"/>
  <c r="E98" i="14"/>
  <c r="D98" i="14"/>
  <c r="M97" i="14"/>
  <c r="E97" i="14"/>
  <c r="D97" i="14"/>
  <c r="M96" i="14"/>
  <c r="E96" i="14"/>
  <c r="D96" i="14"/>
  <c r="M95" i="14"/>
  <c r="E95" i="14"/>
  <c r="D95" i="14"/>
  <c r="M94" i="14"/>
  <c r="E94" i="14"/>
  <c r="D94" i="14"/>
  <c r="M93" i="14"/>
  <c r="E93" i="14"/>
  <c r="D93" i="14"/>
  <c r="M92" i="14"/>
  <c r="E92" i="14"/>
  <c r="D92" i="14"/>
  <c r="M91" i="14"/>
  <c r="E91" i="14"/>
  <c r="D91" i="14"/>
  <c r="M90" i="14"/>
  <c r="E90" i="14"/>
  <c r="D90" i="14"/>
  <c r="M89" i="14"/>
  <c r="E89" i="14"/>
  <c r="D89" i="14"/>
  <c r="M88" i="14"/>
  <c r="E88" i="14"/>
  <c r="D88" i="14"/>
  <c r="M87" i="14"/>
  <c r="E87" i="14"/>
  <c r="D87" i="14"/>
  <c r="M86" i="14"/>
  <c r="E86" i="14"/>
  <c r="D86" i="14"/>
  <c r="M85" i="14"/>
  <c r="E85" i="14"/>
  <c r="D85" i="14"/>
  <c r="M84" i="14"/>
  <c r="E84" i="14"/>
  <c r="D84" i="14"/>
  <c r="M83" i="14"/>
  <c r="E83" i="14"/>
  <c r="D83" i="14"/>
  <c r="M82" i="14"/>
  <c r="E82" i="14"/>
  <c r="D82" i="14"/>
  <c r="M81" i="14"/>
  <c r="E81" i="14"/>
  <c r="D81" i="14"/>
  <c r="M80" i="14"/>
  <c r="E80" i="14"/>
  <c r="D80" i="14"/>
  <c r="M79" i="14"/>
  <c r="E79" i="14"/>
  <c r="D79" i="14"/>
  <c r="M78" i="14"/>
  <c r="E78" i="14"/>
  <c r="D78" i="14"/>
  <c r="M77" i="14"/>
  <c r="E77" i="14"/>
  <c r="D77" i="14"/>
  <c r="M76" i="14"/>
  <c r="E76" i="14"/>
  <c r="D76" i="14"/>
  <c r="M75" i="14"/>
  <c r="E75" i="14"/>
  <c r="D75" i="14"/>
  <c r="M74" i="14"/>
  <c r="E74" i="14"/>
  <c r="D74" i="14"/>
  <c r="M73" i="14"/>
  <c r="E73" i="14"/>
  <c r="D73" i="14"/>
  <c r="M72" i="14"/>
  <c r="E72" i="14"/>
  <c r="D72" i="14"/>
  <c r="M71" i="14"/>
  <c r="E71" i="14"/>
  <c r="D71" i="14"/>
  <c r="M70" i="14"/>
  <c r="E70" i="14"/>
  <c r="D70" i="14"/>
  <c r="M69" i="14"/>
  <c r="E69" i="14"/>
  <c r="D69" i="14"/>
  <c r="M68" i="14"/>
  <c r="E68" i="14"/>
  <c r="D68" i="14"/>
  <c r="M67" i="14"/>
  <c r="E67" i="14"/>
  <c r="D67" i="14"/>
  <c r="M66" i="14"/>
  <c r="E66" i="14"/>
  <c r="D66" i="14"/>
  <c r="M65" i="14"/>
  <c r="E65" i="14"/>
  <c r="D65" i="14"/>
  <c r="M64" i="14"/>
  <c r="E64" i="14"/>
  <c r="D64" i="14"/>
  <c r="M63" i="14"/>
  <c r="E63" i="14"/>
  <c r="D63" i="14"/>
  <c r="M62" i="14"/>
  <c r="E62" i="14"/>
  <c r="D62" i="14"/>
  <c r="M61" i="14"/>
  <c r="E61" i="14"/>
  <c r="D61" i="14"/>
  <c r="M60" i="14"/>
  <c r="E60" i="14"/>
  <c r="D60" i="14"/>
  <c r="M59" i="14"/>
  <c r="E59" i="14"/>
  <c r="D59" i="14"/>
  <c r="M58" i="14"/>
  <c r="E58" i="14"/>
  <c r="D58" i="14"/>
  <c r="M57" i="14"/>
  <c r="E57" i="14"/>
  <c r="D57" i="14"/>
  <c r="M56" i="14"/>
  <c r="E56" i="14"/>
  <c r="D56" i="14"/>
  <c r="M55" i="14"/>
  <c r="E55" i="14"/>
  <c r="D55" i="14"/>
  <c r="M54" i="14"/>
  <c r="E54" i="14"/>
  <c r="D54" i="14"/>
  <c r="M53" i="14"/>
  <c r="E53" i="14"/>
  <c r="D53" i="14"/>
  <c r="M52" i="14"/>
  <c r="E52" i="14"/>
  <c r="D52" i="14"/>
  <c r="M51" i="14"/>
  <c r="E51" i="14"/>
  <c r="D51" i="14"/>
  <c r="M50" i="14"/>
  <c r="E50" i="14"/>
  <c r="D50" i="14"/>
  <c r="M49" i="14"/>
  <c r="E49" i="14"/>
  <c r="D49" i="14"/>
  <c r="M48" i="14"/>
  <c r="E48" i="14"/>
  <c r="D48" i="14"/>
  <c r="M47" i="14"/>
  <c r="E47" i="14"/>
  <c r="D47" i="14"/>
  <c r="M46" i="14"/>
  <c r="E46" i="14"/>
  <c r="D46" i="14"/>
  <c r="M45" i="14"/>
  <c r="E45" i="14"/>
  <c r="D45" i="14"/>
  <c r="M44" i="14"/>
  <c r="E44" i="14"/>
  <c r="D44" i="14"/>
  <c r="M43" i="14"/>
  <c r="E43" i="14"/>
  <c r="D43" i="14"/>
  <c r="M42" i="14"/>
  <c r="E42" i="14"/>
  <c r="D42" i="14"/>
  <c r="M41" i="14"/>
  <c r="E41" i="14"/>
  <c r="D41" i="14"/>
  <c r="M40" i="14"/>
  <c r="E40" i="14"/>
  <c r="D40" i="14"/>
  <c r="M39" i="14"/>
  <c r="E39" i="14"/>
  <c r="D39" i="14"/>
  <c r="M38" i="14"/>
  <c r="E38" i="14"/>
  <c r="D38" i="14"/>
  <c r="M37" i="14"/>
  <c r="E37" i="14"/>
  <c r="D37" i="14"/>
  <c r="M36" i="14"/>
  <c r="E36" i="14"/>
  <c r="D36" i="14"/>
  <c r="M35" i="14"/>
  <c r="E35" i="14"/>
  <c r="D35" i="14"/>
  <c r="M34" i="14"/>
  <c r="E34" i="14"/>
  <c r="D34" i="14"/>
  <c r="M33" i="14"/>
  <c r="E33" i="14"/>
  <c r="D33" i="14"/>
  <c r="M32" i="14"/>
  <c r="E32" i="14"/>
  <c r="D32" i="14"/>
  <c r="M31" i="14"/>
  <c r="E31" i="14"/>
  <c r="D31" i="14"/>
  <c r="M30" i="14"/>
  <c r="E30" i="14"/>
  <c r="D30" i="14"/>
  <c r="M29" i="14"/>
  <c r="E29" i="14"/>
  <c r="D29" i="14"/>
  <c r="M28" i="14"/>
  <c r="E28" i="14"/>
  <c r="D28" i="14"/>
  <c r="M27" i="14"/>
  <c r="E27" i="14"/>
  <c r="D27" i="14"/>
  <c r="M26" i="14"/>
  <c r="E26" i="14"/>
  <c r="D26" i="14"/>
  <c r="M25" i="14"/>
  <c r="E25" i="14"/>
  <c r="D25" i="14"/>
  <c r="M24" i="14"/>
  <c r="E24" i="14"/>
  <c r="D24" i="14"/>
  <c r="M23" i="14"/>
  <c r="E23" i="14"/>
  <c r="D23" i="14"/>
  <c r="M22" i="14"/>
  <c r="E22" i="14"/>
  <c r="D22" i="14"/>
  <c r="M21" i="14"/>
  <c r="E21" i="14"/>
  <c r="D21" i="14"/>
  <c r="M20" i="14"/>
  <c r="E20" i="14"/>
  <c r="D20" i="14"/>
  <c r="M19" i="14"/>
  <c r="E19" i="14"/>
  <c r="D19" i="14"/>
  <c r="M18" i="14"/>
  <c r="E18" i="14"/>
  <c r="D18" i="14"/>
  <c r="M17" i="14"/>
  <c r="E17" i="14"/>
  <c r="D17" i="14"/>
  <c r="M16" i="14"/>
  <c r="E16" i="14"/>
  <c r="D16" i="14"/>
  <c r="M15" i="14"/>
  <c r="E15" i="14"/>
  <c r="D15" i="14"/>
  <c r="M14" i="14"/>
  <c r="E14" i="14"/>
  <c r="D14" i="14"/>
  <c r="M13" i="14"/>
  <c r="E13" i="14"/>
  <c r="D13" i="14"/>
  <c r="M12" i="14"/>
  <c r="E12" i="14"/>
  <c r="D12" i="14"/>
  <c r="M11" i="14"/>
  <c r="E11" i="14"/>
  <c r="D11" i="14"/>
  <c r="M10" i="14"/>
  <c r="E10" i="14"/>
  <c r="D10" i="14"/>
  <c r="M9" i="14"/>
  <c r="E9" i="14"/>
  <c r="D9" i="14"/>
  <c r="M8" i="14"/>
  <c r="E8" i="14"/>
  <c r="D8" i="14"/>
  <c r="M7" i="14"/>
  <c r="D7" i="14"/>
  <c r="M6" i="14"/>
  <c r="D6" i="14"/>
  <c r="D5" i="14"/>
  <c r="D22" i="1"/>
  <c r="I11" i="1"/>
  <c r="E11" i="1"/>
  <c r="E6" i="1" s="1"/>
  <c r="H6" i="1"/>
  <c r="H5" i="1"/>
  <c r="H3" i="1"/>
  <c r="F14" i="11"/>
  <c r="J13" i="11"/>
  <c r="D13" i="11"/>
  <c r="D11" i="11" s="1"/>
  <c r="F10" i="11" s="1"/>
  <c r="J9" i="11"/>
  <c r="D4" i="11"/>
  <c r="F4" i="11" s="1"/>
  <c r="O11" i="9"/>
  <c r="O10" i="9"/>
  <c r="O9" i="9"/>
  <c r="O8" i="9"/>
  <c r="D8" i="9"/>
  <c r="D9" i="9" s="1"/>
  <c r="C14" i="9" s="1"/>
  <c r="O7" i="9"/>
  <c r="O6" i="9"/>
  <c r="D3" i="9"/>
  <c r="E23" i="8" s="1"/>
  <c r="O11" i="10"/>
  <c r="O10" i="10"/>
  <c r="O9" i="10"/>
  <c r="O8" i="10"/>
  <c r="D8" i="10"/>
  <c r="D9" i="10" s="1"/>
  <c r="C14" i="10" s="1"/>
  <c r="O7" i="10"/>
  <c r="O6" i="10"/>
  <c r="D3" i="10"/>
  <c r="E22" i="8" s="1"/>
  <c r="D7" i="9" l="1"/>
  <c r="M3" i="53"/>
  <c r="D7" i="10"/>
  <c r="E14" i="10" s="1"/>
  <c r="K15" i="33"/>
  <c r="G4" i="9"/>
  <c r="E24" i="8"/>
  <c r="B3" i="35"/>
  <c r="K43" i="32"/>
  <c r="K40" i="32"/>
  <c r="K21" i="33"/>
  <c r="K24" i="33" s="1"/>
  <c r="E6" i="3"/>
  <c r="G13" i="9"/>
  <c r="F2" i="7"/>
  <c r="F4" i="7"/>
  <c r="M2" i="53"/>
  <c r="N43" i="25"/>
  <c r="N40" i="25"/>
  <c r="N42" i="25"/>
  <c r="K44" i="25"/>
  <c r="N44" i="25"/>
  <c r="N41" i="25"/>
  <c r="K10" i="54"/>
  <c r="L10" i="54"/>
  <c r="M8" i="53"/>
  <c r="M6" i="53"/>
  <c r="M4" i="53"/>
  <c r="H12" i="53"/>
  <c r="I55" i="53"/>
  <c r="J55" i="53" s="1"/>
  <c r="M7" i="53" s="1"/>
  <c r="K14" i="41"/>
  <c r="K15" i="41" s="1"/>
  <c r="K16" i="41" s="1"/>
  <c r="K17" i="41" s="1"/>
  <c r="K18" i="41" s="1"/>
  <c r="K19" i="41" s="1"/>
  <c r="K20" i="41" s="1"/>
  <c r="K21" i="41" s="1"/>
  <c r="K22" i="41" s="1"/>
  <c r="K23" i="41" s="1"/>
  <c r="K24" i="41" s="1"/>
  <c r="K25" i="41" s="1"/>
  <c r="K26" i="41" s="1"/>
  <c r="K27" i="41" s="1"/>
  <c r="K28" i="41" s="1"/>
  <c r="K29" i="41" s="1"/>
  <c r="K30" i="41" s="1"/>
  <c r="K31" i="41" s="1"/>
  <c r="K32" i="41" s="1"/>
  <c r="K33" i="41" s="1"/>
  <c r="K34" i="41" s="1"/>
  <c r="K35" i="41" s="1"/>
  <c r="K36" i="41" s="1"/>
  <c r="K37" i="41" s="1"/>
  <c r="K38" i="41" s="1"/>
  <c r="K39" i="41" s="1"/>
  <c r="K40" i="41" s="1"/>
  <c r="K41" i="41" s="1"/>
  <c r="K42" i="41" s="1"/>
  <c r="K43" i="41" s="1"/>
  <c r="K44" i="41" s="1"/>
  <c r="K45" i="41" s="1"/>
  <c r="K46" i="41" s="1"/>
  <c r="K47" i="41" s="1"/>
  <c r="K48" i="41" s="1"/>
  <c r="K49" i="41" s="1"/>
  <c r="K50" i="41" s="1"/>
  <c r="K51" i="41" s="1"/>
  <c r="K52" i="41" s="1"/>
  <c r="K53" i="41" s="1"/>
  <c r="E4" i="1"/>
  <c r="F6" i="1"/>
  <c r="G4" i="10"/>
  <c r="C21" i="33"/>
  <c r="C24" i="33" s="1"/>
  <c r="C23" i="33" s="1"/>
  <c r="I21" i="33"/>
  <c r="I24" i="33" s="1"/>
  <c r="G3" i="4"/>
  <c r="K32" i="3" s="1"/>
  <c r="E21" i="33"/>
  <c r="G14" i="8"/>
  <c r="I14" i="8"/>
  <c r="G13" i="10"/>
  <c r="D21" i="33"/>
  <c r="D24" i="33" s="1"/>
  <c r="F3" i="7"/>
  <c r="D432" i="14"/>
  <c r="D433" i="14"/>
  <c r="E385" i="14"/>
  <c r="E401" i="14"/>
  <c r="D435" i="14"/>
  <c r="D346" i="14"/>
  <c r="E382" i="14"/>
  <c r="E389" i="14"/>
  <c r="E391" i="14"/>
  <c r="E396" i="14"/>
  <c r="E398" i="14"/>
  <c r="D434" i="14"/>
  <c r="D439" i="14"/>
  <c r="D441" i="14"/>
  <c r="E387" i="14"/>
  <c r="E392" i="14"/>
  <c r="E394" i="14"/>
  <c r="D437" i="14"/>
  <c r="E346" i="14"/>
  <c r="E384" i="14"/>
  <c r="E386" i="14"/>
  <c r="D391" i="14"/>
  <c r="E393" i="14"/>
  <c r="E395" i="14"/>
  <c r="E400" i="14"/>
  <c r="D423" i="14"/>
  <c r="D424" i="14"/>
  <c r="D425" i="14"/>
  <c r="D426" i="14"/>
  <c r="D427" i="14"/>
  <c r="D428" i="14"/>
  <c r="D429" i="14"/>
  <c r="D430" i="14"/>
  <c r="D431" i="14"/>
  <c r="D436" i="14"/>
  <c r="D438" i="14"/>
  <c r="E383" i="14"/>
  <c r="E388" i="14"/>
  <c r="E390" i="14"/>
  <c r="E397" i="14"/>
  <c r="E399" i="14"/>
  <c r="E423" i="14"/>
  <c r="E424" i="14"/>
  <c r="E425" i="14"/>
  <c r="E426" i="14"/>
  <c r="E427" i="14"/>
  <c r="E428" i="14"/>
  <c r="E429" i="14"/>
  <c r="E430" i="14"/>
  <c r="E438" i="14"/>
  <c r="D440" i="14"/>
  <c r="D442" i="14"/>
  <c r="C536" i="14"/>
  <c r="D382" i="14"/>
  <c r="D386" i="14"/>
  <c r="D390" i="14"/>
  <c r="D394" i="14"/>
  <c r="D398" i="14"/>
  <c r="E437" i="14"/>
  <c r="E441" i="14"/>
  <c r="D385" i="14"/>
  <c r="D389" i="14"/>
  <c r="D393" i="14"/>
  <c r="D397" i="14"/>
  <c r="D401" i="14"/>
  <c r="E436" i="14"/>
  <c r="E440" i="14"/>
  <c r="D384" i="14"/>
  <c r="D388" i="14"/>
  <c r="D392" i="14"/>
  <c r="D396" i="14"/>
  <c r="D400" i="14"/>
  <c r="E435" i="14"/>
  <c r="E439" i="14"/>
  <c r="J41" i="32"/>
  <c r="E62" i="32" s="1"/>
  <c r="J42" i="32"/>
  <c r="I42" i="32" s="1"/>
  <c r="C15" i="10"/>
  <c r="D14" i="10"/>
  <c r="E14" i="9"/>
  <c r="C15" i="9"/>
  <c r="D14" i="9"/>
  <c r="J15" i="11"/>
  <c r="J11" i="1"/>
  <c r="F4" i="1"/>
  <c r="Y11" i="14"/>
  <c r="Y7" i="14"/>
  <c r="Y9" i="14"/>
  <c r="Y12" i="14"/>
  <c r="Y10" i="14"/>
  <c r="Y8" i="14"/>
  <c r="F18" i="11"/>
  <c r="G14" i="11" s="1"/>
  <c r="Y6" i="14"/>
  <c r="X12" i="14"/>
  <c r="X8" i="14"/>
  <c r="X10" i="14"/>
  <c r="X6" i="14"/>
  <c r="X7" i="14"/>
  <c r="X9" i="14"/>
  <c r="X11" i="14"/>
  <c r="I22" i="33"/>
  <c r="I23" i="33"/>
  <c r="E449" i="14"/>
  <c r="D449" i="14"/>
  <c r="A5" i="35"/>
  <c r="C4" i="35"/>
  <c r="B4" i="35"/>
  <c r="E29" i="33"/>
  <c r="E24" i="33"/>
  <c r="J23" i="33"/>
  <c r="J22" i="33"/>
  <c r="D23" i="33"/>
  <c r="D22" i="33"/>
  <c r="K23" i="33"/>
  <c r="K22" i="33"/>
  <c r="J40" i="32"/>
  <c r="E59" i="32" s="1"/>
  <c r="E535" i="14"/>
  <c r="C3" i="35"/>
  <c r="J43" i="32"/>
  <c r="H43" i="32" s="1"/>
  <c r="N47" i="25" l="1"/>
  <c r="M47" i="25" s="1"/>
  <c r="M44" i="25"/>
  <c r="L44" i="25"/>
  <c r="P42" i="25"/>
  <c r="O42" i="25"/>
  <c r="L42" i="25"/>
  <c r="M42" i="25"/>
  <c r="P40" i="25"/>
  <c r="O40" i="25"/>
  <c r="M40" i="25"/>
  <c r="L40" i="25"/>
  <c r="O41" i="25"/>
  <c r="P41" i="25"/>
  <c r="M41" i="25"/>
  <c r="L41" i="25"/>
  <c r="P44" i="25"/>
  <c r="O44" i="25"/>
  <c r="O43" i="25"/>
  <c r="P43" i="25"/>
  <c r="M43" i="25"/>
  <c r="L43" i="25"/>
  <c r="M9" i="53"/>
  <c r="F14" i="10"/>
  <c r="G14" i="10" s="1"/>
  <c r="E15" i="10" s="1"/>
  <c r="C22" i="33"/>
  <c r="G19" i="1"/>
  <c r="G21" i="1" s="1"/>
  <c r="K11" i="1"/>
  <c r="I15" i="1" s="1"/>
  <c r="E5" i="1"/>
  <c r="G3" i="1"/>
  <c r="G4" i="1" s="1"/>
  <c r="I41" i="32"/>
  <c r="D536" i="14"/>
  <c r="E536" i="14"/>
  <c r="C537" i="14"/>
  <c r="D537" i="14" s="1"/>
  <c r="Z8" i="14"/>
  <c r="I43" i="32"/>
  <c r="E63" i="32"/>
  <c r="H42" i="32"/>
  <c r="H41" i="32"/>
  <c r="E64" i="32"/>
  <c r="H40" i="32"/>
  <c r="E67" i="32"/>
  <c r="G4" i="11"/>
  <c r="Z9" i="14"/>
  <c r="G10" i="11"/>
  <c r="C16" i="10"/>
  <c r="D15" i="10"/>
  <c r="Z7" i="14"/>
  <c r="C16" i="9"/>
  <c r="D15" i="9"/>
  <c r="C22" i="8"/>
  <c r="Z6" i="14"/>
  <c r="Z10" i="14"/>
  <c r="Z11" i="14"/>
  <c r="C23" i="8"/>
  <c r="D23" i="8" s="1"/>
  <c r="I40" i="32"/>
  <c r="E61" i="32"/>
  <c r="E66" i="32"/>
  <c r="E22" i="33"/>
  <c r="E23" i="33"/>
  <c r="B5" i="35"/>
  <c r="A6" i="35"/>
  <c r="C5" i="35"/>
  <c r="E60" i="32"/>
  <c r="E65" i="32"/>
  <c r="E68" i="32"/>
  <c r="Z12" i="14"/>
  <c r="F14" i="9"/>
  <c r="G14" i="9" s="1"/>
  <c r="B22" i="8"/>
  <c r="B24" i="8" s="1"/>
  <c r="L47" i="25" l="1"/>
  <c r="O47" i="25"/>
  <c r="P47" i="25"/>
  <c r="D28" i="1"/>
  <c r="D30" i="1" s="1"/>
  <c r="F5" i="1"/>
  <c r="F15" i="10"/>
  <c r="G15" i="10" s="1"/>
  <c r="G6" i="1"/>
  <c r="G5" i="1"/>
  <c r="E537" i="14"/>
  <c r="C538" i="14"/>
  <c r="E538" i="14" s="1"/>
  <c r="C24" i="8"/>
  <c r="D24" i="8" s="1"/>
  <c r="D22" i="8"/>
  <c r="C17" i="9"/>
  <c r="D16" i="9"/>
  <c r="E72" i="32"/>
  <c r="E74" i="32" s="1"/>
  <c r="C6" i="35"/>
  <c r="B6" i="35"/>
  <c r="A7" i="35"/>
  <c r="E15" i="9"/>
  <c r="C17" i="10"/>
  <c r="E16" i="10"/>
  <c r="D16" i="10"/>
  <c r="G18" i="11"/>
  <c r="D538" i="14" l="1"/>
  <c r="F16" i="10"/>
  <c r="G16" i="10" s="1"/>
  <c r="E17" i="10" s="1"/>
  <c r="C539" i="14"/>
  <c r="D539" i="14" s="1"/>
  <c r="D17" i="10"/>
  <c r="C18" i="10"/>
  <c r="C18" i="9"/>
  <c r="D17" i="9"/>
  <c r="F15" i="9"/>
  <c r="G15" i="9" s="1"/>
  <c r="A8" i="35"/>
  <c r="C7" i="35"/>
  <c r="B7" i="35"/>
  <c r="F17" i="10" l="1"/>
  <c r="G17" i="10" s="1"/>
  <c r="E539" i="14"/>
  <c r="C540" i="14"/>
  <c r="C541" i="14" s="1"/>
  <c r="C19" i="9"/>
  <c r="D18" i="9"/>
  <c r="E18" i="10"/>
  <c r="C19" i="10"/>
  <c r="D18" i="10"/>
  <c r="A9" i="35"/>
  <c r="C8" i="35"/>
  <c r="B8" i="35"/>
  <c r="E16" i="9"/>
  <c r="D540" i="14" l="1"/>
  <c r="E540" i="14"/>
  <c r="C542" i="14"/>
  <c r="E541" i="14"/>
  <c r="D541" i="14"/>
  <c r="C20" i="10"/>
  <c r="D19" i="10"/>
  <c r="F16" i="9"/>
  <c r="G16" i="9" s="1"/>
  <c r="B9" i="35"/>
  <c r="A10" i="35"/>
  <c r="C9" i="35"/>
  <c r="C20" i="9"/>
  <c r="D19" i="9"/>
  <c r="F18" i="10"/>
  <c r="G18" i="10" s="1"/>
  <c r="E19" i="10" s="1"/>
  <c r="F19" i="10" l="1"/>
  <c r="G19" i="10"/>
  <c r="E17" i="9"/>
  <c r="D542" i="14"/>
  <c r="C543" i="14"/>
  <c r="E542" i="14"/>
  <c r="C10" i="35"/>
  <c r="B10" i="35"/>
  <c r="A11" i="35"/>
  <c r="D20" i="10"/>
  <c r="C21" i="10"/>
  <c r="E20" i="10"/>
  <c r="D20" i="9"/>
  <c r="C21" i="9"/>
  <c r="F20" i="10" l="1"/>
  <c r="G20" i="10" s="1"/>
  <c r="F17" i="9"/>
  <c r="G17" i="9" s="1"/>
  <c r="D21" i="9"/>
  <c r="C22" i="9"/>
  <c r="E21" i="10"/>
  <c r="C22" i="10"/>
  <c r="D21" i="10"/>
  <c r="A12" i="35"/>
  <c r="C11" i="35"/>
  <c r="B11" i="35"/>
  <c r="E543" i="14"/>
  <c r="D543" i="14"/>
  <c r="C544" i="14"/>
  <c r="F21" i="10" l="1"/>
  <c r="G21" i="10" s="1"/>
  <c r="E22" i="10" s="1"/>
  <c r="C23" i="10"/>
  <c r="D22" i="10"/>
  <c r="C23" i="9"/>
  <c r="D22" i="9"/>
  <c r="C545" i="14"/>
  <c r="E544" i="14"/>
  <c r="D544" i="14"/>
  <c r="A13" i="35"/>
  <c r="C12" i="35"/>
  <c r="B12" i="35"/>
  <c r="E18" i="9"/>
  <c r="F22" i="10" l="1"/>
  <c r="G22" i="10" s="1"/>
  <c r="C546" i="14"/>
  <c r="E545" i="14"/>
  <c r="D545" i="14"/>
  <c r="C24" i="9"/>
  <c r="D23" i="9"/>
  <c r="C24" i="10"/>
  <c r="D23" i="10"/>
  <c r="F23" i="10" s="1"/>
  <c r="G23" i="10" s="1"/>
  <c r="E23" i="10"/>
  <c r="B13" i="35"/>
  <c r="A14" i="35"/>
  <c r="C13" i="35"/>
  <c r="F18" i="9"/>
  <c r="G18" i="9" s="1"/>
  <c r="C25" i="9" l="1"/>
  <c r="D24" i="9"/>
  <c r="C14" i="35"/>
  <c r="B14" i="35"/>
  <c r="A15" i="35"/>
  <c r="E19" i="9"/>
  <c r="F19" i="9" s="1"/>
  <c r="G19" i="9"/>
  <c r="C25" i="10"/>
  <c r="E24" i="10"/>
  <c r="D24" i="10"/>
  <c r="F24" i="10" s="1"/>
  <c r="G24" i="10" s="1"/>
  <c r="E546" i="14"/>
  <c r="C547" i="14"/>
  <c r="D546" i="14"/>
  <c r="A16" i="35" l="1"/>
  <c r="C15" i="35"/>
  <c r="B15" i="35"/>
  <c r="E20" i="9"/>
  <c r="F20" i="9" s="1"/>
  <c r="G20" i="9" s="1"/>
  <c r="C26" i="9"/>
  <c r="D25" i="9"/>
  <c r="C548" i="14"/>
  <c r="D547" i="14"/>
  <c r="E547" i="14"/>
  <c r="E25" i="10"/>
  <c r="C26" i="10"/>
  <c r="D25" i="10"/>
  <c r="F25" i="10" l="1"/>
  <c r="G25" i="10" s="1"/>
  <c r="E21" i="9"/>
  <c r="F21" i="9" s="1"/>
  <c r="G21" i="9" s="1"/>
  <c r="D548" i="14"/>
  <c r="E548" i="14"/>
  <c r="C549" i="14"/>
  <c r="A17" i="35"/>
  <c r="C16" i="35"/>
  <c r="B16" i="35"/>
  <c r="E26" i="10"/>
  <c r="C27" i="10"/>
  <c r="D26" i="10"/>
  <c r="C27" i="9"/>
  <c r="D26" i="9"/>
  <c r="F26" i="10" l="1"/>
  <c r="G26" i="10" s="1"/>
  <c r="E22" i="9"/>
  <c r="F22" i="9" s="1"/>
  <c r="G22" i="9" s="1"/>
  <c r="C28" i="9"/>
  <c r="D27" i="9"/>
  <c r="C28" i="10"/>
  <c r="D27" i="10"/>
  <c r="E27" i="10"/>
  <c r="B17" i="35"/>
  <c r="A18" i="35"/>
  <c r="C17" i="35"/>
  <c r="E549" i="14"/>
  <c r="C550" i="14"/>
  <c r="D549" i="14"/>
  <c r="F27" i="10" l="1"/>
  <c r="G27" i="10" s="1"/>
  <c r="E23" i="9"/>
  <c r="F23" i="9" s="1"/>
  <c r="G23" i="9" s="1"/>
  <c r="D28" i="9"/>
  <c r="C29" i="9"/>
  <c r="C18" i="35"/>
  <c r="B18" i="35"/>
  <c r="A19" i="35"/>
  <c r="E550" i="14"/>
  <c r="D550" i="14"/>
  <c r="C551" i="14"/>
  <c r="D28" i="10"/>
  <c r="C29" i="10"/>
  <c r="E28" i="10"/>
  <c r="F28" i="10" l="1"/>
  <c r="G28" i="10" s="1"/>
  <c r="E24" i="9"/>
  <c r="F24" i="9" s="1"/>
  <c r="G24" i="9" s="1"/>
  <c r="A20" i="35"/>
  <c r="C19" i="35"/>
  <c r="B19" i="35"/>
  <c r="D29" i="9"/>
  <c r="C30" i="9"/>
  <c r="E29" i="10"/>
  <c r="C30" i="10"/>
  <c r="D29" i="10"/>
  <c r="E551" i="14"/>
  <c r="D551" i="14"/>
  <c r="C552" i="14"/>
  <c r="F29" i="10" l="1"/>
  <c r="G29" i="10" s="1"/>
  <c r="E25" i="9"/>
  <c r="F25" i="9" s="1"/>
  <c r="G25" i="9" s="1"/>
  <c r="A21" i="35"/>
  <c r="C20" i="35"/>
  <c r="B20" i="35"/>
  <c r="D552" i="14"/>
  <c r="E552" i="14"/>
  <c r="C553" i="14"/>
  <c r="E30" i="10"/>
  <c r="C31" i="10"/>
  <c r="D30" i="10"/>
  <c r="C31" i="9"/>
  <c r="D30" i="9"/>
  <c r="F30" i="10" l="1"/>
  <c r="G30" i="10" s="1"/>
  <c r="E26" i="9"/>
  <c r="F26" i="9" s="1"/>
  <c r="G26" i="9" s="1"/>
  <c r="C32" i="9"/>
  <c r="D31" i="9"/>
  <c r="B21" i="35"/>
  <c r="A22" i="35"/>
  <c r="C21" i="35"/>
  <c r="C32" i="10"/>
  <c r="D31" i="10"/>
  <c r="F31" i="10" s="1"/>
  <c r="G31" i="10" s="1"/>
  <c r="E31" i="10"/>
  <c r="D553" i="14"/>
  <c r="C554" i="14"/>
  <c r="E553" i="14"/>
  <c r="E27" i="9" l="1"/>
  <c r="F27" i="9" s="1"/>
  <c r="G27" i="9" s="1"/>
  <c r="C33" i="10"/>
  <c r="E32" i="10"/>
  <c r="D32" i="10"/>
  <c r="F32" i="10" s="1"/>
  <c r="G32" i="10" s="1"/>
  <c r="C33" i="9"/>
  <c r="D32" i="9"/>
  <c r="D554" i="14"/>
  <c r="C555" i="14"/>
  <c r="E554" i="14"/>
  <c r="C22" i="35"/>
  <c r="B22" i="35"/>
  <c r="A23" i="35"/>
  <c r="E28" i="9" l="1"/>
  <c r="F28" i="9" s="1"/>
  <c r="G28" i="9" s="1"/>
  <c r="A24" i="35"/>
  <c r="C23" i="35"/>
  <c r="B23" i="35"/>
  <c r="D555" i="14"/>
  <c r="E555" i="14"/>
  <c r="C556" i="14"/>
  <c r="C34" i="9"/>
  <c r="D33" i="9"/>
  <c r="E33" i="10"/>
  <c r="D33" i="10"/>
  <c r="F33" i="10" s="1"/>
  <c r="G33" i="10" s="1"/>
  <c r="C34" i="10"/>
  <c r="E29" i="9" l="1"/>
  <c r="F29" i="9" s="1"/>
  <c r="G29" i="9" s="1"/>
  <c r="A25" i="35"/>
  <c r="C24" i="35"/>
  <c r="B24" i="35"/>
  <c r="E556" i="14"/>
  <c r="C557" i="14"/>
  <c r="C558" i="14" s="1"/>
  <c r="C559" i="14" s="1"/>
  <c r="D556" i="14"/>
  <c r="C35" i="9"/>
  <c r="D34" i="9"/>
  <c r="E34" i="10"/>
  <c r="C35" i="10"/>
  <c r="D34" i="10"/>
  <c r="F34" i="10" s="1"/>
  <c r="G34" i="10" s="1"/>
  <c r="E559" i="14" l="1"/>
  <c r="D559" i="14"/>
  <c r="C560" i="14"/>
  <c r="E558" i="14"/>
  <c r="D558" i="14"/>
  <c r="E30" i="9"/>
  <c r="F30" i="9" s="1"/>
  <c r="G30" i="9" s="1"/>
  <c r="C36" i="10"/>
  <c r="D35" i="10"/>
  <c r="E35" i="10"/>
  <c r="D557" i="14"/>
  <c r="E557" i="14"/>
  <c r="B25" i="35"/>
  <c r="A26" i="35"/>
  <c r="C25" i="35"/>
  <c r="C36" i="9"/>
  <c r="D35" i="9"/>
  <c r="E560" i="14" l="1"/>
  <c r="C561" i="14"/>
  <c r="D560" i="14"/>
  <c r="F35" i="10"/>
  <c r="G35" i="10" s="1"/>
  <c r="E36" i="10" s="1"/>
  <c r="D36" i="10"/>
  <c r="C37" i="10"/>
  <c r="D36" i="9"/>
  <c r="C37" i="9"/>
  <c r="E31" i="9"/>
  <c r="F31" i="9" s="1"/>
  <c r="G31" i="9" s="1"/>
  <c r="C26" i="35"/>
  <c r="B26" i="35"/>
  <c r="A27" i="35"/>
  <c r="F36" i="10" l="1"/>
  <c r="G36" i="10" s="1"/>
  <c r="E37" i="10" s="1"/>
  <c r="E561" i="14"/>
  <c r="C562" i="14"/>
  <c r="C563" i="14" s="1"/>
  <c r="D561" i="14"/>
  <c r="E32" i="9"/>
  <c r="F32" i="9" s="1"/>
  <c r="G32" i="9"/>
  <c r="D37" i="10"/>
  <c r="C38" i="10"/>
  <c r="D37" i="9"/>
  <c r="C38" i="9"/>
  <c r="A28" i="35"/>
  <c r="C27" i="35"/>
  <c r="B27" i="35"/>
  <c r="E563" i="14" l="1"/>
  <c r="C564" i="14"/>
  <c r="D563" i="14"/>
  <c r="F37" i="10"/>
  <c r="G37" i="10" s="1"/>
  <c r="E562" i="14"/>
  <c r="D562" i="14"/>
  <c r="E38" i="9"/>
  <c r="C39" i="9"/>
  <c r="D38" i="9"/>
  <c r="G38" i="9"/>
  <c r="F38" i="9"/>
  <c r="E38" i="10"/>
  <c r="C39" i="10"/>
  <c r="D38" i="10"/>
  <c r="G38" i="10"/>
  <c r="F38" i="10"/>
  <c r="E33" i="9"/>
  <c r="F33" i="9" s="1"/>
  <c r="G33" i="9" s="1"/>
  <c r="A29" i="35"/>
  <c r="C28" i="35"/>
  <c r="B28" i="35"/>
  <c r="E564" i="14" l="1"/>
  <c r="D564" i="14"/>
  <c r="C565" i="14"/>
  <c r="E34" i="9"/>
  <c r="F34" i="9" s="1"/>
  <c r="G34" i="9" s="1"/>
  <c r="B29" i="35"/>
  <c r="A30" i="35"/>
  <c r="C29" i="35"/>
  <c r="C40" i="10"/>
  <c r="D39" i="10"/>
  <c r="G39" i="10"/>
  <c r="F39" i="10"/>
  <c r="E39" i="10"/>
  <c r="C40" i="9"/>
  <c r="D39" i="9"/>
  <c r="G39" i="9"/>
  <c r="E39" i="9"/>
  <c r="F39" i="9"/>
  <c r="C566" i="14" l="1"/>
  <c r="E565" i="14"/>
  <c r="D565" i="14"/>
  <c r="C30" i="35"/>
  <c r="B30" i="35"/>
  <c r="A31" i="35"/>
  <c r="G40" i="9"/>
  <c r="F40" i="9"/>
  <c r="C41" i="9"/>
  <c r="E40" i="9"/>
  <c r="D40" i="9"/>
  <c r="E35" i="9"/>
  <c r="F35" i="9" s="1"/>
  <c r="G35" i="9" s="1"/>
  <c r="G40" i="10"/>
  <c r="E40" i="10"/>
  <c r="F40" i="10"/>
  <c r="D40" i="10"/>
  <c r="C41" i="10"/>
  <c r="C567" i="14" l="1"/>
  <c r="E566" i="14"/>
  <c r="D566" i="14"/>
  <c r="E36" i="9"/>
  <c r="F36" i="9" s="1"/>
  <c r="G36" i="9" s="1"/>
  <c r="F41" i="10"/>
  <c r="E41" i="10"/>
  <c r="C42" i="10"/>
  <c r="D41" i="10"/>
  <c r="G41" i="10"/>
  <c r="A32" i="35"/>
  <c r="C31" i="35"/>
  <c r="B31" i="35"/>
  <c r="F41" i="9"/>
  <c r="E41" i="9"/>
  <c r="C42" i="9"/>
  <c r="G41" i="9"/>
  <c r="D41" i="9"/>
  <c r="D567" i="14" l="1"/>
  <c r="C569" i="14"/>
  <c r="C570" i="14" s="1"/>
  <c r="C571" i="14" s="1"/>
  <c r="E567" i="14"/>
  <c r="E37" i="9"/>
  <c r="F37" i="9" s="1"/>
  <c r="G37" i="9" s="1"/>
  <c r="E42" i="9"/>
  <c r="C43" i="9"/>
  <c r="D42" i="9"/>
  <c r="F42" i="9"/>
  <c r="G42" i="9"/>
  <c r="A33" i="35"/>
  <c r="C32" i="35"/>
  <c r="B32" i="35"/>
  <c r="E42" i="10"/>
  <c r="C43" i="10"/>
  <c r="D42" i="10"/>
  <c r="G42" i="10"/>
  <c r="F42" i="10"/>
  <c r="D571" i="14" l="1"/>
  <c r="C572" i="14"/>
  <c r="E571" i="14"/>
  <c r="E570" i="14"/>
  <c r="D570" i="14"/>
  <c r="E569" i="14"/>
  <c r="D569" i="14"/>
  <c r="B33" i="35"/>
  <c r="A34" i="35"/>
  <c r="C33" i="35"/>
  <c r="C44" i="9"/>
  <c r="D43" i="9"/>
  <c r="G43" i="9"/>
  <c r="F43" i="9"/>
  <c r="E43" i="9"/>
  <c r="C44" i="10"/>
  <c r="D43" i="10"/>
  <c r="G43" i="10"/>
  <c r="F43" i="10"/>
  <c r="E43" i="10"/>
  <c r="D572" i="14" l="1"/>
  <c r="C573" i="14"/>
  <c r="E572" i="14"/>
  <c r="C34" i="35"/>
  <c r="B34" i="35"/>
  <c r="A35" i="35"/>
  <c r="G44" i="9"/>
  <c r="F44" i="9"/>
  <c r="D44" i="9"/>
  <c r="C45" i="9"/>
  <c r="E44" i="9"/>
  <c r="G44" i="10"/>
  <c r="E44" i="10"/>
  <c r="F44" i="10"/>
  <c r="D44" i="10"/>
  <c r="C45" i="10"/>
  <c r="E573" i="14" l="1"/>
  <c r="D573" i="14"/>
  <c r="C574" i="14"/>
  <c r="F45" i="9"/>
  <c r="E45" i="9"/>
  <c r="G45" i="9"/>
  <c r="D45" i="9"/>
  <c r="C46" i="9"/>
  <c r="C35" i="35"/>
  <c r="B35" i="35"/>
  <c r="F45" i="10"/>
  <c r="E45" i="10"/>
  <c r="C46" i="10"/>
  <c r="D45" i="10"/>
  <c r="G45" i="10"/>
  <c r="E574" i="14" l="1"/>
  <c r="C575" i="14"/>
  <c r="D574" i="14"/>
  <c r="E46" i="10"/>
  <c r="C47" i="10"/>
  <c r="D46" i="10"/>
  <c r="G46" i="10"/>
  <c r="F46" i="10"/>
  <c r="E46" i="9"/>
  <c r="C47" i="9"/>
  <c r="D46" i="9"/>
  <c r="G46" i="9"/>
  <c r="F46" i="9"/>
  <c r="E575" i="14" l="1"/>
  <c r="C576" i="14"/>
  <c r="D575" i="14"/>
  <c r="C48" i="10"/>
  <c r="D47" i="10"/>
  <c r="G47" i="10"/>
  <c r="F47" i="10"/>
  <c r="E47" i="10"/>
  <c r="C48" i="9"/>
  <c r="D47" i="9"/>
  <c r="G47" i="9"/>
  <c r="E47" i="9"/>
  <c r="F47" i="9"/>
  <c r="E576" i="14" l="1"/>
  <c r="C577" i="14"/>
  <c r="C578" i="14" s="1"/>
  <c r="D576" i="14"/>
  <c r="G48" i="9"/>
  <c r="D48" i="9"/>
  <c r="C49" i="9"/>
  <c r="F48" i="9"/>
  <c r="E48" i="9"/>
  <c r="G48" i="10"/>
  <c r="E48" i="10"/>
  <c r="F48" i="10"/>
  <c r="C49" i="10"/>
  <c r="D48" i="10"/>
  <c r="E578" i="14" l="1"/>
  <c r="C579" i="14"/>
  <c r="D578" i="14"/>
  <c r="E577" i="14"/>
  <c r="D577" i="14"/>
  <c r="F49" i="10"/>
  <c r="E49" i="10"/>
  <c r="C50" i="10"/>
  <c r="D49" i="10"/>
  <c r="G49" i="10"/>
  <c r="F49" i="9"/>
  <c r="D49" i="9"/>
  <c r="C50" i="9"/>
  <c r="E49" i="9"/>
  <c r="G49" i="9"/>
  <c r="E579" i="14" l="1"/>
  <c r="C580" i="14"/>
  <c r="D579" i="14"/>
  <c r="E50" i="10"/>
  <c r="C51" i="10"/>
  <c r="D50" i="10"/>
  <c r="G50" i="10"/>
  <c r="F50" i="10"/>
  <c r="E50" i="9"/>
  <c r="D50" i="9"/>
  <c r="C51" i="9"/>
  <c r="G50" i="9"/>
  <c r="F50" i="9"/>
  <c r="C581" i="14" l="1"/>
  <c r="E580" i="14"/>
  <c r="D580" i="14"/>
  <c r="C52" i="10"/>
  <c r="D51" i="10"/>
  <c r="G51" i="10"/>
  <c r="F51" i="10"/>
  <c r="E51" i="10"/>
  <c r="C52" i="9"/>
  <c r="D51" i="9"/>
  <c r="E51" i="9"/>
  <c r="F51" i="9"/>
  <c r="G51" i="9"/>
  <c r="C582" i="14" l="1"/>
  <c r="D581" i="14"/>
  <c r="E581" i="14"/>
  <c r="G52" i="9"/>
  <c r="E52" i="9"/>
  <c r="D52" i="9"/>
  <c r="C53" i="9"/>
  <c r="F52" i="9"/>
  <c r="G52" i="10"/>
  <c r="F52" i="10"/>
  <c r="E52" i="10"/>
  <c r="C53" i="10"/>
  <c r="D52" i="10"/>
  <c r="D582" i="14" l="1"/>
  <c r="C583" i="14"/>
  <c r="E582" i="14"/>
  <c r="F53" i="10"/>
  <c r="E53" i="10"/>
  <c r="C54" i="10"/>
  <c r="D53" i="10"/>
  <c r="G53" i="10"/>
  <c r="F53" i="9"/>
  <c r="E53" i="9"/>
  <c r="D53" i="9"/>
  <c r="G53" i="9"/>
  <c r="C54" i="9"/>
  <c r="C584" i="14" l="1"/>
  <c r="E583" i="14"/>
  <c r="D583" i="14"/>
  <c r="E54" i="10"/>
  <c r="C55" i="10"/>
  <c r="D54" i="10"/>
  <c r="G54" i="10"/>
  <c r="F54" i="10"/>
  <c r="E54" i="9"/>
  <c r="F54" i="9"/>
  <c r="D54" i="9"/>
  <c r="C55" i="9"/>
  <c r="G54" i="9"/>
  <c r="E584" i="14" l="1"/>
  <c r="C585" i="14"/>
  <c r="D584" i="14"/>
  <c r="C56" i="9"/>
  <c r="D55" i="9"/>
  <c r="F55" i="9"/>
  <c r="E55" i="9"/>
  <c r="G55" i="9"/>
  <c r="C56" i="10"/>
  <c r="D55" i="10"/>
  <c r="F55" i="10"/>
  <c r="G55" i="10"/>
  <c r="E55" i="10"/>
  <c r="E585" i="14" l="1"/>
  <c r="C586" i="14"/>
  <c r="C587" i="14" s="1"/>
  <c r="D585" i="14"/>
  <c r="G56" i="10"/>
  <c r="F56" i="10"/>
  <c r="E56" i="10"/>
  <c r="D56" i="10"/>
  <c r="C57" i="10"/>
  <c r="G56" i="9"/>
  <c r="F56" i="9"/>
  <c r="E56" i="9"/>
  <c r="C57" i="9"/>
  <c r="D56" i="9"/>
  <c r="E587" i="14" l="1"/>
  <c r="C588" i="14"/>
  <c r="D587" i="14"/>
  <c r="E586" i="14"/>
  <c r="D586" i="14"/>
  <c r="F57" i="9"/>
  <c r="G57" i="9"/>
  <c r="E57" i="9"/>
  <c r="C58" i="9"/>
  <c r="D57" i="9"/>
  <c r="F57" i="10"/>
  <c r="E57" i="10"/>
  <c r="C58" i="10"/>
  <c r="D57" i="10"/>
  <c r="G57" i="10"/>
  <c r="E588" i="14" l="1"/>
  <c r="C589" i="14"/>
  <c r="D588" i="14"/>
  <c r="E58" i="9"/>
  <c r="G58" i="9"/>
  <c r="F58" i="9"/>
  <c r="C59" i="9"/>
  <c r="D58" i="9"/>
  <c r="E58" i="10"/>
  <c r="C59" i="10"/>
  <c r="D58" i="10"/>
  <c r="G58" i="10"/>
  <c r="F58" i="10"/>
  <c r="E589" i="14" l="1"/>
  <c r="D589" i="14"/>
  <c r="C590" i="14"/>
  <c r="C60" i="9"/>
  <c r="D59" i="9"/>
  <c r="G59" i="9"/>
  <c r="F59" i="9"/>
  <c r="E59" i="9"/>
  <c r="C60" i="10"/>
  <c r="D59" i="10"/>
  <c r="G59" i="10"/>
  <c r="F59" i="10"/>
  <c r="E59" i="10"/>
  <c r="D590" i="14" l="1"/>
  <c r="E590" i="14"/>
  <c r="C591" i="14"/>
  <c r="G60" i="10"/>
  <c r="F60" i="10"/>
  <c r="E60" i="10"/>
  <c r="D60" i="10"/>
  <c r="C61" i="10"/>
  <c r="G60" i="9"/>
  <c r="C61" i="9"/>
  <c r="F60" i="9"/>
  <c r="D60" i="9"/>
  <c r="E60" i="9"/>
  <c r="C592" i="14" l="1"/>
  <c r="E591" i="14"/>
  <c r="D591" i="14"/>
  <c r="F61" i="10"/>
  <c r="E61" i="10"/>
  <c r="D61" i="10"/>
  <c r="C62" i="10"/>
  <c r="G61" i="10"/>
  <c r="F61" i="9"/>
  <c r="C62" i="9"/>
  <c r="G61" i="9"/>
  <c r="E61" i="9"/>
  <c r="D61" i="9"/>
  <c r="E592" i="14" l="1"/>
  <c r="C593" i="14"/>
  <c r="D592" i="14"/>
  <c r="E62" i="10"/>
  <c r="C63" i="10"/>
  <c r="D62" i="10"/>
  <c r="G62" i="10"/>
  <c r="F62" i="10"/>
  <c r="C63" i="9"/>
  <c r="D62" i="9"/>
  <c r="F62" i="9"/>
  <c r="E62" i="9"/>
  <c r="G62" i="9"/>
  <c r="C594" i="14" l="1"/>
  <c r="D593" i="14"/>
  <c r="E593" i="14"/>
  <c r="C64" i="10"/>
  <c r="D63" i="10"/>
  <c r="G63" i="10"/>
  <c r="F63" i="10"/>
  <c r="E63" i="10"/>
  <c r="G63" i="9"/>
  <c r="F63" i="9"/>
  <c r="E63" i="9"/>
  <c r="D63" i="9"/>
  <c r="C64" i="9"/>
  <c r="D594" i="14" l="1"/>
  <c r="C595" i="14"/>
  <c r="E594" i="14"/>
  <c r="G64" i="10"/>
  <c r="F64" i="10"/>
  <c r="E64" i="10"/>
  <c r="C65" i="10"/>
  <c r="D64" i="10"/>
  <c r="F64" i="9"/>
  <c r="G64" i="9"/>
  <c r="C65" i="9"/>
  <c r="E64" i="9"/>
  <c r="D64" i="9"/>
  <c r="E595" i="14" l="1"/>
  <c r="C596" i="14"/>
  <c r="D595" i="14"/>
  <c r="E65" i="9"/>
  <c r="G65" i="9"/>
  <c r="C66" i="9"/>
  <c r="D65" i="9"/>
  <c r="F65" i="9"/>
  <c r="F65" i="10"/>
  <c r="E65" i="10"/>
  <c r="C66" i="10"/>
  <c r="D65" i="10"/>
  <c r="G65" i="10"/>
  <c r="C597" i="14" l="1"/>
  <c r="E596" i="14"/>
  <c r="D596" i="14"/>
  <c r="E66" i="10"/>
  <c r="C67" i="10"/>
  <c r="D66" i="10"/>
  <c r="G66" i="10"/>
  <c r="F66" i="10"/>
  <c r="C67" i="9"/>
  <c r="D66" i="9"/>
  <c r="G66" i="9"/>
  <c r="E66" i="9"/>
  <c r="F66" i="9"/>
  <c r="C598" i="14" l="1"/>
  <c r="C599" i="14" s="1"/>
  <c r="E597" i="14"/>
  <c r="D597" i="14"/>
  <c r="G67" i="9"/>
  <c r="C68" i="9"/>
  <c r="F67" i="9"/>
  <c r="E67" i="9"/>
  <c r="D67" i="9"/>
  <c r="F67" i="10"/>
  <c r="E67" i="10"/>
  <c r="D67" i="10"/>
  <c r="C68" i="10"/>
  <c r="G67" i="10"/>
  <c r="C600" i="14" l="1"/>
  <c r="E599" i="14"/>
  <c r="D599" i="14"/>
  <c r="E598" i="14"/>
  <c r="D598" i="14"/>
  <c r="F68" i="9"/>
  <c r="C69" i="9"/>
  <c r="G68" i="9"/>
  <c r="D68" i="9"/>
  <c r="E68" i="9"/>
  <c r="E68" i="10"/>
  <c r="C69" i="10"/>
  <c r="D68" i="10"/>
  <c r="G68" i="10"/>
  <c r="F68" i="10"/>
  <c r="E600" i="14" l="1"/>
  <c r="D600" i="14"/>
  <c r="C601" i="14"/>
  <c r="C70" i="10"/>
  <c r="D69" i="10"/>
  <c r="G69" i="10"/>
  <c r="F69" i="10"/>
  <c r="E69" i="10"/>
  <c r="E69" i="9"/>
  <c r="C70" i="9"/>
  <c r="D69" i="9"/>
  <c r="G69" i="9"/>
  <c r="F69" i="9"/>
  <c r="D601" i="14" l="1"/>
  <c r="E601" i="14"/>
  <c r="C602" i="14"/>
  <c r="C71" i="9"/>
  <c r="D70" i="9"/>
  <c r="F70" i="9"/>
  <c r="E70" i="9"/>
  <c r="G70" i="9"/>
  <c r="G70" i="10"/>
  <c r="F70" i="10"/>
  <c r="E70" i="10"/>
  <c r="D70" i="10"/>
  <c r="C71" i="10"/>
  <c r="E602" i="14" l="1"/>
  <c r="D602" i="14"/>
  <c r="C603" i="14"/>
  <c r="F71" i="10"/>
  <c r="E71" i="10"/>
  <c r="C72" i="10"/>
  <c r="G71" i="10"/>
  <c r="D71" i="10"/>
  <c r="G71" i="9"/>
  <c r="D71" i="9"/>
  <c r="C72" i="9"/>
  <c r="F71" i="9"/>
  <c r="E71" i="9"/>
  <c r="C604" i="14" l="1"/>
  <c r="E603" i="14"/>
  <c r="D603" i="14"/>
  <c r="F72" i="9"/>
  <c r="D72" i="9"/>
  <c r="E72" i="9"/>
  <c r="C73" i="9"/>
  <c r="G72" i="9"/>
  <c r="E72" i="10"/>
  <c r="C73" i="10"/>
  <c r="D72" i="10"/>
  <c r="G72" i="10"/>
  <c r="F72" i="10"/>
  <c r="C605" i="14" l="1"/>
  <c r="E604" i="14"/>
  <c r="D604" i="14"/>
  <c r="C74" i="10"/>
  <c r="D73" i="10"/>
  <c r="G73" i="10"/>
  <c r="F73" i="10"/>
  <c r="E73" i="10"/>
  <c r="E73" i="9"/>
  <c r="D73" i="9"/>
  <c r="G73" i="9"/>
  <c r="F73" i="9"/>
  <c r="C74" i="9"/>
  <c r="C606" i="14" l="1"/>
  <c r="E605" i="14"/>
  <c r="D605" i="14"/>
  <c r="C75" i="9"/>
  <c r="D74" i="9"/>
  <c r="E74" i="9"/>
  <c r="G74" i="9"/>
  <c r="F74" i="9"/>
  <c r="G74" i="10"/>
  <c r="F74" i="10"/>
  <c r="C75" i="10"/>
  <c r="E74" i="10"/>
  <c r="D74" i="10"/>
  <c r="E606" i="14" l="1"/>
  <c r="C607" i="14"/>
  <c r="D606" i="14"/>
  <c r="F75" i="10"/>
  <c r="E75" i="10"/>
  <c r="D75" i="10"/>
  <c r="C76" i="10"/>
  <c r="G75" i="10"/>
  <c r="G75" i="9"/>
  <c r="E75" i="9"/>
  <c r="D75" i="9"/>
  <c r="C76" i="9"/>
  <c r="F75" i="9"/>
  <c r="E607" i="14" l="1"/>
  <c r="C608" i="14"/>
  <c r="D607" i="14"/>
  <c r="E76" i="10"/>
  <c r="C77" i="10"/>
  <c r="D76" i="10"/>
  <c r="G76" i="10"/>
  <c r="F76" i="10"/>
  <c r="F76" i="9"/>
  <c r="E76" i="9"/>
  <c r="G76" i="9"/>
  <c r="D76" i="9"/>
  <c r="C77" i="9"/>
  <c r="E608" i="14" l="1"/>
  <c r="C609" i="14"/>
  <c r="C610" i="14" s="1"/>
  <c r="D608" i="14"/>
  <c r="E77" i="9"/>
  <c r="F77" i="9"/>
  <c r="C78" i="9"/>
  <c r="G77" i="9"/>
  <c r="D77" i="9"/>
  <c r="C78" i="10"/>
  <c r="D77" i="10"/>
  <c r="G77" i="10"/>
  <c r="F77" i="10"/>
  <c r="E77" i="10"/>
  <c r="E610" i="14" l="1"/>
  <c r="C611" i="14"/>
  <c r="D610" i="14"/>
  <c r="E609" i="14"/>
  <c r="D609" i="14"/>
  <c r="C79" i="9"/>
  <c r="D78" i="9"/>
  <c r="F78" i="9"/>
  <c r="G78" i="9"/>
  <c r="E78" i="9"/>
  <c r="G78" i="10"/>
  <c r="F78" i="10"/>
  <c r="E78" i="10"/>
  <c r="D78" i="10"/>
  <c r="C79" i="10"/>
  <c r="C612" i="14" l="1"/>
  <c r="E611" i="14"/>
  <c r="D611" i="14"/>
  <c r="F79" i="10"/>
  <c r="E79" i="10"/>
  <c r="C80" i="10"/>
  <c r="G79" i="10"/>
  <c r="D79" i="10"/>
  <c r="G79" i="9"/>
  <c r="F79" i="9"/>
  <c r="E79" i="9"/>
  <c r="D79" i="9"/>
  <c r="C80" i="9"/>
  <c r="D612" i="14" l="1"/>
  <c r="E612" i="14"/>
  <c r="C613" i="14"/>
  <c r="E80" i="10"/>
  <c r="C81" i="10"/>
  <c r="D80" i="10"/>
  <c r="G80" i="10"/>
  <c r="F80" i="10"/>
  <c r="F80" i="9"/>
  <c r="G80" i="9"/>
  <c r="C81" i="9"/>
  <c r="E80" i="9"/>
  <c r="D80" i="9"/>
  <c r="C614" i="14" l="1"/>
  <c r="E613" i="14"/>
  <c r="D613" i="14"/>
  <c r="E81" i="9"/>
  <c r="G81" i="9"/>
  <c r="C82" i="9"/>
  <c r="F81" i="9"/>
  <c r="D81" i="9"/>
  <c r="C82" i="10"/>
  <c r="D81" i="10"/>
  <c r="G81" i="10"/>
  <c r="F81" i="10"/>
  <c r="E81" i="10"/>
  <c r="D614" i="14" l="1"/>
  <c r="E614" i="14"/>
  <c r="C615" i="14"/>
  <c r="C616" i="14" s="1"/>
  <c r="C83" i="9"/>
  <c r="D82" i="9"/>
  <c r="G82" i="9"/>
  <c r="E82" i="9"/>
  <c r="F82" i="9"/>
  <c r="G82" i="10"/>
  <c r="F82" i="10"/>
  <c r="C83" i="10"/>
  <c r="E82" i="10"/>
  <c r="D82" i="10"/>
  <c r="E616" i="14" l="1"/>
  <c r="C617" i="14"/>
  <c r="D616" i="14"/>
  <c r="D615" i="14"/>
  <c r="E615" i="14"/>
  <c r="F83" i="10"/>
  <c r="E83" i="10"/>
  <c r="D83" i="10"/>
  <c r="C84" i="10"/>
  <c r="G83" i="10"/>
  <c r="G83" i="9"/>
  <c r="C84" i="9"/>
  <c r="F83" i="9"/>
  <c r="E83" i="9"/>
  <c r="D83" i="9"/>
  <c r="C618" i="14" l="1"/>
  <c r="E617" i="14"/>
  <c r="D617" i="14"/>
  <c r="F84" i="9"/>
  <c r="C85" i="9"/>
  <c r="G84" i="9"/>
  <c r="E84" i="9"/>
  <c r="D84" i="9"/>
  <c r="E84" i="10"/>
  <c r="C85" i="10"/>
  <c r="D84" i="10"/>
  <c r="G84" i="10"/>
  <c r="F84" i="10"/>
  <c r="C619" i="14" l="1"/>
  <c r="D618" i="14"/>
  <c r="E618" i="14"/>
  <c r="C86" i="10"/>
  <c r="D85" i="10"/>
  <c r="G85" i="10"/>
  <c r="F85" i="10"/>
  <c r="E85" i="10"/>
  <c r="E85" i="9"/>
  <c r="C86" i="9"/>
  <c r="D85" i="9"/>
  <c r="G85" i="9"/>
  <c r="F85" i="9"/>
  <c r="D619" i="14" l="1"/>
  <c r="E619" i="14"/>
  <c r="C620" i="14"/>
  <c r="C87" i="9"/>
  <c r="D86" i="9"/>
  <c r="F86" i="9"/>
  <c r="E86" i="9"/>
  <c r="G86" i="9"/>
  <c r="G86" i="10"/>
  <c r="F86" i="10"/>
  <c r="E86" i="10"/>
  <c r="D86" i="10"/>
  <c r="C87" i="10"/>
  <c r="E620" i="14" l="1"/>
  <c r="D620" i="14"/>
  <c r="C621" i="14"/>
  <c r="F87" i="10"/>
  <c r="E87" i="10"/>
  <c r="C88" i="10"/>
  <c r="G87" i="10"/>
  <c r="D87" i="10"/>
  <c r="G87" i="9"/>
  <c r="D87" i="9"/>
  <c r="C88" i="9"/>
  <c r="F87" i="9"/>
  <c r="E87" i="9"/>
  <c r="C622" i="14" l="1"/>
  <c r="D621" i="14"/>
  <c r="E621" i="14"/>
  <c r="F88" i="9"/>
  <c r="D88" i="9"/>
  <c r="C89" i="9"/>
  <c r="G88" i="9"/>
  <c r="E88" i="9"/>
  <c r="E88" i="10"/>
  <c r="C89" i="10"/>
  <c r="D88" i="10"/>
  <c r="G88" i="10"/>
  <c r="F88" i="10"/>
  <c r="C623" i="14" l="1"/>
  <c r="D622" i="14"/>
  <c r="E622" i="14"/>
  <c r="E89" i="9"/>
  <c r="D89" i="9"/>
  <c r="F89" i="9"/>
  <c r="C90" i="9"/>
  <c r="G89" i="9"/>
  <c r="C90" i="10"/>
  <c r="D89" i="10"/>
  <c r="G89" i="10"/>
  <c r="F89" i="10"/>
  <c r="E89" i="10"/>
  <c r="D623" i="14" l="1"/>
  <c r="E623" i="14"/>
  <c r="C624" i="14"/>
  <c r="C91" i="9"/>
  <c r="D90" i="9"/>
  <c r="E90" i="9"/>
  <c r="G90" i="9"/>
  <c r="F90" i="9"/>
  <c r="G90" i="10"/>
  <c r="F90" i="10"/>
  <c r="C91" i="10"/>
  <c r="E90" i="10"/>
  <c r="D90" i="10"/>
  <c r="E624" i="14" l="1"/>
  <c r="C625" i="14"/>
  <c r="D624" i="14"/>
  <c r="F91" i="10"/>
  <c r="E91" i="10"/>
  <c r="D91" i="10"/>
  <c r="C92" i="10"/>
  <c r="G91" i="10"/>
  <c r="G91" i="9"/>
  <c r="E91" i="9"/>
  <c r="C92" i="9"/>
  <c r="F91" i="9"/>
  <c r="D91" i="9"/>
  <c r="C626" i="14" l="1"/>
  <c r="D625" i="14"/>
  <c r="E625" i="14"/>
  <c r="F92" i="9"/>
  <c r="E92" i="9"/>
  <c r="D92" i="9"/>
  <c r="C93" i="9"/>
  <c r="G92" i="9"/>
  <c r="E92" i="10"/>
  <c r="C93" i="10"/>
  <c r="D92" i="10"/>
  <c r="G92" i="10"/>
  <c r="F92" i="10"/>
  <c r="D626" i="14" l="1"/>
  <c r="C627" i="14"/>
  <c r="E626" i="14"/>
  <c r="C94" i="10"/>
  <c r="D93" i="10"/>
  <c r="G93" i="10"/>
  <c r="F93" i="10"/>
  <c r="E93" i="10"/>
  <c r="E93" i="9"/>
  <c r="F93" i="9"/>
  <c r="G93" i="9"/>
  <c r="D93" i="9"/>
  <c r="C94" i="9"/>
  <c r="D627" i="14" l="1"/>
  <c r="E627" i="14"/>
  <c r="C628" i="14"/>
  <c r="C95" i="9"/>
  <c r="D94" i="9"/>
  <c r="F94" i="9"/>
  <c r="G94" i="9"/>
  <c r="E94" i="9"/>
  <c r="G94" i="10"/>
  <c r="F94" i="10"/>
  <c r="E94" i="10"/>
  <c r="D94" i="10"/>
  <c r="C95" i="10"/>
  <c r="E628" i="14" l="1"/>
  <c r="D628" i="14"/>
  <c r="F95" i="10"/>
  <c r="E95" i="10"/>
  <c r="C96" i="10"/>
  <c r="G95" i="10"/>
  <c r="D95" i="10"/>
  <c r="G95" i="9"/>
  <c r="F95" i="9"/>
  <c r="D95" i="9"/>
  <c r="C96" i="9"/>
  <c r="E95" i="9"/>
  <c r="E96" i="10" l="1"/>
  <c r="C97" i="10"/>
  <c r="D96" i="10"/>
  <c r="G96" i="10"/>
  <c r="F96" i="10"/>
  <c r="F96" i="9"/>
  <c r="G96" i="9"/>
  <c r="E96" i="9"/>
  <c r="D96" i="9"/>
  <c r="C97" i="9"/>
  <c r="E97" i="9" l="1"/>
  <c r="G97" i="9"/>
  <c r="C98" i="9"/>
  <c r="F97" i="9"/>
  <c r="D97" i="9"/>
  <c r="C98" i="10"/>
  <c r="D97" i="10"/>
  <c r="G97" i="10"/>
  <c r="F97" i="10"/>
  <c r="E97" i="10"/>
  <c r="C99" i="9" l="1"/>
  <c r="D98" i="9"/>
  <c r="G98" i="9"/>
  <c r="F98" i="9"/>
  <c r="E98" i="9"/>
  <c r="G98" i="10"/>
  <c r="F98" i="10"/>
  <c r="C99" i="10"/>
  <c r="E98" i="10"/>
  <c r="D98" i="10"/>
  <c r="F99" i="10" l="1"/>
  <c r="E99" i="10"/>
  <c r="D99" i="10"/>
  <c r="C100" i="10"/>
  <c r="G99" i="10"/>
  <c r="G99" i="9"/>
  <c r="C100" i="9"/>
  <c r="E99" i="9"/>
  <c r="D99" i="9"/>
  <c r="F99" i="9"/>
  <c r="E100" i="10" l="1"/>
  <c r="C101" i="10"/>
  <c r="D100" i="10"/>
  <c r="G100" i="10"/>
  <c r="F100" i="10"/>
  <c r="F100" i="9"/>
  <c r="C101" i="9"/>
  <c r="G100" i="9"/>
  <c r="E100" i="9"/>
  <c r="D100" i="9"/>
  <c r="E101" i="9" l="1"/>
  <c r="C102" i="9"/>
  <c r="G101" i="9"/>
  <c r="F101" i="9"/>
  <c r="D101" i="9"/>
  <c r="C102" i="10"/>
  <c r="D101" i="10"/>
  <c r="G101" i="10"/>
  <c r="F101" i="10"/>
  <c r="E101" i="10"/>
  <c r="C103" i="9" l="1"/>
  <c r="D102" i="9"/>
  <c r="E102" i="9"/>
  <c r="G102" i="9"/>
  <c r="F102" i="9"/>
  <c r="G102" i="10"/>
  <c r="F102" i="10"/>
  <c r="E102" i="10"/>
  <c r="D102" i="10"/>
  <c r="C103" i="10"/>
  <c r="F103" i="10" l="1"/>
  <c r="E103" i="10"/>
  <c r="C104" i="10"/>
  <c r="G103" i="10"/>
  <c r="D103" i="10"/>
  <c r="G103" i="9"/>
  <c r="D103" i="9"/>
  <c r="F103" i="9"/>
  <c r="E103" i="9"/>
  <c r="C104" i="9"/>
  <c r="E104" i="10" l="1"/>
  <c r="C105" i="10"/>
  <c r="D104" i="10"/>
  <c r="G104" i="10"/>
  <c r="F104" i="10"/>
  <c r="F104" i="9"/>
  <c r="D104" i="9"/>
  <c r="C105" i="9"/>
  <c r="G104" i="9"/>
  <c r="E104" i="9"/>
  <c r="E105" i="9" l="1"/>
  <c r="D105" i="9"/>
  <c r="C106" i="9"/>
  <c r="G105" i="9"/>
  <c r="F105" i="9"/>
  <c r="C106" i="10"/>
  <c r="D105" i="10"/>
  <c r="G105" i="10"/>
  <c r="F105" i="10"/>
  <c r="E105" i="10"/>
  <c r="C107" i="9" l="1"/>
  <c r="D106" i="9"/>
  <c r="E106" i="9"/>
  <c r="F106" i="9"/>
  <c r="G106" i="9"/>
  <c r="G106" i="10"/>
  <c r="F106" i="10"/>
  <c r="C107" i="10"/>
  <c r="E106" i="10"/>
  <c r="D106" i="10"/>
  <c r="F107" i="10" l="1"/>
  <c r="E107" i="10"/>
  <c r="D107" i="10"/>
  <c r="C108" i="10"/>
  <c r="G107" i="10"/>
  <c r="G107" i="9"/>
  <c r="E107" i="9"/>
  <c r="C108" i="9"/>
  <c r="F107" i="9"/>
  <c r="D107" i="9"/>
  <c r="E108" i="10" l="1"/>
  <c r="C109" i="10"/>
  <c r="D108" i="10"/>
  <c r="G108" i="10"/>
  <c r="F108" i="10"/>
  <c r="F108" i="9"/>
  <c r="E108" i="9"/>
  <c r="C109" i="9"/>
  <c r="G108" i="9"/>
  <c r="D108" i="9"/>
  <c r="C110" i="10" l="1"/>
  <c r="D109" i="10"/>
  <c r="G109" i="10"/>
  <c r="F109" i="10"/>
  <c r="E109" i="10"/>
  <c r="E109" i="9"/>
  <c r="F109" i="9"/>
  <c r="D109" i="9"/>
  <c r="C110" i="9"/>
  <c r="G109" i="9"/>
  <c r="C111" i="9" l="1"/>
  <c r="D110" i="9"/>
  <c r="F110" i="9"/>
  <c r="G110" i="9"/>
  <c r="E110" i="9"/>
  <c r="G110" i="10"/>
  <c r="F110" i="10"/>
  <c r="E110" i="10"/>
  <c r="D110" i="10"/>
  <c r="C111" i="10"/>
  <c r="F111" i="10" l="1"/>
  <c r="E111" i="10"/>
  <c r="C112" i="10"/>
  <c r="G111" i="10"/>
  <c r="D111" i="10"/>
  <c r="G111" i="9"/>
  <c r="F111" i="9"/>
  <c r="C112" i="9"/>
  <c r="E111" i="9"/>
  <c r="D111" i="9"/>
  <c r="E112" i="10" l="1"/>
  <c r="C113" i="10"/>
  <c r="D112" i="10"/>
  <c r="G112" i="10"/>
  <c r="F112" i="10"/>
  <c r="F112" i="9"/>
  <c r="G112" i="9"/>
  <c r="D112" i="9"/>
  <c r="C113" i="9"/>
  <c r="E112" i="9"/>
  <c r="C114" i="10" l="1"/>
  <c r="D113" i="10"/>
  <c r="G113" i="10"/>
  <c r="F113" i="10"/>
  <c r="E113" i="10"/>
  <c r="E113" i="9"/>
  <c r="G113" i="9"/>
  <c r="F113" i="9"/>
  <c r="D113" i="9"/>
  <c r="C114" i="9"/>
  <c r="C115" i="9" l="1"/>
  <c r="D114" i="9"/>
  <c r="G114" i="9"/>
  <c r="F114" i="9"/>
  <c r="E114" i="9"/>
  <c r="G114" i="10"/>
  <c r="F114" i="10"/>
  <c r="C115" i="10"/>
  <c r="E114" i="10"/>
  <c r="D114" i="10"/>
  <c r="F115" i="10" l="1"/>
  <c r="E115" i="10"/>
  <c r="D115" i="10"/>
  <c r="C116" i="10"/>
  <c r="G115" i="10"/>
  <c r="G115" i="9"/>
  <c r="C116" i="9"/>
  <c r="D115" i="9"/>
  <c r="F115" i="9"/>
  <c r="E115" i="9"/>
  <c r="E116" i="10" l="1"/>
  <c r="C117" i="10"/>
  <c r="D116" i="10"/>
  <c r="G116" i="10"/>
  <c r="F116" i="10"/>
  <c r="F116" i="9"/>
  <c r="C117" i="9"/>
  <c r="E116" i="9"/>
  <c r="D116" i="9"/>
  <c r="G116" i="9"/>
  <c r="E117" i="9" l="1"/>
  <c r="C118" i="9"/>
  <c r="G117" i="9"/>
  <c r="F117" i="9"/>
  <c r="D117" i="9"/>
  <c r="C118" i="10"/>
  <c r="D117" i="10"/>
  <c r="G117" i="10"/>
  <c r="F117" i="10"/>
  <c r="E117" i="10"/>
  <c r="C119" i="9" l="1"/>
  <c r="D118" i="9"/>
  <c r="G118" i="9"/>
  <c r="F118" i="9"/>
  <c r="E118" i="9"/>
  <c r="G118" i="10"/>
  <c r="F118" i="10"/>
  <c r="E118" i="10"/>
  <c r="D118" i="10"/>
  <c r="C119" i="10"/>
  <c r="F119" i="10" l="1"/>
  <c r="E119" i="10"/>
  <c r="C120" i="10"/>
  <c r="G119" i="10"/>
  <c r="D119" i="10"/>
  <c r="G119" i="9"/>
  <c r="D119" i="9"/>
  <c r="E119" i="9"/>
  <c r="C120" i="9"/>
  <c r="F119" i="9"/>
  <c r="E120" i="10" l="1"/>
  <c r="C121" i="10"/>
  <c r="D120" i="10"/>
  <c r="G120" i="10"/>
  <c r="F120" i="10"/>
  <c r="F120" i="9"/>
  <c r="D120" i="9"/>
  <c r="G120" i="9"/>
  <c r="E120" i="9"/>
  <c r="C121" i="9"/>
  <c r="E121" i="9" l="1"/>
  <c r="G6" i="9" s="1"/>
  <c r="F22" i="8" s="1"/>
  <c r="D121" i="9"/>
  <c r="G5" i="9" s="1"/>
  <c r="G121" i="9"/>
  <c r="F121" i="9"/>
  <c r="D121" i="10"/>
  <c r="G5" i="10" s="1"/>
  <c r="G121" i="10"/>
  <c r="F121" i="10"/>
  <c r="E121" i="10"/>
  <c r="G6" i="10" s="1"/>
  <c r="F23" i="8" s="1"/>
  <c r="F24" i="8" l="1"/>
  <c r="E71" i="25" l="1"/>
  <c r="K4" i="40" l="1"/>
  <c r="S4" i="40" l="1"/>
  <c r="R4" i="40"/>
  <c r="M4" i="40"/>
  <c r="K6" i="40"/>
  <c r="K8" i="40" s="1"/>
  <c r="L4" i="40"/>
  <c r="G81" i="41" l="1"/>
  <c r="G82" i="41"/>
  <c r="G78" i="41"/>
  <c r="G83" i="41"/>
  <c r="G79" i="41"/>
  <c r="G80" i="41"/>
  <c r="G76" i="41"/>
  <c r="G72" i="41"/>
  <c r="G77" i="41"/>
  <c r="G73" i="41"/>
  <c r="G75" i="41"/>
  <c r="G71" i="41"/>
  <c r="G74" i="41"/>
  <c r="G70" i="41"/>
  <c r="G67" i="41"/>
  <c r="G68" i="41"/>
  <c r="G69" i="41"/>
  <c r="K23" i="40"/>
  <c r="K27" i="40" s="1"/>
  <c r="K28" i="40" s="1"/>
  <c r="K33" i="40"/>
  <c r="K34" i="40" s="1"/>
  <c r="K36" i="40" s="1"/>
  <c r="L6" i="40"/>
  <c r="M6" i="40"/>
  <c r="M71" i="41" l="1"/>
  <c r="I71" i="41"/>
  <c r="J71" i="41" s="1"/>
  <c r="M72" i="41"/>
  <c r="I72" i="41"/>
  <c r="J72" i="41" s="1"/>
  <c r="M83" i="41"/>
  <c r="I83" i="41"/>
  <c r="J83" i="41" s="1"/>
  <c r="M75" i="41"/>
  <c r="I75" i="41"/>
  <c r="J75" i="41" s="1"/>
  <c r="M76" i="41"/>
  <c r="I76" i="41"/>
  <c r="J76" i="41" s="1"/>
  <c r="M78" i="41"/>
  <c r="I78" i="41"/>
  <c r="J78" i="41" s="1"/>
  <c r="M73" i="41"/>
  <c r="I73" i="41"/>
  <c r="J73" i="41" s="1"/>
  <c r="M80" i="41"/>
  <c r="I80" i="41"/>
  <c r="J80" i="41" s="1"/>
  <c r="M82" i="41"/>
  <c r="I82" i="41"/>
  <c r="J82" i="41" s="1"/>
  <c r="M74" i="41"/>
  <c r="I74" i="41"/>
  <c r="J74" i="41" s="1"/>
  <c r="M77" i="41"/>
  <c r="I77" i="41"/>
  <c r="J77" i="41" s="1"/>
  <c r="M79" i="41"/>
  <c r="I79" i="41"/>
  <c r="J79" i="41" s="1"/>
  <c r="M81" i="41"/>
  <c r="I81" i="41"/>
  <c r="J81" i="41" s="1"/>
  <c r="M69" i="41"/>
  <c r="I69" i="41"/>
  <c r="J69" i="41" s="1"/>
  <c r="M68" i="41"/>
  <c r="I68" i="41"/>
  <c r="J68" i="41" s="1"/>
  <c r="M67" i="41"/>
  <c r="I67" i="41"/>
  <c r="J67" i="41" s="1"/>
  <c r="M70" i="41"/>
  <c r="I70" i="41"/>
  <c r="J70" i="41" s="1"/>
  <c r="G66" i="41"/>
  <c r="M66" i="41" s="1"/>
  <c r="L22" i="40"/>
  <c r="G65" i="41"/>
  <c r="M65" i="41" s="1"/>
  <c r="G64" i="41"/>
  <c r="M64" i="41" s="1"/>
  <c r="G63" i="41"/>
  <c r="M63" i="41" s="1"/>
  <c r="G59" i="41"/>
  <c r="M59" i="41" s="1"/>
  <c r="G55" i="41"/>
  <c r="M55" i="41" s="1"/>
  <c r="G61" i="41"/>
  <c r="M61" i="41" s="1"/>
  <c r="G57" i="41"/>
  <c r="M57" i="41" s="1"/>
  <c r="G62" i="41"/>
  <c r="M62" i="41" s="1"/>
  <c r="G58" i="41"/>
  <c r="M58" i="41" s="1"/>
  <c r="G54" i="41"/>
  <c r="G56" i="41"/>
  <c r="M56" i="41" s="1"/>
  <c r="G60" i="41"/>
  <c r="M60" i="41" s="1"/>
  <c r="E73" i="25"/>
  <c r="L8" i="40" l="1"/>
  <c r="M54" i="41"/>
  <c r="G12" i="41"/>
  <c r="H66" i="41"/>
  <c r="I66" i="41" s="1"/>
  <c r="J66" i="41" s="1"/>
  <c r="E72" i="25"/>
  <c r="H65" i="41" l="1"/>
  <c r="I65" i="41" s="1"/>
  <c r="J65" i="41" s="1"/>
  <c r="H64" i="41"/>
  <c r="I64" i="41" s="1"/>
  <c r="J64" i="41" s="1"/>
  <c r="H55" i="41"/>
  <c r="I55" i="41" s="1"/>
  <c r="J55" i="41" s="1"/>
  <c r="H57" i="41"/>
  <c r="I57" i="41" s="1"/>
  <c r="J57" i="41" s="1"/>
  <c r="H59" i="41"/>
  <c r="I59" i="41" s="1"/>
  <c r="H61" i="41"/>
  <c r="I61" i="41" s="1"/>
  <c r="J61" i="41" s="1"/>
  <c r="H63" i="41"/>
  <c r="I63" i="41" s="1"/>
  <c r="J63" i="41" s="1"/>
  <c r="H56" i="41"/>
  <c r="I56" i="41" s="1"/>
  <c r="J56" i="41" s="1"/>
  <c r="H58" i="41"/>
  <c r="I58" i="41" s="1"/>
  <c r="H60" i="41"/>
  <c r="H62" i="41"/>
  <c r="I62" i="41" s="1"/>
  <c r="J62" i="41" s="1"/>
  <c r="H54" i="41"/>
  <c r="H12" i="41" l="1"/>
  <c r="K31" i="49"/>
  <c r="K31" i="45"/>
  <c r="J58" i="41"/>
  <c r="M3" i="41" s="1"/>
  <c r="N3" i="41" s="1"/>
  <c r="J59" i="41"/>
  <c r="M4" i="41" s="1"/>
  <c r="N4" i="41" s="1"/>
  <c r="I60" i="41"/>
  <c r="J60" i="41" s="1"/>
  <c r="M5" i="41" s="1"/>
  <c r="N5" i="41" s="1"/>
  <c r="M8" i="41"/>
  <c r="N8" i="41" s="1"/>
  <c r="M2" i="41"/>
  <c r="M7" i="41"/>
  <c r="N7" i="41" s="1"/>
  <c r="I54" i="41"/>
  <c r="N2" i="41" l="1"/>
  <c r="J54" i="41"/>
  <c r="M6" i="41" s="1"/>
  <c r="N6" i="41" s="1"/>
  <c r="H15" i="47"/>
  <c r="I15" i="47" s="1"/>
  <c r="J15" i="47" s="1"/>
  <c r="H13" i="47"/>
  <c r="I13" i="47" s="1"/>
  <c r="J13" i="47" s="1"/>
  <c r="H14" i="47"/>
  <c r="I14" i="47" s="1"/>
  <c r="J14" i="47" s="1"/>
  <c r="H12" i="47"/>
  <c r="I12" i="47" s="1"/>
  <c r="K54" i="41" l="1"/>
  <c r="K55" i="41" s="1"/>
  <c r="K56" i="41" s="1"/>
  <c r="K57" i="41" s="1"/>
  <c r="K58" i="41" s="1"/>
  <c r="K59" i="41" s="1"/>
  <c r="K60" i="41" s="1"/>
  <c r="K61" i="41" s="1"/>
  <c r="K62" i="41" s="1"/>
  <c r="K63" i="41" s="1"/>
  <c r="K64" i="41" s="1"/>
  <c r="K65" i="41" s="1"/>
  <c r="K66" i="41" s="1"/>
  <c r="K67" i="41" s="1"/>
  <c r="K68" i="41" s="1"/>
  <c r="K69" i="41" s="1"/>
  <c r="K70" i="41" s="1"/>
  <c r="K71" i="41" s="1"/>
  <c r="K72" i="41" s="1"/>
  <c r="K73" i="41" s="1"/>
  <c r="K74" i="41" s="1"/>
  <c r="K75" i="41" s="1"/>
  <c r="K76" i="41" s="1"/>
  <c r="K77" i="41" s="1"/>
  <c r="K78" i="41" s="1"/>
  <c r="K79" i="41" s="1"/>
  <c r="K80" i="41" s="1"/>
  <c r="K81" i="41" s="1"/>
  <c r="K82" i="41" s="1"/>
  <c r="K83" i="41" s="1"/>
  <c r="M9" i="41"/>
  <c r="N9" i="41"/>
  <c r="N10" i="54" s="1"/>
  <c r="C29" i="45"/>
  <c r="D23" i="45"/>
  <c r="G10" i="47"/>
  <c r="J12" i="47"/>
  <c r="K5" i="47" s="1"/>
  <c r="K3" i="47"/>
  <c r="K4" i="47"/>
  <c r="H10" i="47"/>
  <c r="M10" i="41" l="1"/>
  <c r="M10" i="54"/>
  <c r="N10" i="41"/>
  <c r="C30" i="45"/>
  <c r="C31" i="45" s="1"/>
  <c r="K6" i="47"/>
  <c r="K12" i="47"/>
  <c r="K13" i="47" s="1"/>
  <c r="K14" i="47" s="1"/>
  <c r="K15" i="47" s="1"/>
  <c r="H27" i="47"/>
  <c r="I27" i="47" s="1"/>
  <c r="J27" i="47" s="1"/>
  <c r="H26" i="47"/>
  <c r="I26" i="47" s="1"/>
  <c r="J26" i="47" s="1"/>
  <c r="H28" i="47"/>
  <c r="I28" i="47" s="1"/>
  <c r="J28" i="47" s="1"/>
  <c r="H21" i="47"/>
  <c r="I21" i="47" s="1"/>
  <c r="J21" i="47" s="1"/>
  <c r="H17" i="47"/>
  <c r="I17" i="47" s="1"/>
  <c r="J17" i="47" s="1"/>
  <c r="H22" i="47"/>
  <c r="I22" i="47" s="1"/>
  <c r="J22" i="47" s="1"/>
  <c r="L2" i="47" s="1"/>
  <c r="H19" i="47"/>
  <c r="I19" i="47" s="1"/>
  <c r="J19" i="47" s="1"/>
  <c r="H20" i="47"/>
  <c r="I20" i="47" s="1"/>
  <c r="J20" i="47" s="1"/>
  <c r="H24" i="47"/>
  <c r="I24" i="47" s="1"/>
  <c r="J24" i="47" s="1"/>
  <c r="H25" i="47"/>
  <c r="I25" i="47" s="1"/>
  <c r="J25" i="47" s="1"/>
  <c r="H23" i="47"/>
  <c r="I23" i="47" s="1"/>
  <c r="J23" i="47" s="1"/>
  <c r="H18" i="47"/>
  <c r="I18" i="47" s="1"/>
  <c r="J18" i="47" s="1"/>
  <c r="G24" i="45"/>
  <c r="H16" i="47"/>
  <c r="I16" i="47" s="1"/>
  <c r="J16" i="47" s="1"/>
  <c r="L5" i="47" l="1"/>
  <c r="G29" i="45"/>
  <c r="H9" i="45"/>
  <c r="K16" i="47"/>
  <c r="K17" i="47" s="1"/>
  <c r="K18" i="47" s="1"/>
  <c r="K19" i="47" s="1"/>
  <c r="K20" i="47" s="1"/>
  <c r="K21" i="47" s="1"/>
  <c r="K22" i="47" s="1"/>
  <c r="K23" i="47" s="1"/>
  <c r="K24" i="47" s="1"/>
  <c r="K25" i="47" s="1"/>
  <c r="K26" i="47" s="1"/>
  <c r="K27" i="47" s="1"/>
  <c r="K28" i="47" s="1"/>
  <c r="L3" i="47"/>
  <c r="L4" i="47"/>
  <c r="H23" i="45"/>
  <c r="H8" i="45"/>
  <c r="H34" i="47"/>
  <c r="I34" i="47" s="1"/>
  <c r="J34" i="47" s="1"/>
  <c r="H35" i="47"/>
  <c r="I35" i="47" s="1"/>
  <c r="J35" i="47" s="1"/>
  <c r="H33" i="47"/>
  <c r="I33" i="47" s="1"/>
  <c r="J33" i="47" s="1"/>
  <c r="H36" i="47"/>
  <c r="I36" i="47" s="1"/>
  <c r="J36" i="47" s="1"/>
  <c r="H30" i="47"/>
  <c r="I30" i="47" s="1"/>
  <c r="J30" i="47" s="1"/>
  <c r="H31" i="47"/>
  <c r="I31" i="47" s="1"/>
  <c r="J31" i="47" s="1"/>
  <c r="H29" i="47"/>
  <c r="I29" i="47" s="1"/>
  <c r="J29" i="47" s="1"/>
  <c r="H32" i="47"/>
  <c r="I32" i="47" s="1"/>
  <c r="J32" i="47" s="1"/>
  <c r="G30" i="45" l="1"/>
  <c r="G31" i="45" s="1"/>
  <c r="K29" i="47"/>
  <c r="K30" i="47" s="1"/>
  <c r="K31" i="47" s="1"/>
  <c r="K32" i="47" s="1"/>
  <c r="K33" i="47" s="1"/>
  <c r="K34" i="47" s="1"/>
  <c r="K35" i="47" s="1"/>
  <c r="K36" i="47" s="1"/>
  <c r="L6" i="47"/>
  <c r="M3" i="47"/>
  <c r="N3" i="47" s="1"/>
  <c r="M5" i="47"/>
  <c r="N5" i="47" s="1"/>
  <c r="M2" i="47"/>
  <c r="L23" i="45"/>
  <c r="M4" i="47"/>
  <c r="N4" i="47" s="1"/>
  <c r="R23" i="45" l="1"/>
  <c r="N2" i="47"/>
  <c r="N6" i="47" s="1"/>
  <c r="M6" i="47"/>
  <c r="R8" i="45"/>
  <c r="I24" i="53"/>
  <c r="J24" i="53" s="1"/>
  <c r="I25" i="53"/>
  <c r="J25" i="53" s="1"/>
  <c r="I26" i="53"/>
  <c r="J26" i="53" s="1"/>
  <c r="I27" i="53"/>
  <c r="J27" i="53" s="1"/>
  <c r="I28" i="53"/>
  <c r="J28" i="53" s="1"/>
  <c r="I29" i="53"/>
  <c r="J29" i="53" s="1"/>
  <c r="I30" i="53"/>
  <c r="J30" i="53" s="1"/>
  <c r="I31" i="53"/>
  <c r="J31" i="53" s="1"/>
  <c r="I32" i="53"/>
  <c r="J32" i="53" s="1"/>
  <c r="I33" i="53"/>
  <c r="J33" i="53" s="1"/>
  <c r="I34" i="53"/>
  <c r="J34" i="53" s="1"/>
  <c r="I35" i="53"/>
  <c r="J35" i="53" s="1"/>
  <c r="I36" i="53"/>
  <c r="J36" i="53" s="1"/>
  <c r="I37" i="53"/>
  <c r="J37" i="53" s="1"/>
  <c r="I38" i="53"/>
  <c r="J38" i="53" s="1"/>
  <c r="I39" i="53"/>
  <c r="J39" i="53" s="1"/>
  <c r="I40" i="53"/>
  <c r="J40" i="53" s="1"/>
  <c r="I41" i="53"/>
  <c r="J41" i="53" s="1"/>
  <c r="I42" i="53"/>
  <c r="J42" i="53" s="1"/>
  <c r="I43" i="53"/>
  <c r="J43" i="53" s="1"/>
  <c r="I44" i="53"/>
  <c r="J44" i="53" s="1"/>
  <c r="I45" i="53"/>
  <c r="J45" i="53" s="1"/>
  <c r="I46" i="53"/>
  <c r="J46" i="53" s="1"/>
  <c r="I47" i="53"/>
  <c r="J47" i="53" s="1"/>
  <c r="I48" i="53"/>
  <c r="J48" i="53" s="1"/>
  <c r="I49" i="53"/>
  <c r="J49" i="53" s="1"/>
  <c r="I50" i="53"/>
  <c r="J50" i="53" s="1"/>
  <c r="I51" i="53"/>
  <c r="J51" i="53" s="1"/>
  <c r="I52" i="53"/>
  <c r="J52" i="53" s="1"/>
  <c r="I53" i="53"/>
  <c r="J53" i="53" s="1"/>
  <c r="I23" i="53"/>
  <c r="J23" i="53" s="1"/>
  <c r="H11" i="53"/>
  <c r="L6" i="53" l="1"/>
  <c r="N6" i="53" s="1"/>
  <c r="O6" i="47"/>
  <c r="L3" i="53"/>
  <c r="N3" i="53" s="1"/>
  <c r="K23" i="53"/>
  <c r="K24" i="53" s="1"/>
  <c r="K25" i="53" s="1"/>
  <c r="K26" i="53" s="1"/>
  <c r="K27" i="53" s="1"/>
  <c r="K28" i="53" s="1"/>
  <c r="K29" i="53" s="1"/>
  <c r="K30" i="53" s="1"/>
  <c r="K31" i="53" s="1"/>
  <c r="K32" i="53" s="1"/>
  <c r="K33" i="53" s="1"/>
  <c r="K34" i="53" s="1"/>
  <c r="K35" i="53" s="1"/>
  <c r="K36" i="53" s="1"/>
  <c r="K37" i="53" s="1"/>
  <c r="K38" i="53" s="1"/>
  <c r="K39" i="53" s="1"/>
  <c r="K40" i="53" s="1"/>
  <c r="K41" i="53" s="1"/>
  <c r="K42" i="53" s="1"/>
  <c r="K43" i="53" s="1"/>
  <c r="K44" i="53" s="1"/>
  <c r="K45" i="53" s="1"/>
  <c r="K46" i="53" s="1"/>
  <c r="K47" i="53" s="1"/>
  <c r="K48" i="53" s="1"/>
  <c r="K49" i="53" s="1"/>
  <c r="K50" i="53" s="1"/>
  <c r="K51" i="53" s="1"/>
  <c r="K52" i="53" s="1"/>
  <c r="K53" i="53" s="1"/>
  <c r="K54" i="53" s="1"/>
  <c r="K55" i="53" s="1"/>
  <c r="K56" i="53" s="1"/>
  <c r="K57" i="53" s="1"/>
  <c r="K58" i="53" s="1"/>
  <c r="K59" i="53" s="1"/>
  <c r="K60" i="53" s="1"/>
  <c r="K61" i="53" s="1"/>
  <c r="K62" i="53" s="1"/>
  <c r="K63" i="53" s="1"/>
  <c r="K64" i="53" s="1"/>
  <c r="K65" i="53" s="1"/>
  <c r="K66" i="53" s="1"/>
  <c r="L7" i="53"/>
  <c r="N7" i="53" s="1"/>
  <c r="L4" i="53"/>
  <c r="N4" i="53" s="1"/>
  <c r="L5" i="53"/>
  <c r="N5" i="53" s="1"/>
  <c r="L8" i="53"/>
  <c r="N8" i="53" s="1"/>
  <c r="L2" i="53"/>
  <c r="N2" i="53" l="1"/>
  <c r="N9" i="53" s="1"/>
  <c r="L9" i="53"/>
  <c r="P10" i="41"/>
  <c r="Y9" i="39" l="1"/>
  <c r="Y11" i="39"/>
  <c r="Q34" i="45"/>
  <c r="Q35" i="45" s="1"/>
  <c r="Q37" i="45" s="1"/>
  <c r="Y3" i="39"/>
  <c r="Y14" i="39"/>
  <c r="W19" i="39" l="1"/>
  <c r="Q22" i="40"/>
  <c r="Y27" i="39"/>
  <c r="Y34" i="39" s="1"/>
  <c r="Q9" i="45"/>
  <c r="R9" i="45" s="1"/>
  <c r="Y25" i="39"/>
  <c r="Q2" i="40"/>
  <c r="Q6" i="40" s="1"/>
  <c r="W17" i="39"/>
  <c r="Q2" i="52"/>
  <c r="S2" i="52" s="1"/>
  <c r="W4" i="39"/>
  <c r="W18" i="39"/>
  <c r="W20" i="39"/>
  <c r="Q32" i="40" l="1"/>
  <c r="O32" i="40" s="1"/>
  <c r="S6" i="40"/>
  <c r="Q8" i="40"/>
  <c r="Q23" i="40" s="1"/>
  <c r="Y36" i="39"/>
  <c r="Q6" i="52"/>
  <c r="S6" i="52" s="1"/>
  <c r="R2" i="40"/>
  <c r="S2" i="40"/>
  <c r="W23" i="39"/>
  <c r="X39" i="39" s="1"/>
  <c r="X23" i="39"/>
  <c r="W27" i="39"/>
  <c r="X40" i="39" s="1"/>
  <c r="X41" i="39" s="1"/>
  <c r="X27" i="39"/>
  <c r="X26" i="39"/>
  <c r="W26" i="39"/>
  <c r="R2" i="52"/>
  <c r="Q33" i="40"/>
  <c r="Q34" i="40" s="1"/>
  <c r="Q36" i="40" s="1"/>
  <c r="R6" i="40"/>
  <c r="R8" i="40" l="1"/>
  <c r="Q27" i="40"/>
  <c r="Q28" i="40" s="1"/>
  <c r="Q31" i="45" s="1"/>
  <c r="R22" i="40"/>
  <c r="Y43" i="39"/>
  <c r="R6" i="52"/>
  <c r="Q8" i="52"/>
  <c r="Q23" i="52" s="1"/>
  <c r="Q22" i="5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Tasa Interés Corriente
(NAMV)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C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Tasa Interés Corriente
(NAMV)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CEAS 74909</author>
  </authors>
  <commentList>
    <comment ref="M585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Se cierra por causas de salud</t>
        </r>
      </text>
    </comment>
    <comment ref="M586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Se cierra por causas de salud</t>
        </r>
      </text>
    </comment>
    <comment ref="M588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Rosa no trabajo</t>
        </r>
      </text>
    </comment>
    <comment ref="M590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Fue de 600.000 x que el evento fue de 300,000</t>
        </r>
      </text>
    </comment>
    <comment ref="M591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Ferias y fiestas Sopo</t>
        </r>
      </text>
    </comment>
    <comment ref="M600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>Día feriado
fue un dia hábil</t>
        </r>
      </text>
    </comment>
    <comment ref="M608" authorId="1" shapeId="0" xr:uid="{00000000-0006-0000-0500-000007000000}">
      <text>
        <r>
          <rPr>
            <b/>
            <sz val="9"/>
            <color indexed="81"/>
            <rFont val="Tahoma"/>
            <family val="2"/>
          </rPr>
          <t>Domicilio autodromo</t>
        </r>
      </text>
    </comment>
    <comment ref="M609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>Primer día que se cierra para la reducción de costos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CEAS 74909</author>
    <author>Usuario</author>
  </authors>
  <commentList>
    <comment ref="D23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Expectativos nuevo negocio en la zona, 
Gente recibe quincena</t>
        </r>
      </text>
    </comment>
    <comment ref="G23" authorId="1" shapeId="0" xr:uid="{00000000-0006-0000-0C00-000002000000}">
      <text>
        <r>
          <rPr>
            <b/>
            <sz val="9"/>
            <color indexed="81"/>
            <rFont val="Tahoma"/>
            <family val="2"/>
          </rPr>
          <t>Se cayo el sistema de facturaciòn de venta
La mesera no fue</t>
        </r>
      </text>
    </comment>
    <comment ref="H23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 xml:space="preserve">Los almuerzos de volvieron a subir de precio </t>
        </r>
      </text>
    </comment>
    <comment ref="I23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Se contrata a Henry primer semana</t>
        </r>
      </text>
    </comment>
    <comment ref="J23" authorId="1" shapeId="0" xr:uid="{00000000-0006-0000-0C00-000005000000}">
      <text>
        <r>
          <rPr>
            <b/>
            <sz val="9"/>
            <color indexed="81"/>
            <rFont val="Tahoma"/>
            <family val="2"/>
          </rPr>
          <t>Día de puente, hubo mariachis</t>
        </r>
      </text>
    </comment>
    <comment ref="K23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Se trabaja con dos personas en lugar de 3 
-  Mesero 1/2 turno
- Rosa
-  Papá</t>
        </r>
      </text>
    </comment>
    <comment ref="N23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Se cierra más temprano por causas de salud del señor José</t>
        </r>
      </text>
    </comment>
    <comment ref="D24" authorId="1" shapeId="0" xr:uid="{00000000-0006-0000-0C00-000008000000}">
      <text>
        <r>
          <rPr>
            <b/>
            <sz val="9"/>
            <color indexed="81"/>
            <rFont val="Tahoma"/>
            <family val="2"/>
          </rPr>
          <t>expectativas de los clientes caen por los ejecutivos</t>
        </r>
      </text>
    </comment>
    <comment ref="G24" authorId="1" shapeId="0" xr:uid="{00000000-0006-0000-0C00-000009000000}">
      <text>
        <r>
          <rPr>
            <b/>
            <sz val="9"/>
            <color indexed="81"/>
            <rFont val="Tahoma"/>
            <family val="2"/>
          </rPr>
          <t>- Se despide a ayudante de cocina, ya que el perfil no se adecua al modelo de negocio
- Desde el día anterio papá trabaja como chef, puesto que ya no se requiere el trabajo de ayudante de cocina 2
Llovio</t>
        </r>
      </text>
    </comment>
    <comment ref="H24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últimos días del mes, probablemente gente si plata</t>
        </r>
      </text>
    </comment>
    <comment ref="I24" authorId="1" shapeId="0" xr:uid="{00000000-0006-0000-0C00-00000B000000}">
      <text>
        <r>
          <rPr>
            <b/>
            <sz val="9"/>
            <color indexed="81"/>
            <rFont val="Tahoma"/>
            <family val="2"/>
          </rPr>
          <t>Parece que las personas se gastaron la plata por el puente y quincena que ya paso</t>
        </r>
      </text>
    </comment>
    <comment ref="J24" authorId="1" shapeId="0" xr:uid="{00000000-0006-0000-0C00-00000C000000}">
      <text>
        <r>
          <rPr>
            <b/>
            <sz val="9"/>
            <color indexed="81"/>
            <rFont val="Tahoma"/>
            <family val="2"/>
          </rPr>
          <t>Fue un dìa muy malo, se dejo de contratar al ayudante de cocina, los fines de semana</t>
        </r>
      </text>
    </comment>
    <comment ref="K24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Manual y papa, impulsan las hamburguesas</t>
        </r>
      </text>
    </comment>
    <comment ref="M24" authorId="1" shapeId="0" xr:uid="{00000000-0006-0000-0C00-00000E000000}">
      <text>
        <r>
          <rPr>
            <b/>
            <sz val="9"/>
            <color indexed="81"/>
            <rFont val="Tahoma"/>
            <family val="2"/>
          </rPr>
          <t>Día hábil de pérdida, se contrata mesero hombre el lugar de mujer</t>
        </r>
      </text>
    </comment>
    <comment ref="N24" authorId="0" shapeId="0" xr:uid="{00000000-0006-0000-0C00-00000F000000}">
      <text>
        <r>
          <rPr>
            <b/>
            <sz val="9"/>
            <color indexed="81"/>
            <rFont val="Tahoma"/>
            <family val="2"/>
          </rPr>
          <t>Se cerro por causas de salud, vueltas al centro medico para tener salud</t>
        </r>
      </text>
    </comment>
    <comment ref="P24" authorId="0" shapeId="0" xr:uid="{00000000-0006-0000-0C00-000010000000}">
      <text>
        <r>
          <rPr>
            <b/>
            <sz val="9"/>
            <color indexed="81"/>
            <rFont val="Tahoma"/>
            <family val="2"/>
          </rPr>
          <t>Empresas otorgan este dia a empleados, estuvo bueno</t>
        </r>
      </text>
    </comment>
    <comment ref="D25" authorId="1" shapeId="0" xr:uid="{00000000-0006-0000-0C00-000011000000}">
      <text>
        <r>
          <rPr>
            <b/>
            <sz val="9"/>
            <color indexed="81"/>
            <rFont val="Tahoma"/>
            <family val="2"/>
          </rPr>
          <t>Expectativas de los clientes caen</t>
        </r>
      </text>
    </comment>
    <comment ref="F25" authorId="1" shapeId="0" xr:uid="{00000000-0006-0000-0C00-000012000000}">
      <text>
        <r>
          <rPr>
            <b/>
            <sz val="9"/>
            <color indexed="81"/>
            <rFont val="Tahoma"/>
            <family val="2"/>
          </rPr>
          <t xml:space="preserve">se impulsarón los ejecutivos a 9000 los desde el martes.
La demanda es inelastica y rentable </t>
        </r>
      </text>
    </comment>
    <comment ref="G25" authorId="1" shapeId="0" xr:uid="{00000000-0006-0000-0C00-000013000000}">
      <text>
        <r>
          <rPr>
            <b/>
            <sz val="9"/>
            <color indexed="81"/>
            <rFont val="Tahoma"/>
            <family val="2"/>
          </rPr>
          <t xml:space="preserve">La ventas crecen debido al cambio de calidad de comida,
Papá se metio a la cocina y se ahorra la nomina del auxiliar de cocina
</t>
        </r>
      </text>
    </comment>
    <comment ref="I25" authorId="0" shapeId="0" xr:uid="{00000000-0006-0000-0C00-000014000000}">
      <text>
        <r>
          <rPr>
            <b/>
            <sz val="9"/>
            <color indexed="81"/>
            <rFont val="Tahoma"/>
            <family val="2"/>
          </rPr>
          <t>Bajo un conductor con varios pasajeros
Dinero golondrina</t>
        </r>
      </text>
    </comment>
    <comment ref="J25" authorId="1" shapeId="0" xr:uid="{00000000-0006-0000-0C00-000015000000}">
      <text>
        <r>
          <rPr>
            <b/>
            <sz val="9"/>
            <color indexed="81"/>
            <rFont val="Tahoma"/>
            <family val="2"/>
          </rPr>
          <t>Hay factores exogenos que NO IDENTIFICADOS
eventos?, competencia?, mal servicio?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5" authorId="1" shapeId="0" xr:uid="{00000000-0006-0000-0C00-000016000000}">
      <text>
        <r>
          <rPr>
            <b/>
            <sz val="9"/>
            <color indexed="81"/>
            <rFont val="Tahoma"/>
            <family val="2"/>
          </rPr>
          <t>Paro , se dificulta el transporte en el portal norte</t>
        </r>
      </text>
    </comment>
    <comment ref="P25" authorId="0" shapeId="0" xr:uid="{00000000-0006-0000-0C00-000017000000}">
      <text>
        <r>
          <rPr>
            <b/>
            <sz val="9"/>
            <color indexed="81"/>
            <rFont val="Tahoma"/>
            <family val="2"/>
          </rPr>
          <t>Navidad</t>
        </r>
      </text>
    </comment>
    <comment ref="Q25" authorId="0" shapeId="0" xr:uid="{00000000-0006-0000-0C00-000018000000}">
      <text>
        <r>
          <rPr>
            <b/>
            <sz val="9"/>
            <color indexed="81"/>
            <rFont val="Tahoma"/>
            <family val="2"/>
          </rPr>
          <t>Domicilio holtel</t>
        </r>
      </text>
    </comment>
    <comment ref="E26" authorId="1" shapeId="0" xr:uid="{00000000-0006-0000-0C00-000019000000}">
      <text>
        <r>
          <rPr>
            <b/>
            <sz val="9"/>
            <color indexed="81"/>
            <rFont val="Tahoma"/>
            <family val="2"/>
          </rPr>
          <t>tendencia a la baja, los ejecutivos tienen a crisis</t>
        </r>
      </text>
    </comment>
    <comment ref="H26" authorId="0" shapeId="0" xr:uid="{00000000-0006-0000-0C00-00001A000000}">
      <text>
        <r>
          <rPr>
            <b/>
            <sz val="9"/>
            <color indexed="81"/>
            <rFont val="Tahoma"/>
            <family val="2"/>
          </rPr>
          <t>Pagaron quincena</t>
        </r>
      </text>
    </comment>
    <comment ref="J26" authorId="1" shapeId="0" xr:uid="{00000000-0006-0000-0C00-00001B000000}">
      <text>
        <r>
          <rPr>
            <b/>
            <sz val="9"/>
            <color indexed="81"/>
            <rFont val="Tahoma"/>
            <family val="2"/>
          </rPr>
          <t>Se da la noticia de no abrir más entre semana</t>
        </r>
      </text>
    </comment>
    <comment ref="K26" authorId="0" shapeId="0" xr:uid="{00000000-0006-0000-0C00-00001C000000}">
      <text>
        <r>
          <rPr>
            <sz val="9"/>
            <color indexed="81"/>
            <rFont val="Tahoma"/>
            <family val="2"/>
          </rPr>
          <t xml:space="preserve">Rosa labora
manual le sale un turno en otro lado
se contrata una venezonala "bonita??" un poco costosa
</t>
        </r>
      </text>
    </comment>
    <comment ref="L26" authorId="1" shapeId="0" xr:uid="{00000000-0006-0000-0C00-00001D000000}">
      <text>
        <r>
          <rPr>
            <b/>
            <sz val="9"/>
            <color indexed="81"/>
            <rFont val="Tahoma"/>
            <family val="2"/>
          </rPr>
          <t>Efecto del paro</t>
        </r>
      </text>
    </comment>
    <comment ref="N26" authorId="0" shapeId="0" xr:uid="{00000000-0006-0000-0C00-00001E000000}">
      <text>
        <r>
          <rPr>
            <b/>
            <sz val="9"/>
            <color indexed="81"/>
            <rFont val="Tahoma"/>
            <family val="2"/>
          </rPr>
          <t>Rosa no trabajo</t>
        </r>
      </text>
    </comment>
    <comment ref="O26" authorId="0" shapeId="0" xr:uid="{00000000-0006-0000-0C00-00001F000000}">
      <text>
        <r>
          <rPr>
            <b/>
            <sz val="9"/>
            <color indexed="81"/>
            <rFont val="Tahoma"/>
            <family val="2"/>
          </rPr>
          <t xml:space="preserve">La carta hace que se incrementa las ventas en un 50% 
</t>
        </r>
      </text>
    </comment>
    <comment ref="P26" authorId="0" shapeId="0" xr:uid="{00000000-0006-0000-0C00-000020000000}">
      <text>
        <r>
          <rPr>
            <b/>
            <sz val="9"/>
            <color indexed="81"/>
            <rFont val="Tahoma"/>
            <family val="2"/>
          </rPr>
          <t>Personas viajan</t>
        </r>
      </text>
    </comment>
    <comment ref="Q26" authorId="0" shapeId="0" xr:uid="{00000000-0006-0000-0C00-000021000000}">
      <text>
        <r>
          <rPr>
            <b/>
            <sz val="9"/>
            <color indexed="81"/>
            <rFont val="Tahoma"/>
            <family val="2"/>
          </rPr>
          <t>Se cierra, dia de afiliaciones</t>
        </r>
      </text>
    </comment>
    <comment ref="F27" authorId="1" shapeId="0" xr:uid="{00000000-0006-0000-0C00-000022000000}">
      <text>
        <r>
          <rPr>
            <b/>
            <sz val="9"/>
            <color indexed="81"/>
            <rFont val="Tahoma"/>
            <family val="2"/>
          </rPr>
          <t>disminuyen las expectativas de los viernes happy</t>
        </r>
      </text>
    </comment>
    <comment ref="G27" authorId="1" shapeId="0" xr:uid="{00000000-0006-0000-0C00-000023000000}">
      <text>
        <r>
          <rPr>
            <b/>
            <sz val="9"/>
            <color indexed="81"/>
            <rFont val="Tahoma"/>
            <family val="2"/>
          </rPr>
          <t>Evento:
eventos de 60 personas, mujeres que politicos;
Cárne parrilla</t>
        </r>
        <r>
          <rPr>
            <sz val="9"/>
            <color indexed="81"/>
            <rFont val="Tahoma"/>
            <family val="2"/>
          </rPr>
          <t xml:space="preserve">
Casi no se vendio almuerzos</t>
        </r>
      </text>
    </comment>
    <comment ref="J27" authorId="1" shapeId="0" xr:uid="{00000000-0006-0000-0C00-000024000000}">
      <text>
        <r>
          <rPr>
            <b/>
            <sz val="9"/>
            <color indexed="81"/>
            <rFont val="Tahoma"/>
            <family val="2"/>
          </rPr>
          <t>Las bajas ventas hace que no se alcance a pagar la nomina</t>
        </r>
      </text>
    </comment>
    <comment ref="K27" authorId="0" shapeId="0" xr:uid="{00000000-0006-0000-0C00-000025000000}">
      <text>
        <r>
          <rPr>
            <b/>
            <sz val="9"/>
            <color indexed="81"/>
            <rFont val="Tahoma"/>
            <family val="2"/>
          </rPr>
          <t>efectos del paro
se contrata al aguien sin experiencia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7" authorId="1" shapeId="0" xr:uid="{00000000-0006-0000-0C00-000026000000}">
      <text>
        <r>
          <rPr>
            <b/>
            <sz val="9"/>
            <color indexed="81"/>
            <rFont val="Tahoma"/>
            <family val="2"/>
          </rPr>
          <t>Recuperaciòn en el paìs del sector comercio por el efecto del paro</t>
        </r>
      </text>
    </comment>
    <comment ref="M27" authorId="1" shapeId="0" xr:uid="{00000000-0006-0000-0C00-000027000000}">
      <text>
        <r>
          <rPr>
            <b/>
            <sz val="9"/>
            <color indexed="81"/>
            <rFont val="Tahoma"/>
            <family val="2"/>
          </rPr>
          <t>Rosa disminuye produtividad, por la notificación, Persiste dìa de paro</t>
        </r>
      </text>
    </comment>
    <comment ref="P27" authorId="0" shapeId="0" xr:uid="{00000000-0006-0000-0C00-000028000000}">
      <text>
        <r>
          <rPr>
            <b/>
            <sz val="9"/>
            <color indexed="81"/>
            <rFont val="Tahoma"/>
            <family val="2"/>
          </rPr>
          <t>Personas viajan</t>
        </r>
      </text>
    </comment>
    <comment ref="D28" authorId="1" shapeId="0" xr:uid="{00000000-0006-0000-0C00-000029000000}">
      <text>
        <r>
          <rPr>
            <b/>
            <sz val="9"/>
            <color indexed="81"/>
            <rFont val="Tahoma"/>
            <family val="2"/>
          </rPr>
          <t>Se pudo vender más
(arreglo en la vìa)</t>
        </r>
      </text>
    </comment>
    <comment ref="G28" authorId="0" shapeId="0" xr:uid="{00000000-0006-0000-0C00-00002A000000}">
      <text>
        <r>
          <rPr>
            <b/>
            <sz val="9"/>
            <color indexed="81"/>
            <rFont val="Tahoma"/>
            <family val="2"/>
          </rPr>
          <t>elecciones, mi padre dice que se bajo las ventas debido a que se daba comida en otras partes</t>
        </r>
      </text>
    </comment>
    <comment ref="I28" authorId="1" shapeId="0" xr:uid="{00000000-0006-0000-0C00-00002B000000}">
      <text>
        <r>
          <rPr>
            <b/>
            <sz val="9"/>
            <color indexed="81"/>
            <rFont val="Tahoma"/>
            <family val="2"/>
          </rPr>
          <t>Dinero golondrina: personas de un hotel</t>
        </r>
      </text>
    </comment>
    <comment ref="J28" authorId="1" shapeId="0" xr:uid="{00000000-0006-0000-0C00-00002C000000}">
      <text>
        <r>
          <rPr>
            <b/>
            <sz val="9"/>
            <color indexed="81"/>
            <rFont val="Tahoma"/>
            <family val="2"/>
          </rPr>
          <t>Empleados dicen que mi padre cambia mucho de precios</t>
        </r>
      </text>
    </comment>
    <comment ref="K28" authorId="0" shapeId="0" xr:uid="{00000000-0006-0000-0C00-00002D000000}">
      <text>
        <r>
          <rPr>
            <b/>
            <sz val="9"/>
            <color indexed="81"/>
            <rFont val="Tahoma"/>
            <family val="2"/>
          </rPr>
          <t>Se contrata a la colombiana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" authorId="1" shapeId="0" xr:uid="{00000000-0006-0000-0C00-00002E000000}">
      <text>
        <r>
          <rPr>
            <b/>
            <sz val="9"/>
            <color indexed="81"/>
            <rFont val="Tahoma"/>
            <family val="2"/>
          </rPr>
          <t>Evento</t>
        </r>
      </text>
    </comment>
    <comment ref="M28" authorId="1" shapeId="0" xr:uid="{00000000-0006-0000-0C00-00002F000000}">
      <text>
        <r>
          <rPr>
            <b/>
            <sz val="9"/>
            <color indexed="81"/>
            <rFont val="Tahoma"/>
            <family val="2"/>
          </rPr>
          <t>Evento</t>
        </r>
      </text>
    </comment>
    <comment ref="N28" authorId="0" shapeId="0" xr:uid="{00000000-0006-0000-0C00-000030000000}">
      <text>
        <r>
          <rPr>
            <b/>
            <sz val="9"/>
            <color indexed="81"/>
            <rFont val="Tahoma"/>
            <family val="2"/>
          </rPr>
          <t>Se vendio 300. en un evento, las ventas en realida caen</t>
        </r>
      </text>
    </comment>
    <comment ref="O28" authorId="0" shapeId="0" xr:uid="{00000000-0006-0000-0C00-000031000000}">
      <text>
        <r>
          <rPr>
            <b/>
            <sz val="9"/>
            <color indexed="81"/>
            <rFont val="Tahoma"/>
            <family val="2"/>
          </rPr>
          <t>Ferias y fiestas de sopo</t>
        </r>
      </text>
    </comment>
    <comment ref="P28" authorId="0" shapeId="0" xr:uid="{00000000-0006-0000-0C00-000032000000}">
      <text>
        <r>
          <rPr>
            <b/>
            <sz val="9"/>
            <color indexed="81"/>
            <rFont val="Tahoma"/>
            <family val="2"/>
          </rPr>
          <t>Perssonas realizan compras de navidad en Tocancipa</t>
        </r>
      </text>
    </comment>
    <comment ref="D29" authorId="0" shapeId="0" xr:uid="{00000000-0006-0000-0C00-000033000000}">
      <text>
        <r>
          <rPr>
            <b/>
            <sz val="9"/>
            <color indexed="81"/>
            <rFont val="Tahoma"/>
            <family val="2"/>
          </rPr>
          <t>Contratación de Chef</t>
        </r>
      </text>
    </comment>
    <comment ref="G29" authorId="0" shapeId="0" xr:uid="{00000000-0006-0000-0C00-000034000000}">
      <text>
        <r>
          <rPr>
            <b/>
            <sz val="9"/>
            <color indexed="81"/>
            <rFont val="Tahoma"/>
            <family val="2"/>
          </rPr>
          <t>El público que llego demanda más almuerzos;
La gente esta sin plata porque se acaba la quincena</t>
        </r>
      </text>
    </comment>
    <comment ref="I29" authorId="1" shapeId="0" xr:uid="{00000000-0006-0000-0C00-000035000000}">
      <text>
        <r>
          <rPr>
            <b/>
            <sz val="9"/>
            <color indexed="81"/>
            <rFont val="Tahoma"/>
            <family val="2"/>
          </rPr>
          <t>Mariachis hizo que se incrementará ventas, 
43 desayunos</t>
        </r>
      </text>
    </comment>
    <comment ref="J29" authorId="1" shapeId="0" xr:uid="{00000000-0006-0000-0C00-000036000000}">
      <text>
        <r>
          <rPr>
            <b/>
            <sz val="9"/>
            <color indexed="81"/>
            <rFont val="Tahoma"/>
            <family val="2"/>
          </rPr>
          <t>clientes se quejan por notar cambios en la cantidad de la carne
 - Se contrata a una cantante, con</t>
        </r>
      </text>
    </comment>
    <comment ref="K29" authorId="0" shapeId="0" xr:uid="{00000000-0006-0000-0C00-000037000000}">
      <text>
        <r>
          <rPr>
            <b/>
            <sz val="9"/>
            <color indexed="81"/>
            <rFont val="Tahoma"/>
            <family val="2"/>
          </rPr>
          <t xml:space="preserve">El paro sumado a errores de:
- cambio de calidad de producto
- quejas y mala fama por Yusmeidy
- Cambios de los precios
- impulsar almuerzos
- No vender más ajiaco
- Sin músicos
El paro también ha afectado
</t>
        </r>
        <r>
          <rPr>
            <sz val="9"/>
            <color indexed="81"/>
            <rFont val="Tahoma"/>
            <family val="2"/>
          </rPr>
          <t xml:space="preserve">
Un evento fue el que ayudo a suavizar la tendencia de ventas, ya que sin ello hubiera sido peor las ventas de este día.
Se cree que alrededor de la mitad se vendio almuerzos</t>
        </r>
      </text>
    </comment>
    <comment ref="M29" authorId="1" shapeId="0" xr:uid="{00000000-0006-0000-0C00-000038000000}">
      <text>
        <r>
          <rPr>
            <b/>
            <sz val="9"/>
            <color indexed="81"/>
            <rFont val="Tahoma"/>
            <family val="2"/>
          </rPr>
          <t>Día suave, error en efectuado en la lista de precios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9" authorId="0" shapeId="0" xr:uid="{00000000-0006-0000-0C00-000039000000}">
      <text>
        <r>
          <rPr>
            <b/>
            <sz val="9"/>
            <color indexed="81"/>
            <rFont val="Tahoma"/>
            <family val="2"/>
          </rPr>
          <t>Ferias y fiestas de sopo</t>
        </r>
      </text>
    </comment>
    <comment ref="O29" authorId="0" shapeId="0" xr:uid="{00000000-0006-0000-0C00-00003A000000}">
      <text>
        <r>
          <rPr>
            <b/>
            <sz val="9"/>
            <color indexed="81"/>
            <rFont val="Tahoma"/>
            <family val="2"/>
          </rPr>
          <t>Compras navideñas en el centro de Tocancipa</t>
        </r>
      </text>
    </comment>
    <comment ref="P29" authorId="0" shapeId="0" xr:uid="{00000000-0006-0000-0C00-00003B000000}">
      <text>
        <r>
          <rPr>
            <b/>
            <sz val="9"/>
            <color indexed="81"/>
            <rFont val="Tahoma"/>
            <family val="2"/>
          </rPr>
          <t>Personas hacen compras de navidad</t>
        </r>
      </text>
    </comment>
    <comment ref="K30" authorId="0" shapeId="0" xr:uid="{00000000-0006-0000-0C00-00003C000000}">
      <text>
        <r>
          <rPr>
            <b/>
            <sz val="9"/>
            <color indexed="81"/>
            <rFont val="Tahoma"/>
            <family val="2"/>
          </rPr>
          <t>El señor José no acepto la directiva de cerrar en los días hábiles
El señor Edwin no envio las cartas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18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O18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W18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AE18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D19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pago proveedor de construcción</t>
        </r>
      </text>
    </comment>
    <comment ref="G19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9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pago proveedor de construcción</t>
        </r>
      </text>
    </comment>
    <comment ref="O19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9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pago proveedor de construcción</t>
        </r>
      </text>
    </comment>
    <comment ref="W19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9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G18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O18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W18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AE18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D19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pago proveedor de construcción</t>
        </r>
      </text>
    </comment>
    <comment ref="G19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9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pago proveedor de construcción</t>
        </r>
      </text>
    </comment>
    <comment ref="O19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9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pago proveedor de construcción</t>
        </r>
      </text>
    </comment>
    <comment ref="W19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9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CEAS 74909</author>
    <author>Usuario</author>
  </authors>
  <commentList>
    <comment ref="AE7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va a bajar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12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Viernes 3 de Diciembre y 1 de enero no cuentan</t>
        </r>
      </text>
    </comment>
    <comment ref="AE16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Al menos 200 para pagar deudas</t>
        </r>
      </text>
    </comment>
    <comment ref="G17" authorId="1" shapeId="0" xr:uid="{00000000-0006-0000-1000-000004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M17" authorId="1" shapeId="0" xr:uid="{00000000-0006-0000-1000-000005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S17" authorId="1" shapeId="0" xr:uid="{00000000-0006-0000-1000-000006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Y17" authorId="1" shapeId="0" xr:uid="{00000000-0006-0000-10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el mes pasado se pago 128,000</t>
        </r>
      </text>
    </comment>
    <comment ref="D18" authorId="1" shapeId="0" xr:uid="{00000000-0006-0000-1000-000008000000}">
      <text>
        <r>
          <rPr>
            <b/>
            <sz val="9"/>
            <color indexed="81"/>
            <rFont val="Tahoma"/>
            <family val="2"/>
          </rPr>
          <t>pago proveedor de construcción</t>
        </r>
      </text>
    </comment>
    <comment ref="G18" authorId="1" shapeId="0" xr:uid="{00000000-0006-0000-1000-000009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8" authorId="1" shapeId="0" xr:uid="{00000000-0006-0000-1000-00000A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8" authorId="1" shapeId="0" xr:uid="{00000000-0006-0000-1000-00000B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8" authorId="1" shapeId="0" xr:uid="{00000000-0006-0000-1000-00000C000000}">
      <text>
        <r>
          <rPr>
            <b/>
            <sz val="9"/>
            <color indexed="81"/>
            <rFont val="Tahoma"/>
            <family val="2"/>
          </rPr>
          <t>24000 es un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E36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Para pagar deudas</t>
        </r>
      </text>
    </comment>
    <comment ref="F41" authorId="0" shapeId="0" xr:uid="{00000000-0006-0000-1000-00000E000000}">
      <text>
        <r>
          <rPr>
            <b/>
            <sz val="10"/>
            <color indexed="81"/>
            <rFont val="Tahoma"/>
            <family val="2"/>
          </rPr>
          <t>Otras pérdidas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 xml:space="preserve"> El señor José no tuvo sueldo
- Los empleados desayunaron, almorzaron y cenaron
 - Horas extras sin pagar, riesgo POTENCIAL DE DEMANDAS
- FALTA DE CONTROL DE LA MERCANCIA</t>
        </r>
      </text>
    </comment>
    <comment ref="L41" authorId="0" shapeId="0" xr:uid="{00000000-0006-0000-1000-00000F000000}">
      <text>
        <r>
          <rPr>
            <b/>
            <sz val="10"/>
            <color indexed="81"/>
            <rFont val="Tahoma"/>
            <family val="2"/>
          </rPr>
          <t>Otras pérdidas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 xml:space="preserve"> El señor José no tuvo sueldo
- Los empleados desayunaron, almorzaron y cenaron
 - Horas extras sin pagar, riesgo POTENCIAL DE DEMANDAS
- FALTA DE CONTROL DE LA MERCANCIA</t>
        </r>
      </text>
    </comment>
    <comment ref="R41" authorId="0" shapeId="0" xr:uid="{00000000-0006-0000-1000-000010000000}">
      <text>
        <r>
          <rPr>
            <b/>
            <sz val="10"/>
            <color indexed="81"/>
            <rFont val="Tahoma"/>
            <family val="2"/>
          </rPr>
          <t>Otras pérdidas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 xml:space="preserve"> El señor José no tuvo sueldo
- Los empleados desayunaron, almorzaron y cenaron
 - Horas extras sin pagar, riesgo POTENCIAL DE DEMANDAS
- FALTA DE CONTROL DE LA MERCANCIA</t>
        </r>
      </text>
    </comment>
    <comment ref="X41" authorId="0" shapeId="0" xr:uid="{00000000-0006-0000-1000-000011000000}">
      <text>
        <r>
          <rPr>
            <b/>
            <sz val="10"/>
            <color indexed="81"/>
            <rFont val="Tahoma"/>
            <family val="2"/>
          </rPr>
          <t>Otras pérdidas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 xml:space="preserve"> El señor José no tuvo sueldo
- Los empleados desayunaron, almorzaron y cenaron
 - Horas extras sin pagar, riesgo POTENCIAL DE DEMANDAS
- FALTA DE CONTROL DE LA MERCANCIA</t>
        </r>
      </text>
    </comment>
    <comment ref="S43" authorId="0" shapeId="0" xr:uid="{00000000-0006-0000-1000-000012000000}">
      <text>
        <r>
          <rPr>
            <b/>
            <sz val="9"/>
            <color indexed="81"/>
            <rFont val="Tahoma"/>
            <family val="2"/>
          </rPr>
          <t>Pese a que se vendio menos que el anterior mes, este tuvo más festivos</t>
        </r>
      </text>
    </comment>
    <comment ref="Y43" authorId="0" shapeId="0" xr:uid="{00000000-0006-0000-1000-000013000000}">
      <text>
        <r>
          <rPr>
            <b/>
            <sz val="9"/>
            <color indexed="81"/>
            <rFont val="Tahoma"/>
            <family val="2"/>
          </rPr>
          <t>las ventas disminuyen y son menos dias de fines de semana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CEAS 74909</author>
  </authors>
  <commentList>
    <comment ref="P4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Se pago el primer mercado (Septiembre)</t>
        </r>
      </text>
    </comment>
    <comment ref="P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Tenemos un día màs y se termino de pagar los gastos del primer mercado</t>
        </r>
      </text>
    </comment>
    <comment ref="J16" authorId="1" shapeId="0" xr:uid="{00000000-0006-0000-1100-000003000000}">
      <text>
        <r>
          <rPr>
            <b/>
            <sz val="9"/>
            <color indexed="81"/>
            <rFont val="Tahoma"/>
            <family val="2"/>
          </rPr>
          <t>Se devuelve a un mesero por ventas bajas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M2" authorId="0" shapeId="0" xr:uid="{00000000-0006-0000-1200-000001000000}">
      <text>
        <r>
          <rPr>
            <sz val="9"/>
            <color indexed="81"/>
            <rFont val="Tahoma"/>
            <family val="2"/>
          </rPr>
          <t xml:space="preserve">Se decidio no seguir contratando chef,  y mejora la eficiencia gracias a Henry
</t>
        </r>
      </text>
    </comment>
    <comment ref="C3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El arriendo paso de 80.000 a 50.000 (Ahorro de 240.00)</t>
        </r>
      </text>
    </comment>
    <comment ref="C4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Gran oportunidad de negocio, no se paga cuota el mes 0</t>
        </r>
      </text>
    </comment>
    <comment ref="M4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Se incremento debido a la compra del equipo  de computo SICOV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Se pago el primer mercado (Septiembre)</t>
        </r>
      </text>
    </comment>
    <comment ref="C5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Se paga hasta el otro mes</t>
        </r>
      </text>
    </comment>
    <comment ref="M6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Noviembre tiene un día menos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6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Tenemos un día màs y se termino de pagar los gastos del primer mercado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M2" authorId="0" shapeId="0" xr:uid="{00000000-0006-0000-1300-000001000000}">
      <text>
        <r>
          <rPr>
            <sz val="9"/>
            <color indexed="81"/>
            <rFont val="Tahoma"/>
            <family val="2"/>
          </rPr>
          <t xml:space="preserve">Se decidio no seguir contratando chef,  y mejora la eficiencia gracias a Henry
</t>
        </r>
      </text>
    </comment>
    <comment ref="C3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El arriendo paso de 80.000 a 50.000 (Ahorro de 240.00)</t>
        </r>
      </text>
    </comment>
    <comment ref="C4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Gran oportunidad de negocio, no se paga cuota el mes 0</t>
        </r>
      </text>
    </comment>
    <comment ref="M4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Se incremento debido a la compra del equipo  de computo SICOV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Se pago el primer mercado (Septiembre)</t>
        </r>
      </text>
    </comment>
    <comment ref="C5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Se paga hasta el otro mes</t>
        </r>
      </text>
    </comment>
    <comment ref="M6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Noviembre tiene un día menos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6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Tenemos un día màs y se termino de pagar los gastos del primer mercado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CEAS 74909</author>
  </authors>
  <commentList>
    <comment ref="M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Festivos</t>
        </r>
      </text>
    </comment>
    <comment ref="P9" authorId="1" shapeId="0" xr:uid="{00000000-0006-0000-1400-000002000000}">
      <text>
        <r>
          <rPr>
            <b/>
            <sz val="9"/>
            <color indexed="81"/>
            <rFont val="Tahoma"/>
            <family val="2"/>
          </rPr>
          <t>Costo de mercancia asumida por Hector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M2" authorId="0" shapeId="0" xr:uid="{00000000-0006-0000-1500-000001000000}">
      <text>
        <r>
          <rPr>
            <sz val="9"/>
            <color indexed="81"/>
            <rFont val="Tahoma"/>
            <family val="2"/>
          </rPr>
          <t xml:space="preserve">Se decidio no seguir contratando chef,  y mejora la eficiencia gracias a Henry
</t>
        </r>
      </text>
    </comment>
    <comment ref="C3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El arriendo paso de 80.000 a 50.000 (Ahorro de 240.00)</t>
        </r>
      </text>
    </comment>
    <comment ref="C4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Gran oportunidad de negocio, no se paga cuota el mes 0</t>
        </r>
      </text>
    </comment>
    <comment ref="M4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Se incremento debido a la compra del equipo  de computo SICOV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Se pago el primer mercado (Septiembre)</t>
        </r>
      </text>
    </comment>
    <comment ref="C5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Se paga hasta el otro mes</t>
        </r>
      </text>
    </comment>
    <comment ref="M6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Noviembre tiene un día menos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6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Tenemos un día màs y se termino de pagar los gastos del primer mercado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M2" authorId="0" shapeId="0" xr:uid="{00000000-0006-0000-1600-000001000000}">
      <text>
        <r>
          <rPr>
            <sz val="9"/>
            <color indexed="81"/>
            <rFont val="Tahoma"/>
            <family val="2"/>
          </rPr>
          <t xml:space="preserve">Se decidio no seguir contratando chef,  y mejora la eficiencia gracias a Henry
</t>
        </r>
      </text>
    </comment>
    <comment ref="C3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El arriendo paso de 80.000 a 50.000 (Ahorro de 240.00)</t>
        </r>
      </text>
    </comment>
    <comment ref="C4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Gran oportunidad de negocio, no se paga cuota el mes 0</t>
        </r>
      </text>
    </comment>
    <comment ref="M4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Se incremento debido a la compra del equipo  de computo SICOV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Se pago el primer mercado (Septiembre)</t>
        </r>
      </text>
    </comment>
    <comment ref="C5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Se paga hasta el otro mes</t>
        </r>
      </text>
    </comment>
    <comment ref="M6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Noviembre tiene un día menos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6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Tenemos un día màs y se termino de pagar los gastos del primer mercado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M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Festivos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Los Tunos_ Parrilla_Forecast.xlsx!Ventas" type="102" refreshedVersion="5" minRefreshableVersion="5">
    <extLst>
      <ext xmlns:x15="http://schemas.microsoft.com/office/spreadsheetml/2010/11/main" uri="{DE250136-89BD-433C-8126-D09CA5730AF9}">
        <x15:connection id="Ventas-344e64b1-609d-449e-adeb-5ee0ddfd71b2" autoDelete="1">
          <x15:rangePr sourceName="_xlcn.WorksheetConnection_LosTunos_Parrilla_Forecast.xlsxVenta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Ventas].[FECHA].&amp;[2019-09-23T00:00:00],[Ventas].[FECHA].&amp;[2019-09-24T00:00:00],[Ventas].[FECHA].&amp;[2019-09-25T00:00:00],[Ventas].[FECHA].&amp;[2019-09-26T00:00:00],[Ventas].[FECHA].&amp;[2019-09-27T00:00:00],[Ventas].[FECHA].&amp;[2019-09-28T00:00:00],[Ventas].[FECHA].&amp;[2019-09-29T00:00:00]}"/>
    <s v="{[Ventas].[FECHA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<sst xmlns="http://schemas.openxmlformats.org/spreadsheetml/2006/main" count="4273" uniqueCount="701">
  <si>
    <t>INGRESOS</t>
  </si>
  <si>
    <t>GASTOS</t>
  </si>
  <si>
    <t>Arriendo</t>
  </si>
  <si>
    <t xml:space="preserve">Mes </t>
  </si>
  <si>
    <t>Dìa habil</t>
  </si>
  <si>
    <t>Fines de semana</t>
  </si>
  <si>
    <t>Promedio diario</t>
  </si>
  <si>
    <t>Agua</t>
  </si>
  <si>
    <t>Luz</t>
  </si>
  <si>
    <t>Gas</t>
  </si>
  <si>
    <t>Servicios</t>
  </si>
  <si>
    <t>Financieros</t>
  </si>
  <si>
    <t>Visa/platinum</t>
  </si>
  <si>
    <t>Master Card / Clasica</t>
  </si>
  <si>
    <t>ScotiaBank</t>
  </si>
  <si>
    <t>Visa Clasica</t>
  </si>
  <si>
    <t>Bancolombia</t>
  </si>
  <si>
    <t>American Express /Otra</t>
  </si>
  <si>
    <t>Banco de Bogotá</t>
  </si>
  <si>
    <t>Falabella</t>
  </si>
  <si>
    <t>Codensa</t>
  </si>
  <si>
    <t>https://www.google.com/maps/dir/Texaco,+km+37,+Autopista+Nte.,+Tocancip%C3%A1,+Cundinamarca/Texaco/@4.9545171,-74.5076782,8.96z/data=!4m13!4m12!1m5!1m1!1s0x8e407158228ea999:0x1d86c6a065291755!2m2!1d-73.9372383!2d4.9539161!1m5!1m1!1s0x8e407158228ea999:0x1d86c6a065291755!2m2!1d-73.9372383!2d4.9539161</t>
  </si>
  <si>
    <t>Texaco, km 37, Autopista Nte., Tocancipá, Cundinamarca</t>
  </si>
  <si>
    <t>CCB</t>
  </si>
  <si>
    <t>ICETEX</t>
  </si>
  <si>
    <t>RETIROS</t>
  </si>
  <si>
    <t>TOCANTIPA</t>
  </si>
  <si>
    <t>ATH</t>
  </si>
  <si>
    <t>CENTRO, MAYOR</t>
  </si>
  <si>
    <t>CUENTA DE AHORROS</t>
  </si>
  <si>
    <t>Saldo</t>
  </si>
  <si>
    <t>consignado</t>
  </si>
  <si>
    <t>Retiros</t>
  </si>
  <si>
    <t>Saldo anterior</t>
  </si>
  <si>
    <t>ARRIENDO</t>
  </si>
  <si>
    <t>Prestamo Mayerly</t>
  </si>
  <si>
    <t>Transporte (Una semana)</t>
  </si>
  <si>
    <t>Taxi, Tocancipa</t>
  </si>
  <si>
    <t>Flota</t>
  </si>
  <si>
    <t>onces, otros</t>
  </si>
  <si>
    <t>Apartados para Falabella</t>
  </si>
  <si>
    <t>Almuerzos, otros,</t>
  </si>
  <si>
    <t>saldo</t>
  </si>
  <si>
    <t>Vino, aniversario</t>
  </si>
  <si>
    <t>Pan, leche, otros</t>
  </si>
  <si>
    <t xml:space="preserve">Flota, tocancipa, </t>
  </si>
  <si>
    <t>Trasnportes</t>
  </si>
  <si>
    <t>Almuerzos</t>
  </si>
  <si>
    <t>brama</t>
  </si>
  <si>
    <t>DTO</t>
  </si>
  <si>
    <t>damacalzado</t>
  </si>
  <si>
    <t>paquete medias</t>
  </si>
  <si>
    <t>Peoplepass</t>
  </si>
  <si>
    <t>Éxito</t>
  </si>
  <si>
    <t>Años</t>
  </si>
  <si>
    <t>Mes</t>
  </si>
  <si>
    <t>Nomina</t>
  </si>
  <si>
    <t>Cocinera y dos meseros</t>
  </si>
  <si>
    <t>Costos</t>
  </si>
  <si>
    <t>%Costo</t>
  </si>
  <si>
    <t>Inventario</t>
  </si>
  <si>
    <t>Veces</t>
  </si>
  <si>
    <t>Dias</t>
  </si>
  <si>
    <t>Polular</t>
  </si>
  <si>
    <t>3 trabajadores</t>
  </si>
  <si>
    <t>Adecuaciones del local</t>
  </si>
  <si>
    <t>Costo nomina</t>
  </si>
  <si>
    <t>SLMV</t>
  </si>
  <si>
    <t>Trabajadores</t>
  </si>
  <si>
    <t>Ciudad:</t>
  </si>
  <si>
    <t>Bogotá</t>
  </si>
  <si>
    <t>Dirección:</t>
  </si>
  <si>
    <t>Calle 54 Número 10 - 39 Piso 8.</t>
  </si>
  <si>
    <t>Calle 15 Número 35 - 42</t>
  </si>
  <si>
    <t>Calle 18 A Número 2 – 18 Sur</t>
  </si>
  <si>
    <t>Avenida 30 Número 17 B -25 Sur</t>
  </si>
  <si>
    <t>Av. 30 No. 17b--25 Sur</t>
  </si>
  <si>
    <t>Autopista Sur Carrera 4 Número 53 - 54</t>
  </si>
  <si>
    <t>Calle 15 N 31 42</t>
  </si>
  <si>
    <t>Avenida Caracas Número 13 – 80.</t>
  </si>
  <si>
    <t>Carrera 30 Numero 13 53</t>
  </si>
  <si>
    <t>Calle 15 Número 31 - 42</t>
  </si>
  <si>
    <t>Carrera 13 Numero 65 -10 – Piso 2.</t>
  </si>
  <si>
    <t>Avenida 30 Número 17 B -25 Sur.</t>
  </si>
  <si>
    <t>Transversal 78 J Número 41D – 15 Sur</t>
  </si>
  <si>
    <t>Trv. 78j 41d-15 Sur</t>
  </si>
  <si>
    <t>Carrera 13 No 65-10</t>
  </si>
  <si>
    <t>Calle 13 no 10 -60 Cazucá</t>
  </si>
  <si>
    <t>Email:</t>
  </si>
  <si>
    <t>cromerof@sena.edu.co</t>
  </si>
  <si>
    <t xml:space="preserve">mariasb@sena.edu.co </t>
  </si>
  <si>
    <t>ifreyes@sena.edu.co</t>
  </si>
  <si>
    <t>ygaitan@sena.edu.co</t>
  </si>
  <si>
    <t>jmonroy@sena.edu.co</t>
  </si>
  <si>
    <t>njcespedes@sena.edu.co</t>
  </si>
  <si>
    <t>dsvargasr@sena.edu.co</t>
  </si>
  <si>
    <t>mcastanedaca@sena.edu.co</t>
  </si>
  <si>
    <t>mcaycedo@sena.edu.co</t>
  </si>
  <si>
    <t xml:space="preserve">mcharry@sena.edu.co </t>
  </si>
  <si>
    <t>lhbuitrago@sena.edu.co</t>
  </si>
  <si>
    <t>fsuarezc@sena.edu.co</t>
  </si>
  <si>
    <t>mbohorquezg@sena.edu.co</t>
  </si>
  <si>
    <t>ksanchezs@sena.edu.co</t>
  </si>
  <si>
    <t>mprojasr@sena.edu.co</t>
  </si>
  <si>
    <t>lpatriciaj@misena.edu.co</t>
  </si>
  <si>
    <t>jbetancourt@sena.edu.co</t>
  </si>
  <si>
    <t>tecnoparquecazucasena@gmail.com</t>
  </si>
  <si>
    <t>Horario:</t>
  </si>
  <si>
    <t>Lunes a Viernes de 8 am - 12 m y 2 pm - 5 pm</t>
  </si>
  <si>
    <t>Líder:</t>
  </si>
  <si>
    <t>Carolina Romero Figueroa</t>
  </si>
  <si>
    <t>María del Pilar Arias Bohorquez</t>
  </si>
  <si>
    <t>Ivan Fernando Reyes Pérez</t>
  </si>
  <si>
    <t>Yesid Alejandro Alturo Gaitán</t>
  </si>
  <si>
    <t>Jazmin Monroy Cubillos</t>
  </si>
  <si>
    <t>Nestor Javier Cespedes Quevedo</t>
  </si>
  <si>
    <t>Diana Soraya Vargas Ramírez</t>
  </si>
  <si>
    <t>Marcela Castañeda Caicedo</t>
  </si>
  <si>
    <t>Magaly Caycedo Molano</t>
  </si>
  <si>
    <t>Mauricio Charry Prada</t>
  </si>
  <si>
    <t>Luis Hernando Buitrago Ruiz</t>
  </si>
  <si>
    <t>Fabian Ricardo Suarez Contreras</t>
  </si>
  <si>
    <t>Michael Leonardo Bohorquez Guzman</t>
  </si>
  <si>
    <t>Kelly Johanna Sánchez Salamanca</t>
  </si>
  <si>
    <t>Martha Patricia Rojas Rodriguez</t>
  </si>
  <si>
    <t>Liliana Patricia Jimenez</t>
  </si>
  <si>
    <t>Jorge Alberto Betancourt Rodriguez</t>
  </si>
  <si>
    <t>Luz Marina Leon Ruiz</t>
  </si>
  <si>
    <t>Teléfono:</t>
  </si>
  <si>
    <t>5461600 IP: 16843</t>
  </si>
  <si>
    <t>5461600 IP 15591</t>
  </si>
  <si>
    <t>5461600 IP 16593</t>
  </si>
  <si>
    <t>5461600 IP 15019</t>
  </si>
  <si>
    <t>5461600 IP 15402</t>
  </si>
  <si>
    <t>5461600 IP 18540</t>
  </si>
  <si>
    <t>5461600 IP 15531</t>
  </si>
  <si>
    <t>5461600 IP 16039</t>
  </si>
  <si>
    <t>54616004 IP 15560</t>
  </si>
  <si>
    <t>5461600 IP 18586</t>
  </si>
  <si>
    <t>5461600 IP 14955</t>
  </si>
  <si>
    <t>5461600 IP 15501</t>
  </si>
  <si>
    <t>5461600 IP 14026</t>
  </si>
  <si>
    <t>5461600 IP 15046</t>
  </si>
  <si>
    <t>5461600 IP 16820</t>
  </si>
  <si>
    <t>594 40 72 - Ext 14415</t>
  </si>
  <si>
    <t>Centro de Gestión de Mercados, Logística y Tecnologías de la Información (SENA - Distrito Capital)</t>
  </si>
  <si>
    <t>Centro para la Industria de la Comunicación Grafica (SENA - Distrito Capital)</t>
  </si>
  <si>
    <t>Centro de Formación de Talento Humano en Salud (SENA - Distrito Capital)</t>
  </si>
  <si>
    <t>Centro de Manufactura en Textil y Cuero (SENA - Distrito Capital)</t>
  </si>
  <si>
    <t>Centro de Electricidad, Electrónica y Telecomunicaciones (SENA - Distrito Capital)</t>
  </si>
  <si>
    <t>Centro de Tecnologías del Transporte (SENA - Distrito Capital)</t>
  </si>
  <si>
    <t>Centro de Diseño y Metrología (SENA - Distrito Capital)</t>
  </si>
  <si>
    <t>Centro de Gestión Administrativa (SENA - Distrito Capital)</t>
  </si>
  <si>
    <t>Centro Nacional de Hoteleria, Turismo y Alimentos (SENA - Distrito Capital)</t>
  </si>
  <si>
    <t>Centro de Tecnologías para la Construcción y la Madera (SENA - Distrito Capital)</t>
  </si>
  <si>
    <t>Centro Metalmecánico (SENA - Distrito Capital)</t>
  </si>
  <si>
    <t>Centro de Gestión Industrial (SENA - Distrito Capital)</t>
  </si>
  <si>
    <t>Centro De Servicios Financieros</t>
  </si>
  <si>
    <t>Centro de Materiales y Ensayos (SENA - Distrito Capital)</t>
  </si>
  <si>
    <t>Centro De Actividad Fisica Y Cultura</t>
  </si>
  <si>
    <t>Tecnoparque</t>
  </si>
  <si>
    <t>Centro de Servicios Financieros (SENA - Distrito Capital)</t>
  </si>
  <si>
    <t>TECNO PARQUE CENTRO INDUSTRIAL Y DE DESARROLLO EMPRESARIAL DE SOACHA (TECNO PARQUE CENTRO INDUSTRIAL Y DE DESARROLLO EMPRESARIAL DE SOACHA)</t>
  </si>
  <si>
    <t>Calle 65 Número 11 – 70 Piso 1.</t>
  </si>
  <si>
    <t>mdiaza@sena.edu.co</t>
  </si>
  <si>
    <t>Manuel Fernando Díaz Aldana</t>
  </si>
  <si>
    <t>5461600 IP: 14487</t>
  </si>
  <si>
    <t>Centro</t>
  </si>
  <si>
    <t>No</t>
  </si>
  <si>
    <t>http://www.fondoemprender.com/SitePages/Normatividad.aspx</t>
  </si>
  <si>
    <t>http://www.fondoemprender.com/SitePages/Contactenos.aspx#Cundinamarca</t>
  </si>
  <si>
    <t>Tarjeta de crédito</t>
  </si>
  <si>
    <t>Cupo para compras</t>
  </si>
  <si>
    <t>Cupo para avances</t>
  </si>
  <si>
    <t>Caja</t>
  </si>
  <si>
    <t>Caja papá</t>
  </si>
  <si>
    <t>Cupo Disponible Compras</t>
  </si>
  <si>
    <t>Cupo gastado</t>
  </si>
  <si>
    <t>Estado</t>
  </si>
  <si>
    <t>Activa</t>
  </si>
  <si>
    <t>Inactiva</t>
  </si>
  <si>
    <t>Pendiente, ir al banco</t>
  </si>
  <si>
    <t>????</t>
  </si>
  <si>
    <t>??</t>
  </si>
  <si>
    <t>Banco</t>
  </si>
  <si>
    <t>MV</t>
  </si>
  <si>
    <t>EA</t>
  </si>
  <si>
    <t>Cuota</t>
  </si>
  <si>
    <t>Valor del préstamo</t>
  </si>
  <si>
    <t>Resumen:</t>
  </si>
  <si>
    <t>TNA (30/360)</t>
  </si>
  <si>
    <t>Valor préstamo</t>
  </si>
  <si>
    <t>Suma de Cuotas</t>
  </si>
  <si>
    <t>Equivalencias TASAS efectiVas</t>
  </si>
  <si>
    <t>Frecuencia de Pago</t>
  </si>
  <si>
    <t>Mensual</t>
  </si>
  <si>
    <t>Suma de Interés</t>
  </si>
  <si>
    <t>Anual</t>
  </si>
  <si>
    <t>Interés equivalente</t>
  </si>
  <si>
    <t>Semestral</t>
  </si>
  <si>
    <t>N° de pagos por año</t>
  </si>
  <si>
    <t>Cuatrimestral</t>
  </si>
  <si>
    <t>N° Total de Cuotas</t>
  </si>
  <si>
    <t>Trimestral</t>
  </si>
  <si>
    <t>Bimensual</t>
  </si>
  <si>
    <t>Número de Cuota</t>
  </si>
  <si>
    <t>CUOTA A PAGAR</t>
  </si>
  <si>
    <t>INTERÉS</t>
  </si>
  <si>
    <t>CAPITAL AMORTIZADO</t>
  </si>
  <si>
    <t>CAPITAL VIVO</t>
  </si>
  <si>
    <t>Activar clave, ir al banco</t>
  </si>
  <si>
    <t xml:space="preserve">Llamar y preguntar  </t>
  </si>
  <si>
    <t>Al tercer mes de "Noviembre" se activará para avancces</t>
  </si>
  <si>
    <t>Colpatria</t>
  </si>
  <si>
    <t>Aporte socios</t>
  </si>
  <si>
    <t>Moto</t>
  </si>
  <si>
    <t>caja electronica y seguridad</t>
  </si>
  <si>
    <t>Edwin</t>
  </si>
  <si>
    <t>locativas local</t>
  </si>
  <si>
    <t>Hector</t>
  </si>
  <si>
    <t>Caja menor</t>
  </si>
  <si>
    <t>Papá</t>
  </si>
  <si>
    <t>Gestión del local</t>
  </si>
  <si>
    <t>Bicicleta, Parrilla</t>
  </si>
  <si>
    <t>Ahorro servicios</t>
  </si>
  <si>
    <t>honorarios Papá (Manutención)</t>
  </si>
  <si>
    <t>Experiencia, Sason</t>
  </si>
  <si>
    <t>Administrador (comisión 33% del negocio)</t>
  </si>
  <si>
    <t>Interes a pagar</t>
  </si>
  <si>
    <t>Prestamo</t>
  </si>
  <si>
    <t>% im</t>
  </si>
  <si>
    <t>im</t>
  </si>
  <si>
    <t>24 meses</t>
  </si>
  <si>
    <t>Para Hugo</t>
  </si>
  <si>
    <t>Computador</t>
  </si>
  <si>
    <t>Cajon monedero</t>
  </si>
  <si>
    <t>Equipo</t>
  </si>
  <si>
    <t>Valor</t>
  </si>
  <si>
    <t>Riel metalico 3 Start</t>
  </si>
  <si>
    <t>Impresora termica</t>
  </si>
  <si>
    <t>Software administración e inventario</t>
  </si>
  <si>
    <t>Henry</t>
  </si>
  <si>
    <t xml:space="preserve">Aporte </t>
  </si>
  <si>
    <t>nomina</t>
  </si>
  <si>
    <t>Cámaras</t>
  </si>
  <si>
    <t>Caja electronica</t>
  </si>
  <si>
    <t>Software</t>
  </si>
  <si>
    <t>losa, Trompo, empleados</t>
  </si>
  <si>
    <t>honorarios contrucción</t>
  </si>
  <si>
    <t>empleados, deudas, otros</t>
  </si>
  <si>
    <t>hugo</t>
  </si>
  <si>
    <t>Scotiabank</t>
  </si>
  <si>
    <t>sueldo</t>
  </si>
  <si>
    <t>American</t>
  </si>
  <si>
    <t xml:space="preserve">Mercado y otros </t>
  </si>
  <si>
    <t>FECHA</t>
  </si>
  <si>
    <t>Ventas</t>
  </si>
  <si>
    <t>Se implanto el sistema de facturación;</t>
  </si>
  <si>
    <t>Politica implantada</t>
  </si>
  <si>
    <t>Tocancipa</t>
  </si>
  <si>
    <t>Verganza</t>
  </si>
  <si>
    <t>Gachacipa</t>
  </si>
  <si>
    <t>Briseño</t>
  </si>
  <si>
    <t>Computrabo</t>
  </si>
  <si>
    <t>OLX</t>
  </si>
  <si>
    <t>Edad</t>
  </si>
  <si>
    <t>años de experiencia</t>
  </si>
  <si>
    <t>Medios</t>
  </si>
  <si>
    <t>redes sociales universitarios de la zona</t>
  </si>
  <si>
    <t>redes sociales aprendices del sena de la zona</t>
  </si>
  <si>
    <t>Reunión: Temas a tratar
 - Pago
- Frecuencia de inventario</t>
  </si>
  <si>
    <t>se cerro la negociación con rapiexpress;
Se entrevisto a un sabatino;
Se hizo arreglos del trompo por lo cual no se vendio platos de parrilla</t>
  </si>
  <si>
    <r>
      <t xml:space="preserve">Redacción del contrato
 - Definir frecuencia de pago empleados
 - Se llega a la conclusión de que la hora pico de ventas es poco después del medio día
-  En la mañana y  tardes no es frecuente de la venta
</t>
    </r>
    <r>
      <rPr>
        <sz val="11"/>
        <color rgb="FFC00000"/>
        <rFont val="Calibri"/>
        <family val="2"/>
        <scheme val="minor"/>
      </rPr>
      <t>¿Por qué los clientes irian de en la tarde, noche</t>
    </r>
    <r>
      <rPr>
        <sz val="11"/>
        <color theme="1"/>
        <rFont val="Calibri"/>
        <family val="2"/>
        <scheme val="minor"/>
      </rPr>
      <t xml:space="preserve">
</t>
    </r>
  </si>
  <si>
    <t>Historial créditicio, datacrédito</t>
  </si>
  <si>
    <t>cuenta de Ahorros</t>
  </si>
  <si>
    <t>Datafono</t>
  </si>
  <si>
    <t>Domicios.com</t>
  </si>
  <si>
    <t>Rappi</t>
  </si>
  <si>
    <t xml:space="preserve"> Dirección: Carrera 15 nro. 94-84</t>
  </si>
  <si>
    <t>9am a 1 pm</t>
  </si>
  <si>
    <t>Cámara de Comercio</t>
  </si>
  <si>
    <t>Transversal 55 # 98 A 66 local 215 y 216; Centro Comercial Iserra 100 Barrio La Castellana</t>
  </si>
  <si>
    <t>Datecrédito</t>
  </si>
  <si>
    <t>Proveedores</t>
  </si>
  <si>
    <t>Crear una empresa con un negocio</t>
  </si>
  <si>
    <t>Legalizar el negocio con todos los requerimientos para atender clientes institucionales</t>
  </si>
  <si>
    <t>Objetivo:</t>
  </si>
  <si>
    <t>Inducción de los dos meseros
Carta Menú-  Los Tunos Parrilla
Promocionando la hamburguesa artesanal</t>
  </si>
  <si>
    <r>
      <t xml:space="preserve">Diseño de página web - se pospuso
</t>
    </r>
    <r>
      <rPr>
        <sz val="11"/>
        <color rgb="FFFF0000"/>
        <rFont val="Calibri"/>
        <family val="2"/>
        <scheme val="minor"/>
      </rPr>
      <t>Gallina disminuto la calidad</t>
    </r>
  </si>
  <si>
    <r>
      <t xml:space="preserve">Contratación de Chef
Inducción de los dos meseros
</t>
    </r>
    <r>
      <rPr>
        <sz val="11"/>
        <color rgb="FFFF0000"/>
        <rFont val="Calibri"/>
        <family val="2"/>
        <scheme val="minor"/>
      </rPr>
      <t>facturas y sello persona natural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Hay gran desorden en la nevera</t>
    </r>
  </si>
  <si>
    <t>Pagar el arriendo, contrato de arrendamiento</t>
  </si>
  <si>
    <t>redaccion contrato
y cuentas</t>
  </si>
  <si>
    <t>Se le pago a Hugo por arreglos locativos</t>
  </si>
  <si>
    <t>Gota a Gota</t>
  </si>
  <si>
    <t>se pago el arriendo</t>
  </si>
  <si>
    <t>cita medica</t>
  </si>
  <si>
    <t>Nombre cliente</t>
  </si>
  <si>
    <t>Día</t>
  </si>
  <si>
    <t>Gastos</t>
  </si>
  <si>
    <t>Hay soportes</t>
  </si>
  <si>
    <t>bajo revisiòn</t>
  </si>
  <si>
    <t>Banco Hector</t>
  </si>
  <si>
    <t>Ayudante de cocina senior</t>
  </si>
  <si>
    <t>Ayudante de cocina Junior</t>
  </si>
  <si>
    <t>Mesero (a) fijo</t>
  </si>
  <si>
    <t>Mesero (a) sabatino</t>
  </si>
  <si>
    <t>Telefonía, internet y televisión</t>
  </si>
  <si>
    <t>Asistente administrativo y mercadeo</t>
  </si>
  <si>
    <t>Parrillero, Jefe de compras, jefe de tesorería, jefe de personal</t>
  </si>
  <si>
    <r>
      <rPr>
        <u val="singleAccounting"/>
        <sz val="11"/>
        <color rgb="FFC00000"/>
        <rFont val="Calibri"/>
        <family val="2"/>
        <scheme val="minor"/>
      </rPr>
      <t>Caja, Jefe de contabilidad</t>
    </r>
    <r>
      <rPr>
        <b/>
        <sz val="11"/>
        <color rgb="FFC00000"/>
        <rFont val="Calibri"/>
        <family val="2"/>
        <scheme val="minor"/>
      </rPr>
      <t xml:space="preserve">
Administrador, jefe de compras, Auditor interno, Facturación
Investigador de mercados, analista de negocios (datos), Gerente comercial</t>
    </r>
  </si>
  <si>
    <t>Dia fds</t>
  </si>
  <si>
    <t>Dia hábil</t>
  </si>
  <si>
    <t>Chef- Cocinero sabatino</t>
  </si>
  <si>
    <t>Futuro</t>
  </si>
  <si>
    <t>Mercancia</t>
  </si>
  <si>
    <t>Ganancia</t>
  </si>
  <si>
    <t>Dia</t>
  </si>
  <si>
    <t>Total general</t>
  </si>
  <si>
    <t>sep</t>
  </si>
  <si>
    <t>oct</t>
  </si>
  <si>
    <t>D</t>
  </si>
  <si>
    <t>D%</t>
  </si>
  <si>
    <t xml:space="preserve">  </t>
  </si>
  <si>
    <t>Acumulado</t>
  </si>
  <si>
    <t>Estimado</t>
  </si>
  <si>
    <t>¿Qué afecta las ventas?</t>
  </si>
  <si>
    <t>el humo</t>
  </si>
  <si>
    <t>factura electronica</t>
  </si>
  <si>
    <t>vandedero</t>
  </si>
  <si>
    <t>aviso publicidad</t>
  </si>
  <si>
    <t>Banco Hector (cuantos meses)</t>
  </si>
  <si>
    <t>Banderero</t>
  </si>
  <si>
    <t>lunes</t>
  </si>
  <si>
    <t>martes</t>
  </si>
  <si>
    <t>miércoles</t>
  </si>
  <si>
    <t>jueves</t>
  </si>
  <si>
    <t>viernes</t>
  </si>
  <si>
    <t>sábado</t>
  </si>
  <si>
    <t>domingo</t>
  </si>
  <si>
    <t xml:space="preserve">No. </t>
  </si>
  <si>
    <t>Venta promedio</t>
  </si>
  <si>
    <t>Jueves</t>
  </si>
  <si>
    <t>Viernes</t>
  </si>
  <si>
    <t>Sábado</t>
  </si>
  <si>
    <t>Miercoles</t>
  </si>
  <si>
    <t>ventas con informaciòn historica</t>
  </si>
  <si>
    <t>contrato</t>
  </si>
  <si>
    <t>Power BI</t>
  </si>
  <si>
    <t>Domingo</t>
  </si>
  <si>
    <t xml:space="preserve"> </t>
  </si>
  <si>
    <t>Dia semanal</t>
  </si>
  <si>
    <t>Producto</t>
  </si>
  <si>
    <t>Q</t>
  </si>
  <si>
    <t>Ejecutivo</t>
  </si>
  <si>
    <t>Tè</t>
  </si>
  <si>
    <t>Jugo Hit</t>
  </si>
  <si>
    <t>Vendedor</t>
  </si>
  <si>
    <t>Yusmeidy</t>
  </si>
  <si>
    <t>Sopa</t>
  </si>
  <si>
    <t>Precio item</t>
  </si>
  <si>
    <t>Gaseosa</t>
  </si>
  <si>
    <t>Detalle</t>
  </si>
  <si>
    <t>El señor José lo dejo en $ 10.000</t>
  </si>
  <si>
    <t>Sin nota</t>
  </si>
  <si>
    <t>Caderita</t>
  </si>
  <si>
    <t>Medias carnes</t>
  </si>
  <si>
    <t>Carne llanera</t>
  </si>
  <si>
    <t>Gaseosa litro y medio</t>
  </si>
  <si>
    <t>Gaseosa 350</t>
  </si>
  <si>
    <t>Cerbeza</t>
  </si>
  <si>
    <t>No dice que marca es?</t>
  </si>
  <si>
    <t>Media carne</t>
  </si>
  <si>
    <t>dice que la sopa pequeña vale, lo mismo que la grande</t>
  </si>
  <si>
    <t>Sopa especial</t>
  </si>
  <si>
    <t>Changua</t>
  </si>
  <si>
    <t>Picada</t>
  </si>
  <si>
    <t>¿Cuántas personas?</t>
  </si>
  <si>
    <t>Bagre</t>
  </si>
  <si>
    <t>Jugo Natural</t>
  </si>
  <si>
    <t>Huevos con arroz</t>
  </si>
  <si>
    <t>a 8?</t>
  </si>
  <si>
    <t>Picada con Refajo</t>
  </si>
  <si>
    <t>gaseosa</t>
  </si>
  <si>
    <t>El señor José lo dejo en $ 12.000</t>
  </si>
  <si>
    <t>Combo Hamburguesa</t>
  </si>
  <si>
    <t>Gaseosa 350 Coca Cola</t>
  </si>
  <si>
    <t>Stefania</t>
  </si>
  <si>
    <t>Andina</t>
  </si>
  <si>
    <t>hamburguesa</t>
  </si>
  <si>
    <t>Arroz chino estandar</t>
  </si>
  <si>
    <t>un pésimo arroz chino causado por el desorden de la cocina</t>
  </si>
  <si>
    <t>Julían</t>
  </si>
  <si>
    <t>Gasoesa 350 Coca cola</t>
  </si>
  <si>
    <t>Mazamorra</t>
  </si>
  <si>
    <t>gasoesa 350</t>
  </si>
  <si>
    <t>Id. Client por dìa</t>
  </si>
  <si>
    <t>Arroz chino premium</t>
  </si>
  <si>
    <t>Se cobro 6000 de más</t>
  </si>
  <si>
    <t>Sobrebarriga</t>
  </si>
  <si>
    <t>Aguila</t>
  </si>
  <si>
    <t>Se cobro 2000 demás; la cuenta sales por 63 y se cobro 56 ah?</t>
  </si>
  <si>
    <t>Pérdida</t>
  </si>
  <si>
    <t>Vale restaurante</t>
  </si>
  <si>
    <t>Coca cola litro y medio</t>
  </si>
  <si>
    <t>Coca cola</t>
  </si>
  <si>
    <t>Jarra de limonada</t>
  </si>
  <si>
    <t>Limonada</t>
  </si>
  <si>
    <t>1/2 Sopa</t>
  </si>
  <si>
    <t>Porción de longaniza</t>
  </si>
  <si>
    <t>Pierna pefil</t>
  </si>
  <si>
    <t>Club Dorada</t>
  </si>
  <si>
    <t>Coca Cola</t>
  </si>
  <si>
    <t>Precio desoritado</t>
  </si>
  <si>
    <t>se cobro menos</t>
  </si>
  <si>
    <t>Bandeja</t>
  </si>
  <si>
    <t>Jose Gustavo</t>
  </si>
  <si>
    <t>Carne Mixta</t>
  </si>
  <si>
    <t>???</t>
  </si>
  <si>
    <t>Calldo de pescado</t>
  </si>
  <si>
    <t>Jugo en agua</t>
  </si>
  <si>
    <t>Porción de rellena</t>
  </si>
  <si>
    <t>Corregir de la carta canasta?</t>
  </si>
  <si>
    <t>Canasta de picada mixta</t>
  </si>
  <si>
    <t>Canasta de picada mixta + Carne Parrila</t>
  </si>
  <si>
    <t>Parrilla 4 carnes</t>
  </si>
  <si>
    <t>Porción de papa</t>
  </si>
  <si>
    <t>Canasta de picada mixta + Carne Parrila + 1/4 de Gallina</t>
  </si>
  <si>
    <t>Ajiaco</t>
  </si>
  <si>
    <t>Costilla</t>
  </si>
  <si>
    <t>No se cobro una gaseosa</t>
  </si>
  <si>
    <t>Carnes llaneras</t>
  </si>
  <si>
    <t>Jugo en leche</t>
  </si>
  <si>
    <t>Gallina pequeña</t>
  </si>
  <si>
    <t>Gaseosa litro y medio Coca Cola</t>
  </si>
  <si>
    <t>Viernes (18)</t>
  </si>
  <si>
    <t>Sabàdo 19</t>
  </si>
  <si>
    <t>Domingo 20</t>
  </si>
  <si>
    <t>Lunes 21</t>
  </si>
  <si>
    <t>Martes 22</t>
  </si>
  <si>
    <t>Martes 23</t>
  </si>
  <si>
    <t>Miercoles 24</t>
  </si>
  <si>
    <t>Jueves 25</t>
  </si>
  <si>
    <t>sab</t>
  </si>
  <si>
    <t>(Todas)</t>
  </si>
  <si>
    <t>Turistas</t>
  </si>
  <si>
    <t>Clientes de la zona</t>
  </si>
  <si>
    <t>Domicilios</t>
  </si>
  <si>
    <t>Eventos</t>
  </si>
  <si>
    <t>No. de semana</t>
  </si>
  <si>
    <t>Semana</t>
  </si>
  <si>
    <t>(Varios elementos)</t>
  </si>
  <si>
    <t>Etiquetas de fila</t>
  </si>
  <si>
    <t>Etiquetas de columna</t>
  </si>
  <si>
    <t>Suma de Ventas</t>
  </si>
  <si>
    <t>Recuento distinto de Id. Client por dìa</t>
  </si>
  <si>
    <t>Alines</t>
  </si>
  <si>
    <t>La factura original desaparecio ¿Por qué a 7000?</t>
  </si>
  <si>
    <t>Botella de Agua</t>
  </si>
  <si>
    <t>Se pone escribio comida</t>
  </si>
  <si>
    <t>Yeri</t>
  </si>
  <si>
    <t>no se sabe que tipo de jugo es</t>
  </si>
  <si>
    <t>si</t>
  </si>
  <si>
    <t>no</t>
  </si>
  <si>
    <t>Se me quedaron</t>
  </si>
  <si>
    <t>No hay copias de Alenis</t>
  </si>
  <si>
    <t>Si</t>
  </si>
  <si>
    <t>Dìa sin facturas</t>
  </si>
  <si>
    <t>Tinto</t>
  </si>
  <si>
    <t>Cola y Pola</t>
  </si>
  <si>
    <t>Pony Malta</t>
  </si>
  <si>
    <t>Porción de maduro</t>
  </si>
  <si>
    <t>Las cobraròn debajo del precio normal</t>
  </si>
  <si>
    <t>Cuenta por pagar sald0 ????</t>
  </si>
  <si>
    <t>cuenta por pagar</t>
  </si>
  <si>
    <t>Sin hist</t>
  </si>
  <si>
    <t>completo</t>
  </si>
  <si>
    <t>NO REALIZADO</t>
  </si>
  <si>
    <t>SE QUEDO</t>
  </si>
  <si>
    <t>14-20 Oct</t>
  </si>
  <si>
    <t>7-13 Oct</t>
  </si>
  <si>
    <t>23-29  sep</t>
  </si>
  <si>
    <t>30 Sep 
al 6 Oct</t>
  </si>
  <si>
    <t>Máx. de Id. Client por dìa</t>
  </si>
  <si>
    <t xml:space="preserve">5941000 ext 2565   3181740 </t>
  </si>
  <si>
    <t>301 444 4523</t>
  </si>
  <si>
    <t>TORRES BONILLA JOSE GUSTAVO</t>
  </si>
  <si>
    <t>C.C. 72325215</t>
  </si>
  <si>
    <t>ACTIVA</t>
  </si>
  <si>
    <t>BOGOTA</t>
  </si>
  <si>
    <t>PERSONA NATURAL</t>
  </si>
  <si>
    <t>CANCELADA</t>
  </si>
  <si>
    <t>TUNJA</t>
  </si>
  <si>
    <t>MATRÍCULA CANCELADA POR TRASLADO DE DOMICILIO</t>
  </si>
  <si>
    <t>FACATATIVA</t>
  </si>
  <si>
    <t>Razón Social ó Nombre</t>
  </si>
  <si>
    <t>Gastos del negocio sin incluir costo de la mercancia</t>
  </si>
  <si>
    <t>(en blanco)</t>
  </si>
  <si>
    <t>All</t>
  </si>
  <si>
    <t>Y</t>
  </si>
  <si>
    <t>=</t>
  </si>
  <si>
    <t>aX1</t>
  </si>
  <si>
    <t>X2</t>
  </si>
  <si>
    <t>X3</t>
  </si>
  <si>
    <t>X4</t>
  </si>
  <si>
    <t>X5</t>
  </si>
  <si>
    <t>X1</t>
  </si>
  <si>
    <t>Y (Ventas los tunos parrilla)</t>
  </si>
  <si>
    <t>Precio</t>
  </si>
  <si>
    <t>Precio de mercado</t>
  </si>
  <si>
    <t>Servicio</t>
  </si>
  <si>
    <t>Clima</t>
  </si>
  <si>
    <t>Precios compentencia</t>
  </si>
  <si>
    <t>Servicio  compentencia</t>
  </si>
  <si>
    <t>Estado clima</t>
  </si>
  <si>
    <t>Llovio levemente</t>
  </si>
  <si>
    <t>x6</t>
  </si>
  <si>
    <t>Instalaciones</t>
  </si>
  <si>
    <t xml:space="preserve"> el daño de hugo</t>
  </si>
  <si>
    <t>sopa</t>
  </si>
  <si>
    <t>Mondongo</t>
  </si>
  <si>
    <t>Poker</t>
  </si>
  <si>
    <t>las otras dos no se sabe que producto es pero tiene el mismos precio</t>
  </si>
  <si>
    <t>Mamona</t>
  </si>
  <si>
    <t>Corona</t>
  </si>
  <si>
    <t>Mojarra</t>
  </si>
  <si>
    <t>Promoción (Próximas a vencer)</t>
  </si>
  <si>
    <t>Pechuga</t>
  </si>
  <si>
    <t>Sumo mal</t>
  </si>
  <si>
    <t>Cobro demasiado caro el jugo</t>
  </si>
  <si>
    <t>Refajo</t>
  </si>
  <si>
    <t>Desayuno</t>
  </si>
  <si>
    <t>¿Cómo asi que a 15.000?</t>
  </si>
  <si>
    <t>Light</t>
  </si>
  <si>
    <t xml:space="preserve">Gaseosa litro </t>
  </si>
  <si>
    <t>se cobro a 9000 en total</t>
  </si>
  <si>
    <t>Arroz chino</t>
  </si>
  <si>
    <t>1/2 Pollo</t>
  </si>
  <si>
    <t>Gaseosa litro</t>
  </si>
  <si>
    <t>Cuenta de Id. Client por dìa</t>
  </si>
  <si>
    <t>Gaseosa grande</t>
  </si>
  <si>
    <t>Cliente Iguango con Nit: 900551266-0</t>
  </si>
  <si>
    <r>
      <t>900551266</t>
    </r>
    <r>
      <rPr>
        <sz val="11"/>
        <color theme="1"/>
        <rFont val="Calibri"/>
        <family val="2"/>
        <scheme val="minor"/>
      </rPr>
      <t xml:space="preserve"> CONSORCIO CCC </t>
    </r>
    <r>
      <rPr>
        <i/>
        <sz val="11"/>
        <color theme="1"/>
        <rFont val="Calibri"/>
        <family val="2"/>
        <scheme val="minor"/>
      </rPr>
      <t>ITUANGO</t>
    </r>
  </si>
  <si>
    <t>Id Client</t>
  </si>
  <si>
    <t>Paula</t>
  </si>
  <si>
    <t>Porción de arroz</t>
  </si>
  <si>
    <t>Porción de yuca</t>
  </si>
  <si>
    <t xml:space="preserve">Jugo hit </t>
  </si>
  <si>
    <t>Se cobro un de más</t>
  </si>
  <si>
    <t>Jugo hit</t>
  </si>
  <si>
    <t>Error de suma de Alines ( casi cobra 60500)</t>
  </si>
  <si>
    <t>Costilla BBQ</t>
  </si>
  <si>
    <t>Lomo de Cerdo</t>
  </si>
  <si>
    <t>sumo mal, faltan 1000 pesos a la factura</t>
  </si>
  <si>
    <t>Ajiaco, sumo mal falran 1000 a la factura</t>
  </si>
  <si>
    <t>¿Qué tipo de jugo es?</t>
  </si>
  <si>
    <t>Es enserio?</t>
  </si>
  <si>
    <t>sumo mal y le dio 19000</t>
  </si>
  <si>
    <t>21-27 Oct</t>
  </si>
  <si>
    <t>nov</t>
  </si>
  <si>
    <t>28 Oct -3Nov</t>
  </si>
  <si>
    <t>Nov</t>
  </si>
  <si>
    <t>Yusmeidy y Stefania</t>
  </si>
  <si>
    <t>#  Días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</si>
  <si>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</si>
  <si>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</si>
  <si>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</si>
  <si>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</si>
  <si>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</si>
  <si>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</si>
  <si>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</si>
  <si>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</si>
  <si>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</si>
  <si>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</si>
  <si>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</si>
  <si>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</si>
  <si>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#  Días habiles</t>
  </si>
  <si>
    <t>#  Días viernes</t>
  </si>
  <si>
    <t>#  Días sábados</t>
  </si>
  <si>
    <t>#  Días Domingos</t>
  </si>
  <si>
    <t>#  Días Festivos</t>
  </si>
  <si>
    <t>Gastos Fijo diario prom.</t>
  </si>
  <si>
    <t>Fin Semana</t>
  </si>
  <si>
    <t>Dìas habiles</t>
  </si>
  <si>
    <t>Costos Variables</t>
  </si>
  <si>
    <t>Gastos Fijos y Variables</t>
  </si>
  <si>
    <t>Bancolombia (Visa)</t>
  </si>
  <si>
    <t>Bancolombia (American Express)</t>
  </si>
  <si>
    <t>Banderero  y domiciliario (Manuel)</t>
  </si>
  <si>
    <t>Banderero  y domiciliario (Rolando y Manuel)</t>
  </si>
  <si>
    <t>Chef- Cocinero sabatino (Eduardo e Ingacio)</t>
  </si>
  <si>
    <t>Mesero (a) sabatino (Stefania)</t>
  </si>
  <si>
    <t>Mesero (a) fijo (Yusmeidy)</t>
  </si>
  <si>
    <t>Mesero (a) fijo (Yusmeidy y Alines)</t>
  </si>
  <si>
    <t>Ayudante de cocina Junior (Henry)</t>
  </si>
  <si>
    <t>Ayudante de cocina Junior (Yeri)</t>
  </si>
  <si>
    <t>Ayudante de cocina senior (Señora Rosa)</t>
  </si>
  <si>
    <t>Saldo  actual</t>
  </si>
  <si>
    <t>Inversiòn</t>
  </si>
  <si>
    <t>Gasto Fijos Prom. Diario</t>
  </si>
  <si>
    <t>Punto de Eq.</t>
  </si>
  <si>
    <t>septiembre</t>
  </si>
  <si>
    <t>octubre</t>
  </si>
  <si>
    <t>noviembre</t>
  </si>
  <si>
    <t>diciembre</t>
  </si>
  <si>
    <t>Hábil</t>
  </si>
  <si>
    <t>Fds</t>
  </si>
  <si>
    <t>GASTOS FIJOS</t>
  </si>
  <si>
    <t xml:space="preserve">INGRESOS </t>
  </si>
  <si>
    <t>Saldo actual</t>
  </si>
  <si>
    <t>Dìa de semanal</t>
  </si>
  <si>
    <t>Análisis gastos fijos</t>
  </si>
  <si>
    <t>Día de Semana</t>
  </si>
  <si>
    <t>INGRESOS TOTALES</t>
  </si>
  <si>
    <t>COSTO MATERIA PRIMA (COSTO VARIABLE)</t>
  </si>
  <si>
    <t>TOTAL</t>
  </si>
  <si>
    <t>4-10Nov</t>
  </si>
  <si>
    <t>11-17Nov</t>
  </si>
  <si>
    <t>%</t>
  </si>
  <si>
    <t>Análisis de ingresos por día semanal</t>
  </si>
  <si>
    <t>Venta</t>
  </si>
  <si>
    <t>Inicio de operación</t>
  </si>
  <si>
    <t>Fecha actual</t>
  </si>
  <si>
    <t>Variación relativa</t>
  </si>
  <si>
    <t>-</t>
  </si>
  <si>
    <t>Fds y Festivo</t>
  </si>
  <si>
    <t>Tipo Dìa</t>
  </si>
  <si>
    <t>Día hábil</t>
  </si>
  <si>
    <t>Total Ventas</t>
  </si>
  <si>
    <t>Hoy</t>
  </si>
  <si>
    <t>PRESUPUESTO DE VENTAS</t>
  </si>
  <si>
    <t>GAP</t>
  </si>
  <si>
    <t>Lunes</t>
  </si>
  <si>
    <t>Forescast</t>
  </si>
  <si>
    <t>Ganacia /Pérdida</t>
  </si>
  <si>
    <t>Saldo del mes</t>
  </si>
  <si>
    <t>Costo de oportunidad</t>
  </si>
  <si>
    <t>ESTIMACIÓN COSTO MATERIA PRIMA (COSTO VARIABLE)</t>
  </si>
  <si>
    <t>Total costos variables</t>
  </si>
  <si>
    <t>Total gastos fijos</t>
  </si>
  <si>
    <t>Total Gastos de Operación</t>
  </si>
  <si>
    <t>Ganancia / Pérdida</t>
  </si>
  <si>
    <t>Martes</t>
  </si>
  <si>
    <t>Miércoles</t>
  </si>
  <si>
    <t>Dias  (mes)</t>
  </si>
  <si>
    <t>Mercancia Hector</t>
  </si>
  <si>
    <t>Prestamo Edwin</t>
  </si>
  <si>
    <t>Daniel</t>
  </si>
  <si>
    <t>18-24Nov</t>
  </si>
  <si>
    <t>25Nov-1Dic</t>
  </si>
  <si>
    <t>1-8Dic</t>
  </si>
  <si>
    <t>9-15Dic</t>
  </si>
  <si>
    <t>dic</t>
  </si>
  <si>
    <t>FDS</t>
  </si>
  <si>
    <t xml:space="preserve"> Ventas</t>
  </si>
  <si>
    <t>16-22Dic</t>
  </si>
  <si>
    <t xml:space="preserve">Ayudante de cocina Junior </t>
  </si>
  <si>
    <t>Ayudante de cocina Junior (Janeth)</t>
  </si>
  <si>
    <t>Mesero (a) fijo (Mauricio)</t>
  </si>
  <si>
    <t>Mesero (a) sabatino (Yuly y Danda)</t>
  </si>
  <si>
    <t>Aporte Edwin Mercado</t>
  </si>
  <si>
    <t>Aporte Carne Hector</t>
  </si>
  <si>
    <t>Venta Real</t>
  </si>
  <si>
    <t>60% Mercancia en uso y a crédito</t>
  </si>
  <si>
    <t>Gastos 40%</t>
  </si>
  <si>
    <t>Lunes a Jueves</t>
  </si>
  <si>
    <t>Fines de Semana</t>
  </si>
  <si>
    <t>Ganancia mercancia para pagar gastos</t>
  </si>
  <si>
    <t>Pérdida acumulada sin abrir los días hábiles</t>
  </si>
  <si>
    <t>Pérdida acumulada abriendo los días hábiles</t>
  </si>
  <si>
    <t>Costo de mecancia</t>
  </si>
  <si>
    <t>Total venta</t>
  </si>
  <si>
    <t>Total gastos</t>
  </si>
  <si>
    <t>Pérdida/Ganancia mensual</t>
  </si>
  <si>
    <t>Prestamo Hector</t>
  </si>
  <si>
    <t>Optimo</t>
  </si>
  <si>
    <t>Mesero (a) sabatino (Meseras)</t>
  </si>
  <si>
    <t>Mesero (a) fijo (Yusmeidy y otras)</t>
  </si>
  <si>
    <t>Enero de 2020</t>
  </si>
  <si>
    <t xml:space="preserve">Parrillero  </t>
  </si>
  <si>
    <t>Cajero</t>
  </si>
  <si>
    <t>Administrador</t>
  </si>
  <si>
    <t>Mesero (a) sabatino (Stefania) - Sábado y Domingo</t>
  </si>
  <si>
    <t>Mesero (a) fijo (Mauricio) - Viernes, Sábado, Domingo</t>
  </si>
  <si>
    <r>
      <t xml:space="preserve">Ayudante de cocina senior - </t>
    </r>
    <r>
      <rPr>
        <b/>
        <sz val="11"/>
        <color theme="1"/>
        <rFont val="Calibri"/>
        <family val="2"/>
        <scheme val="minor"/>
      </rPr>
      <t>Viernes, Sábado, Domingo</t>
    </r>
  </si>
  <si>
    <r>
      <t xml:space="preserve">Banderero  y domiciliario (Manuel) - </t>
    </r>
    <r>
      <rPr>
        <b/>
        <sz val="11"/>
        <color theme="1"/>
        <rFont val="Calibri"/>
        <family val="2"/>
        <scheme val="minor"/>
      </rPr>
      <t>Sábado y Domingo</t>
    </r>
  </si>
  <si>
    <t>9 am - 9pm</t>
  </si>
  <si>
    <t>11: 30 a 4: pm</t>
  </si>
  <si>
    <t>Ayudante de cocina Junior -  Viernes, Sábado, Domingo (Edwin)</t>
  </si>
  <si>
    <t>22-28Dic</t>
  </si>
  <si>
    <t>29Dic-4Ene</t>
  </si>
  <si>
    <t>Dia de la semana</t>
  </si>
  <si>
    <t>Fecha</t>
  </si>
  <si>
    <t>NOMINA</t>
  </si>
  <si>
    <t>POR PAGAR</t>
  </si>
  <si>
    <t>FINANCIERO</t>
  </si>
  <si>
    <t>CANCELADO</t>
  </si>
  <si>
    <t>SALDO</t>
  </si>
  <si>
    <t>EFECTIVO</t>
  </si>
  <si>
    <t>Costo mercancia</t>
  </si>
  <si>
    <t>Budget ventas</t>
  </si>
  <si>
    <t>Rentabilidad para cubrir costos fijos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</si>
</sst>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[$$-240A]\ * #,##0_-;\-[$$-240A]\ * #,##0_-;_-[$$-240A]\ * &quot;-&quot;??_-;_-@_-"/>
    <numFmt numFmtId="167" formatCode="_-* #,##0\ _€_-;\-* #,##0\ _€_-;_-* &quot;-&quot;??\ _€_-;_-@_-"/>
    <numFmt numFmtId="168" formatCode="0.0%"/>
    <numFmt numFmtId="169" formatCode="_ &quot;$&quot;\ * #,##0.00_ ;_ &quot;$&quot;\ * \-#,##0.00_ ;_ &quot;$&quot;\ * &quot;-&quot;??_ ;_ @_ "/>
    <numFmt numFmtId="170" formatCode="&quot;$&quot;\ #,##0.00"/>
    <numFmt numFmtId="171" formatCode="_ * #,##0.00_ ;_ * \-#,##0.00_ ;_ * &quot;-&quot;??_ ;_ @_ "/>
    <numFmt numFmtId="172" formatCode="0.000%"/>
    <numFmt numFmtId="173" formatCode="#,##0_ ;[Red]\-#,##0\ "/>
    <numFmt numFmtId="174" formatCode="dd/mm/yyyy"/>
  </numFmts>
  <fonts count="6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 val="singleAccounting"/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1"/>
      <name val="Arial"/>
      <family val="2"/>
    </font>
    <font>
      <b/>
      <sz val="11"/>
      <color rgb="FF1C81F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1C81F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4"/>
      <name val="Calibri"/>
      <family val="2"/>
      <scheme val="minor"/>
    </font>
    <font>
      <sz val="12"/>
      <name val="Courie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u val="singleAccounting"/>
      <sz val="11"/>
      <color rgb="FFC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 val="singleAccounting"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Symbol"/>
      <family val="1"/>
      <charset val="2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u val="singleAccounting"/>
      <sz val="12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6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0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4"/>
      <color theme="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A00F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6BB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62E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7030A0"/>
        <bgColor theme="4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/>
      <diagonal/>
    </border>
    <border>
      <left style="dashDotDot">
        <color indexed="64"/>
      </left>
      <right style="dashDotDot">
        <color indexed="64"/>
      </right>
      <top/>
      <bottom/>
      <diagonal/>
    </border>
    <border>
      <left style="dashDotDot">
        <color indexed="64"/>
      </left>
      <right style="dashDotDot">
        <color indexed="64"/>
      </right>
      <top/>
      <bottom style="dashDotDot">
        <color indexed="64"/>
      </bottom>
      <diagonal/>
    </border>
    <border>
      <left style="dashDotDot">
        <color indexed="64"/>
      </left>
      <right/>
      <top style="dashDotDot">
        <color indexed="64"/>
      </top>
      <bottom style="dashDotDot">
        <color indexed="64"/>
      </bottom>
      <diagonal/>
    </border>
    <border>
      <left/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/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/>
      <diagonal/>
    </border>
    <border>
      <left/>
      <right/>
      <top style="medium">
        <color theme="8" tint="-0.249977111117893"/>
      </top>
      <bottom/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8168889431442"/>
      </top>
      <bottom style="double">
        <color indexed="64"/>
      </bottom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59999389629810485"/>
      </top>
      <bottom style="thin">
        <color theme="8" tint="0.79998168889431442"/>
      </bottom>
      <diagonal/>
    </border>
    <border>
      <left/>
      <right/>
      <top style="thin">
        <color theme="8" tint="-0.249977111117893"/>
      </top>
      <bottom style="medium">
        <color theme="8" tint="-0.249977111117893"/>
      </bottom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6" borderId="0" applyNumberFormat="0" applyBorder="0" applyAlignment="0" applyProtection="0"/>
    <xf numFmtId="0" fontId="3" fillId="7" borderId="0" applyNumberFormat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171" fontId="3" fillId="0" borderId="0" applyFont="0" applyFill="0" applyBorder="0" applyAlignment="0" applyProtection="0"/>
    <xf numFmtId="0" fontId="16" fillId="0" borderId="0"/>
    <xf numFmtId="165" fontId="20" fillId="0" borderId="0" applyFont="0" applyFill="0" applyBorder="0" applyAlignment="0" applyProtection="0"/>
    <xf numFmtId="0" fontId="20" fillId="0" borderId="0"/>
    <xf numFmtId="9" fontId="3" fillId="0" borderId="0" applyFont="0" applyFill="0" applyBorder="0" applyAlignment="0" applyProtection="0"/>
  </cellStyleXfs>
  <cellXfs count="505">
    <xf numFmtId="0" fontId="0" fillId="0" borderId="0" xfId="0"/>
    <xf numFmtId="166" fontId="0" fillId="0" borderId="0" xfId="0" applyNumberFormat="1"/>
    <xf numFmtId="166" fontId="1" fillId="0" borderId="0" xfId="0" applyNumberFormat="1" applyFont="1"/>
    <xf numFmtId="166" fontId="0" fillId="2" borderId="0" xfId="0" applyNumberFormat="1" applyFill="1"/>
    <xf numFmtId="166" fontId="0" fillId="3" borderId="0" xfId="0" applyNumberFormat="1" applyFill="1"/>
    <xf numFmtId="166" fontId="0" fillId="4" borderId="0" xfId="0" applyNumberFormat="1" applyFill="1"/>
    <xf numFmtId="166" fontId="1" fillId="5" borderId="0" xfId="0" applyNumberFormat="1" applyFont="1" applyFill="1"/>
    <xf numFmtId="166" fontId="0" fillId="5" borderId="0" xfId="0" applyNumberFormat="1" applyFill="1"/>
    <xf numFmtId="0" fontId="2" fillId="0" borderId="0" xfId="1"/>
    <xf numFmtId="167" fontId="0" fillId="0" borderId="0" xfId="2" applyNumberFormat="1" applyFont="1"/>
    <xf numFmtId="167" fontId="0" fillId="8" borderId="0" xfId="2" applyNumberFormat="1" applyFont="1" applyFill="1"/>
    <xf numFmtId="167" fontId="4" fillId="6" borderId="0" xfId="4" applyNumberFormat="1"/>
    <xf numFmtId="167" fontId="3" fillId="7" borderId="0" xfId="5" applyNumberFormat="1"/>
    <xf numFmtId="167" fontId="3" fillId="7" borderId="1" xfId="5" applyNumberFormat="1" applyBorder="1"/>
    <xf numFmtId="167" fontId="0" fillId="7" borderId="0" xfId="5" applyNumberFormat="1" applyFont="1"/>
    <xf numFmtId="167" fontId="3" fillId="7" borderId="0" xfId="5" applyNumberFormat="1" applyBorder="1"/>
    <xf numFmtId="167" fontId="5" fillId="0" borderId="0" xfId="2" applyNumberFormat="1" applyFont="1"/>
    <xf numFmtId="167" fontId="6" fillId="6" borderId="0" xfId="4" applyNumberFormat="1" applyFont="1"/>
    <xf numFmtId="167" fontId="5" fillId="7" borderId="0" xfId="5" applyNumberFormat="1" applyFont="1"/>
    <xf numFmtId="167" fontId="0" fillId="9" borderId="0" xfId="2" applyNumberFormat="1" applyFont="1" applyFill="1" applyBorder="1"/>
    <xf numFmtId="167" fontId="0" fillId="9" borderId="0" xfId="2" applyNumberFormat="1" applyFont="1" applyFill="1"/>
    <xf numFmtId="166" fontId="0" fillId="8" borderId="0" xfId="0" applyNumberFormat="1" applyFill="1"/>
    <xf numFmtId="168" fontId="0" fillId="0" borderId="0" xfId="3" applyNumberFormat="1" applyFont="1"/>
    <xf numFmtId="166" fontId="1" fillId="2" borderId="0" xfId="0" applyNumberFormat="1" applyFont="1" applyFill="1" applyAlignment="1">
      <alignment horizontal="center" vertical="center"/>
    </xf>
    <xf numFmtId="167" fontId="0" fillId="5" borderId="0" xfId="2" applyNumberFormat="1" applyFont="1" applyFill="1"/>
    <xf numFmtId="167" fontId="0" fillId="0" borderId="0" xfId="2" applyNumberFormat="1" applyFont="1" applyAlignment="1">
      <alignment horizontal="center" vertical="center"/>
    </xf>
    <xf numFmtId="166" fontId="0" fillId="10" borderId="0" xfId="0" applyNumberFormat="1" applyFill="1"/>
    <xf numFmtId="166" fontId="0" fillId="11" borderId="0" xfId="0" applyNumberFormat="1" applyFill="1"/>
    <xf numFmtId="167" fontId="1" fillId="3" borderId="0" xfId="2" applyNumberFormat="1" applyFont="1" applyFill="1"/>
    <xf numFmtId="166" fontId="1" fillId="3" borderId="0" xfId="0" applyNumberFormat="1" applyFont="1" applyFill="1"/>
    <xf numFmtId="0" fontId="1" fillId="10" borderId="0" xfId="2" applyNumberFormat="1" applyFont="1" applyFill="1" applyAlignment="1">
      <alignment horizontal="center"/>
    </xf>
    <xf numFmtId="0" fontId="1" fillId="11" borderId="0" xfId="2" applyNumberFormat="1" applyFont="1" applyFill="1" applyAlignment="1">
      <alignment horizontal="center"/>
    </xf>
    <xf numFmtId="166" fontId="0" fillId="12" borderId="0" xfId="0" applyNumberFormat="1" applyFill="1"/>
    <xf numFmtId="167" fontId="0" fillId="12" borderId="0" xfId="2" applyNumberFormat="1" applyFont="1" applyFill="1"/>
    <xf numFmtId="9" fontId="0" fillId="12" borderId="0" xfId="3" applyFont="1" applyFill="1"/>
    <xf numFmtId="166" fontId="7" fillId="12" borderId="0" xfId="0" applyNumberFormat="1" applyFont="1" applyFill="1"/>
    <xf numFmtId="9" fontId="7" fillId="12" borderId="0" xfId="3" applyFont="1" applyFill="1"/>
    <xf numFmtId="167" fontId="7" fillId="12" borderId="0" xfId="2" applyNumberFormat="1" applyFont="1" applyFill="1"/>
    <xf numFmtId="166" fontId="7" fillId="10" borderId="0" xfId="0" applyNumberFormat="1" applyFont="1" applyFill="1"/>
    <xf numFmtId="166" fontId="8" fillId="12" borderId="0" xfId="0" applyNumberFormat="1" applyFont="1" applyFill="1"/>
    <xf numFmtId="167" fontId="8" fillId="12" borderId="0" xfId="2" applyNumberFormat="1" applyFont="1" applyFill="1"/>
    <xf numFmtId="166" fontId="8" fillId="10" borderId="0" xfId="0" applyNumberFormat="1" applyFont="1" applyFill="1"/>
    <xf numFmtId="166" fontId="8" fillId="11" borderId="0" xfId="0" applyNumberFormat="1" applyFont="1" applyFill="1"/>
    <xf numFmtId="166" fontId="7" fillId="0" borderId="0" xfId="0" applyNumberFormat="1" applyFont="1"/>
    <xf numFmtId="166" fontId="1" fillId="10" borderId="0" xfId="0" applyNumberFormat="1" applyFont="1" applyFill="1" applyAlignment="1">
      <alignment horizontal="center"/>
    </xf>
    <xf numFmtId="166" fontId="1" fillId="11" borderId="0" xfId="0" applyNumberFormat="1" applyFont="1" applyFill="1" applyAlignment="1">
      <alignment horizontal="center"/>
    </xf>
    <xf numFmtId="167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0" fillId="0" borderId="2" xfId="0" applyBorder="1"/>
    <xf numFmtId="167" fontId="0" fillId="0" borderId="0" xfId="2" applyNumberFormat="1" applyFont="1" applyBorder="1"/>
    <xf numFmtId="0" fontId="1" fillId="4" borderId="0" xfId="0" applyFont="1" applyFill="1"/>
    <xf numFmtId="167" fontId="1" fillId="4" borderId="0" xfId="2" applyNumberFormat="1" applyFont="1" applyFill="1" applyBorder="1"/>
    <xf numFmtId="167" fontId="1" fillId="4" borderId="1" xfId="2" applyNumberFormat="1" applyFont="1" applyFill="1" applyBorder="1"/>
    <xf numFmtId="166" fontId="9" fillId="0" borderId="3" xfId="6" applyNumberFormat="1" applyFont="1" applyBorder="1"/>
    <xf numFmtId="166" fontId="0" fillId="4" borderId="3" xfId="0" applyNumberFormat="1" applyFill="1" applyBorder="1"/>
    <xf numFmtId="167" fontId="0" fillId="0" borderId="3" xfId="2" applyNumberFormat="1" applyFont="1" applyBorder="1"/>
    <xf numFmtId="9" fontId="0" fillId="0" borderId="3" xfId="3" applyFont="1" applyBorder="1"/>
    <xf numFmtId="166" fontId="0" fillId="0" borderId="3" xfId="6" applyNumberFormat="1" applyFont="1" applyBorder="1"/>
    <xf numFmtId="166" fontId="0" fillId="2" borderId="3" xfId="6" applyNumberFormat="1" applyFont="1" applyFill="1" applyBorder="1"/>
    <xf numFmtId="166" fontId="0" fillId="8" borderId="3" xfId="0" applyNumberFormat="1" applyFill="1" applyBorder="1"/>
    <xf numFmtId="166" fontId="0" fillId="4" borderId="4" xfId="0" applyNumberFormat="1" applyFill="1" applyBorder="1"/>
    <xf numFmtId="0" fontId="9" fillId="0" borderId="3" xfId="0" applyFont="1" applyBorder="1" applyAlignment="1">
      <alignment horizontal="center"/>
    </xf>
    <xf numFmtId="10" fontId="0" fillId="4" borderId="3" xfId="3" applyNumberFormat="1" applyFont="1" applyFill="1" applyBorder="1" applyAlignment="1">
      <alignment horizontal="center"/>
    </xf>
    <xf numFmtId="166" fontId="10" fillId="13" borderId="3" xfId="0" applyNumberFormat="1" applyFont="1" applyFill="1" applyBorder="1"/>
    <xf numFmtId="166" fontId="10" fillId="14" borderId="3" xfId="0" applyNumberFormat="1" applyFont="1" applyFill="1" applyBorder="1"/>
    <xf numFmtId="166" fontId="10" fillId="15" borderId="3" xfId="0" applyNumberFormat="1" applyFont="1" applyFill="1" applyBorder="1"/>
    <xf numFmtId="166" fontId="10" fillId="16" borderId="3" xfId="0" applyNumberFormat="1" applyFont="1" applyFill="1" applyBorder="1"/>
    <xf numFmtId="166" fontId="11" fillId="15" borderId="4" xfId="0" applyNumberFormat="1" applyFont="1" applyFill="1" applyBorder="1"/>
    <xf numFmtId="170" fontId="12" fillId="0" borderId="0" xfId="7" applyNumberFormat="1" applyFont="1" applyFill="1" applyBorder="1" applyAlignment="1">
      <alignment horizontal="center"/>
    </xf>
    <xf numFmtId="0" fontId="3" fillId="17" borderId="0" xfId="8" applyFill="1"/>
    <xf numFmtId="171" fontId="13" fillId="0" borderId="0" xfId="9" applyFont="1"/>
    <xf numFmtId="0" fontId="3" fillId="18" borderId="0" xfId="8" applyFill="1"/>
    <xf numFmtId="0" fontId="14" fillId="19" borderId="0" xfId="8" applyFont="1" applyFill="1" applyAlignment="1">
      <alignment horizontal="center" vertical="center" wrapText="1"/>
    </xf>
    <xf numFmtId="3" fontId="3" fillId="0" borderId="5" xfId="8" applyNumberFormat="1" applyBorder="1" applyAlignment="1">
      <alignment horizontal="center"/>
    </xf>
    <xf numFmtId="0" fontId="14" fillId="19" borderId="0" xfId="8" applyFont="1" applyFill="1" applyAlignment="1">
      <alignment horizontal="center" vertical="center"/>
    </xf>
    <xf numFmtId="10" fontId="16" fillId="0" borderId="0" xfId="10" applyNumberFormat="1" applyAlignment="1">
      <alignment horizontal="center"/>
    </xf>
    <xf numFmtId="0" fontId="17" fillId="0" borderId="0" xfId="8" applyFont="1" applyAlignment="1">
      <alignment horizontal="center" vertical="center" wrapText="1"/>
    </xf>
    <xf numFmtId="169" fontId="18" fillId="0" borderId="5" xfId="7" applyFont="1" applyFill="1" applyBorder="1" applyAlignment="1">
      <alignment horizontal="center"/>
    </xf>
    <xf numFmtId="4" fontId="3" fillId="0" borderId="5" xfId="8" applyNumberFormat="1" applyBorder="1" applyAlignment="1">
      <alignment horizontal="center"/>
    </xf>
    <xf numFmtId="167" fontId="3" fillId="18" borderId="0" xfId="11" applyNumberFormat="1" applyFont="1" applyFill="1" applyBorder="1"/>
    <xf numFmtId="0" fontId="21" fillId="0" borderId="6" xfId="12" applyFont="1" applyBorder="1" applyAlignment="1">
      <alignment horizontal="center"/>
    </xf>
    <xf numFmtId="0" fontId="22" fillId="0" borderId="6" xfId="12" applyFont="1" applyBorder="1" applyAlignment="1">
      <alignment horizontal="center"/>
    </xf>
    <xf numFmtId="172" fontId="23" fillId="0" borderId="5" xfId="13" applyNumberFormat="1" applyFont="1" applyFill="1" applyBorder="1" applyAlignment="1">
      <alignment horizontal="center"/>
    </xf>
    <xf numFmtId="0" fontId="24" fillId="18" borderId="0" xfId="8" applyFont="1" applyFill="1" applyAlignment="1">
      <alignment horizontal="left"/>
    </xf>
    <xf numFmtId="0" fontId="23" fillId="0" borderId="5" xfId="9" applyNumberFormat="1" applyFont="1" applyFill="1" applyBorder="1" applyAlignment="1">
      <alignment horizontal="center"/>
    </xf>
    <xf numFmtId="171" fontId="0" fillId="18" borderId="0" xfId="9" applyFont="1" applyFill="1" applyBorder="1"/>
    <xf numFmtId="0" fontId="3" fillId="0" borderId="0" xfId="8"/>
    <xf numFmtId="4" fontId="3" fillId="18" borderId="0" xfId="8" applyNumberFormat="1" applyFill="1"/>
    <xf numFmtId="0" fontId="12" fillId="20" borderId="0" xfId="8" applyFont="1" applyFill="1" applyAlignment="1">
      <alignment horizontal="center"/>
    </xf>
    <xf numFmtId="170" fontId="12" fillId="20" borderId="0" xfId="7" applyNumberFormat="1" applyFont="1" applyFill="1" applyBorder="1" applyAlignment="1">
      <alignment horizontal="center"/>
    </xf>
    <xf numFmtId="170" fontId="12" fillId="20" borderId="0" xfId="8" applyNumberFormat="1" applyFont="1" applyFill="1" applyAlignment="1">
      <alignment horizontal="center"/>
    </xf>
    <xf numFmtId="0" fontId="10" fillId="0" borderId="0" xfId="8" applyFont="1"/>
    <xf numFmtId="0" fontId="12" fillId="0" borderId="0" xfId="8" applyFont="1" applyAlignment="1">
      <alignment horizontal="center"/>
    </xf>
    <xf numFmtId="170" fontId="12" fillId="0" borderId="0" xfId="8" applyNumberFormat="1" applyFont="1" applyAlignment="1">
      <alignment horizontal="center"/>
    </xf>
    <xf numFmtId="4" fontId="3" fillId="0" borderId="0" xfId="8" applyNumberFormat="1" applyProtection="1">
      <protection locked="0"/>
    </xf>
    <xf numFmtId="0" fontId="1" fillId="0" borderId="0" xfId="8" applyFont="1" applyAlignment="1">
      <alignment horizontal="center"/>
    </xf>
    <xf numFmtId="0" fontId="2" fillId="0" borderId="0" xfId="1" applyFill="1" applyBorder="1"/>
    <xf numFmtId="4" fontId="3" fillId="0" borderId="0" xfId="8" applyNumberFormat="1"/>
    <xf numFmtId="172" fontId="0" fillId="4" borderId="3" xfId="3" applyNumberFormat="1" applyFont="1" applyFill="1" applyBorder="1" applyAlignment="1">
      <alignment horizontal="center"/>
    </xf>
    <xf numFmtId="0" fontId="0" fillId="0" borderId="3" xfId="0" applyBorder="1"/>
    <xf numFmtId="167" fontId="1" fillId="0" borderId="0" xfId="2" applyNumberFormat="1" applyFont="1"/>
    <xf numFmtId="167" fontId="0" fillId="8" borderId="3" xfId="2" applyNumberFormat="1" applyFont="1" applyFill="1" applyBorder="1"/>
    <xf numFmtId="0" fontId="1" fillId="0" borderId="0" xfId="0" applyFont="1" applyAlignment="1">
      <alignment horizontal="center" vertical="center"/>
    </xf>
    <xf numFmtId="167" fontId="27" fillId="0" borderId="0" xfId="2" applyNumberFormat="1" applyFont="1" applyAlignment="1">
      <alignment horizontal="center" vertical="center" wrapText="1"/>
    </xf>
    <xf numFmtId="0" fontId="1" fillId="0" borderId="0" xfId="0" applyFont="1"/>
    <xf numFmtId="167" fontId="0" fillId="0" borderId="7" xfId="2" applyNumberFormat="1" applyFont="1" applyBorder="1"/>
    <xf numFmtId="167" fontId="0" fillId="0" borderId="8" xfId="2" applyNumberFormat="1" applyFont="1" applyBorder="1"/>
    <xf numFmtId="0" fontId="1" fillId="0" borderId="0" xfId="0" applyFont="1" applyAlignment="1">
      <alignment horizontal="center"/>
    </xf>
    <xf numFmtId="167" fontId="1" fillId="0" borderId="0" xfId="2" applyNumberFormat="1" applyFont="1" applyAlignment="1">
      <alignment horizontal="center"/>
    </xf>
    <xf numFmtId="167" fontId="0" fillId="0" borderId="8" xfId="2" applyNumberFormat="1" applyFont="1" applyBorder="1" applyAlignment="1">
      <alignment horizontal="center"/>
    </xf>
    <xf numFmtId="9" fontId="0" fillId="0" borderId="8" xfId="3" applyFont="1" applyBorder="1" applyAlignment="1">
      <alignment horizontal="center"/>
    </xf>
    <xf numFmtId="167" fontId="0" fillId="0" borderId="7" xfId="2" applyNumberFormat="1" applyFont="1" applyBorder="1" applyAlignment="1">
      <alignment horizontal="center"/>
    </xf>
    <xf numFmtId="9" fontId="0" fillId="0" borderId="7" xfId="3" applyFont="1" applyBorder="1" applyAlignment="1">
      <alignment horizontal="center"/>
    </xf>
    <xf numFmtId="9" fontId="0" fillId="0" borderId="0" xfId="3" applyFont="1" applyAlignment="1">
      <alignment horizontal="center"/>
    </xf>
    <xf numFmtId="167" fontId="0" fillId="0" borderId="3" xfId="2" applyNumberFormat="1" applyFont="1" applyBorder="1" applyAlignment="1">
      <alignment wrapText="1"/>
    </xf>
    <xf numFmtId="9" fontId="0" fillId="8" borderId="3" xfId="3" applyFont="1" applyFill="1" applyBorder="1"/>
    <xf numFmtId="167" fontId="0" fillId="21" borderId="3" xfId="2" applyNumberFormat="1" applyFont="1" applyFill="1" applyBorder="1"/>
    <xf numFmtId="166" fontId="0" fillId="0" borderId="0" xfId="6" applyNumberFormat="1" applyFont="1"/>
    <xf numFmtId="0" fontId="10" fillId="22" borderId="0" xfId="0" applyFont="1" applyFill="1" applyAlignment="1">
      <alignment horizontal="center"/>
    </xf>
    <xf numFmtId="166" fontId="10" fillId="22" borderId="0" xfId="6" applyNumberFormat="1" applyFont="1" applyFill="1" applyAlignment="1">
      <alignment horizontal="center"/>
    </xf>
    <xf numFmtId="0" fontId="1" fillId="0" borderId="3" xfId="0" applyFont="1" applyBorder="1" applyAlignment="1">
      <alignment horizontal="center" vertical="center"/>
    </xf>
    <xf numFmtId="167" fontId="0" fillId="0" borderId="1" xfId="2" applyNumberFormat="1" applyFont="1" applyBorder="1"/>
    <xf numFmtId="14" fontId="0" fillId="0" borderId="0" xfId="0" applyNumberFormat="1"/>
    <xf numFmtId="166" fontId="0" fillId="0" borderId="0" xfId="6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166" fontId="0" fillId="0" borderId="3" xfId="6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0" fontId="0" fillId="24" borderId="0" xfId="0" applyFill="1"/>
    <xf numFmtId="0" fontId="0" fillId="8" borderId="0" xfId="0" applyFill="1" applyAlignment="1">
      <alignment horizontal="center"/>
    </xf>
    <xf numFmtId="9" fontId="0" fillId="0" borderId="0" xfId="3" applyFont="1"/>
    <xf numFmtId="166" fontId="7" fillId="0" borderId="3" xfId="6" applyNumberFormat="1" applyFont="1" applyBorder="1" applyAlignment="1">
      <alignment vertical="center"/>
    </xf>
    <xf numFmtId="166" fontId="29" fillId="0" borderId="3" xfId="6" applyNumberFormat="1" applyFont="1" applyBorder="1" applyAlignment="1">
      <alignment vertical="center"/>
    </xf>
    <xf numFmtId="166" fontId="0" fillId="2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2" borderId="12" xfId="0" applyNumberFormat="1" applyFill="1" applyBorder="1"/>
    <xf numFmtId="166" fontId="0" fillId="26" borderId="12" xfId="0" applyNumberFormat="1" applyFill="1" applyBorder="1" applyAlignment="1">
      <alignment vertical="center"/>
    </xf>
    <xf numFmtId="166" fontId="30" fillId="26" borderId="12" xfId="0" applyNumberFormat="1" applyFont="1" applyFill="1" applyBorder="1" applyAlignment="1">
      <alignment vertical="center"/>
    </xf>
    <xf numFmtId="166" fontId="30" fillId="26" borderId="12" xfId="0" applyNumberFormat="1" applyFont="1" applyFill="1" applyBorder="1" applyAlignment="1">
      <alignment vertical="top" wrapText="1"/>
    </xf>
    <xf numFmtId="166" fontId="0" fillId="4" borderId="12" xfId="0" applyNumberFormat="1" applyFill="1" applyBorder="1"/>
    <xf numFmtId="166" fontId="1" fillId="5" borderId="0" xfId="0" applyNumberFormat="1" applyFont="1" applyFill="1" applyAlignment="1">
      <alignment horizontal="center"/>
    </xf>
    <xf numFmtId="166" fontId="10" fillId="27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" xfId="0" applyNumberFormat="1" applyBorder="1"/>
    <xf numFmtId="166" fontId="0" fillId="0" borderId="18" xfId="0" applyNumberFormat="1" applyBorder="1"/>
    <xf numFmtId="166" fontId="0" fillId="0" borderId="20" xfId="6" applyNumberFormat="1" applyFont="1" applyBorder="1" applyAlignment="1">
      <alignment vertical="center"/>
    </xf>
    <xf numFmtId="0" fontId="10" fillId="23" borderId="21" xfId="0" applyFont="1" applyFill="1" applyBorder="1" applyAlignment="1">
      <alignment horizontal="center"/>
    </xf>
    <xf numFmtId="0" fontId="10" fillId="23" borderId="11" xfId="0" applyFont="1" applyFill="1" applyBorder="1" applyAlignment="1">
      <alignment horizontal="center"/>
    </xf>
    <xf numFmtId="0" fontId="10" fillId="23" borderId="11" xfId="0" applyFont="1" applyFill="1" applyBorder="1" applyAlignment="1">
      <alignment horizontal="center" vertical="center"/>
    </xf>
    <xf numFmtId="166" fontId="10" fillId="23" borderId="11" xfId="6" applyNumberFormat="1" applyFont="1" applyFill="1" applyBorder="1" applyAlignment="1">
      <alignment horizontal="center" vertical="center"/>
    </xf>
    <xf numFmtId="166" fontId="10" fillId="23" borderId="22" xfId="6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6" fontId="29" fillId="0" borderId="9" xfId="6" applyNumberFormat="1" applyFont="1" applyBorder="1" applyAlignment="1">
      <alignment vertical="center"/>
    </xf>
    <xf numFmtId="166" fontId="0" fillId="0" borderId="9" xfId="6" applyNumberFormat="1" applyFont="1" applyBorder="1" applyAlignment="1">
      <alignment vertical="center"/>
    </xf>
    <xf numFmtId="166" fontId="0" fillId="0" borderId="24" xfId="6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3" xfId="2" applyNumberFormat="1" applyFont="1" applyBorder="1" applyAlignment="1">
      <alignment horizontal="center"/>
    </xf>
    <xf numFmtId="0" fontId="0" fillId="0" borderId="19" xfId="0" applyBorder="1" applyAlignment="1">
      <alignment vertical="center"/>
    </xf>
    <xf numFmtId="0" fontId="1" fillId="0" borderId="19" xfId="0" applyFont="1" applyBorder="1"/>
    <xf numFmtId="0" fontId="0" fillId="0" borderId="19" xfId="0" applyBorder="1"/>
    <xf numFmtId="0" fontId="0" fillId="0" borderId="23" xfId="0" applyBorder="1"/>
    <xf numFmtId="166" fontId="0" fillId="25" borderId="0" xfId="0" applyNumberFormat="1" applyFill="1" applyAlignment="1">
      <alignment horizontal="center"/>
    </xf>
    <xf numFmtId="166" fontId="30" fillId="4" borderId="0" xfId="0" applyNumberFormat="1" applyFont="1" applyFill="1" applyAlignment="1">
      <alignment horizontal="center"/>
    </xf>
    <xf numFmtId="166" fontId="30" fillId="25" borderId="0" xfId="0" applyNumberFormat="1" applyFont="1" applyFill="1" applyAlignment="1">
      <alignment horizontal="center"/>
    </xf>
    <xf numFmtId="166" fontId="33" fillId="0" borderId="0" xfId="0" applyNumberFormat="1" applyFont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2" xfId="2" applyNumberFormat="1" applyFont="1" applyBorder="1" applyAlignment="1">
      <alignment horizontal="center"/>
    </xf>
    <xf numFmtId="166" fontId="0" fillId="29" borderId="12" xfId="0" applyNumberFormat="1" applyFill="1" applyBorder="1" applyAlignment="1">
      <alignment horizontal="center"/>
    </xf>
    <xf numFmtId="168" fontId="0" fillId="0" borderId="12" xfId="3" applyNumberFormat="1" applyFont="1" applyBorder="1" applyAlignment="1">
      <alignment horizontal="center"/>
    </xf>
    <xf numFmtId="168" fontId="0" fillId="2" borderId="12" xfId="3" applyNumberFormat="1" applyFont="1" applyFill="1" applyBorder="1" applyAlignment="1">
      <alignment horizontal="center"/>
    </xf>
    <xf numFmtId="168" fontId="0" fillId="4" borderId="12" xfId="3" applyNumberFormat="1" applyFont="1" applyFill="1" applyBorder="1" applyAlignment="1">
      <alignment horizontal="center"/>
    </xf>
    <xf numFmtId="168" fontId="0" fillId="29" borderId="12" xfId="3" applyNumberFormat="1" applyFont="1" applyFill="1" applyBorder="1" applyAlignment="1">
      <alignment horizontal="center"/>
    </xf>
    <xf numFmtId="167" fontId="0" fillId="0" borderId="12" xfId="2" applyNumberFormat="1" applyFont="1" applyBorder="1" applyAlignment="1">
      <alignment horizontal="center"/>
    </xf>
    <xf numFmtId="167" fontId="0" fillId="2" borderId="12" xfId="2" applyNumberFormat="1" applyFont="1" applyFill="1" applyBorder="1" applyAlignment="1">
      <alignment horizontal="center"/>
    </xf>
    <xf numFmtId="167" fontId="0" fillId="4" borderId="12" xfId="2" applyNumberFormat="1" applyFont="1" applyFill="1" applyBorder="1" applyAlignment="1">
      <alignment horizontal="center"/>
    </xf>
    <xf numFmtId="167" fontId="0" fillId="29" borderId="12" xfId="2" applyNumberFormat="1" applyFont="1" applyFill="1" applyBorder="1" applyAlignment="1">
      <alignment horizontal="center"/>
    </xf>
    <xf numFmtId="166" fontId="10" fillId="27" borderId="12" xfId="0" applyNumberFormat="1" applyFont="1" applyFill="1" applyBorder="1" applyAlignment="1">
      <alignment horizontal="center"/>
    </xf>
    <xf numFmtId="167" fontId="0" fillId="0" borderId="12" xfId="2" applyNumberFormat="1" applyFont="1" applyBorder="1"/>
    <xf numFmtId="14" fontId="0" fillId="0" borderId="20" xfId="0" applyNumberFormat="1" applyBorder="1" applyAlignment="1">
      <alignment horizontal="center" vertical="center"/>
    </xf>
    <xf numFmtId="14" fontId="0" fillId="30" borderId="20" xfId="0" applyNumberFormat="1" applyFill="1" applyBorder="1" applyAlignment="1">
      <alignment horizontal="center" vertical="center"/>
    </xf>
    <xf numFmtId="166" fontId="10" fillId="23" borderId="3" xfId="6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7" fontId="0" fillId="0" borderId="3" xfId="2" applyNumberFormat="1" applyFont="1" applyBorder="1" applyAlignment="1">
      <alignment horizontal="center" vertical="center"/>
    </xf>
    <xf numFmtId="166" fontId="34" fillId="26" borderId="12" xfId="0" applyNumberFormat="1" applyFont="1" applyFill="1" applyBorder="1" applyAlignment="1">
      <alignment vertical="center"/>
    </xf>
    <xf numFmtId="166" fontId="0" fillId="17" borderId="0" xfId="0" applyNumberFormat="1" applyFill="1"/>
    <xf numFmtId="166" fontId="0" fillId="17" borderId="12" xfId="0" applyNumberFormat="1" applyFill="1" applyBorder="1"/>
    <xf numFmtId="0" fontId="9" fillId="0" borderId="0" xfId="0" applyFont="1"/>
    <xf numFmtId="0" fontId="0" fillId="0" borderId="9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1" fillId="0" borderId="3" xfId="6" applyNumberFormat="1" applyFont="1" applyBorder="1" applyAlignment="1">
      <alignment vertical="center"/>
    </xf>
    <xf numFmtId="166" fontId="3" fillId="0" borderId="3" xfId="6" applyNumberFormat="1" applyFont="1" applyBorder="1" applyAlignment="1">
      <alignment vertical="center"/>
    </xf>
    <xf numFmtId="14" fontId="29" fillId="0" borderId="3" xfId="0" applyNumberFormat="1" applyFont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166" fontId="36" fillId="0" borderId="0" xfId="0" applyNumberFormat="1" applyFont="1" applyAlignment="1">
      <alignment horizontal="center"/>
    </xf>
    <xf numFmtId="166" fontId="37" fillId="0" borderId="0" xfId="0" applyNumberFormat="1" applyFont="1" applyAlignment="1">
      <alignment horizontal="center"/>
    </xf>
    <xf numFmtId="0" fontId="0" fillId="17" borderId="0" xfId="0" applyFill="1"/>
    <xf numFmtId="0" fontId="33" fillId="17" borderId="0" xfId="0" applyFont="1" applyFill="1"/>
    <xf numFmtId="0" fontId="38" fillId="28" borderId="0" xfId="0" applyFont="1" applyFill="1" applyAlignment="1">
      <alignment horizontal="center"/>
    </xf>
    <xf numFmtId="0" fontId="35" fillId="28" borderId="0" xfId="0" applyFont="1" applyFill="1" applyAlignment="1">
      <alignment horizontal="center"/>
    </xf>
    <xf numFmtId="166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166" fontId="0" fillId="4" borderId="12" xfId="0" applyNumberFormat="1" applyFill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0" fontId="1" fillId="28" borderId="2" xfId="0" applyFont="1" applyFill="1" applyBorder="1"/>
    <xf numFmtId="0" fontId="1" fillId="28" borderId="25" xfId="0" applyFont="1" applyFill="1" applyBorder="1" applyAlignment="1">
      <alignment horizontal="left"/>
    </xf>
    <xf numFmtId="166" fontId="1" fillId="28" borderId="25" xfId="0" applyNumberFormat="1" applyFont="1" applyFill="1" applyBorder="1"/>
    <xf numFmtId="0" fontId="0" fillId="0" borderId="0" xfId="0" applyAlignment="1">
      <alignment horizontal="left" indent="1"/>
    </xf>
    <xf numFmtId="167" fontId="0" fillId="0" borderId="0" xfId="0" applyNumberFormat="1"/>
    <xf numFmtId="167" fontId="0" fillId="30" borderId="3" xfId="2" applyNumberFormat="1" applyFont="1" applyFill="1" applyBorder="1" applyAlignment="1">
      <alignment horizontal="center"/>
    </xf>
    <xf numFmtId="14" fontId="0" fillId="30" borderId="3" xfId="0" applyNumberFormat="1" applyFill="1" applyBorder="1" applyAlignment="1">
      <alignment horizontal="center" vertical="center"/>
    </xf>
    <xf numFmtId="14" fontId="0" fillId="30" borderId="26" xfId="0" applyNumberFormat="1" applyFill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4" fontId="29" fillId="0" borderId="9" xfId="0" applyNumberFormat="1" applyFont="1" applyBorder="1" applyAlignment="1">
      <alignment horizontal="center" vertical="center"/>
    </xf>
    <xf numFmtId="166" fontId="29" fillId="0" borderId="9" xfId="0" applyNumberFormat="1" applyFont="1" applyBorder="1" applyAlignment="1">
      <alignment horizontal="center" vertical="center"/>
    </xf>
    <xf numFmtId="167" fontId="29" fillId="0" borderId="3" xfId="2" applyNumberFormat="1" applyFont="1" applyBorder="1" applyAlignment="1">
      <alignment horizontal="center"/>
    </xf>
    <xf numFmtId="166" fontId="29" fillId="0" borderId="3" xfId="0" applyNumberFormat="1" applyFont="1" applyBorder="1" applyAlignment="1">
      <alignment horizontal="center" vertical="center"/>
    </xf>
    <xf numFmtId="0" fontId="0" fillId="8" borderId="0" xfId="0" applyFill="1" applyAlignment="1">
      <alignment horizontal="left"/>
    </xf>
    <xf numFmtId="0" fontId="0" fillId="31" borderId="0" xfId="0" applyFill="1" applyAlignment="1">
      <alignment horizontal="left"/>
    </xf>
    <xf numFmtId="166" fontId="0" fillId="31" borderId="0" xfId="0" applyNumberFormat="1" applyFill="1"/>
    <xf numFmtId="0" fontId="0" fillId="32" borderId="0" xfId="0" applyFill="1" applyAlignment="1">
      <alignment horizontal="left"/>
    </xf>
    <xf numFmtId="166" fontId="0" fillId="32" borderId="0" xfId="0" applyNumberFormat="1" applyFill="1"/>
    <xf numFmtId="0" fontId="0" fillId="33" borderId="0" xfId="0" applyFill="1" applyAlignment="1">
      <alignment horizontal="left"/>
    </xf>
    <xf numFmtId="166" fontId="0" fillId="33" borderId="0" xfId="0" applyNumberFormat="1" applyFill="1"/>
    <xf numFmtId="0" fontId="0" fillId="9" borderId="0" xfId="0" applyFill="1" applyAlignment="1">
      <alignment horizontal="left"/>
    </xf>
    <xf numFmtId="166" fontId="0" fillId="9" borderId="0" xfId="0" applyNumberFormat="1" applyFill="1"/>
    <xf numFmtId="166" fontId="29" fillId="0" borderId="0" xfId="0" applyNumberFormat="1" applyFont="1"/>
    <xf numFmtId="167" fontId="0" fillId="0" borderId="0" xfId="0" applyNumberFormat="1" applyAlignment="1">
      <alignment horizontal="center"/>
    </xf>
    <xf numFmtId="167" fontId="39" fillId="0" borderId="0" xfId="0" applyNumberFormat="1" applyFont="1"/>
    <xf numFmtId="0" fontId="0" fillId="0" borderId="0" xfId="0" applyAlignment="1">
      <alignment vertical="center" wrapText="1"/>
    </xf>
    <xf numFmtId="0" fontId="0" fillId="8" borderId="0" xfId="0" applyFill="1"/>
    <xf numFmtId="0" fontId="0" fillId="0" borderId="27" xfId="0" applyBorder="1"/>
    <xf numFmtId="0" fontId="10" fillId="23" borderId="22" xfId="0" applyFont="1" applyFill="1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167" fontId="0" fillId="0" borderId="3" xfId="2" applyNumberFormat="1" applyFont="1" applyFill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167" fontId="0" fillId="0" borderId="9" xfId="2" applyNumberFormat="1" applyFont="1" applyFill="1" applyBorder="1" applyAlignment="1">
      <alignment horizontal="center"/>
    </xf>
    <xf numFmtId="14" fontId="0" fillId="0" borderId="24" xfId="0" applyNumberFormat="1" applyBorder="1" applyAlignment="1">
      <alignment horizontal="center" vertical="center"/>
    </xf>
    <xf numFmtId="20" fontId="0" fillId="0" borderId="0" xfId="0" applyNumberFormat="1"/>
    <xf numFmtId="9" fontId="0" fillId="0" borderId="0" xfId="0" applyNumberFormat="1"/>
    <xf numFmtId="166" fontId="0" fillId="30" borderId="3" xfId="6" applyNumberFormat="1" applyFont="1" applyFill="1" applyBorder="1" applyAlignment="1">
      <alignment vertical="center"/>
    </xf>
    <xf numFmtId="0" fontId="40" fillId="0" borderId="0" xfId="0" applyFont="1"/>
    <xf numFmtId="166" fontId="34" fillId="0" borderId="9" xfId="6" applyNumberFormat="1" applyFont="1" applyBorder="1" applyAlignment="1">
      <alignment vertical="center"/>
    </xf>
    <xf numFmtId="166" fontId="34" fillId="0" borderId="3" xfId="6" applyNumberFormat="1" applyFont="1" applyBorder="1" applyAlignment="1">
      <alignment vertical="center"/>
    </xf>
    <xf numFmtId="166" fontId="35" fillId="0" borderId="0" xfId="0" applyNumberFormat="1" applyFont="1" applyAlignment="1">
      <alignment horizontal="center"/>
    </xf>
    <xf numFmtId="0" fontId="0" fillId="0" borderId="0" xfId="0" pivotButton="1" applyAlignment="1">
      <alignment horizontal="center"/>
    </xf>
    <xf numFmtId="0" fontId="0" fillId="17" borderId="0" xfId="0" applyFill="1" applyAlignment="1">
      <alignment horizontal="center"/>
    </xf>
    <xf numFmtId="0" fontId="0" fillId="17" borderId="7" xfId="0" applyFill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0" fontId="0" fillId="17" borderId="8" xfId="0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34" borderId="7" xfId="0" applyNumberFormat="1" applyFill="1" applyBorder="1" applyAlignment="1">
      <alignment horizontal="center"/>
    </xf>
    <xf numFmtId="166" fontId="1" fillId="0" borderId="12" xfId="2" applyNumberFormat="1" applyFont="1" applyBorder="1" applyAlignment="1">
      <alignment horizontal="center"/>
    </xf>
    <xf numFmtId="166" fontId="1" fillId="2" borderId="12" xfId="0" applyNumberFormat="1" applyFont="1" applyFill="1" applyBorder="1" applyAlignment="1">
      <alignment horizontal="center"/>
    </xf>
    <xf numFmtId="166" fontId="1" fillId="4" borderId="12" xfId="0" applyNumberFormat="1" applyFont="1" applyFill="1" applyBorder="1" applyAlignment="1">
      <alignment horizontal="center"/>
    </xf>
    <xf numFmtId="166" fontId="1" fillId="29" borderId="12" xfId="0" applyNumberFormat="1" applyFont="1" applyFill="1" applyBorder="1" applyAlignment="1">
      <alignment horizontal="center"/>
    </xf>
    <xf numFmtId="166" fontId="1" fillId="0" borderId="12" xfId="0" applyNumberFormat="1" applyFont="1" applyBorder="1" applyAlignment="1">
      <alignment horizontal="center"/>
    </xf>
    <xf numFmtId="167" fontId="7" fillId="4" borderId="12" xfId="2" applyNumberFormat="1" applyFont="1" applyFill="1" applyBorder="1" applyAlignment="1">
      <alignment horizontal="center"/>
    </xf>
    <xf numFmtId="166" fontId="30" fillId="32" borderId="0" xfId="0" applyNumberFormat="1" applyFont="1" applyFill="1" applyAlignment="1">
      <alignment horizontal="center"/>
    </xf>
    <xf numFmtId="166" fontId="0" fillId="32" borderId="0" xfId="0" applyNumberFormat="1" applyFill="1" applyAlignment="1">
      <alignment horizontal="center"/>
    </xf>
    <xf numFmtId="166" fontId="1" fillId="32" borderId="12" xfId="0" applyNumberFormat="1" applyFont="1" applyFill="1" applyBorder="1" applyAlignment="1">
      <alignment horizontal="center"/>
    </xf>
    <xf numFmtId="168" fontId="0" fillId="32" borderId="12" xfId="3" applyNumberFormat="1" applyFont="1" applyFill="1" applyBorder="1" applyAlignment="1">
      <alignment horizontal="center"/>
    </xf>
    <xf numFmtId="167" fontId="34" fillId="29" borderId="12" xfId="2" applyNumberFormat="1" applyFont="1" applyFill="1" applyBorder="1" applyAlignment="1">
      <alignment horizontal="center"/>
    </xf>
    <xf numFmtId="168" fontId="34" fillId="29" borderId="12" xfId="3" applyNumberFormat="1" applyFont="1" applyFill="1" applyBorder="1" applyAlignment="1">
      <alignment horizontal="center"/>
    </xf>
    <xf numFmtId="166" fontId="34" fillId="0" borderId="0" xfId="0" applyNumberFormat="1" applyFont="1" applyAlignment="1">
      <alignment horizontal="center"/>
    </xf>
    <xf numFmtId="166" fontId="34" fillId="2" borderId="0" xfId="0" applyNumberFormat="1" applyFont="1" applyFill="1" applyAlignment="1">
      <alignment horizontal="center"/>
    </xf>
    <xf numFmtId="166" fontId="34" fillId="25" borderId="0" xfId="0" applyNumberFormat="1" applyFont="1" applyFill="1" applyAlignment="1">
      <alignment horizontal="center"/>
    </xf>
    <xf numFmtId="166" fontId="34" fillId="4" borderId="0" xfId="0" applyNumberFormat="1" applyFont="1" applyFill="1" applyAlignment="1">
      <alignment horizontal="center"/>
    </xf>
    <xf numFmtId="166" fontId="41" fillId="0" borderId="0" xfId="0" applyNumberFormat="1" applyFont="1" applyAlignment="1">
      <alignment horizontal="center"/>
    </xf>
    <xf numFmtId="168" fontId="0" fillId="0" borderId="0" xfId="3" applyNumberFormat="1" applyFont="1" applyAlignment="1">
      <alignment horizontal="center"/>
    </xf>
    <xf numFmtId="14" fontId="35" fillId="35" borderId="0" xfId="0" applyNumberFormat="1" applyFont="1" applyFill="1" applyAlignment="1">
      <alignment horizontal="center"/>
    </xf>
    <xf numFmtId="166" fontId="0" fillId="2" borderId="16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4" fontId="0" fillId="30" borderId="3" xfId="0" applyNumberFormat="1" applyFill="1" applyBorder="1" applyAlignment="1">
      <alignment horizontal="center"/>
    </xf>
    <xf numFmtId="0" fontId="0" fillId="0" borderId="28" xfId="0" applyBorder="1"/>
    <xf numFmtId="166" fontId="0" fillId="0" borderId="0" xfId="0" applyNumberFormat="1" applyAlignment="1">
      <alignment vertical="center"/>
    </xf>
    <xf numFmtId="9" fontId="0" fillId="0" borderId="0" xfId="3" applyFont="1" applyAlignment="1">
      <alignment vertical="center"/>
    </xf>
    <xf numFmtId="166" fontId="0" fillId="2" borderId="16" xfId="0" applyNumberFormat="1" applyFill="1" applyBorder="1"/>
    <xf numFmtId="166" fontId="0" fillId="8" borderId="12" xfId="0" applyNumberFormat="1" applyFill="1" applyBorder="1" applyAlignment="1">
      <alignment horizontal="center"/>
    </xf>
    <xf numFmtId="0" fontId="10" fillId="27" borderId="0" xfId="0" applyFont="1" applyFill="1" applyAlignment="1">
      <alignment horizontal="center"/>
    </xf>
    <xf numFmtId="0" fontId="0" fillId="0" borderId="29" xfId="0" applyBorder="1"/>
    <xf numFmtId="166" fontId="0" fillId="0" borderId="30" xfId="0" applyNumberFormat="1" applyBorder="1" applyAlignment="1">
      <alignment horizontal="center"/>
    </xf>
    <xf numFmtId="166" fontId="0" fillId="0" borderId="30" xfId="0" applyNumberFormat="1" applyBorder="1"/>
    <xf numFmtId="166" fontId="0" fillId="0" borderId="30" xfId="0" applyNumberFormat="1" applyBorder="1" applyAlignment="1">
      <alignment vertical="center"/>
    </xf>
    <xf numFmtId="166" fontId="0" fillId="0" borderId="12" xfId="0" applyNumberFormat="1" applyBorder="1"/>
    <xf numFmtId="166" fontId="1" fillId="36" borderId="12" xfId="0" applyNumberFormat="1" applyFont="1" applyFill="1" applyBorder="1" applyAlignment="1">
      <alignment horizontal="center" vertical="center"/>
    </xf>
    <xf numFmtId="166" fontId="0" fillId="0" borderId="12" xfId="0" applyNumberFormat="1" applyBorder="1" applyAlignment="1">
      <alignment vertical="center"/>
    </xf>
    <xf numFmtId="166" fontId="1" fillId="36" borderId="12" xfId="0" applyNumberFormat="1" applyFont="1" applyFill="1" applyBorder="1" applyAlignment="1">
      <alignment horizontal="center"/>
    </xf>
    <xf numFmtId="166" fontId="43" fillId="0" borderId="0" xfId="0" applyNumberFormat="1" applyFont="1"/>
    <xf numFmtId="166" fontId="0" fillId="0" borderId="34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 vertical="center"/>
    </xf>
    <xf numFmtId="166" fontId="0" fillId="0" borderId="34" xfId="0" applyNumberFormat="1" applyBorder="1" applyAlignment="1">
      <alignment vertical="center"/>
    </xf>
    <xf numFmtId="9" fontId="0" fillId="0" borderId="30" xfId="3" applyFont="1" applyFill="1" applyBorder="1" applyAlignment="1">
      <alignment horizontal="center" vertical="center"/>
    </xf>
    <xf numFmtId="9" fontId="0" fillId="0" borderId="34" xfId="3" applyFont="1" applyFill="1" applyBorder="1" applyAlignment="1">
      <alignment horizontal="center" vertical="center"/>
    </xf>
    <xf numFmtId="9" fontId="0" fillId="0" borderId="0" xfId="3" applyFont="1" applyFill="1" applyBorder="1" applyAlignment="1">
      <alignment horizontal="center" vertical="center"/>
    </xf>
    <xf numFmtId="166" fontId="1" fillId="36" borderId="12" xfId="0" applyNumberFormat="1" applyFont="1" applyFill="1" applyBorder="1" applyAlignment="1">
      <alignment horizontal="center" vertical="center" wrapText="1"/>
    </xf>
    <xf numFmtId="166" fontId="0" fillId="8" borderId="12" xfId="0" applyNumberFormat="1" applyFill="1" applyBorder="1"/>
    <xf numFmtId="9" fontId="0" fillId="4" borderId="0" xfId="3" applyFont="1" applyFill="1" applyBorder="1"/>
    <xf numFmtId="166" fontId="0" fillId="3" borderId="8" xfId="0" applyNumberFormat="1" applyFill="1" applyBorder="1" applyAlignment="1">
      <alignment horizontal="center" wrapText="1"/>
    </xf>
    <xf numFmtId="9" fontId="0" fillId="3" borderId="8" xfId="3" applyFont="1" applyFill="1" applyBorder="1"/>
    <xf numFmtId="166" fontId="0" fillId="3" borderId="8" xfId="0" applyNumberFormat="1" applyFill="1" applyBorder="1"/>
    <xf numFmtId="166" fontId="0" fillId="4" borderId="0" xfId="0" applyNumberFormat="1" applyFill="1" applyAlignment="1">
      <alignment horizontal="center" wrapText="1"/>
    </xf>
    <xf numFmtId="9" fontId="0" fillId="3" borderId="8" xfId="3" applyFont="1" applyFill="1" applyBorder="1" applyAlignment="1">
      <alignment horizontal="center"/>
    </xf>
    <xf numFmtId="166" fontId="0" fillId="10" borderId="0" xfId="0" applyNumberFormat="1" applyFill="1" applyAlignment="1">
      <alignment horizontal="center" wrapText="1"/>
    </xf>
    <xf numFmtId="9" fontId="0" fillId="10" borderId="0" xfId="3" applyFont="1" applyFill="1" applyBorder="1" applyAlignment="1">
      <alignment horizontal="center"/>
    </xf>
    <xf numFmtId="166" fontId="1" fillId="37" borderId="12" xfId="0" applyNumberFormat="1" applyFont="1" applyFill="1" applyBorder="1" applyAlignment="1">
      <alignment horizontal="center" vertical="center" wrapText="1"/>
    </xf>
    <xf numFmtId="9" fontId="0" fillId="0" borderId="28" xfId="0" applyNumberFormat="1" applyBorder="1" applyAlignment="1">
      <alignment horizontal="center"/>
    </xf>
    <xf numFmtId="9" fontId="0" fillId="0" borderId="29" xfId="3" applyFont="1" applyBorder="1"/>
    <xf numFmtId="0" fontId="10" fillId="23" borderId="3" xfId="0" applyFont="1" applyFill="1" applyBorder="1" applyAlignment="1">
      <alignment horizontal="center"/>
    </xf>
    <xf numFmtId="38" fontId="0" fillId="0" borderId="0" xfId="2" applyNumberFormat="1" applyFont="1"/>
    <xf numFmtId="166" fontId="0" fillId="8" borderId="0" xfId="3" applyNumberFormat="1" applyFont="1" applyFill="1" applyAlignment="1">
      <alignment vertical="center"/>
    </xf>
    <xf numFmtId="38" fontId="44" fillId="0" borderId="0" xfId="0" applyNumberFormat="1" applyFont="1"/>
    <xf numFmtId="0" fontId="0" fillId="0" borderId="0" xfId="0" pivotButton="1" applyAlignment="1">
      <alignment horizontal="center" vertical="center" wrapText="1"/>
    </xf>
    <xf numFmtId="0" fontId="1" fillId="38" borderId="2" xfId="0" applyFont="1" applyFill="1" applyBorder="1" applyAlignment="1">
      <alignment horizontal="center" vertical="center" wrapText="1"/>
    </xf>
    <xf numFmtId="0" fontId="44" fillId="39" borderId="0" xfId="0" applyFont="1" applyFill="1" applyAlignment="1">
      <alignment horizontal="center" vertical="center" wrapText="1"/>
    </xf>
    <xf numFmtId="167" fontId="1" fillId="40" borderId="0" xfId="2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0" fontId="10" fillId="15" borderId="0" xfId="0" applyFont="1" applyFill="1" applyAlignment="1">
      <alignment horizontal="center" vertical="center" wrapText="1"/>
    </xf>
    <xf numFmtId="0" fontId="44" fillId="43" borderId="38" xfId="0" applyFont="1" applyFill="1" applyBorder="1" applyAlignment="1">
      <alignment horizontal="center" vertical="center"/>
    </xf>
    <xf numFmtId="0" fontId="0" fillId="0" borderId="36" xfId="0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44" fillId="43" borderId="37" xfId="0" applyFont="1" applyFill="1" applyBorder="1" applyAlignment="1">
      <alignment horizontal="center" vertical="center"/>
    </xf>
    <xf numFmtId="9" fontId="0" fillId="0" borderId="36" xfId="3" applyFont="1" applyBorder="1" applyAlignment="1">
      <alignment horizontal="center"/>
    </xf>
    <xf numFmtId="9" fontId="1" fillId="0" borderId="36" xfId="3" applyFont="1" applyBorder="1" applyAlignment="1">
      <alignment horizontal="center"/>
    </xf>
    <xf numFmtId="9" fontId="1" fillId="0" borderId="39" xfId="3" applyFont="1" applyBorder="1" applyAlignment="1">
      <alignment horizontal="center"/>
    </xf>
    <xf numFmtId="166" fontId="0" fillId="0" borderId="36" xfId="6" applyNumberFormat="1" applyFont="1" applyBorder="1" applyAlignment="1">
      <alignment horizontal="center" vertical="center"/>
    </xf>
    <xf numFmtId="166" fontId="1" fillId="0" borderId="36" xfId="6" applyNumberFormat="1" applyFont="1" applyBorder="1" applyAlignment="1">
      <alignment horizontal="center" vertical="center"/>
    </xf>
    <xf numFmtId="166" fontId="1" fillId="0" borderId="39" xfId="6" applyNumberFormat="1" applyFont="1" applyBorder="1" applyAlignment="1">
      <alignment horizontal="center" vertical="center"/>
    </xf>
    <xf numFmtId="14" fontId="0" fillId="41" borderId="0" xfId="0" applyNumberFormat="1" applyFill="1" applyAlignment="1">
      <alignment horizontal="left"/>
    </xf>
    <xf numFmtId="173" fontId="0" fillId="0" borderId="0" xfId="6" applyNumberFormat="1" applyFont="1"/>
    <xf numFmtId="0" fontId="10" fillId="44" borderId="35" xfId="0" applyFont="1" applyFill="1" applyBorder="1"/>
    <xf numFmtId="167" fontId="0" fillId="41" borderId="0" xfId="0" applyNumberFormat="1" applyFill="1"/>
    <xf numFmtId="173" fontId="0" fillId="8" borderId="0" xfId="0" applyNumberFormat="1" applyFill="1"/>
    <xf numFmtId="0" fontId="10" fillId="39" borderId="2" xfId="0" applyFont="1" applyFill="1" applyBorder="1" applyAlignment="1">
      <alignment horizontal="center" vertical="center" wrapText="1"/>
    </xf>
    <xf numFmtId="0" fontId="1" fillId="45" borderId="2" xfId="0" applyFont="1" applyFill="1" applyBorder="1" applyAlignment="1">
      <alignment horizontal="center" vertical="center" wrapText="1"/>
    </xf>
    <xf numFmtId="167" fontId="1" fillId="45" borderId="2" xfId="2" applyNumberFormat="1" applyFont="1" applyFill="1" applyBorder="1" applyAlignment="1">
      <alignment horizontal="center" vertical="center" wrapText="1"/>
    </xf>
    <xf numFmtId="38" fontId="10" fillId="46" borderId="2" xfId="2" applyNumberFormat="1" applyFont="1" applyFill="1" applyBorder="1" applyAlignment="1">
      <alignment horizontal="center" vertical="center" wrapText="1"/>
    </xf>
    <xf numFmtId="0" fontId="10" fillId="39" borderId="3" xfId="0" applyFont="1" applyFill="1" applyBorder="1" applyAlignment="1">
      <alignment horizontal="center" vertical="center" wrapText="1"/>
    </xf>
    <xf numFmtId="38" fontId="0" fillId="0" borderId="3" xfId="2" applyNumberFormat="1" applyFont="1" applyBorder="1"/>
    <xf numFmtId="38" fontId="0" fillId="36" borderId="3" xfId="0" applyNumberFormat="1" applyFill="1" applyBorder="1"/>
    <xf numFmtId="0" fontId="10" fillId="47" borderId="3" xfId="0" applyFont="1" applyFill="1" applyBorder="1" applyAlignment="1">
      <alignment horizontal="center" vertical="center" wrapText="1"/>
    </xf>
    <xf numFmtId="167" fontId="46" fillId="47" borderId="3" xfId="2" applyNumberFormat="1" applyFont="1" applyFill="1" applyBorder="1"/>
    <xf numFmtId="166" fontId="0" fillId="8" borderId="12" xfId="0" applyNumberFormat="1" applyFill="1" applyBorder="1" applyAlignment="1">
      <alignment horizontal="center" vertical="center"/>
    </xf>
    <xf numFmtId="9" fontId="47" fillId="0" borderId="29" xfId="3" applyFont="1" applyBorder="1" applyAlignment="1">
      <alignment horizontal="center" vertical="center"/>
    </xf>
    <xf numFmtId="167" fontId="0" fillId="0" borderId="12" xfId="0" applyNumberFormat="1" applyBorder="1" applyAlignment="1">
      <alignment vertical="center"/>
    </xf>
    <xf numFmtId="167" fontId="0" fillId="8" borderId="0" xfId="0" applyNumberFormat="1" applyFill="1"/>
    <xf numFmtId="0" fontId="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14" fontId="1" fillId="0" borderId="0" xfId="0" applyNumberFormat="1" applyFont="1" applyAlignment="1">
      <alignment horizontal="center"/>
    </xf>
    <xf numFmtId="166" fontId="29" fillId="0" borderId="12" xfId="0" applyNumberFormat="1" applyFont="1" applyBorder="1" applyAlignment="1">
      <alignment vertical="center"/>
    </xf>
    <xf numFmtId="166" fontId="48" fillId="10" borderId="12" xfId="0" applyNumberFormat="1" applyFont="1" applyFill="1" applyBorder="1" applyAlignment="1">
      <alignment wrapText="1"/>
    </xf>
    <xf numFmtId="9" fontId="49" fillId="0" borderId="0" xfId="3" applyFont="1" applyAlignment="1">
      <alignment horizontal="center" vertical="center"/>
    </xf>
    <xf numFmtId="167" fontId="0" fillId="24" borderId="0" xfId="0" applyNumberFormat="1" applyFill="1"/>
    <xf numFmtId="166" fontId="0" fillId="24" borderId="12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4" fontId="8" fillId="0" borderId="0" xfId="0" applyNumberFormat="1" applyFont="1"/>
    <xf numFmtId="0" fontId="0" fillId="0" borderId="0" xfId="0" quotePrefix="1"/>
    <xf numFmtId="173" fontId="0" fillId="0" borderId="0" xfId="6" applyNumberFormat="1" applyFont="1" applyBorder="1"/>
    <xf numFmtId="0" fontId="9" fillId="0" borderId="29" xfId="0" applyFont="1" applyBorder="1" applyAlignment="1">
      <alignment horizontal="right"/>
    </xf>
    <xf numFmtId="9" fontId="47" fillId="0" borderId="0" xfId="3" applyFont="1" applyBorder="1" applyAlignment="1">
      <alignment horizontal="center" vertical="center"/>
    </xf>
    <xf numFmtId="0" fontId="0" fillId="0" borderId="28" xfId="0" pivotButton="1" applyBorder="1"/>
    <xf numFmtId="0" fontId="9" fillId="0" borderId="28" xfId="0" applyFont="1" applyBorder="1" applyAlignment="1">
      <alignment horizontal="right"/>
    </xf>
    <xf numFmtId="9" fontId="49" fillId="0" borderId="28" xfId="3" applyFont="1" applyBorder="1" applyAlignment="1">
      <alignment horizontal="center" vertical="center"/>
    </xf>
    <xf numFmtId="167" fontId="0" fillId="0" borderId="9" xfId="2" applyNumberFormat="1" applyFont="1" applyBorder="1" applyAlignment="1">
      <alignment horizontal="center"/>
    </xf>
    <xf numFmtId="166" fontId="0" fillId="8" borderId="9" xfId="6" applyNumberFormat="1" applyFont="1" applyFill="1" applyBorder="1" applyAlignment="1">
      <alignment vertical="center"/>
    </xf>
    <xf numFmtId="0" fontId="0" fillId="0" borderId="10" xfId="0" pivotButton="1" applyBorder="1"/>
    <xf numFmtId="0" fontId="0" fillId="0" borderId="10" xfId="0" applyBorder="1"/>
    <xf numFmtId="167" fontId="34" fillId="32" borderId="12" xfId="2" applyNumberFormat="1" applyFont="1" applyFill="1" applyBorder="1" applyAlignment="1">
      <alignment horizontal="center"/>
    </xf>
    <xf numFmtId="167" fontId="34" fillId="4" borderId="12" xfId="2" applyNumberFormat="1" applyFont="1" applyFill="1" applyBorder="1" applyAlignment="1">
      <alignment horizontal="center"/>
    </xf>
    <xf numFmtId="167" fontId="7" fillId="2" borderId="12" xfId="2" applyNumberFormat="1" applyFont="1" applyFill="1" applyBorder="1" applyAlignment="1">
      <alignment horizontal="center"/>
    </xf>
    <xf numFmtId="166" fontId="50" fillId="0" borderId="9" xfId="6" applyNumberFormat="1" applyFont="1" applyBorder="1" applyAlignment="1">
      <alignment vertical="center"/>
    </xf>
    <xf numFmtId="166" fontId="50" fillId="0" borderId="24" xfId="6" applyNumberFormat="1" applyFont="1" applyBorder="1" applyAlignment="1">
      <alignment vertical="center"/>
    </xf>
    <xf numFmtId="9" fontId="0" fillId="0" borderId="41" xfId="3" applyFont="1" applyBorder="1" applyAlignment="1">
      <alignment horizontal="center"/>
    </xf>
    <xf numFmtId="9" fontId="0" fillId="0" borderId="40" xfId="3" applyFont="1" applyBorder="1" applyAlignment="1">
      <alignment horizontal="center"/>
    </xf>
    <xf numFmtId="9" fontId="0" fillId="0" borderId="42" xfId="3" applyFont="1" applyBorder="1" applyAlignment="1">
      <alignment horizontal="center"/>
    </xf>
    <xf numFmtId="14" fontId="9" fillId="0" borderId="0" xfId="0" applyNumberFormat="1" applyFont="1"/>
    <xf numFmtId="167" fontId="9" fillId="0" borderId="0" xfId="2" applyNumberFormat="1" applyFont="1"/>
    <xf numFmtId="14" fontId="0" fillId="0" borderId="0" xfId="0" applyNumberFormat="1" applyAlignment="1">
      <alignment horizontal="center"/>
    </xf>
    <xf numFmtId="9" fontId="0" fillId="0" borderId="36" xfId="3" applyFont="1" applyFill="1" applyBorder="1" applyAlignment="1">
      <alignment horizontal="center"/>
    </xf>
    <xf numFmtId="166" fontId="52" fillId="2" borderId="0" xfId="0" applyNumberFormat="1" applyFont="1" applyFill="1" applyAlignment="1">
      <alignment horizontal="center"/>
    </xf>
    <xf numFmtId="166" fontId="0" fillId="8" borderId="3" xfId="6" applyNumberFormat="1" applyFont="1" applyFill="1" applyBorder="1" applyAlignment="1">
      <alignment vertical="center"/>
    </xf>
    <xf numFmtId="1" fontId="0" fillId="0" borderId="3" xfId="0" applyNumberFormat="1" applyBorder="1" applyAlignment="1">
      <alignment horizontal="center" vertical="center"/>
    </xf>
    <xf numFmtId="0" fontId="0" fillId="20" borderId="0" xfId="0" applyFill="1"/>
    <xf numFmtId="14" fontId="0" fillId="20" borderId="0" xfId="0" applyNumberFormat="1" applyFill="1" applyAlignment="1">
      <alignment horizontal="center"/>
    </xf>
    <xf numFmtId="166" fontId="0" fillId="20" borderId="0" xfId="0" applyNumberFormat="1" applyFill="1" applyAlignment="1">
      <alignment horizontal="center"/>
    </xf>
    <xf numFmtId="166" fontId="33" fillId="20" borderId="0" xfId="0" applyNumberFormat="1" applyFont="1" applyFill="1" applyAlignment="1">
      <alignment horizontal="center"/>
    </xf>
    <xf numFmtId="166" fontId="41" fillId="20" borderId="0" xfId="0" applyNumberFormat="1" applyFont="1" applyFill="1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left"/>
    </xf>
    <xf numFmtId="166" fontId="0" fillId="0" borderId="0" xfId="3" applyNumberFormat="1" applyFont="1"/>
    <xf numFmtId="9" fontId="1" fillId="0" borderId="0" xfId="0" applyNumberFormat="1" applyFont="1" applyAlignment="1">
      <alignment horizontal="center"/>
    </xf>
    <xf numFmtId="0" fontId="0" fillId="0" borderId="36" xfId="3" applyNumberFormat="1" applyFont="1" applyBorder="1" applyAlignment="1">
      <alignment horizontal="center"/>
    </xf>
    <xf numFmtId="0" fontId="0" fillId="0" borderId="30" xfId="3" applyNumberFormat="1" applyFont="1" applyFill="1" applyBorder="1" applyAlignment="1">
      <alignment horizontal="center" vertical="center"/>
    </xf>
    <xf numFmtId="166" fontId="1" fillId="42" borderId="43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right"/>
    </xf>
    <xf numFmtId="166" fontId="0" fillId="26" borderId="0" xfId="0" applyNumberFormat="1" applyFill="1"/>
    <xf numFmtId="166" fontId="1" fillId="26" borderId="0" xfId="0" applyNumberFormat="1" applyFont="1" applyFill="1"/>
    <xf numFmtId="166" fontId="1" fillId="26" borderId="0" xfId="0" applyNumberFormat="1" applyFont="1" applyFill="1" applyAlignment="1">
      <alignment horizontal="center"/>
    </xf>
    <xf numFmtId="166" fontId="1" fillId="9" borderId="0" xfId="0" applyNumberFormat="1" applyFont="1" applyFill="1"/>
    <xf numFmtId="166" fontId="39" fillId="9" borderId="0" xfId="0" applyNumberFormat="1" applyFont="1" applyFill="1"/>
    <xf numFmtId="166" fontId="51" fillId="9" borderId="0" xfId="0" applyNumberFormat="1" applyFont="1" applyFill="1"/>
    <xf numFmtId="166" fontId="0" fillId="29" borderId="0" xfId="0" applyNumberFormat="1" applyFill="1"/>
    <xf numFmtId="166" fontId="39" fillId="29" borderId="0" xfId="0" applyNumberFormat="1" applyFont="1" applyFill="1"/>
    <xf numFmtId="166" fontId="1" fillId="29" borderId="0" xfId="0" applyNumberFormat="1" applyFont="1" applyFill="1"/>
    <xf numFmtId="166" fontId="1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6" fontId="10" fillId="15" borderId="3" xfId="0" applyNumberFormat="1" applyFont="1" applyFill="1" applyBorder="1" applyAlignment="1">
      <alignment horizontal="right"/>
    </xf>
    <xf numFmtId="166" fontId="34" fillId="18" borderId="3" xfId="0" applyNumberFormat="1" applyFont="1" applyFill="1" applyBorder="1"/>
    <xf numFmtId="166" fontId="53" fillId="18" borderId="0" xfId="0" applyNumberFormat="1" applyFont="1" applyFill="1" applyAlignment="1">
      <alignment horizontal="right"/>
    </xf>
    <xf numFmtId="166" fontId="10" fillId="15" borderId="3" xfId="0" applyNumberFormat="1" applyFont="1" applyFill="1" applyBorder="1" applyAlignment="1">
      <alignment horizontal="left" vertical="center"/>
    </xf>
    <xf numFmtId="166" fontId="0" fillId="26" borderId="3" xfId="0" applyNumberFormat="1" applyFill="1" applyBorder="1" applyAlignment="1">
      <alignment vertical="center"/>
    </xf>
    <xf numFmtId="166" fontId="0" fillId="5" borderId="3" xfId="0" applyNumberFormat="1" applyFill="1" applyBorder="1"/>
    <xf numFmtId="166" fontId="35" fillId="0" borderId="3" xfId="0" applyNumberFormat="1" applyFont="1" applyBorder="1" applyAlignment="1">
      <alignment horizontal="center" vertical="center"/>
    </xf>
    <xf numFmtId="166" fontId="56" fillId="18" borderId="3" xfId="0" applyNumberFormat="1" applyFont="1" applyFill="1" applyBorder="1"/>
    <xf numFmtId="166" fontId="10" fillId="15" borderId="3" xfId="0" applyNumberFormat="1" applyFont="1" applyFill="1" applyBorder="1" applyAlignment="1">
      <alignment horizontal="center" vertical="center"/>
    </xf>
    <xf numFmtId="166" fontId="53" fillId="18" borderId="0" xfId="0" applyNumberFormat="1" applyFont="1" applyFill="1" applyAlignment="1">
      <alignment horizontal="right" vertical="center"/>
    </xf>
    <xf numFmtId="166" fontId="35" fillId="0" borderId="3" xfId="0" applyNumberFormat="1" applyFont="1" applyBorder="1" applyAlignment="1">
      <alignment horizontal="right" vertical="center"/>
    </xf>
    <xf numFmtId="166" fontId="57" fillId="15" borderId="3" xfId="0" applyNumberFormat="1" applyFont="1" applyFill="1" applyBorder="1" applyAlignment="1">
      <alignment horizontal="right" wrapText="1"/>
    </xf>
    <xf numFmtId="9" fontId="1" fillId="0" borderId="0" xfId="3" applyFont="1" applyAlignment="1">
      <alignment horizontal="right" vertical="center"/>
    </xf>
    <xf numFmtId="166" fontId="58" fillId="0" borderId="0" xfId="0" applyNumberFormat="1" applyFont="1"/>
    <xf numFmtId="166" fontId="56" fillId="0" borderId="0" xfId="0" applyNumberFormat="1" applyFont="1"/>
    <xf numFmtId="166" fontId="30" fillId="0" borderId="0" xfId="0" applyNumberFormat="1" applyFont="1" applyAlignment="1">
      <alignment horizontal="right"/>
    </xf>
    <xf numFmtId="166" fontId="30" fillId="0" borderId="1" xfId="0" applyNumberFormat="1" applyFont="1" applyBorder="1"/>
    <xf numFmtId="166" fontId="59" fillId="0" borderId="0" xfId="0" applyNumberFormat="1" applyFont="1"/>
    <xf numFmtId="166" fontId="10" fillId="15" borderId="3" xfId="0" applyNumberFormat="1" applyFont="1" applyFill="1" applyBorder="1" applyAlignment="1">
      <alignment horizontal="center"/>
    </xf>
    <xf numFmtId="166" fontId="55" fillId="0" borderId="0" xfId="0" applyNumberFormat="1" applyFont="1"/>
    <xf numFmtId="166" fontId="58" fillId="0" borderId="0" xfId="0" applyNumberFormat="1" applyFont="1" applyAlignment="1">
      <alignment horizontal="right"/>
    </xf>
    <xf numFmtId="166" fontId="35" fillId="8" borderId="0" xfId="0" applyNumberFormat="1" applyFont="1" applyFill="1"/>
    <xf numFmtId="166" fontId="35" fillId="0" borderId="0" xfId="0" applyNumberFormat="1" applyFont="1"/>
    <xf numFmtId="166" fontId="60" fillId="0" borderId="0" xfId="0" applyNumberFormat="1" applyFont="1"/>
    <xf numFmtId="166" fontId="61" fillId="26" borderId="12" xfId="0" applyNumberFormat="1" applyFont="1" applyFill="1" applyBorder="1" applyAlignment="1">
      <alignment vertical="center"/>
    </xf>
    <xf numFmtId="166" fontId="62" fillId="0" borderId="0" xfId="0" applyNumberFormat="1" applyFont="1" applyAlignment="1">
      <alignment vertical="center"/>
    </xf>
    <xf numFmtId="9" fontId="62" fillId="0" borderId="0" xfId="3" applyFont="1"/>
    <xf numFmtId="166" fontId="61" fillId="26" borderId="12" xfId="0" applyNumberFormat="1" applyFont="1" applyFill="1" applyBorder="1" applyAlignment="1">
      <alignment vertical="top" wrapText="1"/>
    </xf>
    <xf numFmtId="166" fontId="61" fillId="0" borderId="0" xfId="0" applyNumberFormat="1" applyFont="1" applyAlignment="1">
      <alignment vertical="center"/>
    </xf>
    <xf numFmtId="9" fontId="61" fillId="0" borderId="0" xfId="3" applyFont="1" applyAlignment="1">
      <alignment vertical="center"/>
    </xf>
    <xf numFmtId="166" fontId="1" fillId="8" borderId="0" xfId="0" applyNumberFormat="1" applyFont="1" applyFill="1" applyAlignment="1">
      <alignment vertical="center"/>
    </xf>
    <xf numFmtId="166" fontId="0" fillId="0" borderId="19" xfId="6" applyNumberFormat="1" applyFont="1" applyBorder="1" applyAlignment="1"/>
    <xf numFmtId="14" fontId="0" fillId="0" borderId="3" xfId="6" applyNumberFormat="1" applyFont="1" applyBorder="1" applyAlignment="1">
      <alignment horizontal="center" vertical="center"/>
    </xf>
    <xf numFmtId="0" fontId="0" fillId="0" borderId="3" xfId="6" applyNumberFormat="1" applyFont="1" applyBorder="1" applyAlignment="1">
      <alignment horizontal="center" vertical="center"/>
    </xf>
    <xf numFmtId="166" fontId="0" fillId="0" borderId="3" xfId="6" applyNumberFormat="1" applyFont="1" applyBorder="1" applyAlignment="1">
      <alignment horizontal="center" vertical="center"/>
    </xf>
    <xf numFmtId="166" fontId="0" fillId="48" borderId="9" xfId="6" applyNumberFormat="1" applyFont="1" applyFill="1" applyBorder="1" applyAlignment="1">
      <alignment vertical="center"/>
    </xf>
    <xf numFmtId="1" fontId="0" fillId="30" borderId="3" xfId="0" applyNumberFormat="1" applyFill="1" applyBorder="1" applyAlignment="1">
      <alignment horizontal="center" vertical="center"/>
    </xf>
    <xf numFmtId="166" fontId="39" fillId="0" borderId="0" xfId="0" applyNumberFormat="1" applyFont="1"/>
    <xf numFmtId="0" fontId="3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73" fontId="0" fillId="0" borderId="3" xfId="6" applyNumberFormat="1" applyFont="1" applyBorder="1"/>
    <xf numFmtId="166" fontId="0" fillId="8" borderId="12" xfId="0" applyNumberFormat="1" applyFill="1" applyBorder="1" applyAlignment="1">
      <alignment vertical="center"/>
    </xf>
    <xf numFmtId="167" fontId="63" fillId="0" borderId="0" xfId="2" applyNumberFormat="1" applyFont="1"/>
    <xf numFmtId="166" fontId="0" fillId="8" borderId="0" xfId="6" applyNumberFormat="1" applyFont="1" applyFill="1" applyAlignment="1">
      <alignment vertical="center"/>
    </xf>
    <xf numFmtId="167" fontId="0" fillId="8" borderId="0" xfId="2" applyNumberFormat="1" applyFont="1" applyFill="1" applyBorder="1"/>
    <xf numFmtId="0" fontId="15" fillId="18" borderId="0" xfId="8" applyFont="1" applyFill="1" applyAlignment="1">
      <alignment horizontal="center"/>
    </xf>
    <xf numFmtId="0" fontId="19" fillId="18" borderId="0" xfId="8" applyFont="1" applyFill="1" applyAlignment="1">
      <alignment horizontal="center"/>
    </xf>
    <xf numFmtId="9" fontId="27" fillId="0" borderId="9" xfId="3" applyFont="1" applyBorder="1" applyAlignment="1">
      <alignment horizontal="center" vertical="center" wrapText="1"/>
    </xf>
    <xf numFmtId="9" fontId="27" fillId="0" borderId="10" xfId="3" applyFont="1" applyBorder="1" applyAlignment="1">
      <alignment horizontal="center" vertical="center" wrapText="1"/>
    </xf>
    <xf numFmtId="9" fontId="27" fillId="0" borderId="11" xfId="3" applyFont="1" applyBorder="1" applyAlignment="1">
      <alignment horizontal="center" vertical="center" wrapText="1"/>
    </xf>
    <xf numFmtId="9" fontId="27" fillId="0" borderId="3" xfId="3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67" fontId="27" fillId="0" borderId="3" xfId="2" applyNumberFormat="1" applyFont="1" applyBorder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/>
    </xf>
    <xf numFmtId="166" fontId="1" fillId="4" borderId="0" xfId="0" applyNumberFormat="1" applyFont="1" applyFill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0" fontId="10" fillId="15" borderId="0" xfId="0" applyFont="1" applyFill="1" applyAlignment="1">
      <alignment horizontal="left" vertical="top" wrapText="1"/>
    </xf>
    <xf numFmtId="166" fontId="32" fillId="0" borderId="12" xfId="0" applyNumberFormat="1" applyFont="1" applyBorder="1" applyAlignment="1">
      <alignment horizontal="center"/>
    </xf>
    <xf numFmtId="166" fontId="0" fillId="5" borderId="0" xfId="0" applyNumberFormat="1" applyFill="1"/>
    <xf numFmtId="166" fontId="0" fillId="8" borderId="12" xfId="0" applyNumberFormat="1" applyFill="1" applyBorder="1" applyAlignment="1">
      <alignment horizontal="center"/>
    </xf>
    <xf numFmtId="166" fontId="1" fillId="2" borderId="13" xfId="0" applyNumberFormat="1" applyFont="1" applyFill="1" applyBorder="1" applyAlignment="1">
      <alignment horizontal="center" vertical="center"/>
    </xf>
    <xf numFmtId="166" fontId="1" fillId="2" borderId="14" xfId="0" applyNumberFormat="1" applyFont="1" applyFill="1" applyBorder="1" applyAlignment="1">
      <alignment horizontal="center" vertical="center"/>
    </xf>
    <xf numFmtId="166" fontId="1" fillId="2" borderId="15" xfId="0" applyNumberFormat="1" applyFont="1" applyFill="1" applyBorder="1" applyAlignment="1">
      <alignment horizontal="center" vertical="center"/>
    </xf>
    <xf numFmtId="166" fontId="0" fillId="2" borderId="16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66" fontId="1" fillId="4" borderId="12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center"/>
    </xf>
    <xf numFmtId="166" fontId="1" fillId="26" borderId="12" xfId="0" applyNumberFormat="1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166" fontId="42" fillId="0" borderId="31" xfId="0" applyNumberFormat="1" applyFont="1" applyBorder="1" applyAlignment="1">
      <alignment horizontal="center"/>
    </xf>
    <xf numFmtId="166" fontId="42" fillId="0" borderId="32" xfId="0" applyNumberFormat="1" applyFont="1" applyBorder="1" applyAlignment="1">
      <alignment horizontal="center"/>
    </xf>
    <xf numFmtId="166" fontId="42" fillId="0" borderId="33" xfId="0" applyNumberFormat="1" applyFont="1" applyBorder="1" applyAlignment="1">
      <alignment horizontal="center"/>
    </xf>
    <xf numFmtId="0" fontId="55" fillId="0" borderId="3" xfId="0" applyFont="1" applyBorder="1" applyAlignment="1">
      <alignment horizontal="center" vertical="center" wrapText="1"/>
    </xf>
    <xf numFmtId="166" fontId="42" fillId="0" borderId="13" xfId="0" applyNumberFormat="1" applyFont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66" fontId="0" fillId="4" borderId="0" xfId="0" applyNumberFormat="1" applyFill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7" fillId="0" borderId="0" xfId="0" applyNumberFormat="1" applyFont="1" applyAlignment="1">
      <alignment horizontal="left"/>
    </xf>
    <xf numFmtId="174" fontId="0" fillId="42" borderId="0" xfId="0" applyNumberFormat="1" applyFont="1" applyFill="1" applyAlignment="1">
      <alignment horizontal="center"/>
    </xf>
    <xf numFmtId="166" fontId="0" fillId="42" borderId="0" xfId="0" applyNumberFormat="1" applyFont="1" applyFill="1" applyAlignment="1">
      <alignment horizontal="center"/>
    </xf>
    <xf numFmtId="167" fontId="0" fillId="41" borderId="0" xfId="0" applyNumberFormat="1" applyFont="1" applyFill="1"/>
    <xf numFmtId="14" fontId="0" fillId="41" borderId="0" xfId="0" applyNumberFormat="1" applyFont="1" applyFill="1" applyAlignment="1">
      <alignment horizontal="left"/>
    </xf>
    <xf numFmtId="14" fontId="0" fillId="41" borderId="10" xfId="0" applyNumberFormat="1" applyFont="1" applyFill="1" applyBorder="1" applyAlignment="1">
      <alignment horizontal="left"/>
    </xf>
    <xf numFmtId="167" fontId="0" fillId="41" borderId="10" xfId="0" applyNumberFormat="1" applyFont="1" applyFill="1" applyBorder="1"/>
  </cellXfs>
  <cellStyles count="14">
    <cellStyle name="20% - Énfasis2" xfId="5" builtinId="34"/>
    <cellStyle name="Bueno" xfId="4" builtinId="26"/>
    <cellStyle name="Hipervínculo" xfId="1" builtinId="8"/>
    <cellStyle name="Millares" xfId="2" builtinId="3"/>
    <cellStyle name="Millares 2" xfId="9" xr:uid="{00000000-0005-0000-0000-000004000000}"/>
    <cellStyle name="Millares 3" xfId="11" xr:uid="{00000000-0005-0000-0000-000005000000}"/>
    <cellStyle name="Moneda" xfId="6" builtinId="4"/>
    <cellStyle name="Moneda 2" xfId="7" xr:uid="{00000000-0005-0000-0000-000007000000}"/>
    <cellStyle name="Normal" xfId="0" builtinId="0"/>
    <cellStyle name="Normal 2" xfId="8" xr:uid="{00000000-0005-0000-0000-000009000000}"/>
    <cellStyle name="Normal 3" xfId="12" xr:uid="{00000000-0005-0000-0000-00000A000000}"/>
    <cellStyle name="Normal 5" xfId="10" xr:uid="{00000000-0005-0000-0000-00000B000000}"/>
    <cellStyle name="Porcentaje" xfId="3" builtinId="5"/>
    <cellStyle name="Porcentaje 2" xfId="13" xr:uid="{00000000-0005-0000-0000-00000D000000}"/>
  </cellStyles>
  <dxfs count="66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4.9989318521683403E-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_-* #,##0\ _€_-;\-* #,##0\ _€_-;_-* &quot;-&quot;??\ _€_-;_-@_-"/>
    </dxf>
    <dxf>
      <numFmt numFmtId="167" formatCode="_-* #,##0\ _€_-;\-* #,##0\ _€_-;_-* &quot;-&quot;??\ _€_-;_-@_-"/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8" tint="0.59999389629810485"/>
        </patternFill>
      </fill>
    </dxf>
    <dxf>
      <fill>
        <patternFill patternType="solid">
          <bgColor rgb="FF92D05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numFmt numFmtId="167" formatCode="_-* #,##0\ _€_-;\-* #,##0\ _€_-;_-* &quot;-&quot;??\ _€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numFmt numFmtId="167" formatCode="_-* #,##0\ _€_-;\-* #,##0\ _€_-;_-* &quot;-&quot;??\ _€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8" tint="0.59999389629810485"/>
        </patternFill>
      </fill>
    </dxf>
    <dxf>
      <fill>
        <patternFill patternType="solid">
          <bgColor rgb="FF92D05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numFmt numFmtId="167" formatCode="_-* #,##0\ _€_-;\-* #,##0\ _€_-;_-* &quot;-&quot;??\ _€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8" tint="0.59999389629810485"/>
        </patternFill>
      </fill>
    </dxf>
    <dxf>
      <fill>
        <patternFill patternType="solid">
          <bgColor rgb="FF92D05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numFmt numFmtId="167" formatCode="_-* #,##0\ _€_-;\-* #,##0\ _€_-;_-* &quot;-&quot;??\ _€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numFmt numFmtId="167" formatCode="_-* #,##0\ _€_-;\-* #,##0\ _€_-;_-* &quot;-&quot;??\ _€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fill>
        <patternFill>
          <bgColor theme="4" tint="-0.249977111117893"/>
        </patternFill>
      </fill>
    </dxf>
    <dxf>
      <font>
        <color theme="0"/>
      </font>
    </dxf>
    <dxf>
      <fill>
        <patternFill>
          <bgColor theme="8" tint="0.59999389629810485"/>
        </patternFill>
      </fill>
    </dxf>
    <dxf>
      <fill>
        <patternFill patternType="solid">
          <bgColor rgb="FF92D050"/>
        </patternFill>
      </fill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4" tint="0.79998168889431442"/>
        </patternFill>
      </fill>
    </dxf>
    <dxf>
      <numFmt numFmtId="167" formatCode="_-* #,##0\ _€_-;\-* #,##0\ _€_-;_-* &quot;-&quot;??\ _€_-;_-@_-"/>
    </dxf>
    <dxf>
      <numFmt numFmtId="167" formatCode="_-* #,##0\ _€_-;\-* #,##0\ _€_-;_-* &quot;-&quot;??\ _€_-;_-@_-"/>
    </dxf>
    <dxf>
      <numFmt numFmtId="167" formatCode="_-* #,##0\ _€_-;\-* #,##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color rgb="FF0070C0"/>
      </font>
    </dxf>
    <dxf>
      <font>
        <color rgb="FF0070C0"/>
      </font>
    </dxf>
    <dxf>
      <font>
        <b/>
      </font>
    </dxf>
    <dxf>
      <numFmt numFmtId="167" formatCode="_-* #,##0\ _€_-;\-* #,##0\ _€_-;_-* &quot;-&quot;??\ _€_-;_-@_-"/>
    </dxf>
    <dxf>
      <numFmt numFmtId="167" formatCode="_-* #,##0\ _€_-;\-* #,##0\ _€_-;_-* &quot;-&quot;??\ _€_-;_-@_-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color rgb="FF0070C0"/>
      </font>
    </dxf>
    <dxf>
      <font>
        <color rgb="FF0070C0"/>
      </font>
    </dxf>
    <dxf>
      <font>
        <b/>
      </font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79998168889431442"/>
        </patternFill>
      </fill>
    </dxf>
    <dxf>
      <numFmt numFmtId="174" formatCode="dd/mm/yyyy"/>
    </dxf>
    <dxf>
      <alignment horizontal="center" readingOrder="0"/>
    </dxf>
    <dxf>
      <alignment wrapText="1" readingOrder="0"/>
    </dxf>
    <dxf>
      <numFmt numFmtId="166" formatCode="_-[$$-240A]\ * #,##0_-;\-[$$-240A]\ * #,##0_-;_-[$$-240A]\ * &quot;-&quot;??_-;_-@_-"/>
    </dxf>
    <dxf>
      <alignment horizont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numFmt numFmtId="166" formatCode="_-[$$-240A]\ * #,##0_-;\-[$$-240A]\ * #,##0_-;_-[$$-240A]\ * &quot;-&quot;??_-;_-@_-"/>
    </dxf>
    <dxf>
      <font>
        <color auto="1"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  <color rgb="FF0070C0"/>
      </font>
    </dxf>
    <dxf>
      <font>
        <b/>
        <color rgb="FF0070C0"/>
      </font>
    </dxf>
    <dxf>
      <font>
        <b/>
      </font>
    </dxf>
    <dxf>
      <font>
        <b/>
      </font>
    </dxf>
    <dxf>
      <alignment vertical="center" readingOrder="0"/>
    </dxf>
    <dxf>
      <alignment horizontal="center" readingOrder="0"/>
    </dxf>
    <dxf>
      <font>
        <b/>
      </font>
    </dxf>
    <dxf>
      <font>
        <color rgb="FF0070C0"/>
      </font>
    </dxf>
    <dxf>
      <font>
        <b/>
      </font>
    </dxf>
    <dxf>
      <numFmt numFmtId="166" formatCode="_-[$$-240A]\ * #,##0_-;\-[$$-240A]\ * #,##0_-;_-[$$-240A]\ * &quot;-&quot;??_-;_-@_-"/>
    </dxf>
    <dxf>
      <alignment horizontal="center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6" tint="0.79998168889431442"/>
        </patternFill>
      </fill>
    </dxf>
    <dxf>
      <alignment horizontal="center" readingOrder="0"/>
    </dxf>
    <dxf>
      <alignment wrapText="1" readingOrder="0"/>
    </dxf>
    <dxf>
      <numFmt numFmtId="166" formatCode="_-[$$-240A]\ * #,##0_-;\-[$$-240A]\ * #,##0_-;_-[$$-240A]\ * &quot;-&quot;??_-;_-@_-"/>
    </dxf>
    <dxf>
      <font>
        <b/>
        <color rgb="FF0070C0"/>
      </font>
    </dxf>
    <dxf>
      <font>
        <b/>
      </font>
    </dxf>
    <dxf>
      <font>
        <color rgb="FF0070C0"/>
      </font>
    </dxf>
    <dxf>
      <font>
        <b/>
      </font>
    </dxf>
    <dxf>
      <font>
        <color rgb="FF0070C0"/>
      </font>
    </dxf>
    <dxf>
      <font>
        <b/>
      </font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color auto="1"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  <color rgb="FF0070C0"/>
      </font>
    </dxf>
    <dxf>
      <font>
        <b/>
        <color rgb="FF0070C0"/>
      </font>
    </dxf>
    <dxf>
      <font>
        <b/>
      </font>
    </dxf>
    <dxf>
      <font>
        <b/>
      </font>
    </dxf>
    <dxf>
      <alignment vertical="center" readingOrder="0"/>
    </dxf>
    <dxf>
      <alignment horizontal="center" readingOrder="0"/>
    </dxf>
    <dxf>
      <font>
        <b/>
      </font>
    </dxf>
    <dxf>
      <font>
        <color rgb="FF0070C0"/>
      </font>
    </dxf>
    <dxf>
      <font>
        <b/>
      </font>
    </dxf>
    <dxf>
      <numFmt numFmtId="166" formatCode="_-[$$-240A]\ * #,##0_-;\-[$$-240A]\ * #,##0_-;_-[$$-240A]\ * &quot;-&quot;??_-;_-@_-"/>
    </dxf>
    <dxf>
      <numFmt numFmtId="0" formatCode="General"/>
    </dxf>
    <dxf>
      <numFmt numFmtId="0" formatCode="General"/>
    </dxf>
    <dxf>
      <font>
        <b/>
      </font>
    </dxf>
    <dxf>
      <font>
        <color rgb="FFFF0000"/>
      </font>
    </dxf>
    <dxf>
      <numFmt numFmtId="166" formatCode="_-[$$-240A]\ * #,##0_-;\-[$$-240A]\ * #,##0_-;_-[$$-240A]\ * &quot;-&quot;??_-;_-@_-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_-* #,##0\ _€_-;\-* #,##0\ _€_-;_-* &quot;-&quot;??\ _€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$-240A]\ * #,##0_-;\-[$$-240A]\ * #,##0_-;_-[$$-240A]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$-240A]\ * #,##0_-;\-[$$-240A]\ * #,##0_-;_-[$$-240A]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$-240A]\ * #,##0_-;\-[$$-240A]\ * #,##0_-;_-[$$-240A]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[$$-240A]\ * #,##0_-;\-[$$-240A]\ * #,##0_-;_-[$$-240A]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[$$-240A]\ * #,##0_-;\-[$$-240A]\ * #,##0_-;_-[$$-240A]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4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4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4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4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4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-* #,##0\ _€_-;\-* #,##0\ _€_-;_-* &quot;-&quot;??\ _€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4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7DEFD"/>
      <color rgb="FFF6BB00"/>
      <color rgb="FF33CCFF"/>
      <color rgb="FFDBB7FF"/>
      <color rgb="FFCC99FF"/>
      <color rgb="FFCCCCFF"/>
      <color rgb="FFFA00FA"/>
      <color rgb="FFCC00CC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2.xml"/><Relationship Id="rId50" Type="http://schemas.openxmlformats.org/officeDocument/2006/relationships/connections" Target="connections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2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3.xml"/><Relationship Id="rId56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83-40D2-839B-EE9108ABBE0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83-40D2-839B-EE9108ABBE0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83-40D2-839B-EE9108ABBE06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83-40D2-839B-EE9108ABBE06}"/>
              </c:ext>
            </c:extLst>
          </c:dPt>
          <c:dLbls>
            <c:dLbl>
              <c:idx val="0"/>
              <c:layout>
                <c:manualLayout>
                  <c:x val="4.8108323684376474E-2"/>
                  <c:y val="-3.6538135997847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83-40D2-839B-EE9108ABBE06}"/>
                </c:ext>
              </c:extLst>
            </c:dLbl>
            <c:dLbl>
              <c:idx val="1"/>
              <c:layout>
                <c:manualLayout>
                  <c:x val="-5.7776846796926469E-2"/>
                  <c:y val="-3.26663729566900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83-40D2-839B-EE9108ABBE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PE!$F$2:$F$5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PE!$G$2:$G$5</c:f>
              <c:numCache>
                <c:formatCode>_-[$$-240A]\ * #,##0_-;\-[$$-240A]\ * #,##0_-;_-[$$-240A]\ * "-"??_-;_-@_-</c:formatCode>
                <c:ptCount val="4"/>
                <c:pt idx="0">
                  <c:v>4535000</c:v>
                </c:pt>
                <c:pt idx="1">
                  <c:v>2500000</c:v>
                </c:pt>
                <c:pt idx="2">
                  <c:v>777377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83-40D2-839B-EE9108ABB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Noviembre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6F-43DA-B741-DCFEF9356E3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6F-43DA-B741-DCFEF9356E3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6F-43DA-B741-DCFEF9356E3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6F-43DA-B741-DCFEF9356E33}"/>
              </c:ext>
            </c:extLst>
          </c:dPt>
          <c:dLbls>
            <c:dLbl>
              <c:idx val="0"/>
              <c:layout>
                <c:manualLayout>
                  <c:x val="-4.3308776184076813E-3"/>
                  <c:y val="-0.14577762971708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6F-43DA-B741-DCFEF9356E33}"/>
                </c:ext>
              </c:extLst>
            </c:dLbl>
            <c:dLbl>
              <c:idx val="1"/>
              <c:layout>
                <c:manualLayout>
                  <c:x val="-9.492548831663486E-2"/>
                  <c:y val="-0.117217951611643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6F-43DA-B741-DCFEF9356E33}"/>
                </c:ext>
              </c:extLst>
            </c:dLbl>
            <c:dLbl>
              <c:idx val="2"/>
              <c:layout>
                <c:manualLayout>
                  <c:x val="-0.17060108366290505"/>
                  <c:y val="0.1108845589575755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6F-43DA-B741-DCFEF9356E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PE!$J$2:$J$5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PE!$K$2:$K$5</c:f>
              <c:numCache>
                <c:formatCode>_-[$$-240A]\ * #,##0_-;\-[$$-240A]\ * #,##0_-;_-[$$-240A]\ * "-"??_-;_-@_-</c:formatCode>
                <c:ptCount val="4"/>
                <c:pt idx="0">
                  <c:v>4100000</c:v>
                </c:pt>
                <c:pt idx="1">
                  <c:v>2500000</c:v>
                </c:pt>
                <c:pt idx="2">
                  <c:v>0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6F-43DA-B741-DCFEF9356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Diciembre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PE!$Q$2:$Q$5</c:f>
              <c:strCache>
                <c:ptCount val="4"/>
                <c:pt idx="0">
                  <c:v> $ 3.685.000 </c:v>
                </c:pt>
                <c:pt idx="1">
                  <c:v> $ 2.500.000 </c:v>
                </c:pt>
                <c:pt idx="2">
                  <c:v> $ 600.000 </c:v>
                </c:pt>
                <c:pt idx="3">
                  <c:v> $ 780.000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1B-451C-8C9A-E49CC02EFB2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1B-451C-8C9A-E49CC02EFB2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1B-451C-8C9A-E49CC02EFB2F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1B-451C-8C9A-E49CC02EFB2F}"/>
              </c:ext>
            </c:extLst>
          </c:dPt>
          <c:dLbls>
            <c:dLbl>
              <c:idx val="0"/>
              <c:layout>
                <c:manualLayout>
                  <c:x val="4.8108323684376474E-2"/>
                  <c:y val="-3.6538135997847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1B-451C-8C9A-E49CC02EFB2F}"/>
                </c:ext>
              </c:extLst>
            </c:dLbl>
            <c:dLbl>
              <c:idx val="1"/>
              <c:layout>
                <c:manualLayout>
                  <c:x val="-5.7776846796926469E-2"/>
                  <c:y val="-3.26663729566900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1B-451C-8C9A-E49CC02EFB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PE!$P$2:$P$5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PE!$G$2:$G$5</c:f>
              <c:numCache>
                <c:formatCode>_-[$$-240A]\ * #,##0_-;\-[$$-240A]\ * #,##0_-;_-[$$-240A]\ * "-"??_-;_-@_-</c:formatCode>
                <c:ptCount val="4"/>
                <c:pt idx="0">
                  <c:v>4535000</c:v>
                </c:pt>
                <c:pt idx="1">
                  <c:v>2500000</c:v>
                </c:pt>
                <c:pt idx="2">
                  <c:v>777377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1B-451C-8C9A-E49CC02EF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Septiembre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17-4033-9DC3-6FB2B69433D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17-4033-9DC3-6FB2B69433D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17-4033-9DC3-6FB2B69433D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17-4033-9DC3-6FB2B69433D8}"/>
              </c:ext>
            </c:extLst>
          </c:dPt>
          <c:dLbls>
            <c:dLbl>
              <c:idx val="0"/>
              <c:layout>
                <c:manualLayout>
                  <c:x val="4.6299794466474552E-2"/>
                  <c:y val="0.1282167282655090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17-4033-9DC3-6FB2B69433D8}"/>
                </c:ext>
              </c:extLst>
            </c:dLbl>
            <c:dLbl>
              <c:idx val="1"/>
              <c:layout>
                <c:manualLayout>
                  <c:x val="-4.0901623120301461E-2"/>
                  <c:y val="0.107009384398413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17-4033-9DC3-6FB2B69433D8}"/>
                </c:ext>
              </c:extLst>
            </c:dLbl>
            <c:dLbl>
              <c:idx val="3"/>
              <c:layout>
                <c:manualLayout>
                  <c:x val="0.28067364883295454"/>
                  <c:y val="2.44085822693682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17-4033-9DC3-6FB2B69433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PE!$B$2:$B$5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PE!$C$2:$C$5</c:f>
              <c:numCache>
                <c:formatCode>_-[$$-240A]\ * #,##0_-;\-[$$-240A]\ * #,##0_-;_-[$$-240A]\ * "-"??_-;_-@_-</c:formatCode>
                <c:ptCount val="4"/>
                <c:pt idx="0">
                  <c:v>1420000</c:v>
                </c:pt>
                <c:pt idx="1">
                  <c:v>1500000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17-4033-9DC3-6FB2B6943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C2-4DBA-A770-6537F7862BB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C2-4DBA-A770-6537F7862BB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C2-4DBA-A770-6537F7862BB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5C2-4DBA-A770-6537F7862BB9}"/>
              </c:ext>
            </c:extLst>
          </c:dPt>
          <c:dLbls>
            <c:dLbl>
              <c:idx val="0"/>
              <c:layout>
                <c:manualLayout>
                  <c:x val="4.8108323684376474E-2"/>
                  <c:y val="-3.6538135997847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C2-4DBA-A770-6537F7862BB9}"/>
                </c:ext>
              </c:extLst>
            </c:dLbl>
            <c:dLbl>
              <c:idx val="1"/>
              <c:layout>
                <c:manualLayout>
                  <c:x val="-5.7776846796926469E-2"/>
                  <c:y val="-3.26663729566900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C2-4DBA-A770-6537F7862B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(2)'!$F$2:$F$5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(2)'!$G$2:$G$5</c:f>
              <c:numCache>
                <c:formatCode>_-[$$-240A]\ * #,##0_-;\-[$$-240A]\ * #,##0_-;_-[$$-240A]\ * "-"??_-;_-@_-</c:formatCode>
                <c:ptCount val="4"/>
                <c:pt idx="0">
                  <c:v>2375000</c:v>
                </c:pt>
                <c:pt idx="1">
                  <c:v>2500000</c:v>
                </c:pt>
                <c:pt idx="2">
                  <c:v>777377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C2-4DBA-A770-6537F7862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Noviembre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C0-4316-8101-029B722784F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C0-4316-8101-029B722784F1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C0-4316-8101-029B722784F1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C0-4316-8101-029B722784F1}"/>
              </c:ext>
            </c:extLst>
          </c:dPt>
          <c:dLbls>
            <c:dLbl>
              <c:idx val="0"/>
              <c:layout>
                <c:manualLayout>
                  <c:x val="-4.3308776184076813E-3"/>
                  <c:y val="-0.14577762971708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C0-4316-8101-029B722784F1}"/>
                </c:ext>
              </c:extLst>
            </c:dLbl>
            <c:dLbl>
              <c:idx val="1"/>
              <c:layout>
                <c:manualLayout>
                  <c:x val="-9.492548831663486E-2"/>
                  <c:y val="-0.117217951611643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C0-4316-8101-029B722784F1}"/>
                </c:ext>
              </c:extLst>
            </c:dLbl>
            <c:dLbl>
              <c:idx val="2"/>
              <c:layout>
                <c:manualLayout>
                  <c:x val="-0.17060108366290505"/>
                  <c:y val="0.1108845589575755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5C0-4316-8101-029B722784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(2)'!$J$2:$J$5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(2)'!$K$2:$K$5</c:f>
              <c:numCache>
                <c:formatCode>_-[$$-240A]\ * #,##0_-;\-[$$-240A]\ * #,##0_-;_-[$$-240A]\ * "-"??_-;_-@_-</c:formatCode>
                <c:ptCount val="4"/>
                <c:pt idx="0">
                  <c:v>2310000</c:v>
                </c:pt>
                <c:pt idx="1">
                  <c:v>2500000</c:v>
                </c:pt>
                <c:pt idx="2">
                  <c:v>0</c:v>
                </c:pt>
                <c:pt idx="3">
                  <c:v>780000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C0-4316-8101-029B72278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Diciembre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 (2)'!$Q$2:$Q$5</c:f>
              <c:strCache>
                <c:ptCount val="4"/>
                <c:pt idx="0">
                  <c:v> $ 1.990.000 </c:v>
                </c:pt>
                <c:pt idx="1">
                  <c:v> $ 2.500.000 </c:v>
                </c:pt>
                <c:pt idx="2">
                  <c:v> $ 600.000 </c:v>
                </c:pt>
                <c:pt idx="3">
                  <c:v> $ 650.000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8F-4B73-9458-4286E1C9B32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8F-4B73-9458-4286E1C9B32E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D8F-4B73-9458-4286E1C9B32E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D8F-4B73-9458-4286E1C9B32E}"/>
              </c:ext>
            </c:extLst>
          </c:dPt>
          <c:dLbls>
            <c:dLbl>
              <c:idx val="0"/>
              <c:layout>
                <c:manualLayout>
                  <c:x val="4.8108323684376474E-2"/>
                  <c:y val="-3.6538135997847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8F-4B73-9458-4286E1C9B32E}"/>
                </c:ext>
              </c:extLst>
            </c:dLbl>
            <c:dLbl>
              <c:idx val="1"/>
              <c:layout>
                <c:manualLayout>
                  <c:x val="-5.7776846796926469E-2"/>
                  <c:y val="-3.26663729566900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D8F-4B73-9458-4286E1C9B3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(2)'!$P$2:$P$5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(2)'!$G$2:$G$5</c:f>
              <c:numCache>
                <c:formatCode>_-[$$-240A]\ * #,##0_-;\-[$$-240A]\ * #,##0_-;_-[$$-240A]\ * "-"??_-;_-@_-</c:formatCode>
                <c:ptCount val="4"/>
                <c:pt idx="0">
                  <c:v>2375000</c:v>
                </c:pt>
                <c:pt idx="1">
                  <c:v>2500000</c:v>
                </c:pt>
                <c:pt idx="2">
                  <c:v>777377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D8F-4B73-9458-4286E1C9B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Septiembre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0-4634-A1F1-7D0660D82985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60-4634-A1F1-7D0660D82985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0-4634-A1F1-7D0660D82985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60-4634-A1F1-7D0660D82985}"/>
              </c:ext>
            </c:extLst>
          </c:dPt>
          <c:dLbls>
            <c:dLbl>
              <c:idx val="3"/>
              <c:layout>
                <c:manualLayout>
                  <c:x val="0.28067364883295454"/>
                  <c:y val="2.44085822693682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60-4634-A1F1-7D0660D829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(2)'!$B$2:$B$5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(2)'!$C$2:$C$5</c:f>
              <c:numCache>
                <c:formatCode>_-[$$-240A]\ * #,##0_-;\-[$$-240A]\ * #,##0_-;_-[$$-240A]\ * "-"??_-;_-@_-</c:formatCode>
                <c:ptCount val="4"/>
                <c:pt idx="0">
                  <c:v>1380000</c:v>
                </c:pt>
                <c:pt idx="1">
                  <c:v>1500000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60-4634-A1F1-7D0660D82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98-43AA-981E-369840CBE9F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98-43AA-981E-369840CBE9F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98-43AA-981E-369840CBE9FC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98-43AA-981E-369840CBE9FC}"/>
              </c:ext>
            </c:extLst>
          </c:dPt>
          <c:dLbls>
            <c:dLbl>
              <c:idx val="0"/>
              <c:layout>
                <c:manualLayout>
                  <c:x val="4.8108323684376474E-2"/>
                  <c:y val="-3.6538135997847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98-43AA-981E-369840CBE9FC}"/>
                </c:ext>
              </c:extLst>
            </c:dLbl>
            <c:dLbl>
              <c:idx val="1"/>
              <c:layout>
                <c:manualLayout>
                  <c:x val="-5.7776846796926469E-2"/>
                  <c:y val="-3.26663729566900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98-43AA-981E-369840CBE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(3)'!$F$2:$F$5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(3)'!$G$2:$G$5</c:f>
              <c:numCache>
                <c:formatCode>_-[$$-240A]\ * #,##0_-;\-[$$-240A]\ * #,##0_-;_-[$$-240A]\ * "-"??_-;_-@_-</c:formatCode>
                <c:ptCount val="4"/>
                <c:pt idx="0">
                  <c:v>1935000</c:v>
                </c:pt>
                <c:pt idx="1">
                  <c:v>2500000</c:v>
                </c:pt>
                <c:pt idx="2">
                  <c:v>777377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98-43AA-981E-369840CBE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Noviembre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2D-4E76-A371-5812AF70691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2D-4E76-A371-5812AF70691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2D-4E76-A371-5812AF70691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2D-4E76-A371-5812AF706910}"/>
              </c:ext>
            </c:extLst>
          </c:dPt>
          <c:dLbls>
            <c:dLbl>
              <c:idx val="0"/>
              <c:layout>
                <c:manualLayout>
                  <c:x val="6.8528879799802114E-2"/>
                  <c:y val="9.7781851584490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2D-4E76-A371-5812AF706910}"/>
                </c:ext>
              </c:extLst>
            </c:dLbl>
            <c:dLbl>
              <c:idx val="1"/>
              <c:layout>
                <c:manualLayout>
                  <c:x val="-9.492548831663486E-2"/>
                  <c:y val="-0.117217951611643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2D-4E76-A371-5812AF706910}"/>
                </c:ext>
              </c:extLst>
            </c:dLbl>
            <c:dLbl>
              <c:idx val="2"/>
              <c:layout>
                <c:manualLayout>
                  <c:x val="-0.17060108366290505"/>
                  <c:y val="0.1108845589575755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2D-4E76-A371-5812AF7069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(3)'!$J$2:$J$5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(3)'!$K$2:$K$5</c:f>
              <c:numCache>
                <c:formatCode>_-[$$-240A]\ * #,##0_-;\-[$$-240A]\ * #,##0_-;_-[$$-240A]\ * "-"??_-;_-@_-</c:formatCode>
                <c:ptCount val="4"/>
                <c:pt idx="0">
                  <c:v>1760000</c:v>
                </c:pt>
                <c:pt idx="1">
                  <c:v>2500000</c:v>
                </c:pt>
                <c:pt idx="2">
                  <c:v>0</c:v>
                </c:pt>
                <c:pt idx="3">
                  <c:v>780000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2D-4E76-A371-5812AF706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Diciembre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 (3)'!$Q$2:$Q$5</c:f>
              <c:strCache>
                <c:ptCount val="4"/>
                <c:pt idx="0">
                  <c:v> $ 1.550.000 </c:v>
                </c:pt>
                <c:pt idx="1">
                  <c:v> $ 2.500.000 </c:v>
                </c:pt>
                <c:pt idx="2">
                  <c:v> $ 600.000 </c:v>
                </c:pt>
                <c:pt idx="3">
                  <c:v> $ 600.000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72-4658-89B0-A1D4C49669E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72-4658-89B0-A1D4C49669E3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72-4658-89B0-A1D4C49669E3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72-4658-89B0-A1D4C49669E3}"/>
              </c:ext>
            </c:extLst>
          </c:dPt>
          <c:dLbls>
            <c:dLbl>
              <c:idx val="0"/>
              <c:layout>
                <c:manualLayout>
                  <c:x val="4.8108323684376474E-2"/>
                  <c:y val="-3.6538135997847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72-4658-89B0-A1D4C49669E3}"/>
                </c:ext>
              </c:extLst>
            </c:dLbl>
            <c:dLbl>
              <c:idx val="1"/>
              <c:layout>
                <c:manualLayout>
                  <c:x val="-5.7776846796926469E-2"/>
                  <c:y val="-3.26663729566900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72-4658-89B0-A1D4C49669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(3)'!$P$2:$P$5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(3)'!$G$2:$G$5</c:f>
              <c:numCache>
                <c:formatCode>_-[$$-240A]\ * #,##0_-;\-[$$-240A]\ * #,##0_-;_-[$$-240A]\ * "-"??_-;_-@_-</c:formatCode>
                <c:ptCount val="4"/>
                <c:pt idx="0">
                  <c:v>1935000</c:v>
                </c:pt>
                <c:pt idx="1">
                  <c:v>2500000</c:v>
                </c:pt>
                <c:pt idx="2">
                  <c:v>777377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72-4658-89B0-A1D4C4966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Septiembre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B5-462C-863F-B53BE7F831C8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B5-462C-863F-B53BE7F831C8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B5-462C-863F-B53BE7F831C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B5-462C-863F-B53BE7F831C8}"/>
              </c:ext>
            </c:extLst>
          </c:dPt>
          <c:dLbls>
            <c:dLbl>
              <c:idx val="3"/>
              <c:layout>
                <c:manualLayout>
                  <c:x val="0.28067364883295454"/>
                  <c:y val="2.44085822693682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5-462C-863F-B53BE7F83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(3)'!$B$2:$B$5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(3)'!$C$2:$C$5</c:f>
              <c:numCache>
                <c:formatCode>_-[$$-240A]\ * #,##0_-;\-[$$-240A]\ * #,##0_-;_-[$$-240A]\ * "-"??_-;_-@_-</c:formatCode>
                <c:ptCount val="4"/>
                <c:pt idx="0">
                  <c:v>715000</c:v>
                </c:pt>
                <c:pt idx="1">
                  <c:v>1500000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B5-462C-863F-B53BE7F83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Octubre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FB-4207-977D-835AD44E89F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FB-4207-977D-835AD44E89F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FB-4207-977D-835AD44E89F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FB-4207-977D-835AD44E89F0}"/>
              </c:ext>
            </c:extLst>
          </c:dPt>
          <c:dLbls>
            <c:dLbl>
              <c:idx val="0"/>
              <c:layout>
                <c:manualLayout>
                  <c:x val="4.8108323684376474E-2"/>
                  <c:y val="-3.6538135997847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FB-4207-977D-835AD44E89F0}"/>
                </c:ext>
              </c:extLst>
            </c:dLbl>
            <c:dLbl>
              <c:idx val="1"/>
              <c:layout>
                <c:manualLayout>
                  <c:x val="-5.7776846796926469E-2"/>
                  <c:y val="-3.26663729566900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FB-4207-977D-835AD44E89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(0)'!$F$2:$F$5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(0)'!$G$2:$G$5</c:f>
              <c:numCache>
                <c:formatCode>_-[$$-240A]\ * #,##0_-;\-[$$-240A]\ * #,##0_-;_-[$$-240A]\ * "-"??_-;_-@_-</c:formatCode>
                <c:ptCount val="4"/>
                <c:pt idx="0">
                  <c:v>4535000</c:v>
                </c:pt>
                <c:pt idx="1">
                  <c:v>2500000</c:v>
                </c:pt>
                <c:pt idx="2">
                  <c:v>777377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FB-4207-977D-835AD44E8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Noviembre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1A-4E85-9925-CF43C269802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31A-4E85-9925-CF43C269802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31A-4E85-9925-CF43C2698022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31A-4E85-9925-CF43C2698022}"/>
              </c:ext>
            </c:extLst>
          </c:dPt>
          <c:dLbls>
            <c:dLbl>
              <c:idx val="0"/>
              <c:layout>
                <c:manualLayout>
                  <c:x val="-4.3308776184076813E-3"/>
                  <c:y val="-0.145777629717083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1A-4E85-9925-CF43C2698022}"/>
                </c:ext>
              </c:extLst>
            </c:dLbl>
            <c:dLbl>
              <c:idx val="1"/>
              <c:layout>
                <c:manualLayout>
                  <c:x val="-9.492548831663486E-2"/>
                  <c:y val="-0.1172179516116430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1A-4E85-9925-CF43C2698022}"/>
                </c:ext>
              </c:extLst>
            </c:dLbl>
            <c:dLbl>
              <c:idx val="2"/>
              <c:layout>
                <c:manualLayout>
                  <c:x val="-0.17060108366290505"/>
                  <c:y val="0.1108845589575755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1A-4E85-9925-CF43C26980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(0)'!$J$2:$J$5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(0)'!$K$2:$K$5</c:f>
              <c:numCache>
                <c:formatCode>_-[$$-240A]\ * #,##0_-;\-[$$-240A]\ * #,##0_-;_-[$$-240A]\ * "-"??_-;_-@_-</c:formatCode>
                <c:ptCount val="4"/>
                <c:pt idx="0">
                  <c:v>4100000</c:v>
                </c:pt>
                <c:pt idx="1">
                  <c:v>2500000</c:v>
                </c:pt>
                <c:pt idx="2">
                  <c:v>0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1A-4E85-9925-CF43C2698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Diciembre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'PE (0)'!$Q$2:$Q$5</c:f>
              <c:strCache>
                <c:ptCount val="4"/>
                <c:pt idx="0">
                  <c:v> $ 3.685.000 </c:v>
                </c:pt>
                <c:pt idx="1">
                  <c:v> $ 2.500.000 </c:v>
                </c:pt>
                <c:pt idx="2">
                  <c:v> $ 600.000 </c:v>
                </c:pt>
                <c:pt idx="3">
                  <c:v> $ 780.000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F9-4E54-B40A-477E4A455E4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F9-4E54-B40A-477E4A455E40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F9-4E54-B40A-477E4A455E40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F9-4E54-B40A-477E4A455E40}"/>
              </c:ext>
            </c:extLst>
          </c:dPt>
          <c:dLbls>
            <c:dLbl>
              <c:idx val="0"/>
              <c:layout>
                <c:manualLayout>
                  <c:x val="4.8108323684376474E-2"/>
                  <c:y val="-3.653813599784715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F9-4E54-B40A-477E4A455E40}"/>
                </c:ext>
              </c:extLst>
            </c:dLbl>
            <c:dLbl>
              <c:idx val="1"/>
              <c:layout>
                <c:manualLayout>
                  <c:x val="-5.7776846796926469E-2"/>
                  <c:y val="-3.26663729566900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F9-4E54-B40A-477E4A455E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(0)'!$P$2:$P$5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(0)'!$G$2:$G$5</c:f>
              <c:numCache>
                <c:formatCode>_-[$$-240A]\ * #,##0_-;\-[$$-240A]\ * #,##0_-;_-[$$-240A]\ * "-"??_-;_-@_-</c:formatCode>
                <c:ptCount val="4"/>
                <c:pt idx="0">
                  <c:v>4535000</c:v>
                </c:pt>
                <c:pt idx="1">
                  <c:v>2500000</c:v>
                </c:pt>
                <c:pt idx="2">
                  <c:v>777377</c:v>
                </c:pt>
                <c:pt idx="3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F9-4E54-B40A-477E4A455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 de Septiembre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4B-46D1-883A-46CD8F0B3DD6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4B-46D1-883A-46CD8F0B3DD6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4B-46D1-883A-46CD8F0B3DD6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4B-46D1-883A-46CD8F0B3DD6}"/>
              </c:ext>
            </c:extLst>
          </c:dPt>
          <c:dLbls>
            <c:dLbl>
              <c:idx val="1"/>
              <c:layout>
                <c:manualLayout>
                  <c:x val="-4.0901623120301461E-2"/>
                  <c:y val="0.107009384398413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4B-46D1-883A-46CD8F0B3DD6}"/>
                </c:ext>
              </c:extLst>
            </c:dLbl>
            <c:dLbl>
              <c:idx val="3"/>
              <c:layout>
                <c:manualLayout>
                  <c:x val="0.28067364883295454"/>
                  <c:y val="2.440858226936823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4B-46D1-883A-46CD8F0B3D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 (0)'!$B$2:$B$5</c:f>
              <c:strCache>
                <c:ptCount val="4"/>
                <c:pt idx="0">
                  <c:v> Nomina </c:v>
                </c:pt>
                <c:pt idx="1">
                  <c:v> Arriendo </c:v>
                </c:pt>
                <c:pt idx="2">
                  <c:v> Financieros </c:v>
                </c:pt>
                <c:pt idx="3">
                  <c:v> Servicios </c:v>
                </c:pt>
              </c:strCache>
            </c:strRef>
          </c:cat>
          <c:val>
            <c:numRef>
              <c:f>'PE (0)'!$C$2:$C$5</c:f>
              <c:numCache>
                <c:formatCode>_-[$$-240A]\ * #,##0_-;\-[$$-240A]\ * #,##0_-;_-[$$-240A]\ * "-"??_-;_-@_-</c:formatCode>
                <c:ptCount val="4"/>
                <c:pt idx="0">
                  <c:v>1420000</c:v>
                </c:pt>
                <c:pt idx="1">
                  <c:v>1500000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4B-46D1-883A-46CD8F0B3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lanillaexcel.com/ayuda/plantillas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Flujo de caja'!A1"/><Relationship Id="rId2" Type="http://schemas.openxmlformats.org/officeDocument/2006/relationships/hyperlink" Target="#'Inversi&#243;n sociedad'!A1"/><Relationship Id="rId1" Type="http://schemas.openxmlformats.org/officeDocument/2006/relationships/image" Target="../media/image1.png"/><Relationship Id="rId4" Type="http://schemas.openxmlformats.org/officeDocument/2006/relationships/hyperlink" Target="#'Revenue forecasting 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icio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icio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tmp"/><Relationship Id="rId1" Type="http://schemas.openxmlformats.org/officeDocument/2006/relationships/image" Target="../media/image2.tmp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tmp"/><Relationship Id="rId2" Type="http://schemas.openxmlformats.org/officeDocument/2006/relationships/image" Target="../media/image5.tmp"/><Relationship Id="rId1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47625</xdr:colOff>
      <xdr:row>0</xdr:row>
      <xdr:rowOff>28575</xdr:rowOff>
    </xdr:from>
    <xdr:to>
      <xdr:col>5</xdr:col>
      <xdr:colOff>657225</xdr:colOff>
      <xdr:row>0</xdr:row>
      <xdr:rowOff>282575</xdr:rowOff>
    </xdr:to>
    <xdr:sp macro="" textlink="">
      <xdr:nvSpPr>
        <xdr:cNvPr id="2" name="Cuadro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3900" y="28575"/>
          <a:ext cx="5572125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b">
          <a:noAutofit/>
        </a:bodyPr>
        <a:lstStyle/>
        <a:p>
          <a:pPr algn="l"/>
          <a:r>
            <a:rPr lang="es-AR" sz="1000" b="1">
              <a:solidFill>
                <a:srgbClr val="00B050"/>
              </a:solidFill>
              <a:latin typeface="Trebuchet MS" panose="020B0603020202020204" pitchFamily="34" charset="0"/>
            </a:rPr>
            <a:t>PlanillaExcel.com</a:t>
          </a:r>
          <a:r>
            <a:rPr lang="es-AR" sz="1000" b="1">
              <a:solidFill>
                <a:schemeClr val="tx1">
                  <a:lumMod val="65000"/>
                  <a:lumOff val="35000"/>
                </a:schemeClr>
              </a:solidFill>
            </a:rPr>
            <a:t>            </a:t>
          </a:r>
          <a:r>
            <a:rPr lang="es-AR" sz="1100" b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Amortización</a:t>
          </a:r>
          <a:r>
            <a:rPr lang="es-AR" sz="11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 de préstamos    </a:t>
          </a:r>
          <a:r>
            <a:rPr lang="es-AR" sz="1000" b="0">
              <a:solidFill>
                <a:schemeClr val="bg1">
                  <a:lumMod val="85000"/>
                </a:schemeClr>
              </a:solidFill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</a:rPr>
            <a:t>              </a:t>
          </a:r>
          <a:r>
            <a:rPr lang="es-AR" sz="1000" b="0">
              <a:solidFill>
                <a:schemeClr val="bg1">
                  <a:lumMod val="50000"/>
                </a:schemeClr>
              </a:solidFill>
              <a:latin typeface="+mj-lt"/>
            </a:rPr>
            <a:t>AYUDA </a:t>
          </a:r>
          <a:r>
            <a:rPr lang="es-AR" sz="1000" b="0" i="0">
              <a:solidFill>
                <a:schemeClr val="bg1">
                  <a:lumMod val="50000"/>
                </a:schemeClr>
              </a:solidFill>
              <a:effectLst/>
              <a:latin typeface="+mj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j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47625</xdr:colOff>
      <xdr:row>0</xdr:row>
      <xdr:rowOff>28575</xdr:rowOff>
    </xdr:from>
    <xdr:to>
      <xdr:col>5</xdr:col>
      <xdr:colOff>657225</xdr:colOff>
      <xdr:row>0</xdr:row>
      <xdr:rowOff>282575</xdr:rowOff>
    </xdr:to>
    <xdr:sp macro="" textlink="">
      <xdr:nvSpPr>
        <xdr:cNvPr id="2" name="CuadroText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23900" y="28575"/>
          <a:ext cx="5572125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36000" tIns="0" rIns="36000" bIns="0" rtlCol="0" anchor="b">
          <a:noAutofit/>
        </a:bodyPr>
        <a:lstStyle/>
        <a:p>
          <a:pPr algn="l"/>
          <a:r>
            <a:rPr lang="es-AR" sz="1000" b="1">
              <a:solidFill>
                <a:srgbClr val="00B050"/>
              </a:solidFill>
              <a:latin typeface="Trebuchet MS" panose="020B0603020202020204" pitchFamily="34" charset="0"/>
            </a:rPr>
            <a:t>PlanillaExcel.com</a:t>
          </a:r>
          <a:r>
            <a:rPr lang="es-AR" sz="1000" b="1">
              <a:solidFill>
                <a:schemeClr val="tx1">
                  <a:lumMod val="65000"/>
                  <a:lumOff val="35000"/>
                </a:schemeClr>
              </a:solidFill>
            </a:rPr>
            <a:t>            </a:t>
          </a:r>
          <a:r>
            <a:rPr lang="es-AR" sz="1100" b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Amortización</a:t>
          </a:r>
          <a:r>
            <a:rPr lang="es-AR" sz="1100" b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</a:rPr>
            <a:t> de préstamos    </a:t>
          </a:r>
          <a:r>
            <a:rPr lang="es-AR" sz="1000" b="0">
              <a:solidFill>
                <a:schemeClr val="bg1">
                  <a:lumMod val="85000"/>
                </a:schemeClr>
              </a:solidFill>
            </a:rPr>
            <a:t>|</a:t>
          </a:r>
          <a:r>
            <a:rPr lang="es-AR" sz="1000" b="0">
              <a:solidFill>
                <a:schemeClr val="tx1">
                  <a:lumMod val="65000"/>
                  <a:lumOff val="35000"/>
                </a:schemeClr>
              </a:solidFill>
            </a:rPr>
            <a:t>              </a:t>
          </a:r>
          <a:r>
            <a:rPr lang="es-AR" sz="1000" b="0">
              <a:solidFill>
                <a:schemeClr val="bg1">
                  <a:lumMod val="50000"/>
                </a:schemeClr>
              </a:solidFill>
              <a:latin typeface="+mj-lt"/>
            </a:rPr>
            <a:t>AYUDA </a:t>
          </a:r>
          <a:r>
            <a:rPr lang="es-AR" sz="1000" b="0" i="0">
              <a:solidFill>
                <a:schemeClr val="bg1">
                  <a:lumMod val="50000"/>
                </a:schemeClr>
              </a:solidFill>
              <a:effectLst/>
              <a:latin typeface="+mj-lt"/>
              <a:ea typeface="+mn-ea"/>
              <a:cs typeface="+mn-cs"/>
            </a:rPr>
            <a:t>→</a:t>
          </a:r>
          <a:endParaRPr lang="es-AR" sz="1000" b="0">
            <a:solidFill>
              <a:schemeClr val="bg1">
                <a:lumMod val="50000"/>
              </a:schemeClr>
            </a:solidFill>
            <a:latin typeface="+mj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390525</xdr:colOff>
      <xdr:row>5</xdr:row>
      <xdr:rowOff>57150</xdr:rowOff>
    </xdr:from>
    <xdr:to>
      <xdr:col>7</xdr:col>
      <xdr:colOff>545</xdr:colOff>
      <xdr:row>14</xdr:row>
      <xdr:rowOff>183802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2554B3-1483-43A1-8BDA-B8FE1DC4A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525" y="1009650"/>
          <a:ext cx="1896020" cy="1841152"/>
        </a:xfrm>
        <a:prstGeom prst="rect">
          <a:avLst/>
        </a:prstGeom>
      </xdr:spPr>
    </xdr:pic>
    <xdr:clientData/>
  </xdr:twoCellAnchor>
  <xdr:twoCellAnchor>
    <xdr:from>
      <xdr:col>0</xdr:col>
      <xdr:colOff>619125</xdr:colOff>
      <xdr:row>5</xdr:row>
      <xdr:rowOff>38100</xdr:rowOff>
    </xdr:from>
    <xdr:to>
      <xdr:col>2</xdr:col>
      <xdr:colOff>342900</xdr:colOff>
      <xdr:row>9</xdr:row>
      <xdr:rowOff>0</xdr:rowOff>
    </xdr:to>
    <xdr:sp macro="" textlink="">
      <xdr:nvSpPr>
        <xdr:cNvPr id="4" name="Rectá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1C6B7-65C2-4CD7-B487-3CFD9F746853}"/>
            </a:ext>
          </a:extLst>
        </xdr:cNvPr>
        <xdr:cNvSpPr/>
      </xdr:nvSpPr>
      <xdr:spPr>
        <a:xfrm>
          <a:off x="619125" y="990600"/>
          <a:ext cx="1247775" cy="723900"/>
        </a:xfrm>
        <a:prstGeom prst="rect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>
              <a:solidFill>
                <a:sysClr val="windowText" lastClr="000000"/>
              </a:solidFill>
            </a:rPr>
            <a:t>Inversión</a:t>
          </a:r>
          <a:r>
            <a:rPr lang="es-CO" sz="1100" baseline="0">
              <a:solidFill>
                <a:sysClr val="windowText" lastClr="000000"/>
              </a:solidFill>
            </a:rPr>
            <a:t> sociedad Contrato</a:t>
          </a:r>
          <a:endParaRPr lang="es-CO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657225</xdr:colOff>
      <xdr:row>10</xdr:row>
      <xdr:rowOff>180974</xdr:rowOff>
    </xdr:from>
    <xdr:to>
      <xdr:col>2</xdr:col>
      <xdr:colOff>352425</xdr:colOff>
      <xdr:row>13</xdr:row>
      <xdr:rowOff>85725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F91EFE-109A-4E6A-82D6-1D835BE7A703}"/>
            </a:ext>
          </a:extLst>
        </xdr:cNvPr>
        <xdr:cNvSpPr/>
      </xdr:nvSpPr>
      <xdr:spPr>
        <a:xfrm>
          <a:off x="657225" y="2085974"/>
          <a:ext cx="1219200" cy="476251"/>
        </a:xfrm>
        <a:prstGeom prst="roundRect">
          <a:avLst/>
        </a:prstGeom>
        <a:solidFill>
          <a:srgbClr val="00B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Flujo de</a:t>
          </a:r>
          <a:r>
            <a:rPr lang="es-CO" sz="1100" baseline="0"/>
            <a:t> caja</a:t>
          </a:r>
          <a:endParaRPr lang="es-CO" sz="1100"/>
        </a:p>
      </xdr:txBody>
    </xdr:sp>
    <xdr:clientData/>
  </xdr:twoCellAnchor>
  <xdr:twoCellAnchor>
    <xdr:from>
      <xdr:col>0</xdr:col>
      <xdr:colOff>676275</xdr:colOff>
      <xdr:row>15</xdr:row>
      <xdr:rowOff>142874</xdr:rowOff>
    </xdr:from>
    <xdr:to>
      <xdr:col>2</xdr:col>
      <xdr:colOff>371475</xdr:colOff>
      <xdr:row>18</xdr:row>
      <xdr:rowOff>47625</xdr:rowOff>
    </xdr:to>
    <xdr:sp macro="" textlink="">
      <xdr:nvSpPr>
        <xdr:cNvPr id="6" name="Rectángulo: esquinas redondeada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185D3EA-CD27-4662-A36B-BEC18FBD0C60}"/>
            </a:ext>
          </a:extLst>
        </xdr:cNvPr>
        <xdr:cNvSpPr/>
      </xdr:nvSpPr>
      <xdr:spPr>
        <a:xfrm>
          <a:off x="676275" y="3000374"/>
          <a:ext cx="1219200" cy="476251"/>
        </a:xfrm>
        <a:prstGeom prst="round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/>
            <a:t>Flujo de</a:t>
          </a:r>
          <a:r>
            <a:rPr lang="es-CO" sz="1100" baseline="0"/>
            <a:t> caja</a:t>
          </a:r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650296</xdr:colOff>
      <xdr:row>3</xdr:row>
      <xdr:rowOff>59977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A9C858-1D29-4F56-B3B5-4934F9276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50296" cy="63147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650296</xdr:colOff>
      <xdr:row>3</xdr:row>
      <xdr:rowOff>59977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DA186-5EB9-49CF-B405-49ABDFFDA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50296" cy="63147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650296</xdr:colOff>
      <xdr:row>3</xdr:row>
      <xdr:rowOff>59977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0CD90C-FE7A-4F55-BCD6-198E368D8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50296" cy="6314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176213</xdr:rowOff>
    </xdr:from>
    <xdr:to>
      <xdr:col>7</xdr:col>
      <xdr:colOff>638174</xdr:colOff>
      <xdr:row>19</xdr:row>
      <xdr:rowOff>114301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123824</xdr:colOff>
      <xdr:row>8</xdr:row>
      <xdr:rowOff>176213</xdr:rowOff>
    </xdr:from>
    <xdr:to>
      <xdr:col>13</xdr:col>
      <xdr:colOff>742950</xdr:colOff>
      <xdr:row>19</xdr:row>
      <xdr:rowOff>114301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123825</xdr:colOff>
      <xdr:row>8</xdr:row>
      <xdr:rowOff>176213</xdr:rowOff>
    </xdr:from>
    <xdr:to>
      <xdr:col>19</xdr:col>
      <xdr:colOff>638174</xdr:colOff>
      <xdr:row>19</xdr:row>
      <xdr:rowOff>114301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123825</xdr:colOff>
      <xdr:row>8</xdr:row>
      <xdr:rowOff>176213</xdr:rowOff>
    </xdr:from>
    <xdr:to>
      <xdr:col>3</xdr:col>
      <xdr:colOff>638174</xdr:colOff>
      <xdr:row>19</xdr:row>
      <xdr:rowOff>114301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9</xdr:row>
      <xdr:rowOff>176213</xdr:rowOff>
    </xdr:from>
    <xdr:to>
      <xdr:col>7</xdr:col>
      <xdr:colOff>638174</xdr:colOff>
      <xdr:row>20</xdr:row>
      <xdr:rowOff>114301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123824</xdr:colOff>
      <xdr:row>9</xdr:row>
      <xdr:rowOff>176213</xdr:rowOff>
    </xdr:from>
    <xdr:to>
      <xdr:col>13</xdr:col>
      <xdr:colOff>742950</xdr:colOff>
      <xdr:row>20</xdr:row>
      <xdr:rowOff>114301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123825</xdr:colOff>
      <xdr:row>9</xdr:row>
      <xdr:rowOff>176213</xdr:rowOff>
    </xdr:from>
    <xdr:to>
      <xdr:col>19</xdr:col>
      <xdr:colOff>638174</xdr:colOff>
      <xdr:row>20</xdr:row>
      <xdr:rowOff>114301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123825</xdr:colOff>
      <xdr:row>9</xdr:row>
      <xdr:rowOff>176213</xdr:rowOff>
    </xdr:from>
    <xdr:to>
      <xdr:col>3</xdr:col>
      <xdr:colOff>638174</xdr:colOff>
      <xdr:row>20</xdr:row>
      <xdr:rowOff>114301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176213</xdr:rowOff>
    </xdr:from>
    <xdr:to>
      <xdr:col>7</xdr:col>
      <xdr:colOff>638174</xdr:colOff>
      <xdr:row>19</xdr:row>
      <xdr:rowOff>114301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6D60F6-6454-4475-86FB-C6568445F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123824</xdr:colOff>
      <xdr:row>8</xdr:row>
      <xdr:rowOff>176213</xdr:rowOff>
    </xdr:from>
    <xdr:to>
      <xdr:col>13</xdr:col>
      <xdr:colOff>742950</xdr:colOff>
      <xdr:row>19</xdr:row>
      <xdr:rowOff>114301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F118FA-37B7-42C2-8B7B-3E3525993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123825</xdr:colOff>
      <xdr:row>8</xdr:row>
      <xdr:rowOff>176213</xdr:rowOff>
    </xdr:from>
    <xdr:to>
      <xdr:col>19</xdr:col>
      <xdr:colOff>638174</xdr:colOff>
      <xdr:row>19</xdr:row>
      <xdr:rowOff>114301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E29F93-49FB-4A9E-8005-7281F9CD5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123825</xdr:colOff>
      <xdr:row>8</xdr:row>
      <xdr:rowOff>176213</xdr:rowOff>
    </xdr:from>
    <xdr:to>
      <xdr:col>3</xdr:col>
      <xdr:colOff>638174</xdr:colOff>
      <xdr:row>19</xdr:row>
      <xdr:rowOff>114301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DC7189F-72EC-4686-B237-F93C32102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176213</xdr:rowOff>
    </xdr:from>
    <xdr:to>
      <xdr:col>7</xdr:col>
      <xdr:colOff>638174</xdr:colOff>
      <xdr:row>19</xdr:row>
      <xdr:rowOff>114301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F29202-4CA0-4E4B-9950-A61DED23F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123824</xdr:colOff>
      <xdr:row>8</xdr:row>
      <xdr:rowOff>176213</xdr:rowOff>
    </xdr:from>
    <xdr:to>
      <xdr:col>13</xdr:col>
      <xdr:colOff>742950</xdr:colOff>
      <xdr:row>19</xdr:row>
      <xdr:rowOff>114301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021A5B9-457C-4239-B660-6AE2A6ECC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123825</xdr:colOff>
      <xdr:row>8</xdr:row>
      <xdr:rowOff>176213</xdr:rowOff>
    </xdr:from>
    <xdr:to>
      <xdr:col>19</xdr:col>
      <xdr:colOff>638174</xdr:colOff>
      <xdr:row>19</xdr:row>
      <xdr:rowOff>114301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3618ABD-A4AE-4682-9E9D-B6FC2B965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123825</xdr:colOff>
      <xdr:row>8</xdr:row>
      <xdr:rowOff>176213</xdr:rowOff>
    </xdr:from>
    <xdr:to>
      <xdr:col>3</xdr:col>
      <xdr:colOff>638174</xdr:colOff>
      <xdr:row>19</xdr:row>
      <xdr:rowOff>114301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9299644-A1F6-43E5-9A85-9802C1333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678871</xdr:colOff>
      <xdr:row>3</xdr:row>
      <xdr:rowOff>59977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C4EADD-81AA-44CA-B67E-73C03AC09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0"/>
          <a:ext cx="650296" cy="63147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466725</xdr:colOff>
      <xdr:row>13</xdr:row>
      <xdr:rowOff>162463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89E171-0F9C-4B4F-BF60-CF32A8CC3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14725" cy="263896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11</xdr:col>
      <xdr:colOff>19050</xdr:colOff>
      <xdr:row>13</xdr:row>
      <xdr:rowOff>128833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5DE79D0-42E0-4F62-994E-7BDB6E7FF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0"/>
          <a:ext cx="3829050" cy="26053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11</xdr:col>
      <xdr:colOff>325025</xdr:colOff>
      <xdr:row>30</xdr:row>
      <xdr:rowOff>153219</xdr:rowOff>
    </xdr:to>
    <xdr:pic>
      <xdr:nvPicPr>
        <xdr:cNvPr id="15" name="Imagen 14" descr="Recorte de pantalla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63500"/>
          <a:ext cx="8421275" cy="5868219"/>
        </a:xfrm>
        <a:prstGeom prst="rect">
          <a:avLst/>
        </a:prstGeom>
      </xdr:spPr>
    </xdr:pic>
    <xdr:clientData/>
  </xdr:twoCellAnchor>
  <xdr:twoCellAnchor>
    <xdr:from>
      <xdr:col>3</xdr:col>
      <xdr:colOff>698500</xdr:colOff>
      <xdr:row>7</xdr:row>
      <xdr:rowOff>0</xdr:rowOff>
    </xdr:from>
    <xdr:to>
      <xdr:col>5</xdr:col>
      <xdr:colOff>142875</xdr:colOff>
      <xdr:row>11</xdr:row>
      <xdr:rowOff>47625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3746500" y="1524000"/>
          <a:ext cx="968375" cy="809625"/>
        </a:xfrm>
        <a:prstGeom prst="ellipse">
          <a:avLst/>
        </a:prstGeom>
        <a:noFill/>
        <a:ln w="38100">
          <a:solidFill>
            <a:srgbClr val="00B05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349250</xdr:colOff>
      <xdr:row>11</xdr:row>
      <xdr:rowOff>174625</xdr:rowOff>
    </xdr:from>
    <xdr:to>
      <xdr:col>6</xdr:col>
      <xdr:colOff>555625</xdr:colOff>
      <xdr:row>16</xdr:row>
      <xdr:rowOff>31750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4921250" y="2460625"/>
          <a:ext cx="968375" cy="809625"/>
        </a:xfrm>
        <a:prstGeom prst="ellipse">
          <a:avLst/>
        </a:prstGeom>
        <a:noFill/>
        <a:ln w="38100">
          <a:solidFill>
            <a:srgbClr val="00B05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666750</xdr:colOff>
      <xdr:row>19</xdr:row>
      <xdr:rowOff>31750</xdr:rowOff>
    </xdr:from>
    <xdr:to>
      <xdr:col>4</xdr:col>
      <xdr:colOff>111125</xdr:colOff>
      <xdr:row>23</xdr:row>
      <xdr:rowOff>79375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2952750" y="3841750"/>
          <a:ext cx="968375" cy="809625"/>
        </a:xfrm>
        <a:prstGeom prst="ellipse">
          <a:avLst/>
        </a:prstGeom>
        <a:noFill/>
        <a:ln w="38100">
          <a:solidFill>
            <a:srgbClr val="00B05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5</xdr:col>
      <xdr:colOff>47625</xdr:colOff>
      <xdr:row>16</xdr:row>
      <xdr:rowOff>47625</xdr:rowOff>
    </xdr:from>
    <xdr:to>
      <xdr:col>6</xdr:col>
      <xdr:colOff>254000</xdr:colOff>
      <xdr:row>20</xdr:row>
      <xdr:rowOff>95250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4619625" y="3286125"/>
          <a:ext cx="968375" cy="809625"/>
        </a:xfrm>
        <a:prstGeom prst="ellipse">
          <a:avLst/>
        </a:prstGeom>
        <a:noFill/>
        <a:ln w="38100">
          <a:solidFill>
            <a:srgbClr val="00B05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358775</xdr:colOff>
      <xdr:row>15</xdr:row>
      <xdr:rowOff>25400</xdr:rowOff>
    </xdr:from>
    <xdr:to>
      <xdr:col>4</xdr:col>
      <xdr:colOff>565150</xdr:colOff>
      <xdr:row>19</xdr:row>
      <xdr:rowOff>73025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406775" y="3073400"/>
          <a:ext cx="968375" cy="809625"/>
        </a:xfrm>
        <a:prstGeom prst="ellipse">
          <a:avLst/>
        </a:prstGeom>
        <a:noFill/>
        <a:ln w="38100">
          <a:solidFill>
            <a:srgbClr val="00B05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11</xdr:col>
      <xdr:colOff>444500</xdr:colOff>
      <xdr:row>0</xdr:row>
      <xdr:rowOff>0</xdr:rowOff>
    </xdr:from>
    <xdr:to>
      <xdr:col>22</xdr:col>
      <xdr:colOff>369094</xdr:colOff>
      <xdr:row>21</xdr:row>
      <xdr:rowOff>109078</xdr:rowOff>
    </xdr:to>
    <xdr:pic>
      <xdr:nvPicPr>
        <xdr:cNvPr id="14" name="Imagen 13" descr="Recorte de pantalla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6500" y="156104"/>
          <a:ext cx="8306594" cy="4109578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381000</xdr:colOff>
      <xdr:row>0</xdr:row>
      <xdr:rowOff>119062</xdr:rowOff>
    </xdr:from>
    <xdr:to>
      <xdr:col>34</xdr:col>
      <xdr:colOff>191750</xdr:colOff>
      <xdr:row>27</xdr:row>
      <xdr:rowOff>167412</xdr:rowOff>
    </xdr:to>
    <xdr:pic>
      <xdr:nvPicPr>
        <xdr:cNvPr id="16" name="Imagen 15" descr="Recorte de pantalla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0" y="309562"/>
          <a:ext cx="8954750" cy="5191850"/>
        </a:xfrm>
        <a:prstGeom prst="rect">
          <a:avLst/>
        </a:prstGeom>
      </xdr:spPr>
    </xdr:pic>
    <xdr:clientData/>
  </xdr:twoCellAnchor>
  <xdr:twoCellAnchor>
    <xdr:from>
      <xdr:col>27</xdr:col>
      <xdr:colOff>83344</xdr:colOff>
      <xdr:row>15</xdr:row>
      <xdr:rowOff>119062</xdr:rowOff>
    </xdr:from>
    <xdr:to>
      <xdr:col>28</xdr:col>
      <xdr:colOff>289719</xdr:colOff>
      <xdr:row>19</xdr:row>
      <xdr:rowOff>166687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20657344" y="3167062"/>
          <a:ext cx="968375" cy="809625"/>
        </a:xfrm>
        <a:prstGeom prst="ellipse">
          <a:avLst/>
        </a:prstGeom>
        <a:noFill/>
        <a:ln w="38100">
          <a:solidFill>
            <a:srgbClr val="00B05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521494</xdr:colOff>
      <xdr:row>19</xdr:row>
      <xdr:rowOff>80962</xdr:rowOff>
    </xdr:from>
    <xdr:to>
      <xdr:col>24</xdr:col>
      <xdr:colOff>727869</xdr:colOff>
      <xdr:row>23</xdr:row>
      <xdr:rowOff>128587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18047494" y="3890962"/>
          <a:ext cx="968375" cy="809625"/>
        </a:xfrm>
        <a:prstGeom prst="ellipse">
          <a:avLst/>
        </a:prstGeom>
        <a:noFill/>
        <a:ln w="38100">
          <a:solidFill>
            <a:srgbClr val="00B05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30</xdr:col>
      <xdr:colOff>535781</xdr:colOff>
      <xdr:row>9</xdr:row>
      <xdr:rowOff>130969</xdr:rowOff>
    </xdr:from>
    <xdr:to>
      <xdr:col>31</xdr:col>
      <xdr:colOff>742156</xdr:colOff>
      <xdr:row>13</xdr:row>
      <xdr:rowOff>178594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23395781" y="2035969"/>
          <a:ext cx="968375" cy="809625"/>
        </a:xfrm>
        <a:prstGeom prst="ellipse">
          <a:avLst/>
        </a:prstGeom>
        <a:noFill/>
        <a:ln w="38100">
          <a:solidFill>
            <a:srgbClr val="00B05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Escritorio/Diagnostico%20Mi%20Pyme%20y%20Competencia/Tecnologia%20de%20Contabilidad%20y%20Finanzas/CONTABILIDAD/Nomina/nomina%20edwin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1/Desktop/plantillas/Projec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ller"/>
      <sheetName val="Empleados"/>
      <sheetName val="HorasExtras"/>
      <sheetName val="Nomina Diciembre"/>
      <sheetName val="PUC NOMINA"/>
      <sheetName val="Contabilizacion"/>
    </sheetNames>
    <sheetDataSet>
      <sheetData sheetId="0" refreshError="1"/>
      <sheetData sheetId="1">
        <row r="6">
          <cell r="A6" t="str">
            <v xml:space="preserve">Gerente </v>
          </cell>
          <cell r="B6">
            <v>1984846755</v>
          </cell>
          <cell r="C6">
            <v>13000000</v>
          </cell>
          <cell r="D6">
            <v>10</v>
          </cell>
          <cell r="E6">
            <v>0.05</v>
          </cell>
          <cell r="F6">
            <v>1600000</v>
          </cell>
        </row>
        <row r="7">
          <cell r="A7" t="str">
            <v>Contador</v>
          </cell>
          <cell r="B7">
            <v>1030595170</v>
          </cell>
          <cell r="C7">
            <v>6695000</v>
          </cell>
          <cell r="D7">
            <v>11</v>
          </cell>
          <cell r="F7">
            <v>250000</v>
          </cell>
        </row>
        <row r="8">
          <cell r="A8" t="str">
            <v xml:space="preserve">Axiliar contable </v>
          </cell>
          <cell r="B8" t="str">
            <v>505050d505</v>
          </cell>
          <cell r="C8">
            <v>1000000</v>
          </cell>
          <cell r="D8">
            <v>12</v>
          </cell>
          <cell r="H8">
            <v>500000</v>
          </cell>
        </row>
        <row r="9">
          <cell r="A9" t="str">
            <v>Secretaria</v>
          </cell>
          <cell r="B9">
            <v>867494933</v>
          </cell>
          <cell r="C9">
            <v>780000</v>
          </cell>
          <cell r="D9">
            <v>13</v>
          </cell>
        </row>
        <row r="10">
          <cell r="A10" t="str">
            <v>Jefe de ventas</v>
          </cell>
          <cell r="B10">
            <v>919494949</v>
          </cell>
          <cell r="C10">
            <v>200000</v>
          </cell>
          <cell r="D10">
            <v>14</v>
          </cell>
        </row>
        <row r="11">
          <cell r="A11" t="str">
            <v>Celador Nocturno</v>
          </cell>
          <cell r="B11">
            <v>121024121</v>
          </cell>
          <cell r="C11">
            <v>515000</v>
          </cell>
          <cell r="D11">
            <v>10</v>
          </cell>
        </row>
        <row r="12">
          <cell r="A12" t="str">
            <v>Celador Diurno</v>
          </cell>
          <cell r="B12">
            <v>959595953</v>
          </cell>
          <cell r="C12">
            <v>515000</v>
          </cell>
          <cell r="D12">
            <v>11</v>
          </cell>
        </row>
        <row r="13">
          <cell r="A13" t="str">
            <v>vendedor 1</v>
          </cell>
          <cell r="B13">
            <v>295959595</v>
          </cell>
          <cell r="C13">
            <v>200000</v>
          </cell>
          <cell r="D13">
            <v>12</v>
          </cell>
        </row>
        <row r="14">
          <cell r="A14" t="str">
            <v>vendedor 2</v>
          </cell>
          <cell r="B14" t="str">
            <v>505e05050</v>
          </cell>
          <cell r="C14">
            <v>200000</v>
          </cell>
          <cell r="D14">
            <v>13</v>
          </cell>
        </row>
        <row r="15">
          <cell r="A15" t="str">
            <v>vendedor 3</v>
          </cell>
          <cell r="B15">
            <v>767685844</v>
          </cell>
          <cell r="C15">
            <v>200000</v>
          </cell>
          <cell r="D15">
            <v>14</v>
          </cell>
          <cell r="E15">
            <v>0.1</v>
          </cell>
        </row>
        <row r="16">
          <cell r="A16" t="str">
            <v>vendedor 4</v>
          </cell>
          <cell r="B16">
            <v>2859485945</v>
          </cell>
          <cell r="C16">
            <v>200000</v>
          </cell>
          <cell r="D16">
            <v>10</v>
          </cell>
        </row>
        <row r="17">
          <cell r="A17" t="str">
            <v>vendedor 5</v>
          </cell>
          <cell r="B17">
            <v>9504944504</v>
          </cell>
          <cell r="C17">
            <v>200000</v>
          </cell>
          <cell r="D17">
            <v>11</v>
          </cell>
        </row>
      </sheetData>
      <sheetData sheetId="2">
        <row r="13">
          <cell r="A13" t="str">
            <v xml:space="preserve">Gerente </v>
          </cell>
          <cell r="B13">
            <v>10</v>
          </cell>
          <cell r="C13">
            <v>13000000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Contador</v>
          </cell>
          <cell r="B14">
            <v>11</v>
          </cell>
          <cell r="C14">
            <v>6695000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 xml:space="preserve">Axiliar contable </v>
          </cell>
          <cell r="B15">
            <v>12</v>
          </cell>
          <cell r="C15">
            <v>1000000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Secretaria</v>
          </cell>
          <cell r="B16">
            <v>13</v>
          </cell>
          <cell r="C16">
            <v>780000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Jefe de ventas</v>
          </cell>
          <cell r="B17">
            <v>14</v>
          </cell>
          <cell r="C17">
            <v>200000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Celador Nocturno</v>
          </cell>
          <cell r="B18">
            <v>10</v>
          </cell>
          <cell r="C18">
            <v>515000</v>
          </cell>
          <cell r="D18">
            <v>240</v>
          </cell>
          <cell r="E18">
            <v>180250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180250</v>
          </cell>
        </row>
        <row r="19">
          <cell r="A19" t="str">
            <v>Celador Diurno</v>
          </cell>
          <cell r="B19">
            <v>11</v>
          </cell>
          <cell r="C19">
            <v>515000</v>
          </cell>
          <cell r="D19">
            <v>0</v>
          </cell>
          <cell r="E19">
            <v>0</v>
          </cell>
          <cell r="F19">
            <v>20</v>
          </cell>
          <cell r="G19">
            <v>53645.833333333343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53645.833333333343</v>
          </cell>
        </row>
        <row r="20">
          <cell r="A20" t="str">
            <v>vendedor 1</v>
          </cell>
          <cell r="B20">
            <v>12</v>
          </cell>
          <cell r="C20">
            <v>200000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vendedor 2</v>
          </cell>
          <cell r="B21">
            <v>13</v>
          </cell>
          <cell r="C21">
            <v>200000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vendedor 3</v>
          </cell>
          <cell r="B22">
            <v>14</v>
          </cell>
          <cell r="C22">
            <v>200000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vendedor 4</v>
          </cell>
          <cell r="B23">
            <v>10</v>
          </cell>
          <cell r="C23">
            <v>200000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vendedor 5</v>
          </cell>
          <cell r="B24">
            <v>11</v>
          </cell>
          <cell r="C24">
            <v>200000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ada datos"/>
      <sheetName val="Tablas"/>
      <sheetName val="MAQUINARIAS Y EQUIPOS"/>
      <sheetName val="MANTENIMIENTO DE M Y EQUIPOS"/>
      <sheetName val="TERRENOS Y OBRAS FISICAS"/>
      <sheetName val="MANTENIMIENTO DE OBRAS FISICAS"/>
      <sheetName val="Informe de ventas"/>
      <sheetName val="Previsión de ve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D3" t="e">
            <v>#VALUE!</v>
          </cell>
        </row>
      </sheetData>
    </sheetDataSet>
  </externalBook>
</externalLink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3800.940234490743" backgroundQuery="1" createdVersion="5" refreshedVersion="5" minRefreshableVersion="3" recordCount="0" supportSubquery="1" supportAdvancedDrill="1" xr:uid="{00000000-000A-0000-FFFF-FFFF09000000}">
  <cacheSource type="external" connectionId="1"/>
  <cacheFields count="4">
    <cacheField name="[Ventas].[FECHA].[FECHA]" caption="FECHA" numFmtId="0" hierarchy="1" level="1">
      <sharedItems containsSemiMixedTypes="0" containsNonDate="0" containsDate="1" containsString="0" minDate="2019-09-23T00:00:00" maxDate="2019-09-30T00:00:00" count="7">
        <d v="2019-09-23T00:00:00"/>
        <d v="2019-09-24T00:00:00"/>
        <d v="2019-09-25T00:00:00"/>
        <d v="2019-09-26T00:00:00"/>
        <d v="2019-09-27T00:00:00"/>
        <d v="2019-09-28T00:00:00"/>
        <d v="2019-09-29T00:00:00"/>
      </sharedItems>
    </cacheField>
    <cacheField name="[Ventas].[Dia semanal].[Dia semanal]" caption="Dia semanal" numFmtId="0" hierarchy="3" level="1">
      <sharedItems count="7">
        <s v="domingo"/>
        <s v="jueves"/>
        <s v="lunes"/>
        <s v="martes"/>
        <s v="miércoles"/>
        <s v="sábado"/>
        <s v="viernes"/>
      </sharedItems>
    </cacheField>
    <cacheField name="[Measures].[Suma de Ventas]" caption="Suma de Ventas" numFmtId="0" hierarchy="15" level="32767"/>
    <cacheField name="[Ventas].[Producto].[Producto]" caption="Producto" numFmtId="0" hierarchy="8" level="1">
      <sharedItems count="53">
        <s v="1/2 Sopa"/>
        <s v="Agua"/>
        <s v="Aguila"/>
        <s v="Andina"/>
        <s v="Arroz chino estandar"/>
        <s v="Arroz chino premium"/>
        <s v="Bagre"/>
        <s v="Bandeja"/>
        <s v="Caderita"/>
        <s v="Canasta de picada mixta"/>
        <s v="Canasta de picada mixta + Carne Parrila"/>
        <s v="Canasta de picada mixta + Carne Parrila + 1/4 de Gallina"/>
        <s v="Carne llanera"/>
        <s v="Carne Mixta"/>
        <s v="Carnes llaneras"/>
        <s v="Cerbeza"/>
        <s v="Club Dorada"/>
        <s v="Coca cola"/>
        <s v="Coca cola litro y medio"/>
        <s v="Combo Hamburguesa"/>
        <s v="Costilla"/>
        <s v="Ejecutivo"/>
        <s v="Gallina pequeña"/>
        <s v="Gaseosa"/>
        <s v="Gaseosa 350"/>
        <s v="Gaseosa 350 Coca Cola"/>
        <s v="Gaseosa litro y medio"/>
        <s v="Gaseosa litro y medio Coca Cola"/>
        <s v="gasoesa 350"/>
        <s v="Gasoesa 350 Coca cola"/>
        <s v="hamburguesa"/>
        <s v="Huevos con arroz"/>
        <s v="Jarra de limonada"/>
        <s v="Jugo en agua"/>
        <s v="Jugo en leche"/>
        <s v="Jugo Hit"/>
        <s v="Jugo Natural"/>
        <s v="Limonada"/>
        <s v="Media carne"/>
        <s v="Medias carnes"/>
        <s v="Parrilla 4 carnes"/>
        <s v="Pérdida"/>
        <s v="Picada"/>
        <s v="Picada con Refajo"/>
        <s v="Pierna pefil"/>
        <s v="Porción de longaniza"/>
        <s v="Porción de papa"/>
        <s v="Porción de rellena"/>
        <s v="Sobrebarriga"/>
        <s v="Sopa"/>
        <s v="Sopa especial"/>
        <s v="Tè"/>
        <s v="Tinto"/>
      </sharedItems>
    </cacheField>
  </cacheFields>
  <cacheHierarchies count="21">
    <cacheHierarchy uniqueName="[Ventas].[Politica implantada]" caption="Politica implantada" attribute="1" defaultMemberUniqueName="[Ventas].[Politica implantada].[All]" allUniqueName="[Ventas].[Politica implantada].[All]" dimensionUniqueName="[Ventas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2" memberValueDatatype="7" unbalanced="0">
      <fieldsUsage count="2">
        <fieldUsage x="-1"/>
        <fieldUsage x="0"/>
      </fieldsUsage>
    </cacheHierarchy>
    <cacheHierarchy uniqueName="[Ventas].[Dia]" caption="Dia" attribute="1" defaultMemberUniqueName="[Ventas].[Dia].[All]" allUniqueName="[Ventas].[Dia].[All]" dimensionUniqueName="[Ventas]" displayFolder="" count="0" memberValueDatatype="20" unbalanced="0"/>
    <cacheHierarchy uniqueName="[Ventas].[Dia semanal]" caption="Dia semanal" attribute="1" defaultMemberUniqueName="[Ventas].[Dia semanal].[All]" allUniqueName="[Ventas].[Dia semanal].[All]" dimensionUniqueName="[Ventas]" displayFolder="" count="2" memberValueDatatype="130" unbalanced="0">
      <fieldsUsage count="2">
        <fieldUsage x="-1"/>
        <fieldUsage x="1"/>
      </fieldsUsage>
    </cacheHierarchy>
    <cacheHierarchy uniqueName="[Ventas].[Tipo Dìa]" caption="Tipo Dìa" attribute="1" defaultMemberUniqueName="[Ventas].[Tipo Dìa].[All]" allUniqueName="[Ventas].[Tipo Dìa].[All]" dimensionUniqueName="[Ventas]" displayFolder="" count="0" memberValueDatatype="130" unbalanced="0"/>
    <cacheHierarchy uniqueName="[Ventas].[No. de semana]" caption="No. de semana" attribute="1" defaultMemberUniqueName="[Ventas].[No. de semana].[All]" allUniqueName="[Ventas].[No. de semana].[All]" dimensionUniqueName="[Ventas]" displayFolder="" count="0" memberValueDatatype="20" unbalanced="0"/>
    <cacheHierarchy uniqueName="[Ventas].[Vendedor]" caption="Vendedor" attribute="1" defaultMemberUniqueName="[Ventas].[Vendedor].[All]" allUniqueName="[Ventas].[Vendedor].[All]" dimensionUniqueName="[Ventas]" displayFolder="" count="0" memberValueDatatype="130" unbalanced="0"/>
    <cacheHierarchy uniqueName="[Ventas].[Id. Client por dìa]" caption="Id. Client por dìa" attribute="1" defaultMemberUniqueName="[Ventas].[Id. Client por dìa].[All]" allUniqueName="[Ventas].[Id. Client por dìa].[All]" dimensionUniqueName="[Ventas]" displayFolder="" count="0" memberValueDatatype="130" unbalanced="0"/>
    <cacheHierarchy uniqueName="[Ventas].[Producto]" caption="Producto" attribute="1" defaultMemberUniqueName="[Ventas].[Producto].[All]" allUniqueName="[Ventas].[Producto].[All]" dimensionUniqueName="[Ventas]" displayFolder="" count="2" memberValueDatatype="130" unbalanced="0">
      <fieldsUsage count="2">
        <fieldUsage x="-1"/>
        <fieldUsage x="3"/>
      </fieldsUsage>
    </cacheHierarchy>
    <cacheHierarchy uniqueName="[Ventas].[Q]" caption="Q" attribute="1" defaultMemberUniqueName="[Ventas].[Q].[All]" allUniqueName="[Ventas].[Q].[All]" dimensionUniqueName="[Ventas]" displayFolder="" count="0" memberValueDatatype="20" unbalanced="0"/>
    <cacheHierarchy uniqueName="[Ventas].[Precio item]" caption="Precio item" attribute="1" defaultMemberUniqueName="[Ventas].[Precio item].[All]" allUniqueName="[Ventas].[Precio item].[All]" dimensionUniqueName="[Ventas]" displayFolder="" count="0" memberValueDatatype="20" unbalanced="0"/>
    <cacheHierarchy uniqueName="[Ventas].[Ventas]" caption="Ventas" attribute="1" defaultMemberUniqueName="[Ventas].[Ventas].[All]" allUniqueName="[Ventas].[Ventas].[All]" dimensionUniqueName="[Ventas]" displayFolder="" count="0" memberValueDatatype="20" unbalanced="0"/>
    <cacheHierarchy uniqueName="[Ventas].[Detalle]" caption="Detalle" attribute="1" defaultMemberUniqueName="[Ventas].[Detalle].[All]" allUniqueName="[Ventas].[Detalle].[All]" dimensionUniqueName="[Ventas]" displayFolder="" count="0" memberValueDatatype="130" unbalanced="0"/>
    <cacheHierarchy uniqueName="[Ventas].[Gastos]" caption="Gastos" attribute="1" defaultMemberUniqueName="[Ventas].[Gastos].[All]" allUniqueName="[Ventas].[Gastos].[All]" dimensionUniqueName="[Ventas]" displayFolder="" count="0" memberValueDatatype="130" unbalanced="0"/>
    <cacheHierarchy uniqueName="[Ventas].[Hay soportes]" caption="Hay soportes" attribute="1" defaultMemberUniqueName="[Ventas].[Hay soportes].[All]" allUniqueName="[Ventas].[Hay soportes].[All]" dimensionUniqueName="[Ventas]" displayFolder="" count="0" memberValueDatatype="130" unbalanced="0"/>
    <cacheHierarchy uniqueName="[Measures].[Suma de Ventas]" caption="Suma de Ventas" measure="1" displayFolder="" measureGroup="Vent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a]" caption="Suma de Dia" measure="1" displayFolder="" measureGroup="Venta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Dia]" caption="Recuento distinto de Dia" measure="1" displayFolder="" measureGroup="Venta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Id Client por dìa]" caption="Recuento distinto de Id Client por dìa" measure="1" displayFolder="" measureGroup="Ventas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__XL_Count Ventas]" caption="__XL_Count Ventas" measure="1" displayFolder="" measureGroup="Ventas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Ventas" uniqueName="[Ventas]" caption="Ventas"/>
  </dimensions>
  <measureGroups count="1">
    <measureGroup name="Ventas" caption="Vent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" refreshedDate="43800.940236805553" backgroundQuery="1" createdVersion="5" refreshedVersion="5" minRefreshableVersion="3" recordCount="0" supportSubquery="1" supportAdvancedDrill="1" xr:uid="{00000000-000A-0000-FFFF-FFFF0A000000}">
  <cacheSource type="external" connectionId="1"/>
  <cacheFields count="5">
    <cacheField name="[Ventas].[FECHA].[FECHA]" caption="FECHA" numFmtId="0" hierarchy="1" level="1">
      <sharedItems containsSemiMixedTypes="0" containsNonDate="0" containsString="0"/>
    </cacheField>
    <cacheField name="[Ventas].[Dia semanal].[Dia semanal]" caption="Dia semanal" numFmtId="0" hierarchy="3" level="1">
      <sharedItems count="7">
        <s v="domingo"/>
        <s v="jueves"/>
        <s v="lunes"/>
        <s v="martes"/>
        <s v="miércoles"/>
        <s v="sábado"/>
        <s v="viernes"/>
      </sharedItems>
    </cacheField>
    <cacheField name="[Measures].[Suma de Ventas]" caption="Suma de Ventas" numFmtId="0" hierarchy="15" level="32767"/>
    <cacheField name="[Ventas].[Producto].[Producto]" caption="Producto" numFmtId="0" hierarchy="8" level="1">
      <sharedItems containsBlank="1" count="76">
        <m/>
        <s v="1/2 Pollo"/>
        <s v="Aguila"/>
        <s v="Ajiaco"/>
        <s v="Andina"/>
        <s v="Arroz chino"/>
        <s v="Arroz chino estandar"/>
        <s v="Arroz chino premium"/>
        <s v="Botella de Agua"/>
        <s v="Canasta de picada mixta"/>
        <s v="Canasta de picada mixta + Carne Parrila"/>
        <s v="Canasta de picada mixta + Carne Parrila + 1/4 de Gallina"/>
        <s v="Carne llanera"/>
        <s v="Carne Mixta"/>
        <s v="Carnes llaneras"/>
        <s v="Club Dorada"/>
        <s v="Cola y Pola"/>
        <s v="Combo Hamburguesa"/>
        <s v="Corona"/>
        <s v="Costilla"/>
        <s v="Costilla BBQ"/>
        <s v="Desayuno"/>
        <s v="Ejecutivo"/>
        <s v="Gallina pequeña"/>
        <s v="Gaseosa 350"/>
        <s v="Gaseosa 350 Coca Cola"/>
        <s v="Gaseosa litro"/>
        <s v="Gaseosa litro y medio"/>
        <s v="Gaseosa litro y medio Coca Cola"/>
        <s v="hamburguesa"/>
        <s v="Jarra de limonada"/>
        <s v="Jugo en agua"/>
        <s v="Jugo en leche"/>
        <s v="Jugo Hit"/>
        <s v="Jugo Natural"/>
        <s v="Light"/>
        <s v="Lomo de Cerdo"/>
        <s v="Mamona"/>
        <s v="Mojarra"/>
        <s v="Parrilla 4 carnes"/>
        <s v="Pechuga"/>
        <s v="Pérdida"/>
        <s v="Picada"/>
        <s v="Poker"/>
        <s v="Pony Malta"/>
        <s v="Porción de papa"/>
        <s v="Porción de rellena"/>
        <s v="Refajo"/>
        <s v="Sobrebarriga"/>
        <s v="Sopa"/>
        <s v="Tinto"/>
        <s v="Cerbeza"/>
        <s v="Gaseosa"/>
        <s v="Media carne"/>
        <s v="Picada con Refajo"/>
        <s v="Caderita"/>
        <s v="Limonada"/>
        <s v="Porción de arroz"/>
        <s v="Porción de yuca"/>
        <s v="Tè"/>
        <s v="Agua"/>
        <s v="Medias carnes"/>
        <s v="Sopa especial"/>
        <s v="Bagre"/>
        <s v="Gaseosa grande"/>
        <s v="Huevos con arroz"/>
        <s v="1/2 Sopa"/>
        <s v="Bandeja"/>
        <s v="Coca cola"/>
        <s v="Coca cola litro y medio"/>
        <s v="gasoesa 350"/>
        <s v="Gasoesa 350 Coca cola"/>
        <s v="Pierna pefil"/>
        <s v="Porción de longaniza"/>
        <s v="cuenta por pagar"/>
        <s v="Porción de maduro"/>
      </sharedItems>
    </cacheField>
    <cacheField name="[Measures].[Recuento distinto de Id Client por dìa]" caption="Recuento distinto de Id Client por dìa" numFmtId="0" hierarchy="18" level="32767"/>
  </cacheFields>
  <cacheHierarchies count="21">
    <cacheHierarchy uniqueName="[Ventas].[Politica implantada]" caption="Politica implantada" attribute="1" defaultMemberUniqueName="[Ventas].[Politica implantada].[All]" allUniqueName="[Ventas].[Politica implantada].[All]" dimensionUniqueName="[Ventas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2" memberValueDatatype="7" unbalanced="0">
      <fieldsUsage count="2">
        <fieldUsage x="-1"/>
        <fieldUsage x="0"/>
      </fieldsUsage>
    </cacheHierarchy>
    <cacheHierarchy uniqueName="[Ventas].[Dia]" caption="Dia" attribute="1" defaultMemberUniqueName="[Ventas].[Dia].[All]" allUniqueName="[Ventas].[Dia].[All]" dimensionUniqueName="[Ventas]" displayFolder="" count="0" memberValueDatatype="20" unbalanced="0"/>
    <cacheHierarchy uniqueName="[Ventas].[Dia semanal]" caption="Dia semanal" attribute="1" defaultMemberUniqueName="[Ventas].[Dia semanal].[All]" allUniqueName="[Ventas].[Dia semanal].[All]" dimensionUniqueName="[Ventas]" displayFolder="" count="2" memberValueDatatype="130" unbalanced="0">
      <fieldsUsage count="2">
        <fieldUsage x="-1"/>
        <fieldUsage x="1"/>
      </fieldsUsage>
    </cacheHierarchy>
    <cacheHierarchy uniqueName="[Ventas].[Tipo Dìa]" caption="Tipo Dìa" attribute="1" defaultMemberUniqueName="[Ventas].[Tipo Dìa].[All]" allUniqueName="[Ventas].[Tipo Dìa].[All]" dimensionUniqueName="[Ventas]" displayFolder="" count="0" memberValueDatatype="130" unbalanced="0"/>
    <cacheHierarchy uniqueName="[Ventas].[No. de semana]" caption="No. de semana" attribute="1" defaultMemberUniqueName="[Ventas].[No. de semana].[All]" allUniqueName="[Ventas].[No. de semana].[All]" dimensionUniqueName="[Ventas]" displayFolder="" count="0" memberValueDatatype="20" unbalanced="0"/>
    <cacheHierarchy uniqueName="[Ventas].[Vendedor]" caption="Vendedor" attribute="1" defaultMemberUniqueName="[Ventas].[Vendedor].[All]" allUniqueName="[Ventas].[Vendedor].[All]" dimensionUniqueName="[Ventas]" displayFolder="" count="0" memberValueDatatype="130" unbalanced="0"/>
    <cacheHierarchy uniqueName="[Ventas].[Id. Client por dìa]" caption="Id. Client por dìa" attribute="1" defaultMemberUniqueName="[Ventas].[Id. Client por dìa].[All]" allUniqueName="[Ventas].[Id. Client por dìa].[All]" dimensionUniqueName="[Ventas]" displayFolder="" count="0" memberValueDatatype="130" unbalanced="0"/>
    <cacheHierarchy uniqueName="[Ventas].[Producto]" caption="Producto" attribute="1" defaultMemberUniqueName="[Ventas].[Producto].[All]" allUniqueName="[Ventas].[Producto].[All]" dimensionUniqueName="[Ventas]" displayFolder="" count="2" memberValueDatatype="130" unbalanced="0">
      <fieldsUsage count="2">
        <fieldUsage x="-1"/>
        <fieldUsage x="3"/>
      </fieldsUsage>
    </cacheHierarchy>
    <cacheHierarchy uniqueName="[Ventas].[Q]" caption="Q" attribute="1" defaultMemberUniqueName="[Ventas].[Q].[All]" allUniqueName="[Ventas].[Q].[All]" dimensionUniqueName="[Ventas]" displayFolder="" count="0" memberValueDatatype="20" unbalanced="0"/>
    <cacheHierarchy uniqueName="[Ventas].[Precio item]" caption="Precio item" attribute="1" defaultMemberUniqueName="[Ventas].[Precio item].[All]" allUniqueName="[Ventas].[Precio item].[All]" dimensionUniqueName="[Ventas]" displayFolder="" count="0" memberValueDatatype="20" unbalanced="0"/>
    <cacheHierarchy uniqueName="[Ventas].[Ventas]" caption="Ventas" attribute="1" defaultMemberUniqueName="[Ventas].[Ventas].[All]" allUniqueName="[Ventas].[Ventas].[All]" dimensionUniqueName="[Ventas]" displayFolder="" count="0" memberValueDatatype="20" unbalanced="0"/>
    <cacheHierarchy uniqueName="[Ventas].[Detalle]" caption="Detalle" attribute="1" defaultMemberUniqueName="[Ventas].[Detalle].[All]" allUniqueName="[Ventas].[Detalle].[All]" dimensionUniqueName="[Ventas]" displayFolder="" count="0" memberValueDatatype="130" unbalanced="0"/>
    <cacheHierarchy uniqueName="[Ventas].[Gastos]" caption="Gastos" attribute="1" defaultMemberUniqueName="[Ventas].[Gastos].[All]" allUniqueName="[Ventas].[Gastos].[All]" dimensionUniqueName="[Ventas]" displayFolder="" count="0" memberValueDatatype="130" unbalanced="0"/>
    <cacheHierarchy uniqueName="[Ventas].[Hay soportes]" caption="Hay soportes" attribute="1" defaultMemberUniqueName="[Ventas].[Hay soportes].[All]" allUniqueName="[Ventas].[Hay soportes].[All]" dimensionUniqueName="[Ventas]" displayFolder="" count="0" memberValueDatatype="130" unbalanced="0"/>
    <cacheHierarchy uniqueName="[Measures].[Suma de Ventas]" caption="Suma de Ventas" measure="1" displayFolder="" measureGroup="Vent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a de Dia]" caption="Suma de Dia" measure="1" displayFolder="" measureGroup="Venta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Dia]" caption="Recuento distinto de Dia" measure="1" displayFolder="" measureGroup="Venta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istinto de Id Client por dìa]" caption="Recuento distinto de Id Client por dìa" measure="1" displayFolder="" measureGroup="Venta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__XL_Count Ventas]" caption="__XL_Count Ventas" measure="1" displayFolder="" measureGroup="Ventas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Ventas" uniqueName="[Ventas]" caption="Ventas"/>
  </dimensions>
  <measureGroups count="1">
    <measureGroup name="Ventas" caption="Vent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66.510461111109" createdVersion="5" refreshedVersion="8" minRefreshableVersion="3" recordCount="603" xr:uid="{00000000-000A-0000-FFFF-FFFF0B000000}">
  <cacheSource type="worksheet">
    <worksheetSource name="Ventas"/>
  </cacheSource>
  <cacheFields count="15">
    <cacheField name="Politica implantada" numFmtId="0">
      <sharedItems containsBlank="1"/>
    </cacheField>
    <cacheField name="FECHA" numFmtId="14">
      <sharedItems containsSemiMixedTypes="0" containsNonDate="0" containsDate="1" containsString="0" minDate="2019-09-22T00:00:00" maxDate="2020-01-01T00:00:00" count="101"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</sharedItems>
      <fieldGroup base="1">
        <rangePr groupBy="months" startDate="2019-09-22T00:00:00" endDate="2020-01-01T00:00:00"/>
        <groupItems count="14">
          <s v="&lt;22/09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1/2020"/>
        </groupItems>
      </fieldGroup>
    </cacheField>
    <cacheField name="Dia" numFmtId="167">
      <sharedItems containsSemiMixedTypes="0" containsString="0" containsNumber="1" containsInteger="1" minValue="0" maxValue="31" count="32">
        <n v="22"/>
        <n v="23"/>
        <n v="24"/>
        <n v="25"/>
        <n v="26"/>
        <n v="27"/>
        <n v="28"/>
        <n v="29"/>
        <n v="3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31"/>
        <n v="0" u="1"/>
      </sharedItems>
    </cacheField>
    <cacheField name="Dia semanal" numFmtId="14">
      <sharedItems containsBlank="1" count="8">
        <s v="domingo"/>
        <s v="lunes"/>
        <s v="martes"/>
        <s v="miércoles"/>
        <s v="jueves"/>
        <s v="viernes"/>
        <s v="sábado"/>
        <m u="1"/>
      </sharedItems>
    </cacheField>
    <cacheField name="Tipo Dìa" numFmtId="14">
      <sharedItems count="2">
        <s v="Fds y Festivo"/>
        <s v="Día hábil"/>
      </sharedItems>
    </cacheField>
    <cacheField name="No. de semana" numFmtId="0">
      <sharedItems containsSemiMixedTypes="0" containsDate="1" containsString="0" containsMixedTypes="1" minDate="1899-12-31T00:00:00" maxDate="1900-01-12T00:00:00" count="18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d v="1900-01-11T00:00:00" u="1"/>
        <d v="1900-01-09T00:00:00" u="1"/>
      </sharedItems>
    </cacheField>
    <cacheField name="Vendedor" numFmtId="14">
      <sharedItems containsBlank="1"/>
    </cacheField>
    <cacheField name="Id. Client por dìa" numFmtId="0">
      <sharedItems containsBlank="1" containsMixedTypes="1" containsNumber="1" containsInteger="1" minValue="1" maxValue="36" count="38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s v=" "/>
        <n v="30"/>
        <n v="31"/>
        <n v="32"/>
        <n v="33"/>
        <n v="34"/>
        <n v="35"/>
        <n v="36"/>
      </sharedItems>
    </cacheField>
    <cacheField name="Producto" numFmtId="0">
      <sharedItems containsBlank="1" count="78">
        <m/>
        <s v="Ejecutivo"/>
        <s v="Tè"/>
        <s v="Jugo Hit"/>
        <s v="Sopa"/>
        <s v="Gaseosa 350"/>
        <s v="Caderita"/>
        <s v="Medias carnes"/>
        <s v="Carne llanera"/>
        <s v="Gaseosa litro y medio"/>
        <s v="Cerbeza"/>
        <s v="Media carne"/>
        <s v="Agua"/>
        <s v="Sopa especial"/>
        <s v="Picada"/>
        <s v="Bagre"/>
        <s v="Jugo Natural"/>
        <s v="Gaseosa"/>
        <s v="Huevos con arroz"/>
        <s v="Picada con Refajo"/>
        <s v="Combo Hamburguesa"/>
        <s v="Gaseosa 350 Coca Cola"/>
        <s v="Andina"/>
        <s v="hamburguesa"/>
        <s v="Arroz chino estandar"/>
        <s v="Gasoesa 350 Coca cola"/>
        <s v="Tinto"/>
        <s v="gasoesa 350"/>
        <s v="Arroz chino premium"/>
        <s v="Sobrebarriga"/>
        <s v="Aguila"/>
        <s v="Pérdida"/>
        <s v="Coca cola litro y medio"/>
        <s v="Coca cola"/>
        <s v="Jarra de limonada"/>
        <s v="Limonada"/>
        <s v="1/2 Sopa"/>
        <s v="Porción de longaniza"/>
        <s v="Pierna pefil"/>
        <s v="Club Dorada"/>
        <s v="Bandeja"/>
        <s v="Carne Mixta"/>
        <s v="Jugo en agua"/>
        <s v="Porción de rellena"/>
        <s v="Canasta de picada mixta"/>
        <s v="Canasta de picada mixta + Carne Parrila"/>
        <s v="Parrilla 4 carnes"/>
        <s v="Porción de papa"/>
        <s v="Canasta de picada mixta + Carne Parrila + 1/4 de Gallina"/>
        <s v="Costilla"/>
        <s v="Carnes llaneras"/>
        <s v="Jugo en leche"/>
        <s v="Gallina pequeña"/>
        <s v="Gaseosa litro y medio Coca Cola"/>
        <s v="Refajo"/>
        <s v="Cola y Pola"/>
        <s v="Ajiaco"/>
        <s v="Botella de Agua"/>
        <s v="Costilla BBQ"/>
        <s v="Lomo de Cerdo"/>
        <s v="Porción de arroz"/>
        <s v="Porción de yuca"/>
        <s v="Jugo hit "/>
        <s v="Mojarra"/>
        <s v="Gaseosa grande"/>
        <s v="Pony Malta"/>
        <s v="Porción de maduro"/>
        <s v="cuenta por pagar"/>
        <s v="Poker"/>
        <s v="Mamona"/>
        <s v="Corona"/>
        <s v="Pechuga"/>
        <s v="Desayuno"/>
        <s v="Light"/>
        <s v="Gaseosa litro "/>
        <s v="Arroz chino"/>
        <s v="1/2 Pollo"/>
        <s v="Tintos" u="1"/>
      </sharedItems>
    </cacheField>
    <cacheField name="Q" numFmtId="0">
      <sharedItems containsString="0" containsBlank="1" containsNumber="1" containsInteger="1" minValue="1" maxValue="11"/>
    </cacheField>
    <cacheField name="Precio item" numFmtId="166">
      <sharedItems containsString="0" containsBlank="1" containsNumber="1" containsInteger="1" minValue="-7000" maxValue="120000"/>
    </cacheField>
    <cacheField name="Ventas" numFmtId="166">
      <sharedItems containsSemiMixedTypes="0" containsString="0" containsNumber="1" containsInteger="1" minValue="-7000" maxValue="1700000"/>
    </cacheField>
    <cacheField name="Detalle" numFmtId="166">
      <sharedItems containsBlank="1"/>
    </cacheField>
    <cacheField name="Gastos" numFmtId="166">
      <sharedItems containsBlank="1"/>
    </cacheField>
    <cacheField name="Hay soportes" numFmtId="166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3">
  <r>
    <s v="Se implanto el sistema de facturación;"/>
    <x v="0"/>
    <x v="0"/>
    <x v="0"/>
    <x v="0"/>
    <x v="0"/>
    <m/>
    <x v="0"/>
    <x v="0"/>
    <m/>
    <m/>
    <n v="572000"/>
    <m/>
    <m/>
    <m/>
  </r>
  <r>
    <s v="se cerro la negociación con rapiexpress;_x000a_Se entrevisto a un sabatino;_x000a_Se hizo arreglos del trompo por lo cual no se vendio platos de parrilla"/>
    <x v="1"/>
    <x v="1"/>
    <x v="1"/>
    <x v="1"/>
    <x v="1"/>
    <s v="Yusmeidy"/>
    <x v="1"/>
    <x v="1"/>
    <n v="1"/>
    <n v="12000"/>
    <n v="12000"/>
    <m/>
    <m/>
    <m/>
  </r>
  <r>
    <m/>
    <x v="1"/>
    <x v="1"/>
    <x v="1"/>
    <x v="1"/>
    <x v="1"/>
    <s v="Yusmeidy"/>
    <x v="1"/>
    <x v="2"/>
    <n v="1"/>
    <n v="2000"/>
    <n v="2000"/>
    <m/>
    <m/>
    <m/>
  </r>
  <r>
    <m/>
    <x v="1"/>
    <x v="1"/>
    <x v="1"/>
    <x v="1"/>
    <x v="1"/>
    <s v="Yusmeidy"/>
    <x v="1"/>
    <x v="3"/>
    <n v="1"/>
    <n v="2000"/>
    <n v="2000"/>
    <m/>
    <m/>
    <m/>
  </r>
  <r>
    <m/>
    <x v="1"/>
    <x v="1"/>
    <x v="1"/>
    <x v="1"/>
    <x v="1"/>
    <s v="Yusmeidy"/>
    <x v="2"/>
    <x v="4"/>
    <n v="1"/>
    <n v="6000"/>
    <n v="6000"/>
    <m/>
    <m/>
    <m/>
  </r>
  <r>
    <m/>
    <x v="1"/>
    <x v="1"/>
    <x v="1"/>
    <x v="1"/>
    <x v="1"/>
    <s v="Yusmeidy"/>
    <x v="3"/>
    <x v="1"/>
    <n v="2"/>
    <n v="12000"/>
    <n v="24000"/>
    <m/>
    <m/>
    <m/>
  </r>
  <r>
    <m/>
    <x v="1"/>
    <x v="1"/>
    <x v="1"/>
    <x v="1"/>
    <x v="1"/>
    <s v="Yusmeidy"/>
    <x v="3"/>
    <x v="5"/>
    <n v="2"/>
    <n v="2000"/>
    <n v="4000"/>
    <m/>
    <m/>
    <m/>
  </r>
  <r>
    <m/>
    <x v="1"/>
    <x v="1"/>
    <x v="1"/>
    <x v="1"/>
    <x v="1"/>
    <s v="Yusmeidy"/>
    <x v="4"/>
    <x v="1"/>
    <n v="1"/>
    <n v="10000"/>
    <n v="10000"/>
    <s v="El señor José lo dejo en $ 10.000"/>
    <m/>
    <m/>
  </r>
  <r>
    <m/>
    <x v="1"/>
    <x v="1"/>
    <x v="1"/>
    <x v="1"/>
    <x v="1"/>
    <s v="Yusmeidy"/>
    <x v="5"/>
    <x v="1"/>
    <n v="2"/>
    <n v="10000"/>
    <n v="20000"/>
    <s v="Sin nota"/>
    <m/>
    <m/>
  </r>
  <r>
    <m/>
    <x v="1"/>
    <x v="1"/>
    <x v="1"/>
    <x v="1"/>
    <x v="1"/>
    <s v="Yusmeidy"/>
    <x v="6"/>
    <x v="1"/>
    <n v="4"/>
    <n v="10000"/>
    <n v="40000"/>
    <m/>
    <m/>
    <m/>
  </r>
  <r>
    <m/>
    <x v="1"/>
    <x v="1"/>
    <x v="1"/>
    <x v="1"/>
    <x v="1"/>
    <s v="Yusmeidy"/>
    <x v="7"/>
    <x v="6"/>
    <n v="1"/>
    <n v="22000"/>
    <n v="22000"/>
    <m/>
    <m/>
    <m/>
  </r>
  <r>
    <m/>
    <x v="2"/>
    <x v="2"/>
    <x v="2"/>
    <x v="1"/>
    <x v="1"/>
    <s v="Yusmeidy"/>
    <x v="1"/>
    <x v="7"/>
    <n v="1"/>
    <n v="15000"/>
    <n v="15000"/>
    <m/>
    <m/>
    <m/>
  </r>
  <r>
    <m/>
    <x v="2"/>
    <x v="2"/>
    <x v="2"/>
    <x v="1"/>
    <x v="1"/>
    <s v="Yusmeidy"/>
    <x v="2"/>
    <x v="8"/>
    <n v="2"/>
    <n v="22000"/>
    <n v="44000"/>
    <m/>
    <m/>
    <m/>
  </r>
  <r>
    <m/>
    <x v="2"/>
    <x v="2"/>
    <x v="2"/>
    <x v="1"/>
    <x v="1"/>
    <s v="Yusmeidy"/>
    <x v="2"/>
    <x v="4"/>
    <n v="3"/>
    <n v="4000"/>
    <n v="12000"/>
    <m/>
    <m/>
    <m/>
  </r>
  <r>
    <m/>
    <x v="2"/>
    <x v="2"/>
    <x v="2"/>
    <x v="1"/>
    <x v="1"/>
    <s v="Yusmeidy"/>
    <x v="2"/>
    <x v="9"/>
    <n v="1"/>
    <n v="4000"/>
    <n v="4000"/>
    <m/>
    <m/>
    <m/>
  </r>
  <r>
    <m/>
    <x v="2"/>
    <x v="2"/>
    <x v="2"/>
    <x v="1"/>
    <x v="1"/>
    <s v="Yusmeidy"/>
    <x v="3"/>
    <x v="8"/>
    <n v="1"/>
    <n v="25000"/>
    <n v="25000"/>
    <m/>
    <m/>
    <m/>
  </r>
  <r>
    <m/>
    <x v="2"/>
    <x v="2"/>
    <x v="2"/>
    <x v="1"/>
    <x v="1"/>
    <s v="Yusmeidy"/>
    <x v="3"/>
    <x v="5"/>
    <n v="1"/>
    <n v="2000"/>
    <n v="2000"/>
    <m/>
    <m/>
    <m/>
  </r>
  <r>
    <m/>
    <x v="2"/>
    <x v="2"/>
    <x v="2"/>
    <x v="1"/>
    <x v="1"/>
    <s v="Yusmeidy"/>
    <x v="4"/>
    <x v="8"/>
    <n v="1"/>
    <n v="25000"/>
    <n v="25000"/>
    <m/>
    <m/>
    <m/>
  </r>
  <r>
    <m/>
    <x v="2"/>
    <x v="2"/>
    <x v="2"/>
    <x v="1"/>
    <x v="1"/>
    <s v="Yusmeidy"/>
    <x v="4"/>
    <x v="10"/>
    <n v="3"/>
    <n v="3000"/>
    <n v="9000"/>
    <s v="No dice que marca es?"/>
    <m/>
    <m/>
  </r>
  <r>
    <m/>
    <x v="2"/>
    <x v="2"/>
    <x v="2"/>
    <x v="1"/>
    <x v="1"/>
    <s v="Yusmeidy"/>
    <x v="5"/>
    <x v="11"/>
    <n v="1"/>
    <n v="15000"/>
    <n v="15000"/>
    <m/>
    <m/>
    <m/>
  </r>
  <r>
    <m/>
    <x v="2"/>
    <x v="2"/>
    <x v="2"/>
    <x v="1"/>
    <x v="1"/>
    <s v="Yusmeidy"/>
    <x v="6"/>
    <x v="1"/>
    <n v="2"/>
    <n v="10000"/>
    <n v="20000"/>
    <m/>
    <m/>
    <m/>
  </r>
  <r>
    <m/>
    <x v="2"/>
    <x v="2"/>
    <x v="2"/>
    <x v="1"/>
    <x v="1"/>
    <s v="Yusmeidy"/>
    <x v="7"/>
    <x v="8"/>
    <n v="2"/>
    <n v="25000"/>
    <n v="50000"/>
    <m/>
    <m/>
    <m/>
  </r>
  <r>
    <m/>
    <x v="2"/>
    <x v="2"/>
    <x v="2"/>
    <x v="1"/>
    <x v="1"/>
    <s v="Yusmeidy"/>
    <x v="7"/>
    <x v="5"/>
    <n v="3"/>
    <n v="2000"/>
    <n v="6000"/>
    <m/>
    <m/>
    <m/>
  </r>
  <r>
    <m/>
    <x v="2"/>
    <x v="2"/>
    <x v="2"/>
    <x v="1"/>
    <x v="1"/>
    <s v="Yusmeidy"/>
    <x v="8"/>
    <x v="1"/>
    <n v="1"/>
    <n v="10000"/>
    <n v="10000"/>
    <m/>
    <m/>
    <m/>
  </r>
  <r>
    <m/>
    <x v="2"/>
    <x v="2"/>
    <x v="2"/>
    <x v="1"/>
    <x v="1"/>
    <s v="Yusmeidy"/>
    <x v="9"/>
    <x v="1"/>
    <n v="2"/>
    <n v="10000"/>
    <n v="20000"/>
    <m/>
    <m/>
    <m/>
  </r>
  <r>
    <m/>
    <x v="2"/>
    <x v="2"/>
    <x v="2"/>
    <x v="1"/>
    <x v="1"/>
    <s v="Yusmeidy"/>
    <x v="9"/>
    <x v="12"/>
    <n v="1"/>
    <n v="2000"/>
    <n v="2000"/>
    <m/>
    <m/>
    <m/>
  </r>
  <r>
    <m/>
    <x v="2"/>
    <x v="2"/>
    <x v="2"/>
    <x v="1"/>
    <x v="1"/>
    <s v="Yusmeidy"/>
    <x v="10"/>
    <x v="10"/>
    <n v="9"/>
    <n v="3000"/>
    <n v="27000"/>
    <m/>
    <m/>
    <m/>
  </r>
  <r>
    <m/>
    <x v="2"/>
    <x v="2"/>
    <x v="2"/>
    <x v="1"/>
    <x v="1"/>
    <s v="Yusmeidy"/>
    <x v="11"/>
    <x v="13"/>
    <n v="2"/>
    <n v="15000"/>
    <n v="30000"/>
    <s v="dice que la sopa pequeña vale, lo mismo que la grande"/>
    <m/>
    <m/>
  </r>
  <r>
    <m/>
    <x v="2"/>
    <x v="2"/>
    <x v="2"/>
    <x v="1"/>
    <x v="1"/>
    <s v="Yusmeidy"/>
    <x v="11"/>
    <x v="10"/>
    <n v="2"/>
    <n v="3000"/>
    <n v="6000"/>
    <m/>
    <m/>
    <m/>
  </r>
  <r>
    <m/>
    <x v="2"/>
    <x v="2"/>
    <x v="2"/>
    <x v="1"/>
    <x v="1"/>
    <s v="Yusmeidy"/>
    <x v="11"/>
    <x v="9"/>
    <n v="1"/>
    <n v="4000"/>
    <n v="4000"/>
    <m/>
    <m/>
    <m/>
  </r>
  <r>
    <m/>
    <x v="2"/>
    <x v="2"/>
    <x v="2"/>
    <x v="1"/>
    <x v="1"/>
    <s v="Yusmeidy"/>
    <x v="12"/>
    <x v="1"/>
    <n v="2"/>
    <n v="10000"/>
    <n v="20000"/>
    <m/>
    <m/>
    <m/>
  </r>
  <r>
    <m/>
    <x v="2"/>
    <x v="2"/>
    <x v="2"/>
    <x v="1"/>
    <x v="1"/>
    <s v="Yusmeidy"/>
    <x v="13"/>
    <x v="10"/>
    <n v="11"/>
    <n v="3000"/>
    <n v="33000"/>
    <m/>
    <m/>
    <m/>
  </r>
  <r>
    <m/>
    <x v="2"/>
    <x v="2"/>
    <x v="2"/>
    <x v="1"/>
    <x v="1"/>
    <s v="Yusmeidy"/>
    <x v="13"/>
    <x v="12"/>
    <n v="1"/>
    <n v="2000"/>
    <n v="2000"/>
    <m/>
    <m/>
    <m/>
  </r>
  <r>
    <m/>
    <x v="2"/>
    <x v="2"/>
    <x v="2"/>
    <x v="1"/>
    <x v="1"/>
    <s v="Yusmeidy"/>
    <x v="14"/>
    <x v="4"/>
    <n v="2"/>
    <n v="6000"/>
    <n v="12000"/>
    <s v="Changua"/>
    <m/>
    <m/>
  </r>
  <r>
    <s v="Se le pago a Hugo por arreglos locativos"/>
    <x v="3"/>
    <x v="3"/>
    <x v="3"/>
    <x v="1"/>
    <x v="1"/>
    <s v="Yusmeidy"/>
    <x v="1"/>
    <x v="14"/>
    <n v="1"/>
    <n v="25000"/>
    <n v="25000"/>
    <s v="¿Cuántas personas?"/>
    <m/>
    <m/>
  </r>
  <r>
    <m/>
    <x v="3"/>
    <x v="3"/>
    <x v="3"/>
    <x v="1"/>
    <x v="1"/>
    <s v="Yusmeidy"/>
    <x v="2"/>
    <x v="1"/>
    <n v="2"/>
    <n v="10000"/>
    <n v="20000"/>
    <m/>
    <m/>
    <m/>
  </r>
  <r>
    <m/>
    <x v="3"/>
    <x v="3"/>
    <x v="3"/>
    <x v="1"/>
    <x v="1"/>
    <s v="Yusmeidy"/>
    <x v="3"/>
    <x v="1"/>
    <n v="1"/>
    <n v="10000"/>
    <n v="10000"/>
    <m/>
    <m/>
    <m/>
  </r>
  <r>
    <m/>
    <x v="3"/>
    <x v="3"/>
    <x v="3"/>
    <x v="1"/>
    <x v="1"/>
    <s v="Yusmeidy"/>
    <x v="4"/>
    <x v="4"/>
    <n v="1"/>
    <n v="5000"/>
    <n v="5000"/>
    <m/>
    <m/>
    <m/>
  </r>
  <r>
    <m/>
    <x v="3"/>
    <x v="3"/>
    <x v="3"/>
    <x v="1"/>
    <x v="1"/>
    <s v="Yusmeidy"/>
    <x v="5"/>
    <x v="14"/>
    <n v="1"/>
    <n v="20000"/>
    <n v="20000"/>
    <m/>
    <m/>
    <m/>
  </r>
  <r>
    <m/>
    <x v="3"/>
    <x v="3"/>
    <x v="3"/>
    <x v="1"/>
    <x v="1"/>
    <s v="Yusmeidy"/>
    <x v="5"/>
    <x v="4"/>
    <n v="2"/>
    <n v="4000"/>
    <n v="8000"/>
    <m/>
    <m/>
    <m/>
  </r>
  <r>
    <m/>
    <x v="3"/>
    <x v="3"/>
    <x v="3"/>
    <x v="1"/>
    <x v="1"/>
    <s v="Yusmeidy"/>
    <x v="5"/>
    <x v="3"/>
    <n v="2"/>
    <n v="2000"/>
    <n v="4000"/>
    <m/>
    <m/>
    <m/>
  </r>
  <r>
    <m/>
    <x v="3"/>
    <x v="3"/>
    <x v="3"/>
    <x v="1"/>
    <x v="1"/>
    <s v="Yusmeidy"/>
    <x v="6"/>
    <x v="11"/>
    <n v="1"/>
    <n v="15000"/>
    <n v="15000"/>
    <m/>
    <m/>
    <m/>
  </r>
  <r>
    <m/>
    <x v="3"/>
    <x v="3"/>
    <x v="3"/>
    <x v="1"/>
    <x v="1"/>
    <s v="Yusmeidy"/>
    <x v="6"/>
    <x v="5"/>
    <n v="1"/>
    <n v="2000"/>
    <n v="2000"/>
    <m/>
    <m/>
    <m/>
  </r>
  <r>
    <m/>
    <x v="3"/>
    <x v="3"/>
    <x v="3"/>
    <x v="1"/>
    <x v="1"/>
    <s v="Yusmeidy"/>
    <x v="7"/>
    <x v="14"/>
    <n v="1"/>
    <n v="80000"/>
    <n v="80000"/>
    <m/>
    <m/>
    <m/>
  </r>
  <r>
    <m/>
    <x v="3"/>
    <x v="3"/>
    <x v="3"/>
    <x v="1"/>
    <x v="1"/>
    <s v="Yusmeidy"/>
    <x v="7"/>
    <x v="15"/>
    <n v="1"/>
    <n v="25000"/>
    <n v="25000"/>
    <m/>
    <m/>
    <m/>
  </r>
  <r>
    <m/>
    <x v="3"/>
    <x v="3"/>
    <x v="3"/>
    <x v="1"/>
    <x v="1"/>
    <s v="Yusmeidy"/>
    <x v="7"/>
    <x v="4"/>
    <n v="1"/>
    <n v="5000"/>
    <n v="5000"/>
    <m/>
    <m/>
    <m/>
  </r>
  <r>
    <m/>
    <x v="3"/>
    <x v="3"/>
    <x v="3"/>
    <x v="1"/>
    <x v="1"/>
    <s v="Yusmeidy"/>
    <x v="7"/>
    <x v="3"/>
    <n v="1"/>
    <n v="2000"/>
    <n v="2000"/>
    <m/>
    <m/>
    <m/>
  </r>
  <r>
    <m/>
    <x v="3"/>
    <x v="3"/>
    <x v="3"/>
    <x v="1"/>
    <x v="1"/>
    <s v="Yusmeidy"/>
    <x v="7"/>
    <x v="16"/>
    <n v="2"/>
    <n v="2000"/>
    <n v="4000"/>
    <m/>
    <m/>
    <m/>
  </r>
  <r>
    <m/>
    <x v="3"/>
    <x v="3"/>
    <x v="3"/>
    <x v="1"/>
    <x v="1"/>
    <s v="Yusmeidy"/>
    <x v="8"/>
    <x v="1"/>
    <n v="2"/>
    <n v="10000"/>
    <n v="20000"/>
    <m/>
    <m/>
    <m/>
  </r>
  <r>
    <m/>
    <x v="3"/>
    <x v="3"/>
    <x v="3"/>
    <x v="1"/>
    <x v="1"/>
    <s v="Yusmeidy"/>
    <x v="9"/>
    <x v="8"/>
    <n v="1"/>
    <n v="25000"/>
    <n v="25000"/>
    <m/>
    <m/>
    <m/>
  </r>
  <r>
    <m/>
    <x v="3"/>
    <x v="3"/>
    <x v="3"/>
    <x v="1"/>
    <x v="1"/>
    <s v="Yusmeidy"/>
    <x v="9"/>
    <x v="1"/>
    <n v="1"/>
    <n v="8000"/>
    <n v="8000"/>
    <s v="a 8?"/>
    <m/>
    <m/>
  </r>
  <r>
    <m/>
    <x v="3"/>
    <x v="3"/>
    <x v="3"/>
    <x v="1"/>
    <x v="1"/>
    <s v="Yusmeidy"/>
    <x v="10"/>
    <x v="1"/>
    <n v="3"/>
    <n v="10000"/>
    <n v="30000"/>
    <m/>
    <m/>
    <m/>
  </r>
  <r>
    <m/>
    <x v="3"/>
    <x v="3"/>
    <x v="3"/>
    <x v="1"/>
    <x v="1"/>
    <s v="Yusmeidy"/>
    <x v="11"/>
    <x v="8"/>
    <n v="1"/>
    <n v="24000"/>
    <n v="24000"/>
    <m/>
    <m/>
    <m/>
  </r>
  <r>
    <m/>
    <x v="3"/>
    <x v="3"/>
    <x v="3"/>
    <x v="1"/>
    <x v="1"/>
    <s v="Yusmeidy"/>
    <x v="11"/>
    <x v="17"/>
    <n v="1"/>
    <n v="2000"/>
    <n v="2000"/>
    <m/>
    <m/>
    <m/>
  </r>
  <r>
    <m/>
    <x v="3"/>
    <x v="3"/>
    <x v="3"/>
    <x v="1"/>
    <x v="1"/>
    <s v="Yusmeidy"/>
    <x v="12"/>
    <x v="1"/>
    <n v="4"/>
    <n v="10000"/>
    <n v="40000"/>
    <m/>
    <m/>
    <m/>
  </r>
  <r>
    <m/>
    <x v="3"/>
    <x v="3"/>
    <x v="3"/>
    <x v="1"/>
    <x v="1"/>
    <s v="Yusmeidy"/>
    <x v="13"/>
    <x v="11"/>
    <n v="1"/>
    <n v="15000"/>
    <n v="15000"/>
    <m/>
    <m/>
    <m/>
  </r>
  <r>
    <m/>
    <x v="3"/>
    <x v="3"/>
    <x v="3"/>
    <x v="1"/>
    <x v="1"/>
    <s v="Yusmeidy"/>
    <x v="14"/>
    <x v="1"/>
    <n v="1"/>
    <n v="10000"/>
    <n v="10000"/>
    <m/>
    <m/>
    <m/>
  </r>
  <r>
    <m/>
    <x v="3"/>
    <x v="3"/>
    <x v="3"/>
    <x v="1"/>
    <x v="1"/>
    <s v="Yusmeidy"/>
    <x v="15"/>
    <x v="1"/>
    <n v="1"/>
    <n v="10000"/>
    <n v="10000"/>
    <m/>
    <m/>
    <m/>
  </r>
  <r>
    <m/>
    <x v="3"/>
    <x v="3"/>
    <x v="3"/>
    <x v="1"/>
    <x v="1"/>
    <s v="Yusmeidy"/>
    <x v="16"/>
    <x v="18"/>
    <n v="1"/>
    <n v="4500"/>
    <n v="4500"/>
    <m/>
    <m/>
    <m/>
  </r>
  <r>
    <m/>
    <x v="3"/>
    <x v="3"/>
    <x v="3"/>
    <x v="1"/>
    <x v="1"/>
    <s v="Yusmeidy"/>
    <x v="17"/>
    <x v="4"/>
    <n v="1"/>
    <n v="6000"/>
    <n v="6000"/>
    <m/>
    <m/>
    <m/>
  </r>
  <r>
    <s v="Redacción del contrato_x000a_ - Definir frecuencia de pago empleados_x000a_ - Se llega a la conclusión de que la hora pico de ventas es poco después del medio día_x000a_-  En la mañana y  tardes no es frecuente de la venta_x000a_¿Por qué los clientes irian de en la tarde, noche_x000a_"/>
    <x v="4"/>
    <x v="4"/>
    <x v="4"/>
    <x v="1"/>
    <x v="1"/>
    <s v="Yusmeidy"/>
    <x v="1"/>
    <x v="8"/>
    <n v="1"/>
    <n v="25000"/>
    <n v="25000"/>
    <m/>
    <m/>
    <m/>
  </r>
  <r>
    <m/>
    <x v="4"/>
    <x v="4"/>
    <x v="4"/>
    <x v="1"/>
    <x v="1"/>
    <s v="Yusmeidy"/>
    <x v="1"/>
    <x v="5"/>
    <n v="1"/>
    <n v="2000"/>
    <n v="2000"/>
    <m/>
    <m/>
    <m/>
  </r>
  <r>
    <m/>
    <x v="4"/>
    <x v="4"/>
    <x v="4"/>
    <x v="1"/>
    <x v="1"/>
    <s v="Yusmeidy"/>
    <x v="2"/>
    <x v="1"/>
    <n v="2"/>
    <n v="10000"/>
    <n v="20000"/>
    <m/>
    <m/>
    <m/>
  </r>
  <r>
    <m/>
    <x v="4"/>
    <x v="4"/>
    <x v="4"/>
    <x v="1"/>
    <x v="1"/>
    <s v="Yusmeidy"/>
    <x v="3"/>
    <x v="1"/>
    <n v="8"/>
    <n v="9000"/>
    <n v="72000"/>
    <m/>
    <m/>
    <m/>
  </r>
  <r>
    <m/>
    <x v="4"/>
    <x v="4"/>
    <x v="4"/>
    <x v="1"/>
    <x v="1"/>
    <s v="Yusmeidy"/>
    <x v="3"/>
    <x v="4"/>
    <n v="2"/>
    <n v="4000"/>
    <n v="8000"/>
    <m/>
    <m/>
    <m/>
  </r>
  <r>
    <m/>
    <x v="4"/>
    <x v="4"/>
    <x v="4"/>
    <x v="1"/>
    <x v="1"/>
    <s v="Yusmeidy"/>
    <x v="4"/>
    <x v="1"/>
    <n v="2"/>
    <n v="10000"/>
    <n v="20000"/>
    <m/>
    <m/>
    <m/>
  </r>
  <r>
    <m/>
    <x v="4"/>
    <x v="4"/>
    <x v="4"/>
    <x v="1"/>
    <x v="1"/>
    <s v="Yusmeidy"/>
    <x v="5"/>
    <x v="14"/>
    <n v="1"/>
    <n v="20000"/>
    <n v="20000"/>
    <m/>
    <m/>
    <m/>
  </r>
  <r>
    <m/>
    <x v="4"/>
    <x v="4"/>
    <x v="4"/>
    <x v="1"/>
    <x v="1"/>
    <s v="Yusmeidy"/>
    <x v="5"/>
    <x v="10"/>
    <n v="1"/>
    <n v="3000"/>
    <n v="3000"/>
    <m/>
    <m/>
    <m/>
  </r>
  <r>
    <m/>
    <x v="4"/>
    <x v="4"/>
    <x v="4"/>
    <x v="1"/>
    <x v="1"/>
    <s v="Yusmeidy"/>
    <x v="6"/>
    <x v="1"/>
    <n v="1"/>
    <n v="10000"/>
    <n v="10000"/>
    <m/>
    <m/>
    <m/>
  </r>
  <r>
    <m/>
    <x v="4"/>
    <x v="4"/>
    <x v="4"/>
    <x v="1"/>
    <x v="1"/>
    <s v="Yusmeidy"/>
    <x v="6"/>
    <x v="10"/>
    <n v="1"/>
    <n v="3000"/>
    <n v="3000"/>
    <m/>
    <m/>
    <m/>
  </r>
  <r>
    <m/>
    <x v="4"/>
    <x v="4"/>
    <x v="4"/>
    <x v="1"/>
    <x v="1"/>
    <s v="Yusmeidy"/>
    <x v="7"/>
    <x v="19"/>
    <n v="1"/>
    <n v="70000"/>
    <n v="70000"/>
    <m/>
    <m/>
    <m/>
  </r>
  <r>
    <m/>
    <x v="4"/>
    <x v="4"/>
    <x v="4"/>
    <x v="1"/>
    <x v="1"/>
    <s v="Yusmeidy"/>
    <x v="8"/>
    <x v="11"/>
    <n v="1"/>
    <n v="15000"/>
    <n v="15000"/>
    <m/>
    <m/>
    <m/>
  </r>
  <r>
    <m/>
    <x v="4"/>
    <x v="4"/>
    <x v="4"/>
    <x v="1"/>
    <x v="1"/>
    <s v="Yusmeidy"/>
    <x v="8"/>
    <x v="17"/>
    <n v="1"/>
    <n v="2000"/>
    <n v="2000"/>
    <m/>
    <m/>
    <m/>
  </r>
  <r>
    <m/>
    <x v="4"/>
    <x v="4"/>
    <x v="4"/>
    <x v="1"/>
    <x v="1"/>
    <s v="Yusmeidy"/>
    <x v="9"/>
    <x v="11"/>
    <n v="1"/>
    <n v="12000"/>
    <n v="12000"/>
    <s v="El señor José lo dejo en $ 12.000"/>
    <m/>
    <m/>
  </r>
  <r>
    <m/>
    <x v="4"/>
    <x v="4"/>
    <x v="4"/>
    <x v="1"/>
    <x v="1"/>
    <s v="Yusmeidy"/>
    <x v="10"/>
    <x v="8"/>
    <n v="1"/>
    <n v="25000"/>
    <n v="25000"/>
    <m/>
    <m/>
    <m/>
  </r>
  <r>
    <m/>
    <x v="4"/>
    <x v="4"/>
    <x v="4"/>
    <x v="1"/>
    <x v="1"/>
    <s v="Yusmeidy"/>
    <x v="10"/>
    <x v="3"/>
    <n v="1"/>
    <n v="2000"/>
    <n v="2000"/>
    <m/>
    <m/>
    <m/>
  </r>
  <r>
    <m/>
    <x v="4"/>
    <x v="4"/>
    <x v="4"/>
    <x v="1"/>
    <x v="1"/>
    <s v="Yusmeidy"/>
    <x v="10"/>
    <x v="4"/>
    <n v="1"/>
    <n v="6000"/>
    <n v="6000"/>
    <m/>
    <m/>
    <m/>
  </r>
  <r>
    <s v="Reunión: Temas a tratar_x000a_ - Pago_x000a_- Frecuencia de inventario"/>
    <x v="5"/>
    <x v="5"/>
    <x v="5"/>
    <x v="0"/>
    <x v="1"/>
    <s v="Yusmeidy"/>
    <x v="1"/>
    <x v="20"/>
    <n v="2"/>
    <n v="12500"/>
    <n v="25000"/>
    <m/>
    <m/>
    <m/>
  </r>
  <r>
    <m/>
    <x v="5"/>
    <x v="5"/>
    <x v="5"/>
    <x v="0"/>
    <x v="1"/>
    <s v="Yusmeidy"/>
    <x v="2"/>
    <x v="7"/>
    <n v="2"/>
    <n v="15000"/>
    <n v="30000"/>
    <m/>
    <m/>
    <m/>
  </r>
  <r>
    <m/>
    <x v="5"/>
    <x v="5"/>
    <x v="5"/>
    <x v="0"/>
    <x v="1"/>
    <s v="Yusmeidy"/>
    <x v="2"/>
    <x v="10"/>
    <n v="2"/>
    <n v="3500"/>
    <n v="7000"/>
    <m/>
    <m/>
    <m/>
  </r>
  <r>
    <m/>
    <x v="5"/>
    <x v="5"/>
    <x v="5"/>
    <x v="0"/>
    <x v="1"/>
    <s v="Yusmeidy"/>
    <x v="3"/>
    <x v="4"/>
    <n v="1"/>
    <n v="5000"/>
    <n v="5000"/>
    <m/>
    <m/>
    <m/>
  </r>
  <r>
    <m/>
    <x v="5"/>
    <x v="5"/>
    <x v="5"/>
    <x v="0"/>
    <x v="1"/>
    <s v="Yusmeidy"/>
    <x v="4"/>
    <x v="1"/>
    <n v="3"/>
    <n v="10000"/>
    <n v="30000"/>
    <m/>
    <m/>
    <m/>
  </r>
  <r>
    <m/>
    <x v="5"/>
    <x v="5"/>
    <x v="5"/>
    <x v="0"/>
    <x v="1"/>
    <s v="Yusmeidy"/>
    <x v="4"/>
    <x v="21"/>
    <n v="2"/>
    <n v="2500"/>
    <n v="5000"/>
    <m/>
    <m/>
    <m/>
  </r>
  <r>
    <m/>
    <x v="5"/>
    <x v="5"/>
    <x v="5"/>
    <x v="0"/>
    <x v="1"/>
    <s v="Yusmeidy"/>
    <x v="5"/>
    <x v="1"/>
    <n v="3"/>
    <n v="10000"/>
    <n v="30000"/>
    <m/>
    <m/>
    <m/>
  </r>
  <r>
    <m/>
    <x v="5"/>
    <x v="5"/>
    <x v="5"/>
    <x v="0"/>
    <x v="1"/>
    <s v="Yusmeidy"/>
    <x v="6"/>
    <x v="1"/>
    <n v="1"/>
    <n v="10000"/>
    <n v="10000"/>
    <m/>
    <m/>
    <m/>
  </r>
  <r>
    <m/>
    <x v="5"/>
    <x v="5"/>
    <x v="5"/>
    <x v="0"/>
    <x v="1"/>
    <s v="Yusmeidy"/>
    <x v="7"/>
    <x v="1"/>
    <n v="3"/>
    <n v="10000"/>
    <n v="30000"/>
    <m/>
    <m/>
    <m/>
  </r>
  <r>
    <m/>
    <x v="5"/>
    <x v="5"/>
    <x v="5"/>
    <x v="0"/>
    <x v="1"/>
    <s v="Yusmeidy"/>
    <x v="8"/>
    <x v="1"/>
    <n v="1"/>
    <n v="10000"/>
    <n v="10000"/>
    <m/>
    <m/>
    <m/>
  </r>
  <r>
    <m/>
    <x v="5"/>
    <x v="5"/>
    <x v="5"/>
    <x v="0"/>
    <x v="1"/>
    <s v="Yusmeidy"/>
    <x v="9"/>
    <x v="14"/>
    <n v="1"/>
    <n v="45000"/>
    <n v="45000"/>
    <m/>
    <m/>
    <m/>
  </r>
  <r>
    <m/>
    <x v="5"/>
    <x v="5"/>
    <x v="5"/>
    <x v="0"/>
    <x v="1"/>
    <s v="Yusmeidy"/>
    <x v="9"/>
    <x v="10"/>
    <n v="3"/>
    <n v="3000"/>
    <n v="9000"/>
    <m/>
    <m/>
    <m/>
  </r>
  <r>
    <m/>
    <x v="5"/>
    <x v="5"/>
    <x v="5"/>
    <x v="0"/>
    <x v="1"/>
    <s v="Yusmeidy"/>
    <x v="9"/>
    <x v="17"/>
    <n v="1"/>
    <n v="2000"/>
    <n v="2000"/>
    <m/>
    <m/>
    <m/>
  </r>
  <r>
    <m/>
    <x v="5"/>
    <x v="5"/>
    <x v="5"/>
    <x v="0"/>
    <x v="1"/>
    <s v="Yusmeidy"/>
    <x v="10"/>
    <x v="1"/>
    <n v="4"/>
    <n v="10000"/>
    <n v="40000"/>
    <m/>
    <m/>
    <m/>
  </r>
  <r>
    <m/>
    <x v="5"/>
    <x v="5"/>
    <x v="5"/>
    <x v="0"/>
    <x v="1"/>
    <s v="Yusmeidy"/>
    <x v="11"/>
    <x v="1"/>
    <n v="2"/>
    <n v="10000"/>
    <n v="20000"/>
    <m/>
    <m/>
    <m/>
  </r>
  <r>
    <m/>
    <x v="5"/>
    <x v="5"/>
    <x v="5"/>
    <x v="0"/>
    <x v="1"/>
    <s v="Yusmeidy"/>
    <x v="12"/>
    <x v="14"/>
    <n v="1"/>
    <n v="60000"/>
    <n v="60000"/>
    <m/>
    <m/>
    <m/>
  </r>
  <r>
    <m/>
    <x v="5"/>
    <x v="5"/>
    <x v="5"/>
    <x v="0"/>
    <x v="1"/>
    <s v="Yusmeidy"/>
    <x v="12"/>
    <x v="9"/>
    <n v="1"/>
    <n v="5000"/>
    <n v="5000"/>
    <m/>
    <m/>
    <m/>
  </r>
  <r>
    <m/>
    <x v="5"/>
    <x v="5"/>
    <x v="5"/>
    <x v="0"/>
    <x v="1"/>
    <s v="Yusmeidy"/>
    <x v="13"/>
    <x v="1"/>
    <n v="1"/>
    <n v="10000"/>
    <n v="10000"/>
    <m/>
    <m/>
    <m/>
  </r>
  <r>
    <m/>
    <x v="5"/>
    <x v="5"/>
    <x v="5"/>
    <x v="0"/>
    <x v="1"/>
    <s v="Yusmeidy"/>
    <x v="14"/>
    <x v="1"/>
    <n v="2"/>
    <n v="20000"/>
    <n v="40000"/>
    <m/>
    <m/>
    <m/>
  </r>
  <r>
    <m/>
    <x v="5"/>
    <x v="5"/>
    <x v="5"/>
    <x v="0"/>
    <x v="1"/>
    <s v="Yusmeidy"/>
    <x v="15"/>
    <x v="4"/>
    <n v="2"/>
    <n v="4000"/>
    <n v="8000"/>
    <m/>
    <m/>
    <m/>
  </r>
  <r>
    <s v="Inducción de los dos meseros_x000a_Carta Menú-  Los Tunos Parrilla_x000a_Promocionando la hamburguesa artesanal"/>
    <x v="6"/>
    <x v="6"/>
    <x v="6"/>
    <x v="0"/>
    <x v="1"/>
    <s v="Stefania"/>
    <x v="1"/>
    <x v="14"/>
    <n v="1"/>
    <n v="30000"/>
    <n v="30000"/>
    <m/>
    <m/>
    <m/>
  </r>
  <r>
    <m/>
    <x v="6"/>
    <x v="6"/>
    <x v="6"/>
    <x v="0"/>
    <x v="1"/>
    <s v="Stefania"/>
    <x v="1"/>
    <x v="22"/>
    <n v="3"/>
    <n v="3000"/>
    <n v="9000"/>
    <m/>
    <m/>
    <m/>
  </r>
  <r>
    <m/>
    <x v="6"/>
    <x v="6"/>
    <x v="6"/>
    <x v="0"/>
    <x v="1"/>
    <s v="Julían"/>
    <x v="2"/>
    <x v="23"/>
    <n v="1"/>
    <n v="8000"/>
    <n v="8000"/>
    <m/>
    <m/>
    <m/>
  </r>
  <r>
    <m/>
    <x v="6"/>
    <x v="6"/>
    <x v="6"/>
    <x v="0"/>
    <x v="1"/>
    <s v="Julían"/>
    <x v="2"/>
    <x v="24"/>
    <n v="1"/>
    <n v="12000"/>
    <n v="12000"/>
    <s v="un pésimo arroz chino causado por el desorden de la cocina"/>
    <m/>
    <m/>
  </r>
  <r>
    <m/>
    <x v="6"/>
    <x v="6"/>
    <x v="6"/>
    <x v="0"/>
    <x v="1"/>
    <s v="Julían"/>
    <x v="2"/>
    <x v="5"/>
    <n v="1"/>
    <n v="2000"/>
    <n v="2000"/>
    <m/>
    <m/>
    <m/>
  </r>
  <r>
    <m/>
    <x v="6"/>
    <x v="6"/>
    <x v="6"/>
    <x v="0"/>
    <x v="1"/>
    <s v="Stefania"/>
    <x v="3"/>
    <x v="25"/>
    <n v="1"/>
    <n v="2500"/>
    <n v="2500"/>
    <m/>
    <m/>
    <m/>
  </r>
  <r>
    <m/>
    <x v="6"/>
    <x v="6"/>
    <x v="6"/>
    <x v="0"/>
    <x v="1"/>
    <s v="Stefania"/>
    <x v="3"/>
    <x v="4"/>
    <n v="1"/>
    <n v="6000"/>
    <n v="6000"/>
    <s v="Mazamorra"/>
    <m/>
    <m/>
  </r>
  <r>
    <m/>
    <x v="6"/>
    <x v="6"/>
    <x v="6"/>
    <x v="0"/>
    <x v="1"/>
    <s v="Stefania"/>
    <x v="3"/>
    <x v="14"/>
    <n v="1"/>
    <n v="10000"/>
    <n v="10000"/>
    <m/>
    <m/>
    <m/>
  </r>
  <r>
    <m/>
    <x v="6"/>
    <x v="6"/>
    <x v="6"/>
    <x v="0"/>
    <x v="1"/>
    <s v="Julían"/>
    <x v="4"/>
    <x v="4"/>
    <n v="2"/>
    <n v="3000"/>
    <n v="6000"/>
    <s v="Changua"/>
    <m/>
    <m/>
  </r>
  <r>
    <m/>
    <x v="6"/>
    <x v="6"/>
    <x v="6"/>
    <x v="0"/>
    <x v="1"/>
    <s v="Julían"/>
    <x v="4"/>
    <x v="26"/>
    <n v="2"/>
    <n v="1000"/>
    <n v="2000"/>
    <m/>
    <m/>
    <m/>
  </r>
  <r>
    <m/>
    <x v="6"/>
    <x v="6"/>
    <x v="6"/>
    <x v="0"/>
    <x v="1"/>
    <s v="Julían"/>
    <x v="5"/>
    <x v="11"/>
    <n v="1"/>
    <n v="15000"/>
    <n v="15000"/>
    <m/>
    <m/>
    <m/>
  </r>
  <r>
    <m/>
    <x v="6"/>
    <x v="6"/>
    <x v="6"/>
    <x v="0"/>
    <x v="1"/>
    <s v="Julían"/>
    <x v="6"/>
    <x v="14"/>
    <n v="1"/>
    <n v="40000"/>
    <n v="40000"/>
    <m/>
    <m/>
    <m/>
  </r>
  <r>
    <m/>
    <x v="6"/>
    <x v="6"/>
    <x v="6"/>
    <x v="0"/>
    <x v="1"/>
    <s v="Julían"/>
    <x v="7"/>
    <x v="8"/>
    <n v="1"/>
    <n v="25000"/>
    <n v="25000"/>
    <m/>
    <m/>
    <m/>
  </r>
  <r>
    <m/>
    <x v="6"/>
    <x v="6"/>
    <x v="6"/>
    <x v="0"/>
    <x v="1"/>
    <s v="Julían"/>
    <x v="7"/>
    <x v="22"/>
    <n v="1"/>
    <n v="3000"/>
    <n v="3000"/>
    <m/>
    <m/>
    <m/>
  </r>
  <r>
    <m/>
    <x v="6"/>
    <x v="6"/>
    <x v="6"/>
    <x v="0"/>
    <x v="1"/>
    <s v="Stefania"/>
    <x v="8"/>
    <x v="14"/>
    <n v="1"/>
    <n v="25000"/>
    <n v="25000"/>
    <m/>
    <m/>
    <m/>
  </r>
  <r>
    <m/>
    <x v="6"/>
    <x v="6"/>
    <x v="6"/>
    <x v="0"/>
    <x v="1"/>
    <s v="Julían"/>
    <x v="9"/>
    <x v="14"/>
    <n v="1"/>
    <n v="25000"/>
    <n v="25000"/>
    <m/>
    <m/>
    <m/>
  </r>
  <r>
    <m/>
    <x v="6"/>
    <x v="6"/>
    <x v="6"/>
    <x v="0"/>
    <x v="1"/>
    <s v="Stefania"/>
    <x v="11"/>
    <x v="1"/>
    <n v="1"/>
    <n v="10000"/>
    <n v="10000"/>
    <m/>
    <m/>
    <m/>
  </r>
  <r>
    <m/>
    <x v="6"/>
    <x v="6"/>
    <x v="6"/>
    <x v="0"/>
    <x v="1"/>
    <s v="Stefania"/>
    <x v="11"/>
    <x v="22"/>
    <n v="1"/>
    <n v="3000"/>
    <n v="3000"/>
    <m/>
    <m/>
    <m/>
  </r>
  <r>
    <m/>
    <x v="6"/>
    <x v="6"/>
    <x v="6"/>
    <x v="0"/>
    <x v="1"/>
    <s v="Stefania"/>
    <x v="12"/>
    <x v="14"/>
    <n v="1"/>
    <n v="30000"/>
    <n v="30000"/>
    <m/>
    <m/>
    <m/>
  </r>
  <r>
    <m/>
    <x v="6"/>
    <x v="6"/>
    <x v="6"/>
    <x v="0"/>
    <x v="1"/>
    <s v="Stefania"/>
    <x v="12"/>
    <x v="27"/>
    <n v="2"/>
    <n v="2000"/>
    <n v="4000"/>
    <m/>
    <m/>
    <m/>
  </r>
  <r>
    <m/>
    <x v="6"/>
    <x v="6"/>
    <x v="6"/>
    <x v="0"/>
    <x v="1"/>
    <s v="Stefania"/>
    <x v="13"/>
    <x v="22"/>
    <n v="1"/>
    <n v="3000"/>
    <n v="3000"/>
    <m/>
    <m/>
    <m/>
  </r>
  <r>
    <m/>
    <x v="6"/>
    <x v="6"/>
    <x v="6"/>
    <x v="0"/>
    <x v="1"/>
    <s v="Stefania"/>
    <x v="13"/>
    <x v="3"/>
    <n v="1"/>
    <n v="2000"/>
    <n v="2000"/>
    <m/>
    <m/>
    <m/>
  </r>
  <r>
    <m/>
    <x v="6"/>
    <x v="6"/>
    <x v="6"/>
    <x v="0"/>
    <x v="1"/>
    <s v="Stefania"/>
    <x v="13"/>
    <x v="28"/>
    <n v="1"/>
    <n v="26000"/>
    <n v="26000"/>
    <s v="Se cobro 6000 de más"/>
    <m/>
    <m/>
  </r>
  <r>
    <m/>
    <x v="6"/>
    <x v="6"/>
    <x v="6"/>
    <x v="0"/>
    <x v="1"/>
    <s v="Julían"/>
    <x v="14"/>
    <x v="29"/>
    <n v="1"/>
    <n v="24000"/>
    <n v="24000"/>
    <m/>
    <m/>
    <m/>
  </r>
  <r>
    <m/>
    <x v="6"/>
    <x v="6"/>
    <x v="6"/>
    <x v="0"/>
    <x v="1"/>
    <s v="Julían"/>
    <x v="14"/>
    <x v="8"/>
    <n v="1"/>
    <n v="25000"/>
    <n v="25000"/>
    <m/>
    <m/>
    <m/>
  </r>
  <r>
    <m/>
    <x v="6"/>
    <x v="6"/>
    <x v="6"/>
    <x v="0"/>
    <x v="1"/>
    <s v="Julían"/>
    <x v="14"/>
    <x v="30"/>
    <n v="4"/>
    <n v="3500"/>
    <n v="14000"/>
    <s v="Se cobro 2000 demás; la cuenta sales por 63 y se cobro 56 ah?"/>
    <m/>
    <m/>
  </r>
  <r>
    <m/>
    <x v="6"/>
    <x v="6"/>
    <x v="6"/>
    <x v="0"/>
    <x v="1"/>
    <s v="Julían"/>
    <x v="14"/>
    <x v="31"/>
    <n v="1"/>
    <n v="-5000"/>
    <n v="-5000"/>
    <m/>
    <m/>
    <m/>
  </r>
  <r>
    <m/>
    <x v="6"/>
    <x v="6"/>
    <x v="6"/>
    <x v="0"/>
    <x v="1"/>
    <s v="Julían"/>
    <x v="15"/>
    <x v="4"/>
    <n v="1"/>
    <n v="6000"/>
    <n v="6000"/>
    <s v="Vale restaurante"/>
    <m/>
    <m/>
  </r>
  <r>
    <m/>
    <x v="6"/>
    <x v="6"/>
    <x v="6"/>
    <x v="0"/>
    <x v="1"/>
    <s v="Julían"/>
    <x v="15"/>
    <x v="32"/>
    <n v="1"/>
    <n v="5000"/>
    <n v="5000"/>
    <m/>
    <m/>
    <m/>
  </r>
  <r>
    <m/>
    <x v="6"/>
    <x v="6"/>
    <x v="6"/>
    <x v="0"/>
    <x v="1"/>
    <s v="Stefania"/>
    <x v="16"/>
    <x v="23"/>
    <n v="4"/>
    <n v="8000"/>
    <n v="32000"/>
    <m/>
    <m/>
    <m/>
  </r>
  <r>
    <m/>
    <x v="6"/>
    <x v="6"/>
    <x v="6"/>
    <x v="0"/>
    <x v="1"/>
    <s v="Stefania"/>
    <x v="16"/>
    <x v="33"/>
    <n v="2"/>
    <n v="2500"/>
    <n v="5000"/>
    <m/>
    <m/>
    <m/>
  </r>
  <r>
    <m/>
    <x v="6"/>
    <x v="6"/>
    <x v="6"/>
    <x v="0"/>
    <x v="1"/>
    <s v="Stefania"/>
    <x v="16"/>
    <x v="4"/>
    <n v="1"/>
    <n v="6000"/>
    <n v="6000"/>
    <s v="Mazamorra"/>
    <m/>
    <m/>
  </r>
  <r>
    <m/>
    <x v="6"/>
    <x v="6"/>
    <x v="6"/>
    <x v="0"/>
    <x v="1"/>
    <s v="Stefania"/>
    <x v="16"/>
    <x v="3"/>
    <n v="1"/>
    <n v="2000"/>
    <n v="2000"/>
    <m/>
    <m/>
    <m/>
  </r>
  <r>
    <m/>
    <x v="6"/>
    <x v="6"/>
    <x v="6"/>
    <x v="0"/>
    <x v="1"/>
    <s v="Stefania"/>
    <x v="17"/>
    <x v="1"/>
    <n v="1"/>
    <n v="10000"/>
    <n v="10000"/>
    <m/>
    <m/>
    <m/>
  </r>
  <r>
    <m/>
    <x v="6"/>
    <x v="6"/>
    <x v="6"/>
    <x v="0"/>
    <x v="1"/>
    <s v="Stefania"/>
    <x v="18"/>
    <x v="19"/>
    <n v="1"/>
    <n v="100000"/>
    <n v="100000"/>
    <m/>
    <m/>
    <m/>
  </r>
  <r>
    <m/>
    <x v="6"/>
    <x v="6"/>
    <x v="6"/>
    <x v="0"/>
    <x v="1"/>
    <s v="Stefania"/>
    <x v="19"/>
    <x v="4"/>
    <n v="1"/>
    <n v="6000"/>
    <n v="6000"/>
    <s v="Mazamorra"/>
    <m/>
    <m/>
  </r>
  <r>
    <m/>
    <x v="6"/>
    <x v="6"/>
    <x v="6"/>
    <x v="0"/>
    <x v="1"/>
    <s v="Stefania"/>
    <x v="19"/>
    <x v="14"/>
    <n v="1"/>
    <n v="40000"/>
    <n v="40000"/>
    <m/>
    <m/>
    <m/>
  </r>
  <r>
    <m/>
    <x v="6"/>
    <x v="6"/>
    <x v="6"/>
    <x v="0"/>
    <x v="1"/>
    <s v="Stefania"/>
    <x v="19"/>
    <x v="34"/>
    <n v="1"/>
    <n v="5000"/>
    <n v="5000"/>
    <m/>
    <m/>
    <m/>
  </r>
  <r>
    <m/>
    <x v="6"/>
    <x v="6"/>
    <x v="6"/>
    <x v="0"/>
    <x v="1"/>
    <s v="Stefania"/>
    <x v="20"/>
    <x v="14"/>
    <n v="1"/>
    <n v="20000"/>
    <n v="20000"/>
    <m/>
    <m/>
    <m/>
  </r>
  <r>
    <m/>
    <x v="6"/>
    <x v="6"/>
    <x v="6"/>
    <x v="0"/>
    <x v="1"/>
    <s v="Stefania"/>
    <x v="20"/>
    <x v="35"/>
    <n v="1"/>
    <n v="1500"/>
    <n v="1500"/>
    <m/>
    <m/>
    <m/>
  </r>
  <r>
    <m/>
    <x v="6"/>
    <x v="6"/>
    <x v="6"/>
    <x v="0"/>
    <x v="1"/>
    <s v="Stefania"/>
    <x v="20"/>
    <x v="36"/>
    <n v="1"/>
    <n v="3000"/>
    <n v="3000"/>
    <m/>
    <m/>
    <m/>
  </r>
  <r>
    <m/>
    <x v="6"/>
    <x v="6"/>
    <x v="6"/>
    <x v="0"/>
    <x v="1"/>
    <s v="Julían"/>
    <x v="21"/>
    <x v="1"/>
    <n v="2"/>
    <n v="12000"/>
    <n v="24000"/>
    <m/>
    <m/>
    <m/>
  </r>
  <r>
    <m/>
    <x v="6"/>
    <x v="6"/>
    <x v="6"/>
    <x v="0"/>
    <x v="1"/>
    <s v="Julían"/>
    <x v="21"/>
    <x v="37"/>
    <n v="1"/>
    <n v="7000"/>
    <n v="7000"/>
    <m/>
    <m/>
    <m/>
  </r>
  <r>
    <m/>
    <x v="6"/>
    <x v="6"/>
    <x v="6"/>
    <x v="0"/>
    <x v="1"/>
    <s v="Stefania"/>
    <x v="22"/>
    <x v="14"/>
    <n v="1"/>
    <n v="20000"/>
    <n v="20000"/>
    <m/>
    <m/>
    <m/>
  </r>
  <r>
    <m/>
    <x v="6"/>
    <x v="6"/>
    <x v="6"/>
    <x v="0"/>
    <x v="1"/>
    <s v="Stefania"/>
    <x v="22"/>
    <x v="5"/>
    <n v="1"/>
    <n v="2000"/>
    <n v="2000"/>
    <m/>
    <m/>
    <m/>
  </r>
  <r>
    <m/>
    <x v="6"/>
    <x v="6"/>
    <x v="6"/>
    <x v="0"/>
    <x v="1"/>
    <s v="Julían"/>
    <x v="23"/>
    <x v="38"/>
    <n v="1"/>
    <n v="30000"/>
    <n v="30000"/>
    <m/>
    <m/>
    <m/>
  </r>
  <r>
    <m/>
    <x v="6"/>
    <x v="6"/>
    <x v="6"/>
    <x v="0"/>
    <x v="1"/>
    <s v="Julían"/>
    <x v="23"/>
    <x v="30"/>
    <n v="1"/>
    <n v="3500"/>
    <n v="3500"/>
    <m/>
    <m/>
    <m/>
  </r>
  <r>
    <m/>
    <x v="6"/>
    <x v="6"/>
    <x v="6"/>
    <x v="0"/>
    <x v="1"/>
    <s v="Stefania"/>
    <x v="24"/>
    <x v="39"/>
    <n v="2"/>
    <n v="4000"/>
    <n v="8000"/>
    <m/>
    <m/>
    <m/>
  </r>
  <r>
    <m/>
    <x v="6"/>
    <x v="6"/>
    <x v="6"/>
    <x v="0"/>
    <x v="1"/>
    <s v="Stefania"/>
    <x v="24"/>
    <x v="30"/>
    <n v="1"/>
    <n v="3500"/>
    <n v="3500"/>
    <m/>
    <m/>
    <m/>
  </r>
  <r>
    <m/>
    <x v="6"/>
    <x v="6"/>
    <x v="6"/>
    <x v="0"/>
    <x v="1"/>
    <s v="Stefania"/>
    <x v="24"/>
    <x v="33"/>
    <n v="1"/>
    <n v="3500"/>
    <n v="3500"/>
    <s v="Precio desoritado"/>
    <m/>
    <m/>
  </r>
  <r>
    <m/>
    <x v="6"/>
    <x v="6"/>
    <x v="6"/>
    <x v="0"/>
    <x v="1"/>
    <s v="Stefania"/>
    <x v="25"/>
    <x v="14"/>
    <n v="2"/>
    <n v="30000"/>
    <n v="60000"/>
    <m/>
    <m/>
    <m/>
  </r>
  <r>
    <m/>
    <x v="6"/>
    <x v="6"/>
    <x v="6"/>
    <x v="0"/>
    <x v="1"/>
    <s v="Stefania"/>
    <x v="25"/>
    <x v="21"/>
    <n v="3"/>
    <n v="2500"/>
    <n v="7500"/>
    <m/>
    <m/>
    <m/>
  </r>
  <r>
    <m/>
    <x v="6"/>
    <x v="6"/>
    <x v="6"/>
    <x v="0"/>
    <x v="1"/>
    <s v="Stefania"/>
    <x v="25"/>
    <x v="31"/>
    <n v="1"/>
    <n v="-3000"/>
    <n v="-3000"/>
    <s v="se cobro menos"/>
    <m/>
    <m/>
  </r>
  <r>
    <m/>
    <x v="6"/>
    <x v="6"/>
    <x v="6"/>
    <x v="0"/>
    <x v="1"/>
    <s v="Stefania"/>
    <x v="26"/>
    <x v="4"/>
    <n v="1"/>
    <n v="6000"/>
    <n v="6000"/>
    <s v="Mazamorra"/>
    <m/>
    <m/>
  </r>
  <r>
    <m/>
    <x v="6"/>
    <x v="6"/>
    <x v="6"/>
    <x v="0"/>
    <x v="1"/>
    <s v="Stefania"/>
    <x v="26"/>
    <x v="22"/>
    <n v="2"/>
    <n v="3000"/>
    <n v="6000"/>
    <m/>
    <m/>
    <m/>
  </r>
  <r>
    <m/>
    <x v="6"/>
    <x v="6"/>
    <x v="6"/>
    <x v="0"/>
    <x v="1"/>
    <s v="Stefania"/>
    <x v="26"/>
    <x v="40"/>
    <n v="1"/>
    <n v="12000"/>
    <n v="12000"/>
    <m/>
    <m/>
    <m/>
  </r>
  <r>
    <m/>
    <x v="6"/>
    <x v="6"/>
    <x v="6"/>
    <x v="0"/>
    <x v="1"/>
    <s v="Julían"/>
    <x v="27"/>
    <x v="30"/>
    <n v="4"/>
    <n v="3500"/>
    <n v="14000"/>
    <m/>
    <m/>
    <m/>
  </r>
  <r>
    <m/>
    <x v="6"/>
    <x v="6"/>
    <x v="6"/>
    <x v="0"/>
    <x v="1"/>
    <s v="Julían"/>
    <x v="27"/>
    <x v="9"/>
    <n v="1"/>
    <n v="4000"/>
    <n v="4000"/>
    <m/>
    <m/>
    <m/>
  </r>
  <r>
    <m/>
    <x v="6"/>
    <x v="6"/>
    <x v="6"/>
    <x v="0"/>
    <x v="1"/>
    <s v="Julían"/>
    <x v="27"/>
    <x v="4"/>
    <n v="2"/>
    <n v="6000"/>
    <n v="12000"/>
    <s v="Mazamorra"/>
    <m/>
    <m/>
  </r>
  <r>
    <m/>
    <x v="6"/>
    <x v="6"/>
    <x v="6"/>
    <x v="0"/>
    <x v="1"/>
    <s v="Julían"/>
    <x v="27"/>
    <x v="14"/>
    <n v="1"/>
    <n v="40000"/>
    <n v="40000"/>
    <m/>
    <m/>
    <m/>
  </r>
  <r>
    <m/>
    <x v="6"/>
    <x v="6"/>
    <x v="6"/>
    <x v="0"/>
    <x v="1"/>
    <s v="Jose Gustavo"/>
    <x v="28"/>
    <x v="1"/>
    <n v="2"/>
    <n v="9250"/>
    <n v="18500"/>
    <m/>
    <m/>
    <m/>
  </r>
  <r>
    <m/>
    <x v="6"/>
    <x v="6"/>
    <x v="6"/>
    <x v="0"/>
    <x v="1"/>
    <s v="Stefania"/>
    <x v="29"/>
    <x v="41"/>
    <n v="1"/>
    <n v="20000"/>
    <n v="20000"/>
    <m/>
    <m/>
    <m/>
  </r>
  <r>
    <m/>
    <x v="6"/>
    <x v="6"/>
    <x v="6"/>
    <x v="0"/>
    <x v="1"/>
    <s v="Stefania"/>
    <x v="29"/>
    <x v="20"/>
    <n v="1"/>
    <n v="12000"/>
    <n v="12000"/>
    <m/>
    <m/>
    <m/>
  </r>
  <r>
    <m/>
    <x v="6"/>
    <x v="6"/>
    <x v="6"/>
    <x v="0"/>
    <x v="1"/>
    <s v="Stefania"/>
    <x v="29"/>
    <x v="3"/>
    <n v="1"/>
    <n v="2000"/>
    <n v="2000"/>
    <m/>
    <m/>
    <m/>
  </r>
  <r>
    <m/>
    <x v="6"/>
    <x v="6"/>
    <x v="6"/>
    <x v="0"/>
    <x v="1"/>
    <s v="Stefania"/>
    <x v="10"/>
    <x v="14"/>
    <n v="1"/>
    <n v="30000"/>
    <n v="30000"/>
    <m/>
    <m/>
    <m/>
  </r>
  <r>
    <m/>
    <x v="6"/>
    <x v="6"/>
    <x v="6"/>
    <x v="0"/>
    <x v="1"/>
    <s v="Stefania"/>
    <x v="10"/>
    <x v="22"/>
    <n v="1"/>
    <n v="3000"/>
    <n v="3000"/>
    <m/>
    <m/>
    <m/>
  </r>
  <r>
    <m/>
    <x v="6"/>
    <x v="6"/>
    <x v="6"/>
    <x v="0"/>
    <x v="1"/>
    <s v="Stefania"/>
    <x v="10"/>
    <x v="5"/>
    <n v="1"/>
    <n v="2000"/>
    <n v="2000"/>
    <m/>
    <m/>
    <m/>
  </r>
  <r>
    <m/>
    <x v="6"/>
    <x v="6"/>
    <x v="6"/>
    <x v="0"/>
    <x v="1"/>
    <s v="Stefania"/>
    <x v="10"/>
    <x v="4"/>
    <n v="1"/>
    <n v="6000"/>
    <n v="6000"/>
    <s v="Mazamorra"/>
    <m/>
    <m/>
  </r>
  <r>
    <s v="Contratación de Chef_x000a_Inducción de los dos meseros_x000a_facturas y sello persona natural_x000a_Hay gran desorden en la nevera"/>
    <x v="7"/>
    <x v="7"/>
    <x v="0"/>
    <x v="0"/>
    <x v="1"/>
    <s v="???"/>
    <x v="1"/>
    <x v="14"/>
    <n v="1"/>
    <n v="40000"/>
    <n v="40000"/>
    <m/>
    <m/>
    <m/>
  </r>
  <r>
    <m/>
    <x v="7"/>
    <x v="7"/>
    <x v="0"/>
    <x v="0"/>
    <x v="1"/>
    <s v="???"/>
    <x v="1"/>
    <x v="30"/>
    <n v="2"/>
    <n v="3000"/>
    <n v="6000"/>
    <m/>
    <m/>
    <m/>
  </r>
  <r>
    <m/>
    <x v="7"/>
    <x v="7"/>
    <x v="0"/>
    <x v="0"/>
    <x v="1"/>
    <s v="???"/>
    <x v="1"/>
    <x v="5"/>
    <n v="1"/>
    <n v="2000"/>
    <n v="2000"/>
    <m/>
    <m/>
    <m/>
  </r>
  <r>
    <m/>
    <x v="7"/>
    <x v="7"/>
    <x v="0"/>
    <x v="0"/>
    <x v="1"/>
    <s v="???"/>
    <x v="2"/>
    <x v="14"/>
    <n v="1"/>
    <n v="15000"/>
    <n v="15000"/>
    <m/>
    <m/>
    <m/>
  </r>
  <r>
    <m/>
    <x v="7"/>
    <x v="7"/>
    <x v="0"/>
    <x v="0"/>
    <x v="1"/>
    <s v="???"/>
    <x v="3"/>
    <x v="14"/>
    <n v="1"/>
    <n v="40000"/>
    <n v="40000"/>
    <m/>
    <m/>
    <m/>
  </r>
  <r>
    <m/>
    <x v="7"/>
    <x v="7"/>
    <x v="0"/>
    <x v="0"/>
    <x v="1"/>
    <s v="???"/>
    <x v="3"/>
    <x v="9"/>
    <n v="1"/>
    <n v="4000"/>
    <n v="4000"/>
    <m/>
    <m/>
    <m/>
  </r>
  <r>
    <m/>
    <x v="7"/>
    <x v="7"/>
    <x v="0"/>
    <x v="0"/>
    <x v="1"/>
    <s v="???"/>
    <x v="3"/>
    <x v="30"/>
    <n v="1"/>
    <n v="3000"/>
    <n v="3000"/>
    <m/>
    <m/>
    <m/>
  </r>
  <r>
    <m/>
    <x v="7"/>
    <x v="7"/>
    <x v="0"/>
    <x v="0"/>
    <x v="1"/>
    <s v="???"/>
    <x v="4"/>
    <x v="4"/>
    <n v="1"/>
    <n v="6000"/>
    <n v="6000"/>
    <s v="Calldo de pescado"/>
    <m/>
    <m/>
  </r>
  <r>
    <m/>
    <x v="7"/>
    <x v="7"/>
    <x v="0"/>
    <x v="0"/>
    <x v="1"/>
    <s v="???"/>
    <x v="4"/>
    <x v="42"/>
    <n v="1"/>
    <n v="2500"/>
    <n v="2500"/>
    <m/>
    <m/>
    <m/>
  </r>
  <r>
    <m/>
    <x v="7"/>
    <x v="7"/>
    <x v="0"/>
    <x v="0"/>
    <x v="1"/>
    <s v="???"/>
    <x v="4"/>
    <x v="14"/>
    <n v="1"/>
    <n v="20000"/>
    <n v="20000"/>
    <m/>
    <m/>
    <m/>
  </r>
  <r>
    <m/>
    <x v="7"/>
    <x v="7"/>
    <x v="0"/>
    <x v="0"/>
    <x v="1"/>
    <s v="???"/>
    <x v="5"/>
    <x v="1"/>
    <n v="1"/>
    <n v="10000"/>
    <n v="10000"/>
    <m/>
    <m/>
    <m/>
  </r>
  <r>
    <m/>
    <x v="7"/>
    <x v="7"/>
    <x v="0"/>
    <x v="0"/>
    <x v="1"/>
    <s v="???"/>
    <x v="6"/>
    <x v="43"/>
    <n v="1"/>
    <n v="12000"/>
    <n v="12000"/>
    <m/>
    <m/>
    <m/>
  </r>
  <r>
    <m/>
    <x v="7"/>
    <x v="7"/>
    <x v="0"/>
    <x v="0"/>
    <x v="1"/>
    <s v="???"/>
    <x v="6"/>
    <x v="44"/>
    <n v="1"/>
    <n v="20000"/>
    <n v="20000"/>
    <s v="Corregir de la carta canasta?"/>
    <m/>
    <m/>
  </r>
  <r>
    <m/>
    <x v="7"/>
    <x v="7"/>
    <x v="0"/>
    <x v="0"/>
    <x v="1"/>
    <s v="???"/>
    <x v="6"/>
    <x v="45"/>
    <n v="1"/>
    <n v="25000"/>
    <n v="25000"/>
    <m/>
    <m/>
    <m/>
  </r>
  <r>
    <m/>
    <x v="7"/>
    <x v="7"/>
    <x v="0"/>
    <x v="0"/>
    <x v="1"/>
    <s v="???"/>
    <x v="6"/>
    <x v="46"/>
    <n v="1"/>
    <n v="30000"/>
    <n v="30000"/>
    <m/>
    <m/>
    <m/>
  </r>
  <r>
    <m/>
    <x v="7"/>
    <x v="7"/>
    <x v="0"/>
    <x v="0"/>
    <x v="1"/>
    <s v="???"/>
    <x v="6"/>
    <x v="21"/>
    <n v="1"/>
    <n v="2500"/>
    <n v="2500"/>
    <m/>
    <m/>
    <m/>
  </r>
  <r>
    <m/>
    <x v="7"/>
    <x v="7"/>
    <x v="0"/>
    <x v="0"/>
    <x v="1"/>
    <s v="???"/>
    <x v="6"/>
    <x v="22"/>
    <n v="2"/>
    <n v="3000"/>
    <n v="6000"/>
    <m/>
    <m/>
    <m/>
  </r>
  <r>
    <m/>
    <x v="7"/>
    <x v="7"/>
    <x v="0"/>
    <x v="0"/>
    <x v="1"/>
    <s v="???"/>
    <x v="6"/>
    <x v="47"/>
    <n v="2"/>
    <n v="2000"/>
    <n v="4000"/>
    <m/>
    <m/>
    <m/>
  </r>
  <r>
    <m/>
    <x v="7"/>
    <x v="7"/>
    <x v="0"/>
    <x v="0"/>
    <x v="1"/>
    <s v="???"/>
    <x v="7"/>
    <x v="48"/>
    <n v="1"/>
    <n v="40000"/>
    <n v="40000"/>
    <m/>
    <m/>
    <m/>
  </r>
  <r>
    <m/>
    <x v="7"/>
    <x v="7"/>
    <x v="0"/>
    <x v="0"/>
    <x v="1"/>
    <s v="???"/>
    <x v="7"/>
    <x v="9"/>
    <n v="1"/>
    <n v="4000"/>
    <n v="4000"/>
    <m/>
    <m/>
    <m/>
  </r>
  <r>
    <m/>
    <x v="7"/>
    <x v="7"/>
    <x v="0"/>
    <x v="0"/>
    <x v="1"/>
    <s v="???"/>
    <x v="7"/>
    <x v="3"/>
    <n v="1"/>
    <n v="2000"/>
    <n v="2000"/>
    <m/>
    <m/>
    <m/>
  </r>
  <r>
    <m/>
    <x v="7"/>
    <x v="7"/>
    <x v="0"/>
    <x v="0"/>
    <x v="1"/>
    <s v="???"/>
    <x v="7"/>
    <x v="4"/>
    <n v="1"/>
    <n v="6000"/>
    <n v="6000"/>
    <s v="Ajiaco"/>
    <m/>
    <m/>
  </r>
  <r>
    <m/>
    <x v="7"/>
    <x v="7"/>
    <x v="0"/>
    <x v="0"/>
    <x v="1"/>
    <s v="???"/>
    <x v="8"/>
    <x v="1"/>
    <n v="1"/>
    <n v="12000"/>
    <n v="12000"/>
    <m/>
    <m/>
    <m/>
  </r>
  <r>
    <m/>
    <x v="7"/>
    <x v="7"/>
    <x v="0"/>
    <x v="0"/>
    <x v="1"/>
    <s v="???"/>
    <x v="9"/>
    <x v="49"/>
    <n v="1"/>
    <n v="22000"/>
    <n v="22000"/>
    <m/>
    <m/>
    <m/>
  </r>
  <r>
    <m/>
    <x v="7"/>
    <x v="7"/>
    <x v="0"/>
    <x v="0"/>
    <x v="1"/>
    <s v="???"/>
    <x v="9"/>
    <x v="20"/>
    <n v="2"/>
    <n v="12500"/>
    <n v="25000"/>
    <m/>
    <m/>
    <m/>
  </r>
  <r>
    <m/>
    <x v="7"/>
    <x v="7"/>
    <x v="0"/>
    <x v="0"/>
    <x v="1"/>
    <s v="???"/>
    <x v="9"/>
    <x v="28"/>
    <n v="1"/>
    <n v="20000"/>
    <n v="20000"/>
    <m/>
    <m/>
    <m/>
  </r>
  <r>
    <m/>
    <x v="7"/>
    <x v="7"/>
    <x v="0"/>
    <x v="0"/>
    <x v="1"/>
    <s v="???"/>
    <x v="9"/>
    <x v="4"/>
    <n v="1"/>
    <n v="6000"/>
    <n v="6000"/>
    <s v="Mazamorra"/>
    <m/>
    <m/>
  </r>
  <r>
    <m/>
    <x v="7"/>
    <x v="7"/>
    <x v="0"/>
    <x v="0"/>
    <x v="1"/>
    <s v="???"/>
    <x v="9"/>
    <x v="34"/>
    <n v="1"/>
    <n v="5000"/>
    <n v="5000"/>
    <m/>
    <m/>
    <m/>
  </r>
  <r>
    <m/>
    <x v="7"/>
    <x v="7"/>
    <x v="0"/>
    <x v="0"/>
    <x v="1"/>
    <s v="???"/>
    <x v="10"/>
    <x v="23"/>
    <n v="3"/>
    <n v="8000"/>
    <n v="24000"/>
    <m/>
    <m/>
    <m/>
  </r>
  <r>
    <m/>
    <x v="7"/>
    <x v="7"/>
    <x v="0"/>
    <x v="0"/>
    <x v="1"/>
    <s v="???"/>
    <x v="10"/>
    <x v="4"/>
    <n v="1"/>
    <n v="6000"/>
    <n v="6000"/>
    <s v="Ajiaco"/>
    <m/>
    <m/>
  </r>
  <r>
    <m/>
    <x v="7"/>
    <x v="7"/>
    <x v="0"/>
    <x v="0"/>
    <x v="1"/>
    <s v="???"/>
    <x v="10"/>
    <x v="9"/>
    <n v="1"/>
    <n v="4000"/>
    <n v="4000"/>
    <m/>
    <m/>
    <m/>
  </r>
  <r>
    <m/>
    <x v="7"/>
    <x v="7"/>
    <x v="0"/>
    <x v="0"/>
    <x v="1"/>
    <s v="???"/>
    <x v="11"/>
    <x v="1"/>
    <n v="1"/>
    <n v="10000"/>
    <n v="10000"/>
    <m/>
    <m/>
    <m/>
  </r>
  <r>
    <m/>
    <x v="7"/>
    <x v="7"/>
    <x v="0"/>
    <x v="0"/>
    <x v="1"/>
    <s v="???"/>
    <x v="12"/>
    <x v="14"/>
    <n v="1"/>
    <n v="20000"/>
    <n v="20000"/>
    <m/>
    <m/>
    <m/>
  </r>
  <r>
    <m/>
    <x v="7"/>
    <x v="7"/>
    <x v="0"/>
    <x v="0"/>
    <x v="1"/>
    <s v="???"/>
    <x v="13"/>
    <x v="14"/>
    <n v="1"/>
    <n v="15000"/>
    <n v="15000"/>
    <m/>
    <m/>
    <m/>
  </r>
  <r>
    <m/>
    <x v="7"/>
    <x v="7"/>
    <x v="0"/>
    <x v="0"/>
    <x v="1"/>
    <s v="???"/>
    <x v="14"/>
    <x v="4"/>
    <n v="1"/>
    <n v="3000"/>
    <n v="3000"/>
    <m/>
    <m/>
    <m/>
  </r>
  <r>
    <m/>
    <x v="7"/>
    <x v="7"/>
    <x v="0"/>
    <x v="0"/>
    <x v="1"/>
    <s v="???"/>
    <x v="15"/>
    <x v="46"/>
    <n v="1"/>
    <n v="30000"/>
    <n v="30000"/>
    <m/>
    <m/>
    <m/>
  </r>
  <r>
    <m/>
    <x v="7"/>
    <x v="7"/>
    <x v="0"/>
    <x v="0"/>
    <x v="1"/>
    <s v="???"/>
    <x v="15"/>
    <x v="21"/>
    <n v="1"/>
    <n v="2500"/>
    <n v="2500"/>
    <m/>
    <m/>
    <m/>
  </r>
  <r>
    <m/>
    <x v="7"/>
    <x v="7"/>
    <x v="0"/>
    <x v="0"/>
    <x v="1"/>
    <s v="???"/>
    <x v="15"/>
    <x v="31"/>
    <n v="1"/>
    <n v="-2500"/>
    <n v="-2500"/>
    <s v="No se cobro una gaseosa"/>
    <m/>
    <m/>
  </r>
  <r>
    <m/>
    <x v="7"/>
    <x v="7"/>
    <x v="0"/>
    <x v="0"/>
    <x v="1"/>
    <s v="???"/>
    <x v="16"/>
    <x v="50"/>
    <n v="2"/>
    <n v="25000"/>
    <n v="50000"/>
    <m/>
    <m/>
    <m/>
  </r>
  <r>
    <m/>
    <x v="7"/>
    <x v="7"/>
    <x v="0"/>
    <x v="0"/>
    <x v="1"/>
    <s v="???"/>
    <x v="16"/>
    <x v="51"/>
    <n v="2"/>
    <n v="3000"/>
    <n v="6000"/>
    <m/>
    <m/>
    <m/>
  </r>
  <r>
    <m/>
    <x v="7"/>
    <x v="7"/>
    <x v="0"/>
    <x v="0"/>
    <x v="1"/>
    <s v="???"/>
    <x v="17"/>
    <x v="52"/>
    <n v="1"/>
    <n v="28000"/>
    <n v="28000"/>
    <m/>
    <m/>
    <m/>
  </r>
  <r>
    <m/>
    <x v="7"/>
    <x v="7"/>
    <x v="0"/>
    <x v="0"/>
    <x v="1"/>
    <s v="???"/>
    <x v="17"/>
    <x v="53"/>
    <n v="1"/>
    <n v="4500"/>
    <n v="4500"/>
    <m/>
    <m/>
    <m/>
  </r>
  <r>
    <m/>
    <x v="7"/>
    <x v="7"/>
    <x v="0"/>
    <x v="0"/>
    <x v="1"/>
    <s v="???"/>
    <x v="18"/>
    <x v="14"/>
    <n v="1"/>
    <n v="25000"/>
    <n v="25000"/>
    <m/>
    <m/>
    <m/>
  </r>
  <r>
    <m/>
    <x v="7"/>
    <x v="7"/>
    <x v="0"/>
    <x v="0"/>
    <x v="1"/>
    <s v="???"/>
    <x v="18"/>
    <x v="21"/>
    <n v="1"/>
    <n v="2500"/>
    <n v="2500"/>
    <m/>
    <m/>
    <m/>
  </r>
  <r>
    <m/>
    <x v="7"/>
    <x v="7"/>
    <x v="0"/>
    <x v="0"/>
    <x v="1"/>
    <s v="???"/>
    <x v="19"/>
    <x v="14"/>
    <n v="1"/>
    <n v="40000"/>
    <n v="40000"/>
    <m/>
    <m/>
    <m/>
  </r>
  <r>
    <s v="Diseño de página web - se pospuso_x000a_Gallina disminuto la calidad"/>
    <x v="8"/>
    <x v="8"/>
    <x v="1"/>
    <x v="1"/>
    <x v="2"/>
    <m/>
    <x v="0"/>
    <x v="0"/>
    <m/>
    <m/>
    <n v="183210"/>
    <m/>
    <s v="se pago el arriendo"/>
    <m/>
  </r>
  <r>
    <s v="redaccion contrato_x000a_y cuentas"/>
    <x v="9"/>
    <x v="9"/>
    <x v="2"/>
    <x v="1"/>
    <x v="2"/>
    <m/>
    <x v="0"/>
    <x v="0"/>
    <m/>
    <m/>
    <n v="229800"/>
    <m/>
    <m/>
    <s v="Gota a Gota"/>
  </r>
  <r>
    <s v="redaccion contrato_x000a_y cuentas"/>
    <x v="10"/>
    <x v="10"/>
    <x v="3"/>
    <x v="1"/>
    <x v="2"/>
    <m/>
    <x v="0"/>
    <x v="0"/>
    <m/>
    <m/>
    <n v="238000"/>
    <m/>
    <m/>
    <m/>
  </r>
  <r>
    <m/>
    <x v="11"/>
    <x v="11"/>
    <x v="4"/>
    <x v="1"/>
    <x v="2"/>
    <m/>
    <x v="0"/>
    <x v="0"/>
    <m/>
    <m/>
    <n v="238000"/>
    <m/>
    <m/>
    <m/>
  </r>
  <r>
    <m/>
    <x v="12"/>
    <x v="12"/>
    <x v="5"/>
    <x v="0"/>
    <x v="2"/>
    <m/>
    <x v="0"/>
    <x v="0"/>
    <m/>
    <m/>
    <n v="420500"/>
    <m/>
    <m/>
    <m/>
  </r>
  <r>
    <s v="Pagar el arriendo, contrato de arrendamiento"/>
    <x v="13"/>
    <x v="13"/>
    <x v="6"/>
    <x v="0"/>
    <x v="2"/>
    <m/>
    <x v="0"/>
    <x v="0"/>
    <m/>
    <m/>
    <n v="1210300"/>
    <m/>
    <m/>
    <m/>
  </r>
  <r>
    <m/>
    <x v="14"/>
    <x v="14"/>
    <x v="0"/>
    <x v="0"/>
    <x v="2"/>
    <m/>
    <x v="0"/>
    <x v="0"/>
    <m/>
    <m/>
    <n v="1345600"/>
    <m/>
    <m/>
    <m/>
  </r>
  <r>
    <m/>
    <x v="15"/>
    <x v="15"/>
    <x v="1"/>
    <x v="1"/>
    <x v="3"/>
    <m/>
    <x v="0"/>
    <x v="0"/>
    <m/>
    <m/>
    <n v="603500"/>
    <m/>
    <m/>
    <m/>
  </r>
  <r>
    <m/>
    <x v="16"/>
    <x v="16"/>
    <x v="2"/>
    <x v="1"/>
    <x v="3"/>
    <m/>
    <x v="0"/>
    <x v="0"/>
    <m/>
    <m/>
    <n v="426300"/>
    <m/>
    <m/>
    <m/>
  </r>
  <r>
    <m/>
    <x v="17"/>
    <x v="17"/>
    <x v="3"/>
    <x v="1"/>
    <x v="3"/>
    <m/>
    <x v="0"/>
    <x v="0"/>
    <m/>
    <m/>
    <n v="134000"/>
    <m/>
    <m/>
    <m/>
  </r>
  <r>
    <m/>
    <x v="18"/>
    <x v="18"/>
    <x v="4"/>
    <x v="1"/>
    <x v="3"/>
    <m/>
    <x v="0"/>
    <x v="0"/>
    <m/>
    <m/>
    <n v="85500"/>
    <m/>
    <m/>
    <m/>
  </r>
  <r>
    <m/>
    <x v="19"/>
    <x v="19"/>
    <x v="5"/>
    <x v="0"/>
    <x v="3"/>
    <m/>
    <x v="0"/>
    <x v="0"/>
    <m/>
    <m/>
    <n v="427900"/>
    <m/>
    <m/>
    <m/>
  </r>
  <r>
    <m/>
    <x v="20"/>
    <x v="20"/>
    <x v="6"/>
    <x v="0"/>
    <x v="3"/>
    <m/>
    <x v="0"/>
    <x v="0"/>
    <m/>
    <m/>
    <n v="664500"/>
    <m/>
    <m/>
    <m/>
  </r>
  <r>
    <m/>
    <x v="21"/>
    <x v="21"/>
    <x v="0"/>
    <x v="0"/>
    <x v="3"/>
    <s v="Alines"/>
    <x v="1"/>
    <x v="4"/>
    <n v="3"/>
    <n v="8000"/>
    <n v="24000"/>
    <m/>
    <m/>
    <m/>
  </r>
  <r>
    <m/>
    <x v="21"/>
    <x v="21"/>
    <x v="0"/>
    <x v="0"/>
    <x v="3"/>
    <s v="Alines"/>
    <x v="1"/>
    <x v="14"/>
    <n v="1"/>
    <n v="80000"/>
    <n v="80000"/>
    <m/>
    <m/>
    <m/>
  </r>
  <r>
    <m/>
    <x v="21"/>
    <x v="21"/>
    <x v="0"/>
    <x v="0"/>
    <x v="3"/>
    <s v="Alines"/>
    <x v="1"/>
    <x v="21"/>
    <n v="1"/>
    <n v="2500"/>
    <n v="2500"/>
    <m/>
    <m/>
    <m/>
  </r>
  <r>
    <m/>
    <x v="21"/>
    <x v="21"/>
    <x v="0"/>
    <x v="0"/>
    <x v="3"/>
    <s v="Alines"/>
    <x v="2"/>
    <x v="4"/>
    <n v="1"/>
    <n v="6000"/>
    <n v="6000"/>
    <s v="Mondongo"/>
    <m/>
    <m/>
  </r>
  <r>
    <m/>
    <x v="21"/>
    <x v="21"/>
    <x v="0"/>
    <x v="0"/>
    <x v="3"/>
    <s v="Alines"/>
    <x v="2"/>
    <x v="14"/>
    <n v="1"/>
    <n v="25000"/>
    <n v="25000"/>
    <m/>
    <m/>
    <m/>
  </r>
  <r>
    <m/>
    <x v="21"/>
    <x v="21"/>
    <x v="0"/>
    <x v="0"/>
    <x v="3"/>
    <s v="Stefania"/>
    <x v="3"/>
    <x v="14"/>
    <n v="1"/>
    <n v="20000"/>
    <n v="20000"/>
    <m/>
    <m/>
    <m/>
  </r>
  <r>
    <m/>
    <x v="21"/>
    <x v="21"/>
    <x v="0"/>
    <x v="0"/>
    <x v="3"/>
    <s v="Edwin"/>
    <x v="4"/>
    <x v="14"/>
    <n v="1"/>
    <n v="20000"/>
    <n v="20000"/>
    <m/>
    <m/>
    <m/>
  </r>
  <r>
    <m/>
    <x v="21"/>
    <x v="21"/>
    <x v="0"/>
    <x v="0"/>
    <x v="3"/>
    <s v="Edwin"/>
    <x v="4"/>
    <x v="16"/>
    <n v="4"/>
    <n v="2500"/>
    <n v="10000"/>
    <m/>
    <m/>
    <m/>
  </r>
  <r>
    <m/>
    <x v="21"/>
    <x v="21"/>
    <x v="0"/>
    <x v="0"/>
    <x v="3"/>
    <s v="Stefania"/>
    <x v="5"/>
    <x v="14"/>
    <n v="1"/>
    <n v="30000"/>
    <n v="30000"/>
    <m/>
    <m/>
    <m/>
  </r>
  <r>
    <m/>
    <x v="21"/>
    <x v="21"/>
    <x v="0"/>
    <x v="0"/>
    <x v="3"/>
    <s v="Stefania"/>
    <x v="5"/>
    <x v="4"/>
    <n v="1"/>
    <n v="6000"/>
    <n v="6000"/>
    <s v="Mondongo"/>
    <m/>
    <m/>
  </r>
  <r>
    <m/>
    <x v="21"/>
    <x v="21"/>
    <x v="0"/>
    <x v="0"/>
    <x v="3"/>
    <s v="Stefania"/>
    <x v="5"/>
    <x v="54"/>
    <n v="1"/>
    <n v="5000"/>
    <n v="5000"/>
    <m/>
    <m/>
    <m/>
  </r>
  <r>
    <m/>
    <x v="21"/>
    <x v="21"/>
    <x v="0"/>
    <x v="0"/>
    <x v="3"/>
    <s v="Stefania"/>
    <x v="6"/>
    <x v="14"/>
    <n v="1"/>
    <n v="50000"/>
    <n v="50000"/>
    <m/>
    <m/>
    <m/>
  </r>
  <r>
    <m/>
    <x v="21"/>
    <x v="21"/>
    <x v="0"/>
    <x v="0"/>
    <x v="3"/>
    <s v="Stefania"/>
    <x v="7"/>
    <x v="14"/>
    <n v="1"/>
    <n v="40000"/>
    <n v="40000"/>
    <m/>
    <m/>
    <m/>
  </r>
  <r>
    <m/>
    <x v="21"/>
    <x v="21"/>
    <x v="0"/>
    <x v="0"/>
    <x v="3"/>
    <s v="Stefania"/>
    <x v="7"/>
    <x v="55"/>
    <n v="4"/>
    <n v="3000"/>
    <n v="12000"/>
    <s v="Se cobro un de más"/>
    <m/>
    <m/>
  </r>
  <r>
    <m/>
    <x v="21"/>
    <x v="21"/>
    <x v="0"/>
    <x v="0"/>
    <x v="3"/>
    <s v="Alines"/>
    <x v="8"/>
    <x v="4"/>
    <n v="4"/>
    <n v="6000"/>
    <n v="24000"/>
    <m/>
    <m/>
    <m/>
  </r>
  <r>
    <m/>
    <x v="21"/>
    <x v="21"/>
    <x v="0"/>
    <x v="0"/>
    <x v="3"/>
    <s v="Alines"/>
    <x v="8"/>
    <x v="14"/>
    <n v="1"/>
    <n v="40000"/>
    <n v="40000"/>
    <m/>
    <m/>
    <m/>
  </r>
  <r>
    <m/>
    <x v="21"/>
    <x v="21"/>
    <x v="0"/>
    <x v="0"/>
    <x v="3"/>
    <s v="Alines"/>
    <x v="8"/>
    <x v="34"/>
    <n v="1"/>
    <n v="5000"/>
    <n v="5000"/>
    <m/>
    <m/>
    <m/>
  </r>
  <r>
    <m/>
    <x v="21"/>
    <x v="21"/>
    <x v="0"/>
    <x v="0"/>
    <x v="3"/>
    <s v="Stefania"/>
    <x v="9"/>
    <x v="56"/>
    <n v="1"/>
    <n v="6000"/>
    <n v="6000"/>
    <m/>
    <m/>
    <m/>
  </r>
  <r>
    <m/>
    <x v="21"/>
    <x v="21"/>
    <x v="0"/>
    <x v="0"/>
    <x v="3"/>
    <s v="Stefania"/>
    <x v="9"/>
    <x v="14"/>
    <n v="1"/>
    <n v="50000"/>
    <n v="50000"/>
    <m/>
    <m/>
    <m/>
  </r>
  <r>
    <m/>
    <x v="21"/>
    <x v="21"/>
    <x v="0"/>
    <x v="0"/>
    <x v="3"/>
    <s v="Stefania"/>
    <x v="9"/>
    <x v="57"/>
    <n v="3"/>
    <n v="2000"/>
    <n v="6000"/>
    <m/>
    <m/>
    <m/>
  </r>
  <r>
    <m/>
    <x v="21"/>
    <x v="21"/>
    <x v="0"/>
    <x v="0"/>
    <x v="3"/>
    <s v="Stefania"/>
    <x v="9"/>
    <x v="21"/>
    <n v="2"/>
    <n v="2500"/>
    <n v="5000"/>
    <m/>
    <m/>
    <m/>
  </r>
  <r>
    <m/>
    <x v="21"/>
    <x v="21"/>
    <x v="0"/>
    <x v="0"/>
    <x v="3"/>
    <s v="Stefania"/>
    <x v="10"/>
    <x v="14"/>
    <n v="1"/>
    <n v="70000"/>
    <n v="70000"/>
    <m/>
    <m/>
    <m/>
  </r>
  <r>
    <m/>
    <x v="21"/>
    <x v="21"/>
    <x v="0"/>
    <x v="0"/>
    <x v="3"/>
    <s v="Alines"/>
    <x v="11"/>
    <x v="14"/>
    <n v="1"/>
    <n v="120000"/>
    <n v="120000"/>
    <m/>
    <m/>
    <m/>
  </r>
  <r>
    <m/>
    <x v="21"/>
    <x v="21"/>
    <x v="0"/>
    <x v="0"/>
    <x v="3"/>
    <s v="Alines"/>
    <x v="11"/>
    <x v="4"/>
    <n v="5"/>
    <n v="4000"/>
    <n v="20000"/>
    <m/>
    <m/>
    <m/>
  </r>
  <r>
    <m/>
    <x v="21"/>
    <x v="21"/>
    <x v="0"/>
    <x v="0"/>
    <x v="3"/>
    <s v="Alines"/>
    <x v="11"/>
    <x v="39"/>
    <n v="1"/>
    <n v="4000"/>
    <n v="4000"/>
    <m/>
    <m/>
    <m/>
  </r>
  <r>
    <m/>
    <x v="21"/>
    <x v="21"/>
    <x v="0"/>
    <x v="0"/>
    <x v="3"/>
    <s v="Alines"/>
    <x v="12"/>
    <x v="4"/>
    <n v="2"/>
    <n v="6000"/>
    <n v="12000"/>
    <s v="Error de suma de Alines ( casi cobra 60500)"/>
    <m/>
    <m/>
  </r>
  <r>
    <m/>
    <x v="21"/>
    <x v="21"/>
    <x v="0"/>
    <x v="0"/>
    <x v="3"/>
    <s v="Alines"/>
    <x v="12"/>
    <x v="14"/>
    <n v="1"/>
    <n v="50000"/>
    <n v="50000"/>
    <s v="Error de suma de Alines ( casi cobra 60500)"/>
    <m/>
    <m/>
  </r>
  <r>
    <m/>
    <x v="21"/>
    <x v="21"/>
    <x v="0"/>
    <x v="0"/>
    <x v="3"/>
    <s v="Alines"/>
    <x v="12"/>
    <x v="53"/>
    <n v="1"/>
    <n v="4500"/>
    <n v="4500"/>
    <s v="Error de suma de Alines ( casi cobra 60500)"/>
    <m/>
    <m/>
  </r>
  <r>
    <m/>
    <x v="21"/>
    <x v="21"/>
    <x v="0"/>
    <x v="0"/>
    <x v="3"/>
    <s v="Alines"/>
    <x v="12"/>
    <x v="57"/>
    <n v="1"/>
    <n v="2000"/>
    <n v="2000"/>
    <s v="Error de suma de Alines ( casi cobra 60500)"/>
    <m/>
    <m/>
  </r>
  <r>
    <m/>
    <x v="21"/>
    <x v="21"/>
    <x v="0"/>
    <x v="0"/>
    <x v="3"/>
    <s v="Alines"/>
    <x v="12"/>
    <x v="3"/>
    <n v="1"/>
    <n v="2000"/>
    <n v="2000"/>
    <s v="Error de suma de Alines ( casi cobra 60500)"/>
    <m/>
    <m/>
  </r>
  <r>
    <m/>
    <x v="21"/>
    <x v="21"/>
    <x v="0"/>
    <x v="0"/>
    <x v="3"/>
    <s v="Stefania"/>
    <x v="13"/>
    <x v="14"/>
    <n v="1"/>
    <n v="100000"/>
    <n v="100000"/>
    <m/>
    <m/>
    <m/>
  </r>
  <r>
    <m/>
    <x v="21"/>
    <x v="21"/>
    <x v="0"/>
    <x v="0"/>
    <x v="3"/>
    <s v="Stefania"/>
    <x v="14"/>
    <x v="1"/>
    <n v="3"/>
    <n v="10000"/>
    <n v="30000"/>
    <m/>
    <m/>
    <m/>
  </r>
  <r>
    <m/>
    <x v="21"/>
    <x v="21"/>
    <x v="0"/>
    <x v="0"/>
    <x v="3"/>
    <s v="Stefania"/>
    <x v="14"/>
    <x v="54"/>
    <n v="1"/>
    <n v="5000"/>
    <n v="5000"/>
    <m/>
    <m/>
    <m/>
  </r>
  <r>
    <m/>
    <x v="21"/>
    <x v="21"/>
    <x v="0"/>
    <x v="0"/>
    <x v="3"/>
    <s v="Stefania"/>
    <x v="15"/>
    <x v="14"/>
    <n v="1"/>
    <n v="15000"/>
    <n v="15000"/>
    <m/>
    <m/>
    <m/>
  </r>
  <r>
    <m/>
    <x v="21"/>
    <x v="21"/>
    <x v="0"/>
    <x v="0"/>
    <x v="3"/>
    <s v="Stefania"/>
    <x v="16"/>
    <x v="8"/>
    <n v="3"/>
    <n v="25000"/>
    <n v="75000"/>
    <s v="sumo mal, faltan 1000 pesos a la factura"/>
    <m/>
    <m/>
  </r>
  <r>
    <m/>
    <x v="21"/>
    <x v="21"/>
    <x v="0"/>
    <x v="0"/>
    <x v="3"/>
    <s v="Stefania"/>
    <x v="16"/>
    <x v="58"/>
    <n v="1"/>
    <n v="22000"/>
    <n v="22000"/>
    <s v="sumo mal, faltan 1000 pesos a la factura"/>
    <m/>
    <m/>
  </r>
  <r>
    <m/>
    <x v="21"/>
    <x v="21"/>
    <x v="0"/>
    <x v="0"/>
    <x v="3"/>
    <s v="Stefania"/>
    <x v="16"/>
    <x v="53"/>
    <n v="1"/>
    <n v="4500"/>
    <n v="4500"/>
    <s v="sumo mal, faltan 1000 pesos a la factura"/>
    <m/>
    <m/>
  </r>
  <r>
    <m/>
    <x v="21"/>
    <x v="21"/>
    <x v="0"/>
    <x v="0"/>
    <x v="3"/>
    <s v="Stefania"/>
    <x v="16"/>
    <x v="4"/>
    <n v="1"/>
    <n v="6000"/>
    <n v="6000"/>
    <s v="Ajiaco, sumo mal falran 1000 a la factura"/>
    <m/>
    <m/>
  </r>
  <r>
    <m/>
    <x v="21"/>
    <x v="21"/>
    <x v="0"/>
    <x v="0"/>
    <x v="3"/>
    <s v="Stefania"/>
    <x v="16"/>
    <x v="59"/>
    <n v="1"/>
    <n v="25000"/>
    <n v="25000"/>
    <s v="sumo mal, faltan 1000 pesos a la factura"/>
    <m/>
    <m/>
  </r>
  <r>
    <m/>
    <x v="21"/>
    <x v="21"/>
    <x v="0"/>
    <x v="0"/>
    <x v="3"/>
    <s v="Stefania"/>
    <x v="17"/>
    <x v="4"/>
    <n v="1"/>
    <n v="6000"/>
    <n v="6000"/>
    <m/>
    <m/>
    <m/>
  </r>
  <r>
    <m/>
    <x v="21"/>
    <x v="21"/>
    <x v="0"/>
    <x v="0"/>
    <x v="3"/>
    <s v="Stefania"/>
    <x v="17"/>
    <x v="46"/>
    <n v="1"/>
    <n v="30000"/>
    <n v="30000"/>
    <m/>
    <m/>
    <m/>
  </r>
  <r>
    <m/>
    <x v="21"/>
    <x v="21"/>
    <x v="0"/>
    <x v="0"/>
    <x v="3"/>
    <s v="Stefania"/>
    <x v="17"/>
    <x v="57"/>
    <n v="2"/>
    <n v="2000"/>
    <n v="4000"/>
    <m/>
    <m/>
    <m/>
  </r>
  <r>
    <m/>
    <x v="21"/>
    <x v="21"/>
    <x v="0"/>
    <x v="0"/>
    <x v="3"/>
    <s v="Stefania"/>
    <x v="17"/>
    <x v="16"/>
    <n v="2"/>
    <n v="2000"/>
    <n v="4000"/>
    <s v="¿Qué tipo de jugo es?"/>
    <m/>
    <m/>
  </r>
  <r>
    <m/>
    <x v="21"/>
    <x v="21"/>
    <x v="0"/>
    <x v="0"/>
    <x v="3"/>
    <s v="Alines"/>
    <x v="18"/>
    <x v="4"/>
    <n v="1"/>
    <n v="6000"/>
    <n v="6000"/>
    <m/>
    <m/>
    <m/>
  </r>
  <r>
    <m/>
    <x v="21"/>
    <x v="21"/>
    <x v="0"/>
    <x v="0"/>
    <x v="3"/>
    <s v="Alines"/>
    <x v="18"/>
    <x v="14"/>
    <n v="1"/>
    <n v="50000"/>
    <n v="50000"/>
    <m/>
    <m/>
    <m/>
  </r>
  <r>
    <m/>
    <x v="21"/>
    <x v="21"/>
    <x v="0"/>
    <x v="0"/>
    <x v="3"/>
    <s v="Alines"/>
    <x v="18"/>
    <x v="53"/>
    <n v="1"/>
    <n v="4500"/>
    <n v="4500"/>
    <m/>
    <m/>
    <m/>
  </r>
  <r>
    <m/>
    <x v="21"/>
    <x v="21"/>
    <x v="0"/>
    <x v="0"/>
    <x v="3"/>
    <s v="Alines"/>
    <x v="19"/>
    <x v="4"/>
    <n v="1"/>
    <n v="8000"/>
    <n v="8000"/>
    <m/>
    <m/>
    <m/>
  </r>
  <r>
    <m/>
    <x v="21"/>
    <x v="21"/>
    <x v="0"/>
    <x v="0"/>
    <x v="3"/>
    <s v="Alines"/>
    <x v="19"/>
    <x v="1"/>
    <n v="1"/>
    <n v="12000"/>
    <n v="12000"/>
    <m/>
    <m/>
    <m/>
  </r>
  <r>
    <m/>
    <x v="21"/>
    <x v="21"/>
    <x v="0"/>
    <x v="0"/>
    <x v="3"/>
    <s v="Alines"/>
    <x v="19"/>
    <x v="8"/>
    <n v="1"/>
    <n v="10000"/>
    <n v="10000"/>
    <s v="Es enserio?"/>
    <m/>
    <m/>
  </r>
  <r>
    <m/>
    <x v="21"/>
    <x v="21"/>
    <x v="0"/>
    <x v="0"/>
    <x v="3"/>
    <s v="Alines"/>
    <x v="19"/>
    <x v="21"/>
    <n v="1"/>
    <n v="2500"/>
    <n v="2500"/>
    <m/>
    <m/>
    <m/>
  </r>
  <r>
    <m/>
    <x v="21"/>
    <x v="21"/>
    <x v="0"/>
    <x v="0"/>
    <x v="3"/>
    <s v="Alines"/>
    <x v="19"/>
    <x v="5"/>
    <n v="1"/>
    <n v="2000"/>
    <n v="2000"/>
    <m/>
    <m/>
    <m/>
  </r>
  <r>
    <m/>
    <x v="21"/>
    <x v="21"/>
    <x v="0"/>
    <x v="0"/>
    <x v="3"/>
    <s v="Alines"/>
    <x v="19"/>
    <x v="3"/>
    <n v="1"/>
    <n v="2000"/>
    <n v="2000"/>
    <m/>
    <m/>
    <m/>
  </r>
  <r>
    <m/>
    <x v="21"/>
    <x v="21"/>
    <x v="0"/>
    <x v="0"/>
    <x v="3"/>
    <s v="Alines"/>
    <x v="20"/>
    <x v="4"/>
    <n v="2"/>
    <n v="7000"/>
    <n v="14000"/>
    <m/>
    <m/>
    <m/>
  </r>
  <r>
    <m/>
    <x v="21"/>
    <x v="21"/>
    <x v="0"/>
    <x v="0"/>
    <x v="3"/>
    <s v="Alines"/>
    <x v="20"/>
    <x v="14"/>
    <n v="1"/>
    <n v="40000"/>
    <n v="40000"/>
    <m/>
    <m/>
    <m/>
  </r>
  <r>
    <m/>
    <x v="21"/>
    <x v="21"/>
    <x v="0"/>
    <x v="0"/>
    <x v="3"/>
    <s v="Alines"/>
    <x v="20"/>
    <x v="5"/>
    <n v="1"/>
    <n v="2000"/>
    <n v="2000"/>
    <m/>
    <m/>
    <m/>
  </r>
  <r>
    <m/>
    <x v="21"/>
    <x v="21"/>
    <x v="0"/>
    <x v="0"/>
    <x v="3"/>
    <s v="Alines"/>
    <x v="20"/>
    <x v="22"/>
    <n v="1"/>
    <n v="3000"/>
    <n v="3000"/>
    <m/>
    <m/>
    <m/>
  </r>
  <r>
    <m/>
    <x v="21"/>
    <x v="21"/>
    <x v="0"/>
    <x v="0"/>
    <x v="3"/>
    <s v="Alines"/>
    <x v="20"/>
    <x v="55"/>
    <n v="1"/>
    <n v="3000"/>
    <n v="3000"/>
    <m/>
    <m/>
    <m/>
  </r>
  <r>
    <m/>
    <x v="21"/>
    <x v="21"/>
    <x v="0"/>
    <x v="0"/>
    <x v="3"/>
    <s v="Alines"/>
    <x v="21"/>
    <x v="4"/>
    <n v="3"/>
    <n v="6000"/>
    <n v="18000"/>
    <s v="sumo mal y le dio 19000"/>
    <m/>
    <m/>
  </r>
  <r>
    <m/>
    <x v="21"/>
    <x v="21"/>
    <x v="0"/>
    <x v="0"/>
    <x v="3"/>
    <s v="Alines"/>
    <x v="21"/>
    <x v="14"/>
    <n v="1"/>
    <n v="25000"/>
    <n v="25000"/>
    <m/>
    <m/>
    <m/>
  </r>
  <r>
    <m/>
    <x v="21"/>
    <x v="21"/>
    <x v="0"/>
    <x v="0"/>
    <x v="3"/>
    <s v="Alines"/>
    <x v="21"/>
    <x v="9"/>
    <n v="1"/>
    <n v="4000"/>
    <n v="4000"/>
    <m/>
    <m/>
    <m/>
  </r>
  <r>
    <m/>
    <x v="22"/>
    <x v="22"/>
    <x v="1"/>
    <x v="0"/>
    <x v="4"/>
    <s v="Paula"/>
    <x v="1"/>
    <x v="1"/>
    <n v="1"/>
    <n v="12000"/>
    <n v="12000"/>
    <m/>
    <m/>
    <m/>
  </r>
  <r>
    <m/>
    <x v="22"/>
    <x v="22"/>
    <x v="1"/>
    <x v="0"/>
    <x v="4"/>
    <s v="Alines"/>
    <x v="2"/>
    <x v="4"/>
    <n v="2"/>
    <n v="10000"/>
    <n v="20000"/>
    <m/>
    <m/>
    <m/>
  </r>
  <r>
    <m/>
    <x v="22"/>
    <x v="22"/>
    <x v="1"/>
    <x v="0"/>
    <x v="4"/>
    <s v="Alines"/>
    <x v="2"/>
    <x v="14"/>
    <n v="1"/>
    <n v="35000"/>
    <n v="35000"/>
    <m/>
    <m/>
    <m/>
  </r>
  <r>
    <m/>
    <x v="22"/>
    <x v="22"/>
    <x v="1"/>
    <x v="0"/>
    <x v="4"/>
    <s v="Alines"/>
    <x v="2"/>
    <x v="54"/>
    <n v="1"/>
    <n v="8000"/>
    <n v="8000"/>
    <m/>
    <m/>
    <m/>
  </r>
  <r>
    <m/>
    <x v="22"/>
    <x v="22"/>
    <x v="1"/>
    <x v="0"/>
    <x v="4"/>
    <s v="Alines"/>
    <x v="3"/>
    <x v="14"/>
    <n v="1"/>
    <n v="40000"/>
    <n v="40000"/>
    <m/>
    <m/>
    <m/>
  </r>
  <r>
    <m/>
    <x v="22"/>
    <x v="22"/>
    <x v="1"/>
    <x v="0"/>
    <x v="4"/>
    <s v="Alines"/>
    <x v="3"/>
    <x v="57"/>
    <n v="2"/>
    <n v="2000"/>
    <n v="4000"/>
    <m/>
    <m/>
    <m/>
  </r>
  <r>
    <m/>
    <x v="22"/>
    <x v="22"/>
    <x v="1"/>
    <x v="0"/>
    <x v="4"/>
    <s v="Alines"/>
    <x v="3"/>
    <x v="21"/>
    <n v="1"/>
    <n v="2500"/>
    <n v="2500"/>
    <m/>
    <m/>
    <m/>
  </r>
  <r>
    <m/>
    <x v="22"/>
    <x v="22"/>
    <x v="1"/>
    <x v="0"/>
    <x v="4"/>
    <s v="Alines"/>
    <x v="4"/>
    <x v="14"/>
    <n v="1"/>
    <n v="50000"/>
    <n v="50000"/>
    <m/>
    <m/>
    <m/>
  </r>
  <r>
    <m/>
    <x v="22"/>
    <x v="22"/>
    <x v="1"/>
    <x v="0"/>
    <x v="4"/>
    <s v="Alines"/>
    <x v="5"/>
    <x v="4"/>
    <n v="1"/>
    <n v="5000"/>
    <n v="5000"/>
    <m/>
    <m/>
    <m/>
  </r>
  <r>
    <m/>
    <x v="22"/>
    <x v="22"/>
    <x v="1"/>
    <x v="0"/>
    <x v="4"/>
    <s v="Alines"/>
    <x v="5"/>
    <x v="14"/>
    <n v="1"/>
    <n v="40000"/>
    <n v="40000"/>
    <m/>
    <m/>
    <m/>
  </r>
  <r>
    <m/>
    <x v="22"/>
    <x v="22"/>
    <x v="1"/>
    <x v="0"/>
    <x v="4"/>
    <s v="Alines"/>
    <x v="5"/>
    <x v="5"/>
    <n v="1"/>
    <n v="2000"/>
    <n v="2000"/>
    <m/>
    <m/>
    <m/>
  </r>
  <r>
    <m/>
    <x v="22"/>
    <x v="22"/>
    <x v="1"/>
    <x v="0"/>
    <x v="4"/>
    <s v="Alines"/>
    <x v="5"/>
    <x v="54"/>
    <n v="1"/>
    <n v="8000"/>
    <n v="8000"/>
    <m/>
    <m/>
    <m/>
  </r>
  <r>
    <m/>
    <x v="22"/>
    <x v="22"/>
    <x v="1"/>
    <x v="0"/>
    <x v="4"/>
    <s v="Alines"/>
    <x v="5"/>
    <x v="35"/>
    <n v="1"/>
    <n v="2500"/>
    <n v="2500"/>
    <m/>
    <m/>
    <m/>
  </r>
  <r>
    <m/>
    <x v="22"/>
    <x v="22"/>
    <x v="1"/>
    <x v="0"/>
    <x v="4"/>
    <s v="Alines"/>
    <x v="5"/>
    <x v="60"/>
    <n v="1"/>
    <n v="1500"/>
    <n v="1500"/>
    <m/>
    <m/>
    <m/>
  </r>
  <r>
    <m/>
    <x v="22"/>
    <x v="22"/>
    <x v="1"/>
    <x v="0"/>
    <x v="4"/>
    <s v="Alines"/>
    <x v="6"/>
    <x v="14"/>
    <n v="1"/>
    <n v="80000"/>
    <n v="80000"/>
    <m/>
    <m/>
    <m/>
  </r>
  <r>
    <m/>
    <x v="22"/>
    <x v="22"/>
    <x v="1"/>
    <x v="0"/>
    <x v="4"/>
    <s v="Alines"/>
    <x v="6"/>
    <x v="53"/>
    <n v="1"/>
    <n v="4500"/>
    <n v="4500"/>
    <m/>
    <m/>
    <m/>
  </r>
  <r>
    <m/>
    <x v="22"/>
    <x v="22"/>
    <x v="1"/>
    <x v="0"/>
    <x v="4"/>
    <s v="Alines"/>
    <x v="7"/>
    <x v="14"/>
    <n v="1"/>
    <n v="50000"/>
    <n v="50000"/>
    <m/>
    <m/>
    <m/>
  </r>
  <r>
    <m/>
    <x v="22"/>
    <x v="22"/>
    <x v="1"/>
    <x v="0"/>
    <x v="4"/>
    <s v="Alines"/>
    <x v="8"/>
    <x v="1"/>
    <n v="1"/>
    <n v="12000"/>
    <n v="12000"/>
    <m/>
    <m/>
    <m/>
  </r>
  <r>
    <m/>
    <x v="22"/>
    <x v="22"/>
    <x v="1"/>
    <x v="0"/>
    <x v="4"/>
    <s v="Alines"/>
    <x v="8"/>
    <x v="5"/>
    <n v="1"/>
    <n v="2000"/>
    <n v="2000"/>
    <m/>
    <m/>
    <m/>
  </r>
  <r>
    <m/>
    <x v="22"/>
    <x v="22"/>
    <x v="1"/>
    <x v="0"/>
    <x v="4"/>
    <s v="Alines"/>
    <x v="9"/>
    <x v="28"/>
    <n v="1"/>
    <n v="22000"/>
    <n v="22000"/>
    <m/>
    <m/>
    <m/>
  </r>
  <r>
    <m/>
    <x v="22"/>
    <x v="22"/>
    <x v="1"/>
    <x v="0"/>
    <x v="4"/>
    <s v="Alines"/>
    <x v="9"/>
    <x v="14"/>
    <n v="1"/>
    <n v="40000"/>
    <n v="40000"/>
    <m/>
    <m/>
    <m/>
  </r>
  <r>
    <m/>
    <x v="22"/>
    <x v="22"/>
    <x v="1"/>
    <x v="0"/>
    <x v="4"/>
    <s v="Alines"/>
    <x v="9"/>
    <x v="53"/>
    <n v="2"/>
    <n v="4500"/>
    <n v="9000"/>
    <m/>
    <m/>
    <m/>
  </r>
  <r>
    <m/>
    <x v="22"/>
    <x v="22"/>
    <x v="1"/>
    <x v="0"/>
    <x v="4"/>
    <s v="Alines"/>
    <x v="9"/>
    <x v="4"/>
    <n v="1"/>
    <n v="6000"/>
    <n v="6000"/>
    <s v="Mondongo"/>
    <m/>
    <m/>
  </r>
  <r>
    <m/>
    <x v="22"/>
    <x v="22"/>
    <x v="1"/>
    <x v="0"/>
    <x v="4"/>
    <s v="Alines"/>
    <x v="9"/>
    <x v="61"/>
    <n v="1"/>
    <n v="2000"/>
    <n v="2000"/>
    <m/>
    <m/>
    <m/>
  </r>
  <r>
    <m/>
    <x v="22"/>
    <x v="22"/>
    <x v="1"/>
    <x v="0"/>
    <x v="4"/>
    <s v="Alines"/>
    <x v="10"/>
    <x v="4"/>
    <n v="1"/>
    <n v="6000"/>
    <n v="6000"/>
    <s v="Ajiaco"/>
    <m/>
    <m/>
  </r>
  <r>
    <m/>
    <x v="22"/>
    <x v="22"/>
    <x v="1"/>
    <x v="0"/>
    <x v="4"/>
    <s v="Alines"/>
    <x v="10"/>
    <x v="14"/>
    <n v="1"/>
    <n v="30000"/>
    <n v="30000"/>
    <m/>
    <m/>
    <m/>
  </r>
  <r>
    <m/>
    <x v="22"/>
    <x v="22"/>
    <x v="1"/>
    <x v="0"/>
    <x v="4"/>
    <s v="Stefania"/>
    <x v="10"/>
    <x v="53"/>
    <n v="1"/>
    <n v="4000"/>
    <n v="4000"/>
    <m/>
    <m/>
    <m/>
  </r>
  <r>
    <m/>
    <x v="22"/>
    <x v="22"/>
    <x v="1"/>
    <x v="0"/>
    <x v="4"/>
    <s v="Stefania"/>
    <x v="10"/>
    <x v="62"/>
    <n v="1"/>
    <n v="1500"/>
    <n v="1500"/>
    <m/>
    <m/>
    <m/>
  </r>
  <r>
    <m/>
    <x v="22"/>
    <x v="22"/>
    <x v="1"/>
    <x v="0"/>
    <x v="4"/>
    <s v="Stefania"/>
    <x v="11"/>
    <x v="14"/>
    <n v="1"/>
    <n v="30000"/>
    <n v="30000"/>
    <m/>
    <m/>
    <m/>
  </r>
  <r>
    <m/>
    <x v="22"/>
    <x v="22"/>
    <x v="1"/>
    <x v="0"/>
    <x v="4"/>
    <s v="Stefania"/>
    <x v="11"/>
    <x v="5"/>
    <n v="1"/>
    <n v="2000"/>
    <n v="2000"/>
    <m/>
    <m/>
    <m/>
  </r>
  <r>
    <m/>
    <x v="22"/>
    <x v="22"/>
    <x v="1"/>
    <x v="0"/>
    <x v="4"/>
    <s v="Stefania"/>
    <x v="12"/>
    <x v="14"/>
    <n v="1"/>
    <n v="40000"/>
    <n v="40000"/>
    <m/>
    <m/>
    <m/>
  </r>
  <r>
    <m/>
    <x v="22"/>
    <x v="22"/>
    <x v="1"/>
    <x v="0"/>
    <x v="4"/>
    <s v="Stefania"/>
    <x v="13"/>
    <x v="14"/>
    <n v="1"/>
    <n v="40000"/>
    <n v="40000"/>
    <m/>
    <m/>
    <m/>
  </r>
  <r>
    <m/>
    <x v="22"/>
    <x v="22"/>
    <x v="1"/>
    <x v="0"/>
    <x v="4"/>
    <s v="Stefania"/>
    <x v="13"/>
    <x v="9"/>
    <n v="1"/>
    <n v="4000"/>
    <n v="4000"/>
    <m/>
    <m/>
    <m/>
  </r>
  <r>
    <m/>
    <x v="22"/>
    <x v="22"/>
    <x v="1"/>
    <x v="0"/>
    <x v="4"/>
    <s v="Stefania"/>
    <x v="14"/>
    <x v="4"/>
    <n v="1"/>
    <n v="6500"/>
    <n v="6500"/>
    <m/>
    <m/>
    <m/>
  </r>
  <r>
    <m/>
    <x v="23"/>
    <x v="23"/>
    <x v="2"/>
    <x v="1"/>
    <x v="4"/>
    <s v="Alines"/>
    <x v="1"/>
    <x v="1"/>
    <n v="1"/>
    <n v="9000"/>
    <n v="9000"/>
    <m/>
    <m/>
    <m/>
  </r>
  <r>
    <m/>
    <x v="23"/>
    <x v="23"/>
    <x v="2"/>
    <x v="1"/>
    <x v="4"/>
    <s v="Alines"/>
    <x v="2"/>
    <x v="1"/>
    <n v="1"/>
    <n v="9000"/>
    <n v="9000"/>
    <m/>
    <m/>
    <m/>
  </r>
  <r>
    <m/>
    <x v="23"/>
    <x v="23"/>
    <x v="2"/>
    <x v="1"/>
    <x v="4"/>
    <s v="Alines"/>
    <x v="3"/>
    <x v="4"/>
    <n v="1"/>
    <n v="4000"/>
    <n v="4000"/>
    <m/>
    <m/>
    <m/>
  </r>
  <r>
    <m/>
    <x v="23"/>
    <x v="23"/>
    <x v="2"/>
    <x v="1"/>
    <x v="4"/>
    <s v="Alines"/>
    <x v="4"/>
    <x v="1"/>
    <n v="2"/>
    <n v="9000"/>
    <n v="18000"/>
    <m/>
    <m/>
    <m/>
  </r>
  <r>
    <m/>
    <x v="23"/>
    <x v="23"/>
    <x v="2"/>
    <x v="1"/>
    <x v="4"/>
    <s v="Alines"/>
    <x v="4"/>
    <x v="21"/>
    <n v="1"/>
    <n v="2500"/>
    <n v="2500"/>
    <m/>
    <m/>
    <m/>
  </r>
  <r>
    <m/>
    <x v="23"/>
    <x v="23"/>
    <x v="2"/>
    <x v="1"/>
    <x v="4"/>
    <s v="Alines"/>
    <x v="5"/>
    <x v="1"/>
    <n v="2"/>
    <n v="7000"/>
    <n v="14000"/>
    <s v="La factura original desaparecio ¿Por qué a 7000?"/>
    <m/>
    <m/>
  </r>
  <r>
    <m/>
    <x v="23"/>
    <x v="23"/>
    <x v="2"/>
    <x v="1"/>
    <x v="4"/>
    <s v="Alines"/>
    <x v="6"/>
    <x v="1"/>
    <n v="2"/>
    <n v="9000"/>
    <n v="18000"/>
    <m/>
    <m/>
    <m/>
  </r>
  <r>
    <m/>
    <x v="23"/>
    <x v="23"/>
    <x v="2"/>
    <x v="1"/>
    <x v="4"/>
    <s v="Alines"/>
    <x v="7"/>
    <x v="1"/>
    <n v="1"/>
    <n v="9000"/>
    <n v="9000"/>
    <m/>
    <m/>
    <m/>
  </r>
  <r>
    <m/>
    <x v="23"/>
    <x v="23"/>
    <x v="2"/>
    <x v="1"/>
    <x v="4"/>
    <s v="Alines"/>
    <x v="8"/>
    <x v="1"/>
    <n v="1"/>
    <n v="9000"/>
    <n v="9000"/>
    <m/>
    <m/>
    <m/>
  </r>
  <r>
    <m/>
    <x v="23"/>
    <x v="23"/>
    <x v="2"/>
    <x v="1"/>
    <x v="4"/>
    <s v="Alines"/>
    <x v="9"/>
    <x v="1"/>
    <n v="3"/>
    <n v="9000"/>
    <n v="27000"/>
    <m/>
    <m/>
    <m/>
  </r>
  <r>
    <m/>
    <x v="23"/>
    <x v="23"/>
    <x v="2"/>
    <x v="1"/>
    <x v="4"/>
    <s v="Alines"/>
    <x v="10"/>
    <x v="4"/>
    <n v="2"/>
    <n v="7000"/>
    <n v="14000"/>
    <m/>
    <m/>
    <m/>
  </r>
  <r>
    <m/>
    <x v="23"/>
    <x v="23"/>
    <x v="2"/>
    <x v="1"/>
    <x v="4"/>
    <s v="Alines"/>
    <x v="11"/>
    <x v="1"/>
    <n v="1"/>
    <n v="9000"/>
    <n v="9000"/>
    <m/>
    <m/>
    <m/>
  </r>
  <r>
    <m/>
    <x v="23"/>
    <x v="23"/>
    <x v="2"/>
    <x v="1"/>
    <x v="4"/>
    <s v="Alines"/>
    <x v="12"/>
    <x v="4"/>
    <n v="1"/>
    <n v="4000"/>
    <n v="4000"/>
    <m/>
    <m/>
    <m/>
  </r>
  <r>
    <m/>
    <x v="23"/>
    <x v="23"/>
    <x v="2"/>
    <x v="1"/>
    <x v="4"/>
    <s v="Alines"/>
    <x v="12"/>
    <x v="21"/>
    <n v="1"/>
    <n v="2500"/>
    <n v="2500"/>
    <m/>
    <m/>
    <m/>
  </r>
  <r>
    <m/>
    <x v="23"/>
    <x v="23"/>
    <x v="2"/>
    <x v="1"/>
    <x v="4"/>
    <s v="Alines"/>
    <x v="13"/>
    <x v="1"/>
    <n v="1"/>
    <n v="9000"/>
    <n v="9000"/>
    <m/>
    <m/>
    <m/>
  </r>
  <r>
    <m/>
    <x v="23"/>
    <x v="23"/>
    <x v="2"/>
    <x v="1"/>
    <x v="4"/>
    <s v="Alines"/>
    <x v="14"/>
    <x v="53"/>
    <n v="1"/>
    <n v="4500"/>
    <n v="4500"/>
    <m/>
    <m/>
    <m/>
  </r>
  <r>
    <m/>
    <x v="23"/>
    <x v="23"/>
    <x v="2"/>
    <x v="1"/>
    <x v="4"/>
    <s v="Alines"/>
    <x v="15"/>
    <x v="14"/>
    <n v="1"/>
    <n v="20000"/>
    <n v="20000"/>
    <m/>
    <m/>
    <m/>
  </r>
  <r>
    <m/>
    <x v="23"/>
    <x v="23"/>
    <x v="2"/>
    <x v="1"/>
    <x v="4"/>
    <s v="Alines"/>
    <x v="15"/>
    <x v="57"/>
    <n v="1"/>
    <n v="2000"/>
    <n v="2000"/>
    <m/>
    <m/>
    <m/>
  </r>
  <r>
    <m/>
    <x v="23"/>
    <x v="23"/>
    <x v="2"/>
    <x v="1"/>
    <x v="4"/>
    <s v="Alines"/>
    <x v="15"/>
    <x v="16"/>
    <n v="1"/>
    <n v="2500"/>
    <n v="2500"/>
    <m/>
    <m/>
    <m/>
  </r>
  <r>
    <m/>
    <x v="23"/>
    <x v="23"/>
    <x v="2"/>
    <x v="1"/>
    <x v="4"/>
    <s v="Yeri"/>
    <x v="16"/>
    <x v="1"/>
    <n v="1"/>
    <n v="9000"/>
    <n v="9000"/>
    <m/>
    <m/>
    <m/>
  </r>
  <r>
    <m/>
    <x v="23"/>
    <x v="23"/>
    <x v="2"/>
    <x v="1"/>
    <x v="4"/>
    <s v="Yeri"/>
    <x v="17"/>
    <x v="1"/>
    <n v="1"/>
    <n v="10000"/>
    <n v="10000"/>
    <s v="Se pone escribio comida"/>
    <m/>
    <m/>
  </r>
  <r>
    <m/>
    <x v="23"/>
    <x v="23"/>
    <x v="2"/>
    <x v="1"/>
    <x v="4"/>
    <s v="Yeri"/>
    <x v="18"/>
    <x v="1"/>
    <n v="1"/>
    <n v="10000"/>
    <n v="10000"/>
    <m/>
    <m/>
    <m/>
  </r>
  <r>
    <m/>
    <x v="23"/>
    <x v="23"/>
    <x v="2"/>
    <x v="1"/>
    <x v="4"/>
    <s v="Yeri"/>
    <x v="19"/>
    <x v="1"/>
    <n v="1"/>
    <n v="9000"/>
    <n v="9000"/>
    <m/>
    <m/>
    <m/>
  </r>
  <r>
    <m/>
    <x v="23"/>
    <x v="23"/>
    <x v="2"/>
    <x v="1"/>
    <x v="4"/>
    <s v="Yeri"/>
    <x v="19"/>
    <x v="16"/>
    <n v="1"/>
    <n v="2000"/>
    <n v="2000"/>
    <s v="no se sabe que tipo de jugo es"/>
    <m/>
    <m/>
  </r>
  <r>
    <m/>
    <x v="24"/>
    <x v="24"/>
    <x v="3"/>
    <x v="1"/>
    <x v="4"/>
    <s v="Alines"/>
    <x v="1"/>
    <x v="14"/>
    <n v="1"/>
    <n v="25000"/>
    <n v="25000"/>
    <m/>
    <m/>
    <m/>
  </r>
  <r>
    <m/>
    <x v="24"/>
    <x v="24"/>
    <x v="3"/>
    <x v="1"/>
    <x v="4"/>
    <s v="Alines"/>
    <x v="1"/>
    <x v="57"/>
    <n v="1"/>
    <n v="2000"/>
    <n v="2000"/>
    <m/>
    <m/>
    <m/>
  </r>
  <r>
    <m/>
    <x v="24"/>
    <x v="24"/>
    <x v="3"/>
    <x v="1"/>
    <x v="4"/>
    <s v="Alines"/>
    <x v="2"/>
    <x v="14"/>
    <n v="1"/>
    <n v="20000"/>
    <n v="20000"/>
    <m/>
    <m/>
    <m/>
  </r>
  <r>
    <m/>
    <x v="24"/>
    <x v="24"/>
    <x v="3"/>
    <x v="1"/>
    <x v="4"/>
    <s v="Alines"/>
    <x v="2"/>
    <x v="21"/>
    <n v="1"/>
    <n v="2500"/>
    <n v="2500"/>
    <m/>
    <m/>
    <m/>
  </r>
  <r>
    <m/>
    <x v="24"/>
    <x v="24"/>
    <x v="3"/>
    <x v="1"/>
    <x v="4"/>
    <s v="Alines"/>
    <x v="3"/>
    <x v="1"/>
    <n v="2"/>
    <n v="9000"/>
    <n v="18000"/>
    <m/>
    <m/>
    <m/>
  </r>
  <r>
    <m/>
    <x v="24"/>
    <x v="24"/>
    <x v="3"/>
    <x v="1"/>
    <x v="4"/>
    <s v="Alines"/>
    <x v="4"/>
    <x v="14"/>
    <n v="1"/>
    <n v="20000"/>
    <n v="20000"/>
    <m/>
    <m/>
    <m/>
  </r>
  <r>
    <m/>
    <x v="24"/>
    <x v="24"/>
    <x v="3"/>
    <x v="1"/>
    <x v="4"/>
    <s v="Alines"/>
    <x v="5"/>
    <x v="1"/>
    <n v="1"/>
    <n v="9000"/>
    <n v="9000"/>
    <m/>
    <m/>
    <m/>
  </r>
  <r>
    <m/>
    <x v="24"/>
    <x v="24"/>
    <x v="3"/>
    <x v="1"/>
    <x v="4"/>
    <s v="Alines"/>
    <x v="5"/>
    <x v="55"/>
    <n v="1"/>
    <n v="3000"/>
    <n v="3000"/>
    <m/>
    <m/>
    <m/>
  </r>
  <r>
    <m/>
    <x v="24"/>
    <x v="24"/>
    <x v="3"/>
    <x v="1"/>
    <x v="4"/>
    <s v="Alines"/>
    <x v="6"/>
    <x v="1"/>
    <n v="1"/>
    <n v="9000"/>
    <n v="9000"/>
    <m/>
    <m/>
    <m/>
  </r>
  <r>
    <m/>
    <x v="24"/>
    <x v="24"/>
    <x v="3"/>
    <x v="1"/>
    <x v="4"/>
    <s v="Alines"/>
    <x v="7"/>
    <x v="4"/>
    <n v="2"/>
    <n v="4500"/>
    <n v="9000"/>
    <m/>
    <m/>
    <m/>
  </r>
  <r>
    <m/>
    <x v="24"/>
    <x v="24"/>
    <x v="3"/>
    <x v="1"/>
    <x v="4"/>
    <s v="Alines"/>
    <x v="7"/>
    <x v="53"/>
    <n v="1"/>
    <n v="5000"/>
    <n v="5000"/>
    <m/>
    <m/>
    <m/>
  </r>
  <r>
    <m/>
    <x v="24"/>
    <x v="24"/>
    <x v="3"/>
    <x v="1"/>
    <x v="4"/>
    <s v="Alines"/>
    <x v="7"/>
    <x v="14"/>
    <n v="1"/>
    <n v="60000"/>
    <n v="60000"/>
    <m/>
    <m/>
    <m/>
  </r>
  <r>
    <m/>
    <x v="24"/>
    <x v="24"/>
    <x v="3"/>
    <x v="1"/>
    <x v="4"/>
    <s v="Alines"/>
    <x v="7"/>
    <x v="57"/>
    <n v="1"/>
    <n v="2000"/>
    <n v="2000"/>
    <m/>
    <m/>
    <m/>
  </r>
  <r>
    <m/>
    <x v="24"/>
    <x v="24"/>
    <x v="3"/>
    <x v="1"/>
    <x v="4"/>
    <s v="Alines"/>
    <x v="8"/>
    <x v="1"/>
    <n v="2"/>
    <n v="9000"/>
    <n v="18000"/>
    <m/>
    <m/>
    <m/>
  </r>
  <r>
    <m/>
    <x v="24"/>
    <x v="24"/>
    <x v="3"/>
    <x v="1"/>
    <x v="4"/>
    <s v="Alines"/>
    <x v="9"/>
    <x v="26"/>
    <n v="10"/>
    <n v="800"/>
    <n v="8000"/>
    <m/>
    <m/>
    <m/>
  </r>
  <r>
    <m/>
    <x v="24"/>
    <x v="24"/>
    <x v="3"/>
    <x v="1"/>
    <x v="4"/>
    <s v="Alines"/>
    <x v="10"/>
    <x v="1"/>
    <n v="1"/>
    <n v="9000"/>
    <n v="9000"/>
    <m/>
    <m/>
    <m/>
  </r>
  <r>
    <m/>
    <x v="24"/>
    <x v="24"/>
    <x v="3"/>
    <x v="1"/>
    <x v="4"/>
    <s v="Alines"/>
    <x v="11"/>
    <x v="1"/>
    <n v="2"/>
    <n v="9000"/>
    <n v="18000"/>
    <m/>
    <m/>
    <m/>
  </r>
  <r>
    <m/>
    <x v="24"/>
    <x v="24"/>
    <x v="3"/>
    <x v="1"/>
    <x v="4"/>
    <s v="Alines"/>
    <x v="12"/>
    <x v="1"/>
    <n v="2"/>
    <n v="9000"/>
    <n v="18000"/>
    <m/>
    <m/>
    <m/>
  </r>
  <r>
    <m/>
    <x v="24"/>
    <x v="24"/>
    <x v="3"/>
    <x v="1"/>
    <x v="4"/>
    <s v="Alines"/>
    <x v="13"/>
    <x v="1"/>
    <n v="1"/>
    <n v="9000"/>
    <n v="9000"/>
    <m/>
    <m/>
    <m/>
  </r>
  <r>
    <m/>
    <x v="24"/>
    <x v="24"/>
    <x v="3"/>
    <x v="1"/>
    <x v="4"/>
    <s v="Alines"/>
    <x v="14"/>
    <x v="1"/>
    <n v="1"/>
    <n v="8000"/>
    <n v="8000"/>
    <m/>
    <m/>
    <m/>
  </r>
  <r>
    <m/>
    <x v="24"/>
    <x v="24"/>
    <x v="3"/>
    <x v="1"/>
    <x v="4"/>
    <s v="Alines"/>
    <x v="15"/>
    <x v="63"/>
    <n v="1"/>
    <n v="23000"/>
    <n v="23000"/>
    <m/>
    <m/>
    <m/>
  </r>
  <r>
    <m/>
    <x v="24"/>
    <x v="24"/>
    <x v="3"/>
    <x v="1"/>
    <x v="4"/>
    <s v="Alines"/>
    <x v="15"/>
    <x v="55"/>
    <n v="1"/>
    <n v="3000"/>
    <n v="3000"/>
    <m/>
    <m/>
    <m/>
  </r>
  <r>
    <m/>
    <x v="24"/>
    <x v="24"/>
    <x v="3"/>
    <x v="1"/>
    <x v="4"/>
    <s v="Yeri"/>
    <x v="16"/>
    <x v="14"/>
    <n v="1"/>
    <n v="50000"/>
    <n v="50000"/>
    <m/>
    <m/>
    <m/>
  </r>
  <r>
    <m/>
    <x v="24"/>
    <x v="24"/>
    <x v="3"/>
    <x v="1"/>
    <x v="4"/>
    <s v="Yeri"/>
    <x v="17"/>
    <x v="64"/>
    <n v="1"/>
    <n v="6000"/>
    <n v="6000"/>
    <m/>
    <m/>
    <m/>
  </r>
  <r>
    <m/>
    <x v="24"/>
    <x v="24"/>
    <x v="3"/>
    <x v="1"/>
    <x v="4"/>
    <s v="Yeri"/>
    <x v="18"/>
    <x v="14"/>
    <n v="1"/>
    <n v="10000"/>
    <n v="10000"/>
    <s v="Cliente Iguango con Nit: 900551266-0"/>
    <m/>
    <m/>
  </r>
  <r>
    <m/>
    <x v="24"/>
    <x v="24"/>
    <x v="3"/>
    <x v="1"/>
    <x v="4"/>
    <s v="Yeri"/>
    <x v="19"/>
    <x v="14"/>
    <n v="1"/>
    <n v="20000"/>
    <n v="20000"/>
    <m/>
    <m/>
    <m/>
  </r>
  <r>
    <m/>
    <x v="24"/>
    <x v="24"/>
    <x v="3"/>
    <x v="1"/>
    <x v="4"/>
    <s v="Yeri"/>
    <x v="19"/>
    <x v="26"/>
    <n v="1"/>
    <n v="800"/>
    <n v="80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3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4"/>
    <x v="24"/>
    <x v="3"/>
    <x v="1"/>
    <x v="4"/>
    <s v="Alines"/>
    <x v="0"/>
    <x v="0"/>
    <m/>
    <m/>
    <n v="0"/>
    <m/>
    <m/>
    <m/>
  </r>
  <r>
    <m/>
    <x v="25"/>
    <x v="25"/>
    <x v="4"/>
    <x v="1"/>
    <x v="4"/>
    <s v="Alines"/>
    <x v="1"/>
    <x v="1"/>
    <n v="1"/>
    <n v="9000"/>
    <n v="9000"/>
    <m/>
    <m/>
    <m/>
  </r>
  <r>
    <m/>
    <x v="25"/>
    <x v="25"/>
    <x v="4"/>
    <x v="1"/>
    <x v="4"/>
    <s v="Alines"/>
    <x v="2"/>
    <x v="1"/>
    <n v="1"/>
    <n v="9000"/>
    <n v="9000"/>
    <m/>
    <m/>
    <m/>
  </r>
  <r>
    <m/>
    <x v="25"/>
    <x v="25"/>
    <x v="4"/>
    <x v="1"/>
    <x v="4"/>
    <s v="Alines"/>
    <x v="3"/>
    <x v="1"/>
    <n v="2"/>
    <n v="9000"/>
    <n v="18000"/>
    <m/>
    <m/>
    <m/>
  </r>
  <r>
    <m/>
    <x v="25"/>
    <x v="25"/>
    <x v="4"/>
    <x v="1"/>
    <x v="4"/>
    <s v="Alines"/>
    <x v="4"/>
    <x v="1"/>
    <n v="3"/>
    <n v="9000"/>
    <n v="27000"/>
    <m/>
    <m/>
    <m/>
  </r>
  <r>
    <m/>
    <x v="25"/>
    <x v="25"/>
    <x v="4"/>
    <x v="1"/>
    <x v="4"/>
    <s v="Alines"/>
    <x v="5"/>
    <x v="1"/>
    <n v="3"/>
    <n v="10000"/>
    <n v="30000"/>
    <m/>
    <m/>
    <m/>
  </r>
  <r>
    <m/>
    <x v="25"/>
    <x v="25"/>
    <x v="4"/>
    <x v="1"/>
    <x v="4"/>
    <s v="Alines"/>
    <x v="5"/>
    <x v="5"/>
    <n v="2"/>
    <n v="2000"/>
    <n v="4000"/>
    <m/>
    <m/>
    <m/>
  </r>
  <r>
    <m/>
    <x v="25"/>
    <x v="25"/>
    <x v="4"/>
    <x v="1"/>
    <x v="4"/>
    <s v="Alines"/>
    <x v="6"/>
    <x v="1"/>
    <n v="1"/>
    <n v="9000"/>
    <n v="9000"/>
    <m/>
    <m/>
    <m/>
  </r>
  <r>
    <m/>
    <x v="25"/>
    <x v="25"/>
    <x v="4"/>
    <x v="1"/>
    <x v="4"/>
    <s v="Alines"/>
    <x v="6"/>
    <x v="21"/>
    <n v="1"/>
    <n v="2500"/>
    <n v="2500"/>
    <m/>
    <m/>
    <m/>
  </r>
  <r>
    <m/>
    <x v="25"/>
    <x v="25"/>
    <x v="4"/>
    <x v="1"/>
    <x v="4"/>
    <s v="Alines"/>
    <x v="7"/>
    <x v="1"/>
    <n v="1"/>
    <n v="9000"/>
    <n v="9000"/>
    <m/>
    <m/>
    <m/>
  </r>
  <r>
    <m/>
    <x v="25"/>
    <x v="25"/>
    <x v="4"/>
    <x v="1"/>
    <x v="4"/>
    <s v="Alines"/>
    <x v="7"/>
    <x v="21"/>
    <n v="1"/>
    <n v="2500"/>
    <n v="2500"/>
    <m/>
    <m/>
    <m/>
  </r>
  <r>
    <m/>
    <x v="25"/>
    <x v="25"/>
    <x v="4"/>
    <x v="1"/>
    <x v="4"/>
    <s v="Alines"/>
    <x v="7"/>
    <x v="26"/>
    <n v="1"/>
    <n v="800"/>
    <n v="800"/>
    <m/>
    <m/>
    <m/>
  </r>
  <r>
    <m/>
    <x v="25"/>
    <x v="25"/>
    <x v="4"/>
    <x v="1"/>
    <x v="4"/>
    <s v="Alines"/>
    <x v="8"/>
    <x v="1"/>
    <n v="2"/>
    <n v="9000"/>
    <n v="18000"/>
    <m/>
    <m/>
    <m/>
  </r>
  <r>
    <m/>
    <x v="25"/>
    <x v="25"/>
    <x v="4"/>
    <x v="1"/>
    <x v="4"/>
    <s v="Alines"/>
    <x v="9"/>
    <x v="1"/>
    <n v="3"/>
    <n v="9000"/>
    <n v="27000"/>
    <m/>
    <m/>
    <m/>
  </r>
  <r>
    <m/>
    <x v="25"/>
    <x v="25"/>
    <x v="4"/>
    <x v="1"/>
    <x v="4"/>
    <s v="Alines"/>
    <x v="10"/>
    <x v="1"/>
    <n v="2"/>
    <n v="9000"/>
    <n v="18000"/>
    <m/>
    <m/>
    <m/>
  </r>
  <r>
    <m/>
    <x v="25"/>
    <x v="25"/>
    <x v="4"/>
    <x v="1"/>
    <x v="4"/>
    <s v="Alines"/>
    <x v="11"/>
    <x v="20"/>
    <n v="1"/>
    <n v="12000"/>
    <n v="12000"/>
    <m/>
    <m/>
    <m/>
  </r>
  <r>
    <m/>
    <x v="25"/>
    <x v="25"/>
    <x v="4"/>
    <x v="1"/>
    <x v="4"/>
    <s v="Yeri"/>
    <x v="12"/>
    <x v="1"/>
    <n v="1"/>
    <n v="9000"/>
    <n v="9000"/>
    <m/>
    <m/>
    <m/>
  </r>
  <r>
    <m/>
    <x v="25"/>
    <x v="25"/>
    <x v="4"/>
    <x v="1"/>
    <x v="4"/>
    <s v="Yeri"/>
    <x v="12"/>
    <x v="14"/>
    <n v="1"/>
    <n v="10000"/>
    <n v="10000"/>
    <m/>
    <m/>
    <m/>
  </r>
  <r>
    <m/>
    <x v="25"/>
    <x v="25"/>
    <x v="4"/>
    <x v="1"/>
    <x v="4"/>
    <s v="Alines"/>
    <x v="13"/>
    <x v="1"/>
    <n v="2"/>
    <n v="9000"/>
    <n v="18000"/>
    <m/>
    <m/>
    <m/>
  </r>
  <r>
    <m/>
    <x v="25"/>
    <x v="25"/>
    <x v="4"/>
    <x v="1"/>
    <x v="4"/>
    <s v="Alines"/>
    <x v="13"/>
    <x v="55"/>
    <n v="2"/>
    <n v="3000"/>
    <n v="6000"/>
    <m/>
    <m/>
    <m/>
  </r>
  <r>
    <m/>
    <x v="25"/>
    <x v="25"/>
    <x v="4"/>
    <x v="1"/>
    <x v="4"/>
    <s v="Alines"/>
    <x v="14"/>
    <x v="1"/>
    <n v="1"/>
    <n v="9000"/>
    <n v="9000"/>
    <m/>
    <m/>
    <m/>
  </r>
  <r>
    <m/>
    <x v="25"/>
    <x v="25"/>
    <x v="4"/>
    <x v="1"/>
    <x v="4"/>
    <s v="Alines"/>
    <x v="14"/>
    <x v="55"/>
    <n v="1"/>
    <n v="3000"/>
    <n v="3000"/>
    <m/>
    <m/>
    <m/>
  </r>
  <r>
    <m/>
    <x v="26"/>
    <x v="26"/>
    <x v="5"/>
    <x v="0"/>
    <x v="4"/>
    <s v="Alines"/>
    <x v="1"/>
    <x v="14"/>
    <n v="1"/>
    <n v="8000"/>
    <n v="8000"/>
    <m/>
    <m/>
    <m/>
  </r>
  <r>
    <m/>
    <x v="26"/>
    <x v="26"/>
    <x v="5"/>
    <x v="0"/>
    <x v="4"/>
    <s v="Alines"/>
    <x v="1"/>
    <x v="20"/>
    <n v="1"/>
    <n v="12000"/>
    <n v="12000"/>
    <m/>
    <m/>
    <m/>
  </r>
  <r>
    <m/>
    <x v="26"/>
    <x v="26"/>
    <x v="5"/>
    <x v="0"/>
    <x v="4"/>
    <s v="Alines"/>
    <x v="1"/>
    <x v="65"/>
    <n v="2"/>
    <n v="2500"/>
    <n v="5000"/>
    <m/>
    <m/>
    <m/>
  </r>
  <r>
    <m/>
    <x v="26"/>
    <x v="26"/>
    <x v="5"/>
    <x v="0"/>
    <x v="4"/>
    <s v="Alines"/>
    <x v="1"/>
    <x v="28"/>
    <n v="1"/>
    <n v="20000"/>
    <n v="20000"/>
    <m/>
    <m/>
    <m/>
  </r>
  <r>
    <m/>
    <x v="26"/>
    <x v="26"/>
    <x v="5"/>
    <x v="0"/>
    <x v="4"/>
    <s v="Alines"/>
    <x v="2"/>
    <x v="14"/>
    <n v="1"/>
    <n v="25000"/>
    <n v="25000"/>
    <m/>
    <m/>
    <m/>
  </r>
  <r>
    <m/>
    <x v="26"/>
    <x v="26"/>
    <x v="5"/>
    <x v="0"/>
    <x v="4"/>
    <s v="Alines"/>
    <x v="2"/>
    <x v="66"/>
    <n v="1"/>
    <n v="3000"/>
    <n v="3000"/>
    <m/>
    <m/>
    <m/>
  </r>
  <r>
    <m/>
    <x v="26"/>
    <x v="26"/>
    <x v="5"/>
    <x v="0"/>
    <x v="4"/>
    <s v="Alines"/>
    <x v="2"/>
    <x v="4"/>
    <n v="3"/>
    <n v="4000"/>
    <n v="12000"/>
    <m/>
    <m/>
    <m/>
  </r>
  <r>
    <m/>
    <x v="26"/>
    <x v="26"/>
    <x v="5"/>
    <x v="0"/>
    <x v="4"/>
    <s v="Alines"/>
    <x v="2"/>
    <x v="57"/>
    <n v="3"/>
    <n v="2000"/>
    <n v="6000"/>
    <m/>
    <m/>
    <m/>
  </r>
  <r>
    <m/>
    <x v="26"/>
    <x v="26"/>
    <x v="5"/>
    <x v="0"/>
    <x v="4"/>
    <s v="Alines"/>
    <x v="3"/>
    <x v="14"/>
    <n v="1"/>
    <n v="30000"/>
    <n v="30000"/>
    <m/>
    <m/>
    <m/>
  </r>
  <r>
    <m/>
    <x v="26"/>
    <x v="26"/>
    <x v="5"/>
    <x v="0"/>
    <x v="4"/>
    <s v="Alines"/>
    <x v="3"/>
    <x v="5"/>
    <n v="6"/>
    <n v="2000"/>
    <n v="12000"/>
    <m/>
    <m/>
    <m/>
  </r>
  <r>
    <m/>
    <x v="26"/>
    <x v="26"/>
    <x v="5"/>
    <x v="0"/>
    <x v="4"/>
    <s v="Alines"/>
    <x v="4"/>
    <x v="1"/>
    <n v="1"/>
    <n v="10000"/>
    <n v="10000"/>
    <m/>
    <m/>
    <m/>
  </r>
  <r>
    <m/>
    <x v="26"/>
    <x v="26"/>
    <x v="5"/>
    <x v="0"/>
    <x v="4"/>
    <s v="Alines"/>
    <x v="5"/>
    <x v="1"/>
    <n v="1"/>
    <n v="10000"/>
    <n v="10000"/>
    <m/>
    <m/>
    <m/>
  </r>
  <r>
    <m/>
    <x v="26"/>
    <x v="26"/>
    <x v="5"/>
    <x v="0"/>
    <x v="4"/>
    <s v="Alines"/>
    <x v="5"/>
    <x v="55"/>
    <n v="1"/>
    <n v="2500"/>
    <n v="2500"/>
    <m/>
    <m/>
    <m/>
  </r>
  <r>
    <m/>
    <x v="26"/>
    <x v="26"/>
    <x v="5"/>
    <x v="0"/>
    <x v="4"/>
    <s v="Alines"/>
    <x v="6"/>
    <x v="14"/>
    <n v="1"/>
    <n v="50000"/>
    <n v="50000"/>
    <m/>
    <m/>
    <m/>
  </r>
  <r>
    <m/>
    <x v="26"/>
    <x v="26"/>
    <x v="5"/>
    <x v="0"/>
    <x v="4"/>
    <s v="Alines"/>
    <x v="6"/>
    <x v="10"/>
    <n v="4"/>
    <n v="2500"/>
    <n v="10000"/>
    <s v="Las cobraròn debajo del precio normal"/>
    <m/>
    <m/>
  </r>
  <r>
    <m/>
    <x v="26"/>
    <x v="26"/>
    <x v="5"/>
    <x v="0"/>
    <x v="4"/>
    <s v="Alines"/>
    <x v="7"/>
    <x v="1"/>
    <n v="3"/>
    <n v="10000"/>
    <n v="30000"/>
    <m/>
    <m/>
    <m/>
  </r>
  <r>
    <m/>
    <x v="26"/>
    <x v="26"/>
    <x v="5"/>
    <x v="0"/>
    <x v="4"/>
    <s v="Alines"/>
    <x v="8"/>
    <x v="4"/>
    <n v="1"/>
    <n v="4000"/>
    <n v="4000"/>
    <m/>
    <m/>
    <m/>
  </r>
  <r>
    <m/>
    <x v="26"/>
    <x v="26"/>
    <x v="5"/>
    <x v="0"/>
    <x v="4"/>
    <s v="Alines"/>
    <x v="9"/>
    <x v="14"/>
    <n v="1"/>
    <n v="12000"/>
    <n v="12000"/>
    <m/>
    <m/>
    <m/>
  </r>
  <r>
    <m/>
    <x v="26"/>
    <x v="26"/>
    <x v="5"/>
    <x v="0"/>
    <x v="4"/>
    <s v="Alines"/>
    <x v="10"/>
    <x v="1"/>
    <n v="1"/>
    <n v="10000"/>
    <n v="10000"/>
    <m/>
    <m/>
    <m/>
  </r>
  <r>
    <m/>
    <x v="26"/>
    <x v="26"/>
    <x v="5"/>
    <x v="0"/>
    <x v="4"/>
    <s v="Alines"/>
    <x v="10"/>
    <x v="5"/>
    <n v="1"/>
    <n v="2000"/>
    <n v="2000"/>
    <m/>
    <m/>
    <m/>
  </r>
  <r>
    <m/>
    <x v="26"/>
    <x v="26"/>
    <x v="5"/>
    <x v="0"/>
    <x v="4"/>
    <s v="Alines"/>
    <x v="11"/>
    <x v="1"/>
    <n v="1"/>
    <n v="10000"/>
    <n v="10000"/>
    <m/>
    <m/>
    <m/>
  </r>
  <r>
    <m/>
    <x v="26"/>
    <x v="26"/>
    <x v="5"/>
    <x v="0"/>
    <x v="4"/>
    <s v="Alines"/>
    <x v="12"/>
    <x v="1"/>
    <n v="1"/>
    <n v="10000"/>
    <n v="10000"/>
    <m/>
    <m/>
    <m/>
  </r>
  <r>
    <m/>
    <x v="26"/>
    <x v="26"/>
    <x v="5"/>
    <x v="0"/>
    <x v="4"/>
    <s v="Alines"/>
    <x v="13"/>
    <x v="1"/>
    <n v="4"/>
    <n v="10000"/>
    <n v="40000"/>
    <m/>
    <m/>
    <m/>
  </r>
  <r>
    <m/>
    <x v="26"/>
    <x v="26"/>
    <x v="5"/>
    <x v="0"/>
    <x v="4"/>
    <s v="Alines"/>
    <x v="13"/>
    <x v="67"/>
    <n v="4"/>
    <n v="0"/>
    <n v="0"/>
    <s v="Cuenta por pagar sald0 ????"/>
    <m/>
    <m/>
  </r>
  <r>
    <m/>
    <x v="26"/>
    <x v="26"/>
    <x v="5"/>
    <x v="0"/>
    <x v="4"/>
    <s v="Alines"/>
    <x v="14"/>
    <x v="1"/>
    <n v="2"/>
    <n v="10000"/>
    <n v="20000"/>
    <m/>
    <m/>
    <m/>
  </r>
  <r>
    <m/>
    <x v="26"/>
    <x v="26"/>
    <x v="5"/>
    <x v="0"/>
    <x v="4"/>
    <s v="Alines"/>
    <x v="15"/>
    <x v="1"/>
    <n v="1"/>
    <n v="10000"/>
    <n v="10000"/>
    <m/>
    <m/>
    <m/>
  </r>
  <r>
    <m/>
    <x v="27"/>
    <x v="27"/>
    <x v="6"/>
    <x v="0"/>
    <x v="4"/>
    <m/>
    <x v="0"/>
    <x v="0"/>
    <m/>
    <m/>
    <n v="720000"/>
    <m/>
    <m/>
    <m/>
  </r>
  <r>
    <m/>
    <x v="28"/>
    <x v="28"/>
    <x v="0"/>
    <x v="0"/>
    <x v="4"/>
    <s v="Alines"/>
    <x v="1"/>
    <x v="4"/>
    <n v="1"/>
    <n v="7000"/>
    <n v="7000"/>
    <s v="Mondongo"/>
    <m/>
    <m/>
  </r>
  <r>
    <m/>
    <x v="28"/>
    <x v="28"/>
    <x v="0"/>
    <x v="0"/>
    <x v="4"/>
    <s v="Alines"/>
    <x v="1"/>
    <x v="14"/>
    <n v="1"/>
    <n v="15000"/>
    <n v="15000"/>
    <m/>
    <m/>
    <m/>
  </r>
  <r>
    <m/>
    <x v="28"/>
    <x v="28"/>
    <x v="0"/>
    <x v="0"/>
    <x v="4"/>
    <s v="Alines"/>
    <x v="1"/>
    <x v="68"/>
    <n v="1"/>
    <n v="2500"/>
    <n v="2500"/>
    <m/>
    <m/>
    <m/>
  </r>
  <r>
    <m/>
    <x v="28"/>
    <x v="28"/>
    <x v="0"/>
    <x v="0"/>
    <x v="4"/>
    <s v="Alines"/>
    <x v="1"/>
    <x v="5"/>
    <n v="1"/>
    <n v="2000"/>
    <n v="2000"/>
    <m/>
    <m/>
    <m/>
  </r>
  <r>
    <m/>
    <x v="28"/>
    <x v="28"/>
    <x v="0"/>
    <x v="0"/>
    <x v="4"/>
    <s v="Alines"/>
    <x v="2"/>
    <x v="4"/>
    <n v="2"/>
    <n v="7000"/>
    <n v="14000"/>
    <s v="las otras dos no se sabe que producto es pero tiene el mismos precio"/>
    <m/>
    <m/>
  </r>
  <r>
    <m/>
    <x v="28"/>
    <x v="28"/>
    <x v="0"/>
    <x v="0"/>
    <x v="4"/>
    <s v="Alines"/>
    <x v="2"/>
    <x v="69"/>
    <n v="2"/>
    <n v="24000"/>
    <n v="48000"/>
    <m/>
    <m/>
    <m/>
  </r>
  <r>
    <m/>
    <x v="28"/>
    <x v="28"/>
    <x v="0"/>
    <x v="0"/>
    <x v="4"/>
    <s v="Alines"/>
    <x v="2"/>
    <x v="70"/>
    <n v="6"/>
    <n v="6000"/>
    <n v="36000"/>
    <m/>
    <m/>
    <m/>
  </r>
  <r>
    <m/>
    <x v="28"/>
    <x v="28"/>
    <x v="0"/>
    <x v="0"/>
    <x v="4"/>
    <s v="Alines"/>
    <x v="3"/>
    <x v="1"/>
    <n v="4"/>
    <n v="10000"/>
    <n v="40000"/>
    <m/>
    <m/>
    <m/>
  </r>
  <r>
    <m/>
    <x v="28"/>
    <x v="28"/>
    <x v="0"/>
    <x v="0"/>
    <x v="4"/>
    <s v="Alines"/>
    <x v="4"/>
    <x v="14"/>
    <n v="1"/>
    <n v="40000"/>
    <n v="40000"/>
    <m/>
    <m/>
    <m/>
  </r>
  <r>
    <m/>
    <x v="28"/>
    <x v="28"/>
    <x v="0"/>
    <x v="0"/>
    <x v="4"/>
    <s v="Alines"/>
    <x v="4"/>
    <x v="53"/>
    <n v="1"/>
    <n v="4500"/>
    <n v="4500"/>
    <m/>
    <m/>
    <m/>
  </r>
  <r>
    <m/>
    <x v="28"/>
    <x v="28"/>
    <x v="0"/>
    <x v="0"/>
    <x v="4"/>
    <s v="Alines"/>
    <x v="5"/>
    <x v="14"/>
    <n v="1"/>
    <n v="70000"/>
    <n v="70000"/>
    <m/>
    <m/>
    <m/>
  </r>
  <r>
    <m/>
    <x v="28"/>
    <x v="28"/>
    <x v="0"/>
    <x v="0"/>
    <x v="4"/>
    <s v="Alines"/>
    <x v="6"/>
    <x v="14"/>
    <n v="1"/>
    <n v="100000"/>
    <n v="100000"/>
    <m/>
    <m/>
    <m/>
  </r>
  <r>
    <m/>
    <x v="28"/>
    <x v="28"/>
    <x v="0"/>
    <x v="0"/>
    <x v="4"/>
    <s v="Alines"/>
    <x v="6"/>
    <x v="21"/>
    <n v="1"/>
    <n v="2500"/>
    <n v="2500"/>
    <m/>
    <m/>
    <m/>
  </r>
  <r>
    <m/>
    <x v="28"/>
    <x v="28"/>
    <x v="0"/>
    <x v="0"/>
    <x v="4"/>
    <s v="Alines"/>
    <x v="7"/>
    <x v="63"/>
    <n v="1"/>
    <n v="15000"/>
    <n v="15000"/>
    <s v="Promoción (Próximas a vencer)"/>
    <m/>
    <m/>
  </r>
  <r>
    <m/>
    <x v="28"/>
    <x v="28"/>
    <x v="0"/>
    <x v="0"/>
    <x v="4"/>
    <s v="Alines"/>
    <x v="7"/>
    <x v="14"/>
    <n v="1"/>
    <n v="25000"/>
    <n v="25000"/>
    <m/>
    <m/>
    <m/>
  </r>
  <r>
    <m/>
    <x v="28"/>
    <x v="28"/>
    <x v="0"/>
    <x v="0"/>
    <x v="4"/>
    <s v="Alines"/>
    <x v="7"/>
    <x v="68"/>
    <n v="1"/>
    <n v="2500"/>
    <n v="2500"/>
    <m/>
    <m/>
    <m/>
  </r>
  <r>
    <m/>
    <x v="28"/>
    <x v="28"/>
    <x v="0"/>
    <x v="0"/>
    <x v="4"/>
    <s v="Alines"/>
    <x v="7"/>
    <x v="55"/>
    <n v="2"/>
    <n v="3000"/>
    <n v="6000"/>
    <m/>
    <m/>
    <m/>
  </r>
  <r>
    <m/>
    <x v="28"/>
    <x v="28"/>
    <x v="0"/>
    <x v="0"/>
    <x v="4"/>
    <s v="Alines"/>
    <x v="8"/>
    <x v="4"/>
    <n v="2"/>
    <n v="7000"/>
    <n v="14000"/>
    <s v="Ajiaco"/>
    <m/>
    <m/>
  </r>
  <r>
    <m/>
    <x v="28"/>
    <x v="28"/>
    <x v="0"/>
    <x v="0"/>
    <x v="4"/>
    <s v="Alines"/>
    <x v="8"/>
    <x v="14"/>
    <n v="1"/>
    <n v="25000"/>
    <n v="25000"/>
    <m/>
    <m/>
    <m/>
  </r>
  <r>
    <m/>
    <x v="28"/>
    <x v="28"/>
    <x v="0"/>
    <x v="0"/>
    <x v="4"/>
    <s v="Alines"/>
    <x v="8"/>
    <x v="53"/>
    <n v="1"/>
    <n v="5000"/>
    <n v="5000"/>
    <m/>
    <m/>
    <m/>
  </r>
  <r>
    <m/>
    <x v="28"/>
    <x v="28"/>
    <x v="0"/>
    <x v="0"/>
    <x v="4"/>
    <s v="Alines"/>
    <x v="9"/>
    <x v="4"/>
    <n v="2"/>
    <n v="7000"/>
    <n v="14000"/>
    <m/>
    <m/>
    <m/>
  </r>
  <r>
    <m/>
    <x v="28"/>
    <x v="28"/>
    <x v="0"/>
    <x v="0"/>
    <x v="4"/>
    <s v="Alines"/>
    <x v="9"/>
    <x v="14"/>
    <n v="1"/>
    <n v="40000"/>
    <n v="40000"/>
    <m/>
    <m/>
    <m/>
  </r>
  <r>
    <m/>
    <x v="28"/>
    <x v="28"/>
    <x v="0"/>
    <x v="0"/>
    <x v="4"/>
    <s v="Alines"/>
    <x v="9"/>
    <x v="9"/>
    <n v="1"/>
    <n v="4500"/>
    <n v="4500"/>
    <m/>
    <m/>
    <m/>
  </r>
  <r>
    <m/>
    <x v="28"/>
    <x v="28"/>
    <x v="0"/>
    <x v="0"/>
    <x v="4"/>
    <s v="Alines"/>
    <x v="10"/>
    <x v="46"/>
    <n v="1"/>
    <n v="25000"/>
    <n v="25000"/>
    <m/>
    <m/>
    <m/>
  </r>
  <r>
    <m/>
    <x v="28"/>
    <x v="28"/>
    <x v="0"/>
    <x v="0"/>
    <x v="4"/>
    <s v="Alines"/>
    <x v="10"/>
    <x v="71"/>
    <n v="1"/>
    <n v="24000"/>
    <n v="24000"/>
    <m/>
    <m/>
    <m/>
  </r>
  <r>
    <m/>
    <x v="28"/>
    <x v="28"/>
    <x v="0"/>
    <x v="0"/>
    <x v="4"/>
    <s v="Alines"/>
    <x v="10"/>
    <x v="16"/>
    <n v="1"/>
    <n v="2500"/>
    <n v="2500"/>
    <m/>
    <m/>
    <m/>
  </r>
  <r>
    <m/>
    <x v="28"/>
    <x v="28"/>
    <x v="0"/>
    <x v="0"/>
    <x v="4"/>
    <s v="Alines"/>
    <x v="10"/>
    <x v="65"/>
    <n v="1"/>
    <n v="2500"/>
    <n v="2500"/>
    <m/>
    <m/>
    <m/>
  </r>
  <r>
    <m/>
    <x v="28"/>
    <x v="28"/>
    <x v="0"/>
    <x v="0"/>
    <x v="4"/>
    <s v="Alines"/>
    <x v="11"/>
    <x v="14"/>
    <n v="1"/>
    <n v="70000"/>
    <n v="70000"/>
    <m/>
    <m/>
    <m/>
  </r>
  <r>
    <m/>
    <x v="28"/>
    <x v="28"/>
    <x v="0"/>
    <x v="0"/>
    <x v="4"/>
    <s v="Alines"/>
    <x v="11"/>
    <x v="39"/>
    <n v="1"/>
    <n v="4000"/>
    <n v="4000"/>
    <m/>
    <m/>
    <m/>
  </r>
  <r>
    <m/>
    <x v="28"/>
    <x v="28"/>
    <x v="0"/>
    <x v="0"/>
    <x v="4"/>
    <s v="Alines"/>
    <x v="11"/>
    <x v="9"/>
    <n v="1"/>
    <n v="4000"/>
    <n v="4000"/>
    <m/>
    <m/>
    <m/>
  </r>
  <r>
    <m/>
    <x v="28"/>
    <x v="28"/>
    <x v="0"/>
    <x v="0"/>
    <x v="4"/>
    <s v="Alines"/>
    <x v="11"/>
    <x v="4"/>
    <n v="2"/>
    <n v="7000"/>
    <n v="14000"/>
    <m/>
    <m/>
    <m/>
  </r>
  <r>
    <m/>
    <x v="28"/>
    <x v="28"/>
    <x v="0"/>
    <x v="0"/>
    <x v="4"/>
    <s v="Alines"/>
    <x v="12"/>
    <x v="4"/>
    <n v="2"/>
    <n v="7000"/>
    <n v="14000"/>
    <m/>
    <m/>
    <m/>
  </r>
  <r>
    <m/>
    <x v="28"/>
    <x v="28"/>
    <x v="0"/>
    <x v="0"/>
    <x v="4"/>
    <s v="Alines"/>
    <x v="12"/>
    <x v="14"/>
    <n v="1"/>
    <n v="20000"/>
    <n v="20000"/>
    <m/>
    <m/>
    <m/>
  </r>
  <r>
    <m/>
    <x v="28"/>
    <x v="28"/>
    <x v="0"/>
    <x v="0"/>
    <x v="4"/>
    <s v="Alines"/>
    <x v="12"/>
    <x v="55"/>
    <n v="1"/>
    <n v="6000"/>
    <n v="6000"/>
    <m/>
    <m/>
    <m/>
  </r>
  <r>
    <m/>
    <x v="28"/>
    <x v="28"/>
    <x v="0"/>
    <x v="0"/>
    <x v="4"/>
    <s v="Alines"/>
    <x v="12"/>
    <x v="31"/>
    <n v="1"/>
    <n v="-7000"/>
    <n v="-7000"/>
    <s v="Sumo mal"/>
    <m/>
    <m/>
  </r>
  <r>
    <m/>
    <x v="28"/>
    <x v="28"/>
    <x v="0"/>
    <x v="0"/>
    <x v="4"/>
    <s v="Alines"/>
    <x v="13"/>
    <x v="14"/>
    <n v="1"/>
    <n v="25000"/>
    <n v="25000"/>
    <m/>
    <m/>
    <m/>
  </r>
  <r>
    <m/>
    <x v="28"/>
    <x v="28"/>
    <x v="0"/>
    <x v="0"/>
    <x v="4"/>
    <s v="Alines"/>
    <x v="13"/>
    <x v="39"/>
    <n v="2"/>
    <n v="4000"/>
    <n v="8000"/>
    <m/>
    <m/>
    <m/>
  </r>
  <r>
    <m/>
    <x v="28"/>
    <x v="28"/>
    <x v="0"/>
    <x v="0"/>
    <x v="4"/>
    <s v="Alines"/>
    <x v="14"/>
    <x v="14"/>
    <n v="1"/>
    <n v="40000"/>
    <n v="40000"/>
    <m/>
    <m/>
    <m/>
  </r>
  <r>
    <m/>
    <x v="28"/>
    <x v="28"/>
    <x v="0"/>
    <x v="0"/>
    <x v="4"/>
    <s v="Alines"/>
    <x v="14"/>
    <x v="53"/>
    <n v="1"/>
    <n v="4500"/>
    <n v="4500"/>
    <m/>
    <m/>
    <m/>
  </r>
  <r>
    <m/>
    <x v="28"/>
    <x v="28"/>
    <x v="0"/>
    <x v="0"/>
    <x v="4"/>
    <s v="Alines"/>
    <x v="14"/>
    <x v="55"/>
    <n v="1"/>
    <n v="3000"/>
    <n v="3000"/>
    <m/>
    <m/>
    <m/>
  </r>
  <r>
    <m/>
    <x v="28"/>
    <x v="28"/>
    <x v="0"/>
    <x v="0"/>
    <x v="4"/>
    <s v="Alines"/>
    <x v="15"/>
    <x v="14"/>
    <n v="1"/>
    <n v="60000"/>
    <n v="60000"/>
    <m/>
    <m/>
    <m/>
  </r>
  <r>
    <m/>
    <x v="28"/>
    <x v="28"/>
    <x v="0"/>
    <x v="0"/>
    <x v="4"/>
    <s v="Alines"/>
    <x v="15"/>
    <x v="55"/>
    <n v="1"/>
    <n v="3000"/>
    <n v="3000"/>
    <m/>
    <m/>
    <m/>
  </r>
  <r>
    <m/>
    <x v="28"/>
    <x v="28"/>
    <x v="0"/>
    <x v="0"/>
    <x v="4"/>
    <s v="Alines"/>
    <x v="15"/>
    <x v="3"/>
    <n v="1"/>
    <n v="4000"/>
    <n v="4000"/>
    <s v="Cobro demasiado caro el jugo"/>
    <m/>
    <m/>
  </r>
  <r>
    <m/>
    <x v="28"/>
    <x v="28"/>
    <x v="0"/>
    <x v="0"/>
    <x v="4"/>
    <s v="Alines"/>
    <x v="16"/>
    <x v="53"/>
    <n v="1"/>
    <n v="4000"/>
    <n v="4000"/>
    <m/>
    <m/>
    <m/>
  </r>
  <r>
    <m/>
    <x v="28"/>
    <x v="28"/>
    <x v="0"/>
    <x v="0"/>
    <x v="4"/>
    <s v="Alines"/>
    <x v="16"/>
    <x v="31"/>
    <n v="1"/>
    <n v="-500"/>
    <n v="-500"/>
    <m/>
    <m/>
    <m/>
  </r>
  <r>
    <m/>
    <x v="28"/>
    <x v="28"/>
    <x v="0"/>
    <x v="0"/>
    <x v="4"/>
    <s v="Alines"/>
    <x v="17"/>
    <x v="4"/>
    <n v="3"/>
    <n v="8000"/>
    <n v="24000"/>
    <s v="Ajiaco"/>
    <m/>
    <m/>
  </r>
  <r>
    <m/>
    <x v="28"/>
    <x v="28"/>
    <x v="0"/>
    <x v="0"/>
    <x v="4"/>
    <s v="Stefania"/>
    <x v="18"/>
    <x v="14"/>
    <n v="1"/>
    <n v="30000"/>
    <n v="30000"/>
    <m/>
    <m/>
    <m/>
  </r>
  <r>
    <m/>
    <x v="28"/>
    <x v="28"/>
    <x v="0"/>
    <x v="0"/>
    <x v="4"/>
    <s v="Stefania"/>
    <x v="19"/>
    <x v="14"/>
    <n v="1"/>
    <n v="25000"/>
    <n v="25000"/>
    <m/>
    <m/>
    <m/>
  </r>
  <r>
    <m/>
    <x v="28"/>
    <x v="28"/>
    <x v="0"/>
    <x v="0"/>
    <x v="4"/>
    <s v="Stefania"/>
    <x v="19"/>
    <x v="53"/>
    <n v="1"/>
    <n v="4000"/>
    <n v="4000"/>
    <m/>
    <m/>
    <m/>
  </r>
  <r>
    <m/>
    <x v="28"/>
    <x v="28"/>
    <x v="0"/>
    <x v="0"/>
    <x v="4"/>
    <s v="Stefania"/>
    <x v="20"/>
    <x v="14"/>
    <n v="1"/>
    <n v="15000"/>
    <n v="15000"/>
    <m/>
    <m/>
    <m/>
  </r>
  <r>
    <m/>
    <x v="28"/>
    <x v="28"/>
    <x v="0"/>
    <x v="0"/>
    <x v="4"/>
    <s v="Stefania"/>
    <x v="20"/>
    <x v="21"/>
    <n v="2"/>
    <n v="2500"/>
    <n v="5000"/>
    <m/>
    <m/>
    <m/>
  </r>
  <r>
    <m/>
    <x v="28"/>
    <x v="28"/>
    <x v="0"/>
    <x v="0"/>
    <x v="4"/>
    <s v="Stefania"/>
    <x v="21"/>
    <x v="14"/>
    <n v="1"/>
    <n v="30000"/>
    <n v="30000"/>
    <m/>
    <m/>
    <m/>
  </r>
  <r>
    <m/>
    <x v="28"/>
    <x v="28"/>
    <x v="0"/>
    <x v="0"/>
    <x v="4"/>
    <s v="Stefania"/>
    <x v="21"/>
    <x v="54"/>
    <n v="1"/>
    <n v="8000"/>
    <n v="8000"/>
    <m/>
    <m/>
    <m/>
  </r>
  <r>
    <m/>
    <x v="28"/>
    <x v="28"/>
    <x v="0"/>
    <x v="0"/>
    <x v="4"/>
    <s v="Stefania"/>
    <x v="22"/>
    <x v="72"/>
    <n v="1"/>
    <n v="8000"/>
    <n v="8000"/>
    <m/>
    <m/>
    <m/>
  </r>
  <r>
    <m/>
    <x v="28"/>
    <x v="28"/>
    <x v="0"/>
    <x v="0"/>
    <x v="4"/>
    <s v="Stefania"/>
    <x v="23"/>
    <x v="14"/>
    <n v="1"/>
    <n v="80000"/>
    <n v="80000"/>
    <m/>
    <m/>
    <m/>
  </r>
  <r>
    <m/>
    <x v="28"/>
    <x v="28"/>
    <x v="0"/>
    <x v="0"/>
    <x v="4"/>
    <s v="Stefania"/>
    <x v="24"/>
    <x v="63"/>
    <n v="2"/>
    <n v="15000"/>
    <n v="30000"/>
    <m/>
    <m/>
    <m/>
  </r>
  <r>
    <m/>
    <x v="28"/>
    <x v="28"/>
    <x v="0"/>
    <x v="0"/>
    <x v="4"/>
    <s v="Stefania"/>
    <x v="24"/>
    <x v="55"/>
    <n v="1"/>
    <n v="3000"/>
    <n v="3000"/>
    <m/>
    <m/>
    <m/>
  </r>
  <r>
    <m/>
    <x v="28"/>
    <x v="28"/>
    <x v="0"/>
    <x v="0"/>
    <x v="4"/>
    <s v="Stefania"/>
    <x v="24"/>
    <x v="30"/>
    <n v="1"/>
    <n v="2500"/>
    <n v="2500"/>
    <m/>
    <m/>
    <m/>
  </r>
  <r>
    <m/>
    <x v="28"/>
    <x v="28"/>
    <x v="0"/>
    <x v="0"/>
    <x v="4"/>
    <s v="Stefania"/>
    <x v="24"/>
    <x v="29"/>
    <n v="1"/>
    <n v="15000"/>
    <n v="15000"/>
    <s v="¿Cómo asi que a 15.000?"/>
    <m/>
    <m/>
  </r>
  <r>
    <m/>
    <x v="28"/>
    <x v="28"/>
    <x v="0"/>
    <x v="0"/>
    <x v="4"/>
    <s v="Stefania"/>
    <x v="25"/>
    <x v="14"/>
    <n v="1"/>
    <n v="20000"/>
    <n v="20000"/>
    <m/>
    <m/>
    <m/>
  </r>
  <r>
    <m/>
    <x v="28"/>
    <x v="28"/>
    <x v="0"/>
    <x v="0"/>
    <x v="4"/>
    <s v="Stefania"/>
    <x v="26"/>
    <x v="14"/>
    <n v="1"/>
    <n v="15000"/>
    <n v="15000"/>
    <m/>
    <m/>
    <m/>
  </r>
  <r>
    <m/>
    <x v="28"/>
    <x v="28"/>
    <x v="0"/>
    <x v="0"/>
    <x v="4"/>
    <s v="Stefania"/>
    <x v="26"/>
    <x v="73"/>
    <n v="2"/>
    <n v="2500"/>
    <n v="5000"/>
    <m/>
    <m/>
    <m/>
  </r>
  <r>
    <m/>
    <x v="28"/>
    <x v="28"/>
    <x v="0"/>
    <x v="0"/>
    <x v="4"/>
    <s v="Stefania"/>
    <x v="27"/>
    <x v="26"/>
    <n v="4"/>
    <n v="800"/>
    <n v="3200"/>
    <s v="se cobro a 9000 en total"/>
    <m/>
    <m/>
  </r>
  <r>
    <m/>
    <x v="28"/>
    <x v="28"/>
    <x v="0"/>
    <x v="0"/>
    <x v="4"/>
    <s v="Stefania"/>
    <x v="27"/>
    <x v="74"/>
    <n v="1"/>
    <n v="5800"/>
    <n v="5800"/>
    <s v="se cobro a 9000 en total"/>
    <m/>
    <m/>
  </r>
  <r>
    <m/>
    <x v="28"/>
    <x v="28"/>
    <x v="0"/>
    <x v="0"/>
    <x v="4"/>
    <s v="Stefania"/>
    <x v="28"/>
    <x v="14"/>
    <n v="1"/>
    <n v="40000"/>
    <n v="40000"/>
    <m/>
    <m/>
    <m/>
  </r>
  <r>
    <m/>
    <x v="28"/>
    <x v="28"/>
    <x v="0"/>
    <x v="0"/>
    <x v="4"/>
    <s v="Stefania"/>
    <x v="29"/>
    <x v="4"/>
    <n v="2"/>
    <n v="8000"/>
    <n v="16000"/>
    <s v="Mondongo"/>
    <m/>
    <m/>
  </r>
  <r>
    <m/>
    <x v="28"/>
    <x v="28"/>
    <x v="0"/>
    <x v="0"/>
    <x v="4"/>
    <s v="Stefania"/>
    <x v="29"/>
    <x v="24"/>
    <n v="1"/>
    <n v="12000"/>
    <n v="12000"/>
    <m/>
    <m/>
    <m/>
  </r>
  <r>
    <m/>
    <x v="28"/>
    <x v="28"/>
    <x v="0"/>
    <x v="0"/>
    <x v="4"/>
    <s v="Stefania"/>
    <x v="29"/>
    <x v="9"/>
    <n v="1"/>
    <n v="4000"/>
    <n v="4000"/>
    <m/>
    <m/>
    <m/>
  </r>
  <r>
    <m/>
    <x v="28"/>
    <x v="28"/>
    <x v="0"/>
    <x v="0"/>
    <x v="4"/>
    <s v="Stefania"/>
    <x v="29"/>
    <x v="75"/>
    <n v="1"/>
    <n v="12000"/>
    <n v="12000"/>
    <m/>
    <m/>
    <m/>
  </r>
  <r>
    <m/>
    <x v="28"/>
    <x v="28"/>
    <x v="0"/>
    <x v="0"/>
    <x v="4"/>
    <s v="Stefania"/>
    <x v="31"/>
    <x v="14"/>
    <n v="1"/>
    <n v="50000"/>
    <n v="50000"/>
    <m/>
    <m/>
    <m/>
  </r>
  <r>
    <m/>
    <x v="28"/>
    <x v="28"/>
    <x v="0"/>
    <x v="0"/>
    <x v="4"/>
    <s v="Stefania"/>
    <x v="32"/>
    <x v="14"/>
    <n v="3"/>
    <n v="25000"/>
    <n v="75000"/>
    <m/>
    <m/>
    <m/>
  </r>
  <r>
    <m/>
    <x v="28"/>
    <x v="28"/>
    <x v="0"/>
    <x v="0"/>
    <x v="4"/>
    <s v="Stefania"/>
    <x v="32"/>
    <x v="9"/>
    <n v="1"/>
    <n v="4000"/>
    <n v="4000"/>
    <m/>
    <m/>
    <m/>
  </r>
  <r>
    <m/>
    <x v="28"/>
    <x v="28"/>
    <x v="0"/>
    <x v="0"/>
    <x v="4"/>
    <s v="Stefania"/>
    <x v="32"/>
    <x v="5"/>
    <n v="1"/>
    <n v="2000"/>
    <n v="2000"/>
    <m/>
    <m/>
    <m/>
  </r>
  <r>
    <m/>
    <x v="28"/>
    <x v="28"/>
    <x v="0"/>
    <x v="0"/>
    <x v="4"/>
    <s v="Stefania"/>
    <x v="33"/>
    <x v="76"/>
    <n v="1"/>
    <n v="11000"/>
    <n v="11000"/>
    <m/>
    <m/>
    <m/>
  </r>
  <r>
    <m/>
    <x v="28"/>
    <x v="28"/>
    <x v="0"/>
    <x v="0"/>
    <x v="4"/>
    <s v="Stefania"/>
    <x v="33"/>
    <x v="5"/>
    <n v="1"/>
    <n v="2000"/>
    <n v="2000"/>
    <m/>
    <m/>
    <m/>
  </r>
  <r>
    <m/>
    <x v="28"/>
    <x v="28"/>
    <x v="0"/>
    <x v="0"/>
    <x v="4"/>
    <s v="Stefania"/>
    <x v="34"/>
    <x v="63"/>
    <n v="1"/>
    <n v="15000"/>
    <n v="15000"/>
    <m/>
    <m/>
    <m/>
  </r>
  <r>
    <m/>
    <x v="28"/>
    <x v="28"/>
    <x v="0"/>
    <x v="0"/>
    <x v="4"/>
    <s v="Stefania"/>
    <x v="34"/>
    <x v="68"/>
    <n v="1"/>
    <n v="2500"/>
    <n v="2500"/>
    <m/>
    <m/>
    <m/>
  </r>
  <r>
    <m/>
    <x v="28"/>
    <x v="28"/>
    <x v="0"/>
    <x v="0"/>
    <x v="4"/>
    <s v="Stefania"/>
    <x v="35"/>
    <x v="63"/>
    <n v="1"/>
    <n v="15000"/>
    <n v="15000"/>
    <m/>
    <m/>
    <m/>
  </r>
  <r>
    <m/>
    <x v="28"/>
    <x v="28"/>
    <x v="0"/>
    <x v="0"/>
    <x v="4"/>
    <s v="Stefania"/>
    <x v="35"/>
    <x v="8"/>
    <n v="1"/>
    <n v="25000"/>
    <n v="25000"/>
    <m/>
    <m/>
    <m/>
  </r>
  <r>
    <m/>
    <x v="28"/>
    <x v="28"/>
    <x v="0"/>
    <x v="0"/>
    <x v="4"/>
    <s v="Stefania"/>
    <x v="35"/>
    <x v="5"/>
    <n v="1"/>
    <n v="2000"/>
    <n v="2000"/>
    <m/>
    <m/>
    <m/>
  </r>
  <r>
    <m/>
    <x v="28"/>
    <x v="28"/>
    <x v="0"/>
    <x v="0"/>
    <x v="4"/>
    <s v="Stefania"/>
    <x v="36"/>
    <x v="14"/>
    <n v="1"/>
    <n v="15000"/>
    <n v="15000"/>
    <m/>
    <m/>
    <m/>
  </r>
  <r>
    <m/>
    <x v="28"/>
    <x v="28"/>
    <x v="0"/>
    <x v="0"/>
    <x v="4"/>
    <s v="Stefania"/>
    <x v="36"/>
    <x v="5"/>
    <n v="1"/>
    <n v="2000"/>
    <n v="2000"/>
    <m/>
    <m/>
    <m/>
  </r>
  <r>
    <m/>
    <x v="28"/>
    <x v="28"/>
    <x v="0"/>
    <x v="0"/>
    <x v="4"/>
    <s v="Stefania"/>
    <x v="37"/>
    <x v="41"/>
    <n v="1"/>
    <n v="25000"/>
    <n v="25000"/>
    <m/>
    <m/>
    <m/>
  </r>
  <r>
    <m/>
    <x v="28"/>
    <x v="28"/>
    <x v="0"/>
    <x v="0"/>
    <x v="4"/>
    <s v="Stefania"/>
    <x v="37"/>
    <x v="4"/>
    <n v="1"/>
    <n v="10000"/>
    <n v="10000"/>
    <s v="Ajiaco"/>
    <m/>
    <m/>
  </r>
  <r>
    <m/>
    <x v="28"/>
    <x v="28"/>
    <x v="0"/>
    <x v="0"/>
    <x v="4"/>
    <s v="Stefania"/>
    <x v="37"/>
    <x v="63"/>
    <n v="1"/>
    <n v="20000"/>
    <n v="20000"/>
    <m/>
    <m/>
    <m/>
  </r>
  <r>
    <m/>
    <x v="29"/>
    <x v="29"/>
    <x v="1"/>
    <x v="1"/>
    <x v="5"/>
    <s v="Papá"/>
    <x v="0"/>
    <x v="0"/>
    <m/>
    <m/>
    <n v="350000"/>
    <s v="Dìa sin facturas"/>
    <m/>
    <m/>
  </r>
  <r>
    <m/>
    <x v="30"/>
    <x v="0"/>
    <x v="2"/>
    <x v="1"/>
    <x v="5"/>
    <s v="Papá"/>
    <x v="0"/>
    <x v="0"/>
    <m/>
    <m/>
    <n v="380000"/>
    <m/>
    <m/>
    <m/>
  </r>
  <r>
    <m/>
    <x v="31"/>
    <x v="1"/>
    <x v="3"/>
    <x v="1"/>
    <x v="5"/>
    <s v="Papá"/>
    <x v="0"/>
    <x v="0"/>
    <m/>
    <m/>
    <n v="550000"/>
    <m/>
    <m/>
    <m/>
  </r>
  <r>
    <m/>
    <x v="32"/>
    <x v="2"/>
    <x v="4"/>
    <x v="1"/>
    <x v="5"/>
    <s v="Papá"/>
    <x v="0"/>
    <x v="0"/>
    <m/>
    <m/>
    <n v="380000"/>
    <m/>
    <m/>
    <m/>
  </r>
  <r>
    <m/>
    <x v="33"/>
    <x v="3"/>
    <x v="5"/>
    <x v="0"/>
    <x v="5"/>
    <s v="Papá"/>
    <x v="0"/>
    <x v="0"/>
    <m/>
    <m/>
    <n v="1200000"/>
    <m/>
    <m/>
    <m/>
  </r>
  <r>
    <m/>
    <x v="34"/>
    <x v="4"/>
    <x v="6"/>
    <x v="0"/>
    <x v="5"/>
    <s v="Papá"/>
    <x v="0"/>
    <x v="0"/>
    <m/>
    <m/>
    <n v="655000"/>
    <m/>
    <m/>
    <m/>
  </r>
  <r>
    <m/>
    <x v="35"/>
    <x v="5"/>
    <x v="0"/>
    <x v="0"/>
    <x v="5"/>
    <s v="Papá"/>
    <x v="0"/>
    <x v="0"/>
    <m/>
    <m/>
    <n v="1200000"/>
    <m/>
    <m/>
    <m/>
  </r>
  <r>
    <m/>
    <x v="36"/>
    <x v="6"/>
    <x v="1"/>
    <x v="1"/>
    <x v="6"/>
    <s v="Papá"/>
    <x v="0"/>
    <x v="0"/>
    <m/>
    <m/>
    <n v="300000"/>
    <m/>
    <m/>
    <m/>
  </r>
  <r>
    <m/>
    <x v="37"/>
    <x v="7"/>
    <x v="2"/>
    <x v="1"/>
    <x v="6"/>
    <s v="Papá"/>
    <x v="0"/>
    <x v="0"/>
    <m/>
    <m/>
    <n v="220000"/>
    <m/>
    <m/>
    <m/>
  </r>
  <r>
    <m/>
    <x v="38"/>
    <x v="8"/>
    <x v="3"/>
    <x v="1"/>
    <x v="6"/>
    <s v="Papá"/>
    <x v="0"/>
    <x v="0"/>
    <m/>
    <m/>
    <n v="320000"/>
    <m/>
    <m/>
    <m/>
  </r>
  <r>
    <m/>
    <x v="39"/>
    <x v="30"/>
    <x v="4"/>
    <x v="1"/>
    <x v="6"/>
    <s v="Papá"/>
    <x v="0"/>
    <x v="0"/>
    <m/>
    <m/>
    <n v="370000"/>
    <m/>
    <m/>
    <m/>
  </r>
  <r>
    <m/>
    <x v="40"/>
    <x v="9"/>
    <x v="5"/>
    <x v="0"/>
    <x v="6"/>
    <m/>
    <x v="0"/>
    <x v="0"/>
    <m/>
    <m/>
    <n v="370000"/>
    <m/>
    <m/>
    <m/>
  </r>
  <r>
    <m/>
    <x v="41"/>
    <x v="10"/>
    <x v="6"/>
    <x v="0"/>
    <x v="6"/>
    <m/>
    <x v="0"/>
    <x v="0"/>
    <m/>
    <m/>
    <n v="500000"/>
    <m/>
    <m/>
    <m/>
  </r>
  <r>
    <m/>
    <x v="42"/>
    <x v="11"/>
    <x v="0"/>
    <x v="0"/>
    <x v="6"/>
    <m/>
    <x v="0"/>
    <x v="0"/>
    <m/>
    <m/>
    <n v="1700000"/>
    <m/>
    <m/>
    <m/>
  </r>
  <r>
    <m/>
    <x v="43"/>
    <x v="12"/>
    <x v="1"/>
    <x v="0"/>
    <x v="7"/>
    <m/>
    <x v="0"/>
    <x v="0"/>
    <m/>
    <m/>
    <n v="600000"/>
    <m/>
    <m/>
    <m/>
  </r>
  <r>
    <m/>
    <x v="44"/>
    <x v="13"/>
    <x v="2"/>
    <x v="1"/>
    <x v="7"/>
    <s v="Yusmeidy"/>
    <x v="0"/>
    <x v="0"/>
    <m/>
    <m/>
    <n v="194000"/>
    <m/>
    <m/>
    <m/>
  </r>
  <r>
    <m/>
    <x v="45"/>
    <x v="14"/>
    <x v="3"/>
    <x v="1"/>
    <x v="7"/>
    <s v="Yusmeidy"/>
    <x v="0"/>
    <x v="0"/>
    <m/>
    <m/>
    <n v="627000"/>
    <m/>
    <m/>
    <m/>
  </r>
  <r>
    <m/>
    <x v="46"/>
    <x v="15"/>
    <x v="4"/>
    <x v="1"/>
    <x v="7"/>
    <s v="Yusmeidy"/>
    <x v="0"/>
    <x v="0"/>
    <m/>
    <m/>
    <n v="332500"/>
    <m/>
    <m/>
    <m/>
  </r>
  <r>
    <m/>
    <x v="47"/>
    <x v="16"/>
    <x v="5"/>
    <x v="0"/>
    <x v="7"/>
    <s v="Yusmeidy"/>
    <x v="0"/>
    <x v="0"/>
    <m/>
    <m/>
    <n v="342000"/>
    <m/>
    <m/>
    <m/>
  </r>
  <r>
    <m/>
    <x v="48"/>
    <x v="17"/>
    <x v="6"/>
    <x v="0"/>
    <x v="7"/>
    <s v="Yusmeidy y Stefania"/>
    <x v="0"/>
    <x v="0"/>
    <m/>
    <m/>
    <n v="1552000"/>
    <m/>
    <m/>
    <m/>
  </r>
  <r>
    <m/>
    <x v="49"/>
    <x v="18"/>
    <x v="0"/>
    <x v="0"/>
    <x v="7"/>
    <s v="Yusmeidy y Stefania"/>
    <x v="0"/>
    <x v="0"/>
    <m/>
    <m/>
    <n v="1690000"/>
    <m/>
    <m/>
    <m/>
  </r>
  <r>
    <m/>
    <x v="50"/>
    <x v="19"/>
    <x v="1"/>
    <x v="0"/>
    <x v="8"/>
    <s v="Yusmeidy"/>
    <x v="0"/>
    <x v="0"/>
    <m/>
    <m/>
    <n v="700000"/>
    <m/>
    <m/>
    <m/>
  </r>
  <r>
    <m/>
    <x v="51"/>
    <x v="20"/>
    <x v="2"/>
    <x v="1"/>
    <x v="8"/>
    <s v="Yusmeidy"/>
    <x v="0"/>
    <x v="0"/>
    <m/>
    <m/>
    <n v="122000"/>
    <m/>
    <m/>
    <m/>
  </r>
  <r>
    <m/>
    <x v="52"/>
    <x v="21"/>
    <x v="3"/>
    <x v="1"/>
    <x v="8"/>
    <s v="Yusmeidy"/>
    <x v="0"/>
    <x v="0"/>
    <m/>
    <m/>
    <n v="165000"/>
    <m/>
    <m/>
    <m/>
  </r>
  <r>
    <m/>
    <x v="53"/>
    <x v="22"/>
    <x v="4"/>
    <x v="1"/>
    <x v="8"/>
    <s v="Yusmeidy"/>
    <x v="0"/>
    <x v="0"/>
    <m/>
    <m/>
    <n v="61000"/>
    <m/>
    <m/>
    <m/>
  </r>
  <r>
    <m/>
    <x v="54"/>
    <x v="23"/>
    <x v="5"/>
    <x v="0"/>
    <x v="8"/>
    <s v="Yusmeidy"/>
    <x v="0"/>
    <x v="0"/>
    <m/>
    <m/>
    <n v="235000"/>
    <m/>
    <m/>
    <m/>
  </r>
  <r>
    <m/>
    <x v="55"/>
    <x v="24"/>
    <x v="6"/>
    <x v="0"/>
    <x v="8"/>
    <s v="Yusmeidy y Stefania"/>
    <x v="0"/>
    <x v="0"/>
    <m/>
    <m/>
    <n v="811500"/>
    <m/>
    <m/>
    <m/>
  </r>
  <r>
    <m/>
    <x v="56"/>
    <x v="25"/>
    <x v="0"/>
    <x v="0"/>
    <x v="8"/>
    <s v="Yusmeidy y Stefania"/>
    <x v="0"/>
    <x v="0"/>
    <m/>
    <m/>
    <n v="1300900"/>
    <m/>
    <m/>
    <m/>
  </r>
  <r>
    <m/>
    <x v="57"/>
    <x v="26"/>
    <x v="1"/>
    <x v="1"/>
    <x v="9"/>
    <s v="Papá"/>
    <x v="0"/>
    <x v="0"/>
    <m/>
    <m/>
    <n v="350000"/>
    <m/>
    <m/>
    <m/>
  </r>
  <r>
    <m/>
    <x v="58"/>
    <x v="27"/>
    <x v="2"/>
    <x v="1"/>
    <x v="9"/>
    <s v="Papá"/>
    <x v="0"/>
    <x v="0"/>
    <m/>
    <m/>
    <n v="220000"/>
    <m/>
    <m/>
    <m/>
  </r>
  <r>
    <m/>
    <x v="59"/>
    <x v="28"/>
    <x v="3"/>
    <x v="1"/>
    <x v="9"/>
    <s v="Papá"/>
    <x v="0"/>
    <x v="0"/>
    <m/>
    <m/>
    <n v="320000"/>
    <m/>
    <m/>
    <m/>
  </r>
  <r>
    <m/>
    <x v="60"/>
    <x v="29"/>
    <x v="4"/>
    <x v="1"/>
    <x v="9"/>
    <s v="Papá"/>
    <x v="0"/>
    <x v="0"/>
    <m/>
    <m/>
    <n v="216500"/>
    <m/>
    <m/>
    <m/>
  </r>
  <r>
    <m/>
    <x v="61"/>
    <x v="0"/>
    <x v="5"/>
    <x v="0"/>
    <x v="9"/>
    <s v="Stefania"/>
    <x v="0"/>
    <x v="0"/>
    <m/>
    <m/>
    <n v="122000"/>
    <m/>
    <m/>
    <m/>
  </r>
  <r>
    <m/>
    <x v="61"/>
    <x v="0"/>
    <x v="5"/>
    <x v="0"/>
    <x v="9"/>
    <s v="Daniel"/>
    <x v="0"/>
    <x v="0"/>
    <m/>
    <m/>
    <n v="64000"/>
    <m/>
    <m/>
    <m/>
  </r>
  <r>
    <m/>
    <x v="62"/>
    <x v="1"/>
    <x v="6"/>
    <x v="0"/>
    <x v="9"/>
    <s v="Papá"/>
    <x v="0"/>
    <x v="0"/>
    <m/>
    <m/>
    <n v="587500"/>
    <m/>
    <m/>
    <m/>
  </r>
  <r>
    <m/>
    <x v="63"/>
    <x v="2"/>
    <x v="0"/>
    <x v="0"/>
    <x v="9"/>
    <s v="Papá"/>
    <x v="0"/>
    <x v="0"/>
    <m/>
    <m/>
    <n v="960000"/>
    <m/>
    <m/>
    <m/>
  </r>
  <r>
    <m/>
    <x v="64"/>
    <x v="3"/>
    <x v="1"/>
    <x v="1"/>
    <x v="10"/>
    <s v="Papá"/>
    <x v="0"/>
    <x v="0"/>
    <m/>
    <m/>
    <n v="500000"/>
    <m/>
    <m/>
    <m/>
  </r>
  <r>
    <m/>
    <x v="65"/>
    <x v="4"/>
    <x v="2"/>
    <x v="1"/>
    <x v="10"/>
    <s v="Papá"/>
    <x v="0"/>
    <x v="0"/>
    <m/>
    <m/>
    <n v="400000"/>
    <m/>
    <m/>
    <m/>
  </r>
  <r>
    <m/>
    <x v="66"/>
    <x v="5"/>
    <x v="3"/>
    <x v="1"/>
    <x v="10"/>
    <s v="Papá"/>
    <x v="0"/>
    <x v="0"/>
    <m/>
    <m/>
    <n v="210000"/>
    <m/>
    <m/>
    <m/>
  </r>
  <r>
    <m/>
    <x v="67"/>
    <x v="6"/>
    <x v="4"/>
    <x v="1"/>
    <x v="10"/>
    <s v="Papá"/>
    <x v="0"/>
    <x v="0"/>
    <m/>
    <m/>
    <n v="200000"/>
    <m/>
    <m/>
    <m/>
  </r>
  <r>
    <m/>
    <x v="68"/>
    <x v="7"/>
    <x v="5"/>
    <x v="0"/>
    <x v="10"/>
    <s v="Papá"/>
    <x v="0"/>
    <x v="0"/>
    <m/>
    <m/>
    <n v="400000"/>
    <m/>
    <m/>
    <m/>
  </r>
  <r>
    <m/>
    <x v="69"/>
    <x v="8"/>
    <x v="6"/>
    <x v="0"/>
    <x v="10"/>
    <s v="Papá"/>
    <x v="0"/>
    <x v="0"/>
    <m/>
    <m/>
    <n v="900000"/>
    <m/>
    <m/>
    <m/>
  </r>
  <r>
    <m/>
    <x v="70"/>
    <x v="9"/>
    <x v="0"/>
    <x v="0"/>
    <x v="10"/>
    <s v="Papá"/>
    <x v="0"/>
    <x v="0"/>
    <m/>
    <m/>
    <n v="1500000"/>
    <m/>
    <m/>
    <m/>
  </r>
  <r>
    <m/>
    <x v="71"/>
    <x v="10"/>
    <x v="1"/>
    <x v="1"/>
    <x v="11"/>
    <s v="Papá"/>
    <x v="0"/>
    <x v="0"/>
    <m/>
    <m/>
    <n v="250000"/>
    <m/>
    <m/>
    <m/>
  </r>
  <r>
    <m/>
    <x v="72"/>
    <x v="11"/>
    <x v="2"/>
    <x v="1"/>
    <x v="11"/>
    <s v="Papá"/>
    <x v="0"/>
    <x v="0"/>
    <m/>
    <m/>
    <n v="120000"/>
    <m/>
    <m/>
    <m/>
  </r>
  <r>
    <m/>
    <x v="73"/>
    <x v="12"/>
    <x v="3"/>
    <x v="1"/>
    <x v="11"/>
    <s v="Papá"/>
    <x v="0"/>
    <x v="0"/>
    <m/>
    <m/>
    <n v="180000"/>
    <m/>
    <m/>
    <m/>
  </r>
  <r>
    <m/>
    <x v="74"/>
    <x v="13"/>
    <x v="4"/>
    <x v="1"/>
    <x v="11"/>
    <s v="Papá"/>
    <x v="0"/>
    <x v="0"/>
    <m/>
    <m/>
    <n v="250000"/>
    <m/>
    <m/>
    <m/>
  </r>
  <r>
    <m/>
    <x v="75"/>
    <x v="14"/>
    <x v="5"/>
    <x v="0"/>
    <x v="11"/>
    <s v="Papá"/>
    <x v="0"/>
    <x v="0"/>
    <m/>
    <m/>
    <n v="220000"/>
    <m/>
    <m/>
    <m/>
  </r>
  <r>
    <m/>
    <x v="76"/>
    <x v="15"/>
    <x v="6"/>
    <x v="0"/>
    <x v="11"/>
    <s v="Papá"/>
    <x v="0"/>
    <x v="0"/>
    <m/>
    <m/>
    <n v="900000"/>
    <m/>
    <m/>
    <m/>
  </r>
  <r>
    <m/>
    <x v="77"/>
    <x v="16"/>
    <x v="0"/>
    <x v="0"/>
    <x v="11"/>
    <s v="Papá"/>
    <x v="0"/>
    <x v="0"/>
    <m/>
    <m/>
    <n v="1200000"/>
    <m/>
    <m/>
    <m/>
  </r>
  <r>
    <m/>
    <x v="78"/>
    <x v="17"/>
    <x v="1"/>
    <x v="1"/>
    <x v="12"/>
    <s v="Papá"/>
    <x v="0"/>
    <x v="0"/>
    <m/>
    <m/>
    <n v="140000"/>
    <m/>
    <m/>
    <m/>
  </r>
  <r>
    <m/>
    <x v="79"/>
    <x v="18"/>
    <x v="2"/>
    <x v="1"/>
    <x v="12"/>
    <s v="Papá"/>
    <x v="0"/>
    <x v="0"/>
    <m/>
    <m/>
    <n v="0"/>
    <m/>
    <m/>
    <m/>
  </r>
  <r>
    <m/>
    <x v="80"/>
    <x v="19"/>
    <x v="3"/>
    <x v="1"/>
    <x v="12"/>
    <s v="Papá"/>
    <x v="0"/>
    <x v="0"/>
    <m/>
    <m/>
    <n v="220000"/>
    <m/>
    <m/>
    <m/>
  </r>
  <r>
    <m/>
    <x v="81"/>
    <x v="20"/>
    <x v="4"/>
    <x v="1"/>
    <x v="12"/>
    <s v="Papá"/>
    <x v="0"/>
    <x v="0"/>
    <m/>
    <m/>
    <n v="400000"/>
    <m/>
    <m/>
    <m/>
  </r>
  <r>
    <m/>
    <x v="82"/>
    <x v="21"/>
    <x v="5"/>
    <x v="0"/>
    <x v="12"/>
    <s v="Papá"/>
    <x v="0"/>
    <x v="0"/>
    <m/>
    <m/>
    <n v="350000"/>
    <m/>
    <m/>
    <m/>
  </r>
  <r>
    <m/>
    <x v="83"/>
    <x v="22"/>
    <x v="6"/>
    <x v="0"/>
    <x v="12"/>
    <s v="Papá"/>
    <x v="0"/>
    <x v="0"/>
    <m/>
    <m/>
    <n v="900000"/>
    <m/>
    <m/>
    <m/>
  </r>
  <r>
    <m/>
    <x v="84"/>
    <x v="23"/>
    <x v="0"/>
    <x v="0"/>
    <x v="12"/>
    <s v="Papá"/>
    <x v="0"/>
    <x v="0"/>
    <m/>
    <m/>
    <n v="800000"/>
    <m/>
    <m/>
    <m/>
  </r>
  <r>
    <m/>
    <x v="85"/>
    <x v="24"/>
    <x v="1"/>
    <x v="1"/>
    <x v="13"/>
    <s v="Papá"/>
    <x v="0"/>
    <x v="0"/>
    <m/>
    <m/>
    <n v="207200"/>
    <m/>
    <m/>
    <m/>
  </r>
  <r>
    <m/>
    <x v="86"/>
    <x v="25"/>
    <x v="2"/>
    <x v="1"/>
    <x v="13"/>
    <s v="Papá"/>
    <x v="0"/>
    <x v="0"/>
    <m/>
    <m/>
    <n v="157500"/>
    <m/>
    <m/>
    <m/>
  </r>
  <r>
    <m/>
    <x v="87"/>
    <x v="26"/>
    <x v="3"/>
    <x v="1"/>
    <x v="13"/>
    <s v="Papá"/>
    <x v="0"/>
    <x v="0"/>
    <m/>
    <m/>
    <n v="220000"/>
    <m/>
    <m/>
    <m/>
  </r>
  <r>
    <m/>
    <x v="88"/>
    <x v="27"/>
    <x v="4"/>
    <x v="1"/>
    <x v="13"/>
    <s v="Papá"/>
    <x v="0"/>
    <x v="0"/>
    <m/>
    <m/>
    <n v="445500"/>
    <m/>
    <m/>
    <m/>
  </r>
  <r>
    <m/>
    <x v="89"/>
    <x v="28"/>
    <x v="5"/>
    <x v="0"/>
    <x v="13"/>
    <s v="Papá"/>
    <x v="0"/>
    <x v="0"/>
    <m/>
    <m/>
    <n v="350000"/>
    <m/>
    <m/>
    <m/>
  </r>
  <r>
    <m/>
    <x v="90"/>
    <x v="29"/>
    <x v="6"/>
    <x v="0"/>
    <x v="13"/>
    <s v="Papá"/>
    <x v="0"/>
    <x v="0"/>
    <m/>
    <m/>
    <n v="450000"/>
    <m/>
    <m/>
    <m/>
  </r>
  <r>
    <m/>
    <x v="91"/>
    <x v="0"/>
    <x v="0"/>
    <x v="0"/>
    <x v="13"/>
    <s v="Papá"/>
    <x v="0"/>
    <x v="0"/>
    <m/>
    <m/>
    <n v="638500"/>
    <m/>
    <m/>
    <m/>
  </r>
  <r>
    <m/>
    <x v="92"/>
    <x v="1"/>
    <x v="1"/>
    <x v="1"/>
    <x v="14"/>
    <m/>
    <x v="0"/>
    <x v="0"/>
    <m/>
    <m/>
    <n v="308500"/>
    <m/>
    <m/>
    <m/>
  </r>
  <r>
    <m/>
    <x v="93"/>
    <x v="2"/>
    <x v="2"/>
    <x v="1"/>
    <x v="14"/>
    <m/>
    <x v="0"/>
    <x v="0"/>
    <m/>
    <m/>
    <n v="604000"/>
    <m/>
    <m/>
    <m/>
  </r>
  <r>
    <m/>
    <x v="94"/>
    <x v="3"/>
    <x v="3"/>
    <x v="1"/>
    <x v="14"/>
    <m/>
    <x v="0"/>
    <x v="0"/>
    <m/>
    <m/>
    <n v="589500"/>
    <m/>
    <m/>
    <m/>
  </r>
  <r>
    <m/>
    <x v="95"/>
    <x v="4"/>
    <x v="4"/>
    <x v="1"/>
    <x v="14"/>
    <m/>
    <x v="0"/>
    <x v="0"/>
    <m/>
    <m/>
    <n v="120500"/>
    <m/>
    <m/>
    <m/>
  </r>
  <r>
    <m/>
    <x v="96"/>
    <x v="5"/>
    <x v="5"/>
    <x v="1"/>
    <x v="14"/>
    <m/>
    <x v="0"/>
    <x v="0"/>
    <m/>
    <m/>
    <n v="82500"/>
    <m/>
    <m/>
    <m/>
  </r>
  <r>
    <m/>
    <x v="97"/>
    <x v="6"/>
    <x v="6"/>
    <x v="0"/>
    <x v="14"/>
    <m/>
    <x v="0"/>
    <x v="0"/>
    <m/>
    <m/>
    <n v="824000"/>
    <m/>
    <m/>
    <m/>
  </r>
  <r>
    <m/>
    <x v="98"/>
    <x v="7"/>
    <x v="0"/>
    <x v="0"/>
    <x v="14"/>
    <m/>
    <x v="0"/>
    <x v="0"/>
    <m/>
    <m/>
    <n v="720000"/>
    <m/>
    <m/>
    <m/>
  </r>
  <r>
    <m/>
    <x v="99"/>
    <x v="8"/>
    <x v="1"/>
    <x v="1"/>
    <x v="15"/>
    <m/>
    <x v="0"/>
    <x v="0"/>
    <m/>
    <m/>
    <n v="149500"/>
    <m/>
    <m/>
    <m/>
  </r>
  <r>
    <m/>
    <x v="100"/>
    <x v="30"/>
    <x v="2"/>
    <x v="0"/>
    <x v="15"/>
    <m/>
    <x v="0"/>
    <x v="0"/>
    <m/>
    <m/>
    <n v="4485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la dinámica2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3" rowHeaderCaption="Día" colHeaderCaption="Mes">
  <location ref="D4:H37" firstHeaderRow="1" firstDataRow="2" firstDataCol="1" rowPageCount="1" colPageCount="1"/>
  <pivotFields count="15">
    <pivotField showAll="0"/>
    <pivotField axis="axisCol" numFmtId="14" showAll="0" sortType="descending">
      <items count="15">
        <item x="13"/>
        <item x="0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t="default"/>
      </items>
    </pivotField>
    <pivotField axis="axisRow" showAll="0" sortType="ascending">
      <items count="33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showAll="0" defaultSubtotal="0">
      <items count="78">
        <item x="36"/>
        <item x="12"/>
        <item x="30"/>
        <item x="22"/>
        <item x="24"/>
        <item x="28"/>
        <item x="15"/>
        <item x="40"/>
        <item x="6"/>
        <item x="44"/>
        <item x="45"/>
        <item x="48"/>
        <item x="8"/>
        <item x="41"/>
        <item x="50"/>
        <item x="10"/>
        <item x="39"/>
        <item x="33"/>
        <item x="32"/>
        <item x="20"/>
        <item x="49"/>
        <item x="1"/>
        <item x="52"/>
        <item x="17"/>
        <item x="5"/>
        <item x="21"/>
        <item x="9"/>
        <item x="53"/>
        <item x="27"/>
        <item x="25"/>
        <item x="23"/>
        <item x="18"/>
        <item x="34"/>
        <item x="42"/>
        <item x="51"/>
        <item x="3"/>
        <item x="16"/>
        <item x="35"/>
        <item x="11"/>
        <item x="7"/>
        <item x="46"/>
        <item x="31"/>
        <item x="14"/>
        <item x="19"/>
        <item x="38"/>
        <item x="37"/>
        <item x="47"/>
        <item x="43"/>
        <item x="29"/>
        <item x="4"/>
        <item x="13"/>
        <item x="2"/>
        <item m="1" x="77"/>
        <item x="0"/>
        <item x="26"/>
        <item x="57"/>
        <item x="55"/>
        <item x="65"/>
        <item x="66"/>
        <item x="67"/>
        <item x="68"/>
        <item x="69"/>
        <item x="70"/>
        <item x="63"/>
        <item x="71"/>
        <item x="54"/>
        <item x="72"/>
        <item x="73"/>
        <item x="74"/>
        <item x="75"/>
        <item x="76"/>
        <item x="64"/>
        <item x="60"/>
        <item x="61"/>
        <item x="62"/>
        <item x="56"/>
        <item x="58"/>
        <item x="59"/>
      </items>
    </pivotField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Fields count="1">
    <field x="2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1"/>
  </colFields>
  <colItems count="4">
    <i>
      <x v="2"/>
    </i>
    <i>
      <x v="3"/>
    </i>
    <i>
      <x v="4"/>
    </i>
    <i>
      <x v="5"/>
    </i>
  </colItems>
  <pageFields count="1">
    <pageField fld="8" hier="-1"/>
  </pageFields>
  <dataFields count="1">
    <dataField name="Suma de Ventas" fld="11" baseField="2" baseItem="19"/>
  </dataFields>
  <formats count="6">
    <format dxfId="648">
      <pivotArea outline="0" collapsedLevelsAreSubtotals="1" fieldPosition="0"/>
    </format>
    <format dxfId="647">
      <pivotArea outline="0" collapsedLevelsAreSubtotals="1" fieldPosition="0"/>
    </format>
    <format dxfId="646">
      <pivotArea field="2" type="button" dataOnly="0" labelOnly="1" outline="0" axis="axisRow" fieldPosition="0"/>
    </format>
    <format dxfId="645">
      <pivotArea dataOnly="0" labelOnly="1" fieldPosition="0">
        <references count="1">
          <reference field="2" count="0"/>
        </references>
      </pivotArea>
    </format>
    <format dxfId="644">
      <pivotArea dataOnly="0" labelOnly="1" grandRow="1" outline="0" fieldPosition="0"/>
    </format>
    <format dxfId="643">
      <pivotArea dataOnly="0" labelOnly="1" fieldPosition="0">
        <references count="1">
          <reference field="1" count="3"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la dinámica1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3" rowHeaderCaption="Id Client" colHeaderCaption="Mes">
  <location ref="D82:E104" firstHeaderRow="1" firstDataRow="1" firstDataCol="1" rowPageCount="3" colPageCount="1"/>
  <pivotFields count="15">
    <pivotField showAll="0"/>
    <pivotField axis="axisPage" numFmtId="14" multipleItemSelectionAllowed="1" showAll="0" sortType="descending">
      <items count="15">
        <item h="1" x="13"/>
        <item h="1" x="0"/>
        <item h="1" x="12"/>
        <item h="1" x="11"/>
        <item x="10"/>
        <item h="1" x="9"/>
        <item h="1" x="8"/>
        <item h="1" x="7"/>
        <item h="1" x="6"/>
        <item h="1" x="5"/>
        <item h="1" x="4"/>
        <item h="1" x="3"/>
        <item h="1" x="2"/>
        <item h="1" x="1"/>
        <item t="default"/>
      </items>
    </pivotField>
    <pivotField axis="axisPage" multipleItemSelectionAllowed="1" showAll="0" sortType="ascending">
      <items count="33">
        <item m="1" x="31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0"/>
        <item h="1" x="1"/>
        <item h="1" x="2"/>
        <item h="1" x="3"/>
        <item h="1" x="4"/>
        <item h="1" x="5"/>
        <item h="1" x="6"/>
        <item h="1" x="7"/>
        <item h="1" x="8"/>
        <item h="1" x="3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axis="axisRow" showAll="0" sortType="ascending" defaultSubtotal="0">
      <items count="3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0"/>
        <item x="0"/>
      </items>
    </pivotField>
    <pivotField axis="axisPage" showAll="0" defaultSubtotal="0">
      <items count="78">
        <item x="36"/>
        <item x="12"/>
        <item x="30"/>
        <item x="22"/>
        <item x="24"/>
        <item x="28"/>
        <item x="15"/>
        <item x="40"/>
        <item x="6"/>
        <item x="44"/>
        <item x="45"/>
        <item x="48"/>
        <item x="8"/>
        <item x="41"/>
        <item x="50"/>
        <item x="10"/>
        <item x="39"/>
        <item x="33"/>
        <item x="32"/>
        <item x="20"/>
        <item x="49"/>
        <item x="1"/>
        <item x="52"/>
        <item x="17"/>
        <item x="5"/>
        <item x="21"/>
        <item x="9"/>
        <item x="53"/>
        <item x="27"/>
        <item x="25"/>
        <item x="23"/>
        <item x="18"/>
        <item x="34"/>
        <item x="42"/>
        <item x="51"/>
        <item x="3"/>
        <item x="16"/>
        <item x="35"/>
        <item x="11"/>
        <item x="7"/>
        <item x="46"/>
        <item x="31"/>
        <item x="14"/>
        <item x="19"/>
        <item x="38"/>
        <item x="37"/>
        <item x="47"/>
        <item x="43"/>
        <item x="29"/>
        <item x="4"/>
        <item x="13"/>
        <item x="2"/>
        <item m="1" x="77"/>
        <item x="0"/>
        <item x="26"/>
        <item x="57"/>
        <item x="55"/>
        <item x="65"/>
        <item x="66"/>
        <item x="67"/>
        <item x="68"/>
        <item x="69"/>
        <item x="70"/>
        <item x="63"/>
        <item x="71"/>
        <item x="54"/>
        <item x="72"/>
        <item x="73"/>
        <item x="74"/>
        <item x="75"/>
        <item x="76"/>
        <item x="64"/>
        <item x="60"/>
        <item x="61"/>
        <item x="62"/>
        <item x="56"/>
        <item x="58"/>
        <item x="59"/>
      </items>
    </pivotField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3">
    <pageField fld="8" hier="-1"/>
    <pageField fld="1" hier="-1"/>
    <pageField fld="2" hier="-1"/>
  </pageFields>
  <dataFields count="1">
    <dataField name="Suma de Ventas" fld="11" baseField="2" baseItem="19"/>
  </dataFields>
  <formats count="1">
    <format dxfId="6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la dinámica6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3" rowHeaderCaption="Día" colHeaderCaption="Mes">
  <location ref="D4:E36" firstHeaderRow="1" firstDataRow="1" firstDataCol="1" rowPageCount="1" colPageCount="1"/>
  <pivotFields count="15">
    <pivotField showAll="0"/>
    <pivotField numFmtId="14" showAll="0"/>
    <pivotField axis="axisRow" showAll="0" sortType="ascending">
      <items count="33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axis="axisPage" showAll="0" defaultSubtotal="0">
      <items count="78">
        <item x="36"/>
        <item x="12"/>
        <item x="30"/>
        <item x="22"/>
        <item x="24"/>
        <item x="28"/>
        <item x="15"/>
        <item x="40"/>
        <item x="6"/>
        <item x="44"/>
        <item x="45"/>
        <item x="48"/>
        <item x="8"/>
        <item x="41"/>
        <item x="50"/>
        <item x="10"/>
        <item x="39"/>
        <item x="33"/>
        <item x="32"/>
        <item x="20"/>
        <item x="49"/>
        <item x="1"/>
        <item x="52"/>
        <item x="17"/>
        <item x="5"/>
        <item x="21"/>
        <item x="9"/>
        <item x="53"/>
        <item x="27"/>
        <item x="25"/>
        <item x="23"/>
        <item x="18"/>
        <item x="34"/>
        <item x="42"/>
        <item x="51"/>
        <item x="3"/>
        <item x="16"/>
        <item x="35"/>
        <item x="11"/>
        <item x="7"/>
        <item x="46"/>
        <item x="31"/>
        <item x="14"/>
        <item x="19"/>
        <item x="38"/>
        <item x="37"/>
        <item x="47"/>
        <item x="43"/>
        <item x="29"/>
        <item x="4"/>
        <item x="13"/>
        <item x="2"/>
        <item m="1" x="77"/>
        <item x="0"/>
        <item x="26"/>
        <item x="57"/>
        <item x="55"/>
        <item x="65"/>
        <item x="66"/>
        <item x="67"/>
        <item x="68"/>
        <item x="69"/>
        <item x="70"/>
        <item x="63"/>
        <item x="71"/>
        <item x="54"/>
        <item x="72"/>
        <item x="73"/>
        <item x="74"/>
        <item x="75"/>
        <item x="76"/>
        <item x="64"/>
        <item x="60"/>
        <item x="61"/>
        <item x="62"/>
        <item x="56"/>
        <item x="58"/>
        <item x="59"/>
      </items>
    </pivotField>
    <pivotField showAll="0" defaultSubtotal="0"/>
    <pivotField showAll="0" defaultSubtotal="0"/>
    <pivotField numFmtId="166" showAll="0"/>
    <pivotField showAll="0" defaultSubtotal="0"/>
    <pivotField showAll="0"/>
    <pivotField showAll="0"/>
  </pivotFields>
  <rowFields count="1">
    <field x="2"/>
  </rowFields>
  <rowItems count="3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pageFields count="1">
    <pageField fld="8" hier="-1"/>
  </pageFields>
  <dataFields count="1">
    <dataField name="Máx. de Id. Client por dìa" fld="7" subtotal="max" baseField="2" baseItem="8"/>
  </dataFields>
  <formats count="5">
    <format dxfId="634">
      <pivotArea outline="0" collapsedLevelsAreSubtotals="1" fieldPosition="0"/>
    </format>
    <format dxfId="633">
      <pivotArea dataOnly="0" labelOnly="1" fieldPosition="0">
        <references count="1">
          <reference field="2" count="1">
            <x v="19"/>
          </reference>
        </references>
      </pivotArea>
    </format>
    <format dxfId="632">
      <pivotArea dataOnly="0" labelOnly="1" fieldPosition="0">
        <references count="1">
          <reference field="2" count="1">
            <x v="19"/>
          </reference>
        </references>
      </pivotArea>
    </format>
    <format dxfId="631">
      <pivotArea collapsedLevelsAreSubtotals="1" fieldPosition="0">
        <references count="1">
          <reference field="2" count="0"/>
        </references>
      </pivotArea>
    </format>
    <format dxfId="63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la dinámica1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8" rowHeaderCaption="Día" colHeaderCaption="Mes">
  <location ref="D3:F4" firstHeaderRow="0" firstDataRow="1" firstDataCol="0"/>
  <pivotFields count="15">
    <pivotField showAll="0"/>
    <pivotField dataField="1" numFmtId="14" showAll="0" sortType="ascending"/>
    <pivotField showAll="0" sortType="ascending"/>
    <pivotField showAll="0" defaultSubtotal="0"/>
    <pivotField showAll="0" defaultSubtotal="0"/>
    <pivotField showAll="0" sortType="ascending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Inicio de operación" fld="1" subtotal="min" baseField="0" baseItem="1" numFmtId="14"/>
    <dataField name="Fecha actual" fld="1" subtotal="max" baseField="0" baseItem="1" numFmtId="14"/>
    <dataField name="Venta" fld="11" baseField="0" baseItem="0" numFmtId="166"/>
  </dataFields>
  <formats count="6">
    <format dxfId="571">
      <pivotArea outline="0" collapsedLevelsAreSubtotals="1" fieldPosition="0"/>
    </format>
    <format dxfId="570">
      <pivotArea dataOnly="0" labelOnly="1" outline="0" axis="axisValues" fieldPosition="0"/>
    </format>
    <format dxfId="569">
      <pivotArea dataOnly="0" labelOnly="1" outline="0" axis="axisValues" fieldPosition="0"/>
    </format>
    <format dxfId="56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67">
      <pivotArea outline="0" collapsedLevelsAreSubtotals="1" fieldPosition="0"/>
    </format>
    <format dxfId="566">
      <pivotArea outline="0" collapsedLevelsAreSubtotals="1" fieldPosition="0"/>
    </format>
  </formats>
  <chartFormats count="1">
    <chartFormat chart="7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4000000}" name="TablaDinámica4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8" rowHeaderCaption="Día" colHeaderCaption="Semana">
  <location ref="S18:T21" firstHeaderRow="1" firstDataRow="1" firstDataCol="1" rowPageCount="1" colPageCount="1"/>
  <pivotFields count="15">
    <pivotField showAll="0"/>
    <pivotField axis="axisRow" numFmtId="14" showAll="0" sortType="ascending">
      <items count="15">
        <item x="1"/>
        <item x="2"/>
        <item x="3"/>
        <item x="4"/>
        <item x="5"/>
        <item x="6"/>
        <item x="7"/>
        <item x="8"/>
        <item h="1" x="9"/>
        <item x="10"/>
        <item x="11"/>
        <item h="1" x="12"/>
        <item x="0"/>
        <item x="13"/>
        <item t="default"/>
      </items>
    </pivotField>
    <pivotField showAll="0" sortType="ascending"/>
    <pivotField multipleItemSelectionAllowed="1" showAll="0" defaultSubtotal="0">
      <items count="8">
        <item x="1"/>
        <item x="2"/>
        <item x="3"/>
        <item x="4"/>
        <item x="5"/>
        <item x="6"/>
        <item x="0"/>
        <item m="1" x="7"/>
      </items>
    </pivotField>
    <pivotField showAll="0" defaultSubtotal="0"/>
    <pivotField axis="axisPage" showAll="0" sortType="ascending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17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Fields count="1">
    <field x="1"/>
  </rowFields>
  <rowItems count="3">
    <i>
      <x v="9"/>
    </i>
    <i>
      <x v="10"/>
    </i>
    <i t="grand">
      <x/>
    </i>
  </rowItems>
  <colItems count="1">
    <i/>
  </colItems>
  <pageFields count="1">
    <pageField fld="5" hier="-1"/>
  </pageFields>
  <dataFields count="1">
    <dataField name="Valor" fld="11" baseField="0" baseItem="0" numFmtId="166"/>
  </dataFields>
  <formats count="5">
    <format dxfId="576">
      <pivotArea outline="0" collapsedLevelsAreSubtotals="1" fieldPosition="0"/>
    </format>
    <format dxfId="575">
      <pivotArea dataOnly="0" outline="0" fieldPosition="0">
        <references count="1">
          <reference field="5" count="1">
            <x v="0"/>
          </reference>
        </references>
      </pivotArea>
    </format>
    <format dxfId="574">
      <pivotArea dataOnly="0" labelOnly="1" fieldPosition="0">
        <references count="1">
          <reference field="5" count="0"/>
        </references>
      </pivotArea>
    </format>
    <format dxfId="573">
      <pivotArea field="3" type="button" dataOnly="0" labelOnly="1" outline="0"/>
    </format>
    <format dxfId="572">
      <pivotArea dataOnly="0" labelOnly="1" fieldPosition="0">
        <references count="1">
          <reference field="5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3000000}" name="TablaDinámica3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8" rowHeaderCaption="Día" colHeaderCaption="Semana">
  <location ref="S7:T10" firstHeaderRow="1" firstDataRow="1" firstDataCol="1" rowPageCount="2" colPageCount="1"/>
  <pivotFields count="15">
    <pivotField showAll="0"/>
    <pivotField axis="axisRow" numFmtId="14" showAll="0" sortType="ascending">
      <items count="15">
        <item x="1"/>
        <item x="2"/>
        <item x="3"/>
        <item x="4"/>
        <item x="5"/>
        <item x="6"/>
        <item x="7"/>
        <item x="8"/>
        <item h="1" x="9"/>
        <item x="10"/>
        <item x="11"/>
        <item h="1" x="12"/>
        <item x="0"/>
        <item x="13"/>
        <item t="default"/>
      </items>
    </pivotField>
    <pivotField showAll="0" sortType="ascending"/>
    <pivotField axis="axisPage" multipleItemSelectionAllowed="1" showAll="0" defaultSubtotal="0">
      <items count="8">
        <item h="1" x="1"/>
        <item h="1" x="2"/>
        <item h="1" x="3"/>
        <item h="1" x="4"/>
        <item x="5"/>
        <item x="6"/>
        <item x="0"/>
        <item m="1" x="7"/>
      </items>
    </pivotField>
    <pivotField showAll="0" defaultSubtotal="0"/>
    <pivotField axis="axisPage" showAll="0" sortType="ascending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17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Fields count="1">
    <field x="1"/>
  </rowFields>
  <rowItems count="3">
    <i>
      <x v="9"/>
    </i>
    <i>
      <x v="10"/>
    </i>
    <i t="grand">
      <x/>
    </i>
  </rowItems>
  <colItems count="1">
    <i/>
  </colItems>
  <pageFields count="2">
    <pageField fld="5" hier="-1"/>
    <pageField fld="3" hier="-1"/>
  </pageFields>
  <dataFields count="1">
    <dataField name="Valor" fld="11" baseField="0" baseItem="0" numFmtId="166"/>
  </dataFields>
  <formats count="14">
    <format dxfId="590">
      <pivotArea outline="0" collapsedLevelsAreSubtotals="1" fieldPosition="0"/>
    </format>
    <format dxfId="589">
      <pivotArea collapsedLevelsAreSubtotals="1" fieldPosition="0">
        <references count="2">
          <reference field="3" count="1">
            <x v="0"/>
          </reference>
          <reference field="5" count="1" selected="0">
            <x v="2"/>
          </reference>
        </references>
      </pivotArea>
    </format>
    <format dxfId="588">
      <pivotArea collapsedLevelsAreSubtotals="1" fieldPosition="0">
        <references count="2">
          <reference field="3" count="1">
            <x v="0"/>
          </reference>
          <reference field="5" count="1" selected="0">
            <x v="4"/>
          </reference>
        </references>
      </pivotArea>
    </format>
    <format dxfId="587">
      <pivotArea collapsedLevelsAreSubtotals="1" fieldPosition="0">
        <references count="2">
          <reference field="3" count="1">
            <x v="0"/>
          </reference>
          <reference field="5" count="1" selected="0">
            <x v="4"/>
          </reference>
        </references>
      </pivotArea>
    </format>
    <format dxfId="586">
      <pivotArea dataOnly="0" outline="0" fieldPosition="0">
        <references count="1">
          <reference field="5" count="1">
            <x v="0"/>
          </reference>
        </references>
      </pivotArea>
    </format>
    <format dxfId="585">
      <pivotArea dataOnly="0" labelOnly="1" fieldPosition="0">
        <references count="1">
          <reference field="5" count="0"/>
        </references>
      </pivotArea>
    </format>
    <format dxfId="584">
      <pivotArea collapsedLevelsAreSubtotals="1" fieldPosition="0">
        <references count="2">
          <reference field="3" count="2">
            <x v="5"/>
            <x v="6"/>
          </reference>
          <reference field="5" count="8" selected="0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583">
      <pivotArea dataOnly="0" labelOnly="1" fieldPosition="0">
        <references count="1">
          <reference field="3" count="2">
            <x v="5"/>
            <x v="6"/>
          </reference>
        </references>
      </pivotArea>
    </format>
    <format dxfId="582">
      <pivotArea collapsedLevelsAreSubtotals="1" fieldPosition="0">
        <references count="2">
          <reference field="3" count="1">
            <x v="0"/>
          </reference>
          <reference field="5" count="1" selected="0">
            <x v="8"/>
          </reference>
        </references>
      </pivotArea>
    </format>
    <format dxfId="581">
      <pivotArea collapsedLevelsAreSubtotals="1" fieldPosition="0">
        <references count="2">
          <reference field="3" count="1">
            <x v="0"/>
          </reference>
          <reference field="5" count="1" selected="0">
            <x v="7"/>
          </reference>
        </references>
      </pivotArea>
    </format>
    <format dxfId="580">
      <pivotArea field="3" type="button" dataOnly="0" labelOnly="1" outline="0" axis="axisPage" fieldPosition="1"/>
    </format>
    <format dxfId="579">
      <pivotArea dataOnly="0" labelOnly="1" fieldPosition="0">
        <references count="1">
          <reference field="5" count="0"/>
        </references>
      </pivotArea>
    </format>
    <format dxfId="578">
      <pivotArea collapsedLevelsAreSubtotals="1" fieldPosition="0">
        <references count="2">
          <reference field="3" count="2">
            <x v="5"/>
            <x v="6"/>
          </reference>
          <reference field="5" count="1" selected="0">
            <x v="8"/>
          </reference>
        </references>
      </pivotArea>
    </format>
    <format dxfId="577">
      <pivotArea collapsedLevelsAreSubtotals="1" fieldPosition="0">
        <references count="2">
          <reference field="3" count="2">
            <x v="5"/>
            <x v="6"/>
          </reference>
          <reference field="5" count="1" selected="0">
            <x v="3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TablaDinámica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8" rowHeaderCaption="Día" colHeaderCaption="Mes">
  <location ref="H2:M4" firstHeaderRow="1" firstDataRow="2" firstDataCol="1"/>
  <pivotFields count="15">
    <pivotField showAll="0"/>
    <pivotField axis="axisCol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showAll="0" sortType="ascending"/>
    <pivotField showAll="0" defaultSubtotal="0"/>
    <pivotField showAll="0" defaultSubtotal="0"/>
    <pivotField showAll="0" sortType="ascending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Items count="1">
    <i/>
  </rowItems>
  <colFields count="1">
    <field x="1"/>
  </colFields>
  <colItems count="5">
    <i>
      <x v="8"/>
    </i>
    <i>
      <x v="9"/>
    </i>
    <i>
      <x v="10"/>
    </i>
    <i>
      <x v="11"/>
    </i>
    <i t="grand">
      <x/>
    </i>
  </colItems>
  <dataFields count="1">
    <dataField name=" Ventas" fld="11" baseField="0" baseItem="0"/>
  </dataFields>
  <formats count="6">
    <format dxfId="596">
      <pivotArea outline="0" collapsedLevelsAreSubtotals="1" fieldPosition="0"/>
    </format>
    <format dxfId="595">
      <pivotArea dataOnly="0" labelOnly="1" outline="0" axis="axisValues" fieldPosition="0"/>
    </format>
    <format dxfId="594">
      <pivotArea dataOnly="0" labelOnly="1" outline="0" axis="axisValues" fieldPosition="0"/>
    </format>
    <format dxfId="593">
      <pivotArea outline="0" collapsedLevelsAreSubtotals="1" fieldPosition="0"/>
    </format>
    <format dxfId="592">
      <pivotArea outline="0" collapsedLevelsAreSubtotals="1" fieldPosition="0"/>
    </format>
    <format dxfId="591">
      <pivotArea dataOnly="0" labelOnly="1" fieldPosition="0">
        <references count="1">
          <reference field="1" count="4">
            <x v="8"/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Tabla dinámica6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8" rowHeaderCaption="Día" colHeaderCaption="Semana">
  <location ref="A7:Q16" firstHeaderRow="1" firstDataRow="2" firstDataCol="1"/>
  <pivotFields count="15">
    <pivotField showAll="0"/>
    <pivotField numFmtId="14" showAll="0" sortType="ascending"/>
    <pivotField showAll="0" sortType="ascending"/>
    <pivotField axis="axisRow" showAll="0" defaultSubtotal="0">
      <items count="8">
        <item x="1"/>
        <item x="2"/>
        <item x="3"/>
        <item x="4"/>
        <item x="5"/>
        <item x="6"/>
        <item x="0"/>
        <item m="1" x="7"/>
      </items>
    </pivotField>
    <pivotField showAll="0" defaultSubtotal="0"/>
    <pivotField axis="axisCol" showAll="0" sortType="ascending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n="12" m="1" x="16"/>
        <item m="1" x="1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colItems>
  <dataFields count="1">
    <dataField name="  " fld="11" baseField="0" baseItem="0" numFmtId="166"/>
  </dataFields>
  <formats count="33">
    <format dxfId="629">
      <pivotArea outline="0" collapsedLevelsAreSubtotals="1" fieldPosition="0"/>
    </format>
    <format dxfId="628">
      <pivotArea collapsedLevelsAreSubtotals="1" fieldPosition="0">
        <references count="2">
          <reference field="3" count="1">
            <x v="0"/>
          </reference>
          <reference field="5" count="1" selected="0">
            <x v="2"/>
          </reference>
        </references>
      </pivotArea>
    </format>
    <format dxfId="627">
      <pivotArea collapsedLevelsAreSubtotals="1" fieldPosition="0">
        <references count="2">
          <reference field="3" count="1">
            <x v="0"/>
          </reference>
          <reference field="5" count="1" selected="0">
            <x v="4"/>
          </reference>
        </references>
      </pivotArea>
    </format>
    <format dxfId="626">
      <pivotArea collapsedLevelsAreSubtotals="1" fieldPosition="0">
        <references count="2">
          <reference field="3" count="1">
            <x v="0"/>
          </reference>
          <reference field="5" count="1" selected="0">
            <x v="4"/>
          </reference>
        </references>
      </pivotArea>
    </format>
    <format dxfId="625">
      <pivotArea dataOnly="0" outline="0" fieldPosition="0">
        <references count="1">
          <reference field="5" count="1">
            <x v="0"/>
          </reference>
        </references>
      </pivotArea>
    </format>
    <format dxfId="624">
      <pivotArea dataOnly="0" labelOnly="1" fieldPosition="0">
        <references count="1">
          <reference field="5" count="0"/>
        </references>
      </pivotArea>
    </format>
    <format dxfId="623">
      <pivotArea collapsedLevelsAreSubtotals="1" fieldPosition="0">
        <references count="2">
          <reference field="3" count="2">
            <x v="5"/>
            <x v="6"/>
          </reference>
          <reference field="5" count="8" selected="0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622">
      <pivotArea dataOnly="0" labelOnly="1" fieldPosition="0">
        <references count="1">
          <reference field="3" count="2">
            <x v="5"/>
            <x v="6"/>
          </reference>
        </references>
      </pivotArea>
    </format>
    <format dxfId="621">
      <pivotArea collapsedLevelsAreSubtotals="1" fieldPosition="0">
        <references count="2">
          <reference field="3" count="1">
            <x v="0"/>
          </reference>
          <reference field="5" count="1" selected="0">
            <x v="8"/>
          </reference>
        </references>
      </pivotArea>
    </format>
    <format dxfId="620">
      <pivotArea collapsedLevelsAreSubtotals="1" fieldPosition="0">
        <references count="2">
          <reference field="3" count="1">
            <x v="0"/>
          </reference>
          <reference field="5" count="1" selected="0">
            <x v="7"/>
          </reference>
        </references>
      </pivotArea>
    </format>
    <format dxfId="619">
      <pivotArea field="3" type="button" dataOnly="0" labelOnly="1" outline="0" axis="axisRow" fieldPosition="0"/>
    </format>
    <format dxfId="618">
      <pivotArea dataOnly="0" labelOnly="1" fieldPosition="0">
        <references count="1">
          <reference field="5" count="0"/>
        </references>
      </pivotArea>
    </format>
    <format dxfId="617">
      <pivotArea collapsedLevelsAreSubtotals="1" fieldPosition="0">
        <references count="2">
          <reference field="3" count="2">
            <x v="5"/>
            <x v="6"/>
          </reference>
          <reference field="5" count="1" selected="0">
            <x v="8"/>
          </reference>
        </references>
      </pivotArea>
    </format>
    <format dxfId="616">
      <pivotArea collapsedLevelsAreSubtotals="1" fieldPosition="0">
        <references count="2">
          <reference field="3" count="2">
            <x v="5"/>
            <x v="6"/>
          </reference>
          <reference field="5" count="1" selected="0">
            <x v="3"/>
          </reference>
        </references>
      </pivotArea>
    </format>
    <format dxfId="615">
      <pivotArea collapsedLevelsAreSubtotals="1" fieldPosition="0">
        <references count="2">
          <reference field="3" count="0"/>
          <reference field="5" count="1" selected="0">
            <x v="1"/>
          </reference>
        </references>
      </pivotArea>
    </format>
    <format dxfId="614">
      <pivotArea collapsedLevelsAreSubtotals="1" fieldPosition="0">
        <references count="2">
          <reference field="3" count="1">
            <x v="6"/>
          </reference>
          <reference field="5" count="1" selected="0">
            <x v="0"/>
          </reference>
        </references>
      </pivotArea>
    </format>
    <format dxfId="613">
      <pivotArea collapsedLevelsAreSubtotals="1" fieldPosition="0">
        <references count="2">
          <reference field="3" count="1">
            <x v="0"/>
          </reference>
          <reference field="5" count="1" selected="0">
            <x v="2"/>
          </reference>
        </references>
      </pivotArea>
    </format>
    <format dxfId="612">
      <pivotArea collapsedLevelsAreSubtotals="1" fieldPosition="0">
        <references count="2">
          <reference field="3" count="4">
            <x v="0"/>
            <x v="1"/>
            <x v="2"/>
            <x v="3"/>
          </reference>
          <reference field="5" count="1" selected="0">
            <x v="6"/>
          </reference>
        </references>
      </pivotArea>
    </format>
    <format dxfId="611">
      <pivotArea collapsedLevelsAreSubtotals="1" fieldPosition="0">
        <references count="2">
          <reference field="3" count="0"/>
          <reference field="5" count="1" selected="0">
            <x v="5"/>
          </reference>
        </references>
      </pivotArea>
    </format>
    <format dxfId="610">
      <pivotArea collapsedLevelsAreSubtotals="1" fieldPosition="0">
        <references count="2">
          <reference field="3" count="0"/>
          <reference field="5" count="1" selected="0">
            <x v="4"/>
          </reference>
        </references>
      </pivotArea>
    </format>
    <format dxfId="609">
      <pivotArea collapsedLevelsAreSubtotals="1" fieldPosition="0">
        <references count="2">
          <reference field="3" count="0"/>
          <reference field="5" count="1" selected="0">
            <x v="3"/>
          </reference>
        </references>
      </pivotArea>
    </format>
    <format dxfId="608">
      <pivotArea collapsedLevelsAreSubtotals="1" fieldPosition="0">
        <references count="2">
          <reference field="3" count="6">
            <x v="1"/>
            <x v="2"/>
            <x v="3"/>
            <x v="4"/>
            <x v="5"/>
            <x v="6"/>
          </reference>
          <reference field="5" count="1" selected="0">
            <x v="2"/>
          </reference>
        </references>
      </pivotArea>
    </format>
    <format dxfId="607">
      <pivotArea collapsedLevelsAreSubtotals="1" fieldPosition="0">
        <references count="2">
          <reference field="3" count="6">
            <x v="0"/>
            <x v="1"/>
            <x v="2"/>
            <x v="3"/>
            <x v="4"/>
            <x v="5"/>
          </reference>
          <reference field="5" count="1" selected="0">
            <x v="10"/>
          </reference>
        </references>
      </pivotArea>
    </format>
    <format dxfId="606">
      <pivotArea collapsedLevelsAreSubtotals="1" fieldPosition="0">
        <references count="2">
          <reference field="3" count="0"/>
          <reference field="5" count="1" selected="0">
            <x v="9"/>
          </reference>
        </references>
      </pivotArea>
    </format>
    <format dxfId="605">
      <pivotArea collapsedLevelsAreSubtotals="1" fieldPosition="0">
        <references count="2">
          <reference field="3" count="0"/>
          <reference field="5" count="1" selected="0">
            <x v="8"/>
          </reference>
        </references>
      </pivotArea>
    </format>
    <format dxfId="604">
      <pivotArea collapsedLevelsAreSubtotals="1" fieldPosition="0">
        <references count="2">
          <reference field="3" count="0"/>
          <reference field="5" count="1" selected="0">
            <x v="7"/>
          </reference>
        </references>
      </pivotArea>
    </format>
    <format dxfId="603">
      <pivotArea collapsedLevelsAreSubtotals="1" fieldPosition="0">
        <references count="2">
          <reference field="3" count="3">
            <x v="4"/>
            <x v="5"/>
            <x v="6"/>
          </reference>
          <reference field="5" count="1" selected="0">
            <x v="6"/>
          </reference>
        </references>
      </pivotArea>
    </format>
    <format dxfId="602">
      <pivotArea collapsedLevelsAreSubtotals="1" fieldPosition="0">
        <references count="1">
          <reference field="3" count="3">
            <x v="4"/>
            <x v="5"/>
            <x v="6"/>
          </reference>
        </references>
      </pivotArea>
    </format>
    <format dxfId="601">
      <pivotArea collapsedLevelsAreSubtotals="1" fieldPosition="0">
        <references count="2">
          <reference field="3" count="1">
            <x v="2"/>
          </reference>
          <reference field="5" count="1" selected="0">
            <x v="14"/>
          </reference>
        </references>
      </pivotArea>
    </format>
    <format dxfId="600">
      <pivotArea collapsedLevelsAreSubtotals="1" fieldPosition="0">
        <references count="2">
          <reference field="3" count="1">
            <x v="2"/>
          </reference>
          <reference field="5" count="1" selected="0">
            <x v="14"/>
          </reference>
        </references>
      </pivotArea>
    </format>
    <format dxfId="599">
      <pivotArea collapsedLevelsAreSubtotals="1" fieldPosition="0">
        <references count="2">
          <reference field="3" count="1">
            <x v="1"/>
          </reference>
          <reference field="5" count="1" selected="0">
            <x v="14"/>
          </reference>
        </references>
      </pivotArea>
    </format>
    <format dxfId="598">
      <pivotArea collapsedLevelsAreSubtotals="1" fieldPosition="0">
        <references count="2">
          <reference field="3" count="1">
            <x v="1"/>
          </reference>
          <reference field="5" count="1" selected="0">
            <x v="14"/>
          </reference>
        </references>
      </pivotArea>
    </format>
    <format dxfId="597">
      <pivotArea collapsedLevelsAreSubtotals="1" fieldPosition="0">
        <references count="2">
          <reference field="3" count="1">
            <x v="1"/>
          </reference>
          <reference field="5" count="1" selected="0">
            <x v="15"/>
          </reference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1000000}" name="TablaDinámica1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8" rowHeaderCaption="Día" colHeaderCaption="Semana">
  <location ref="A14:D35" firstHeaderRow="1" firstDataRow="2" firstDataCol="1"/>
  <pivotFields count="15">
    <pivotField showAll="0"/>
    <pivotField numFmtId="14" showAll="0" sortType="ascending"/>
    <pivotField showAll="0" sortType="ascending"/>
    <pivotField axis="axisRow" showAll="0" defaultSubtotal="0">
      <items count="8">
        <item x="1"/>
        <item x="2"/>
        <item x="3"/>
        <item x="4"/>
        <item x="5"/>
        <item x="6"/>
        <item x="0"/>
        <item m="1" x="7"/>
      </items>
    </pivotField>
    <pivotField showAll="0" defaultSubtotal="0"/>
    <pivotField axis="axisCol" showAll="0" sortType="ascending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17"/>
        <item m="1" x="16"/>
      </items>
    </pivotField>
    <pivotField showAll="0" defaultSubtotal="0"/>
    <pivotField dataField="1" showAll="0" defaultSubtotal="0"/>
    <pivotField axis="axisRow" showAll="0" defaultSubtotal="0">
      <items count="78">
        <item h="1" x="76"/>
        <item h="1" x="36"/>
        <item h="1" x="12"/>
        <item h="1" x="30"/>
        <item h="1" x="56"/>
        <item h="1" x="22"/>
        <item h="1" x="75"/>
        <item h="1" x="24"/>
        <item h="1" x="28"/>
        <item h="1" x="15"/>
        <item h="1" x="40"/>
        <item h="1" x="57"/>
        <item h="1" x="6"/>
        <item x="44"/>
        <item x="45"/>
        <item x="48"/>
        <item h="1" x="8"/>
        <item h="1" x="41"/>
        <item h="1" x="50"/>
        <item h="1" x="10"/>
        <item h="1" x="39"/>
        <item h="1" x="33"/>
        <item h="1" x="32"/>
        <item h="1" x="55"/>
        <item h="1" x="20"/>
        <item h="1" x="70"/>
        <item h="1" x="49"/>
        <item h="1" x="58"/>
        <item h="1" x="67"/>
        <item h="1" x="72"/>
        <item h="1" x="1"/>
        <item h="1" x="52"/>
        <item h="1" x="17"/>
        <item h="1" x="5"/>
        <item h="1" x="21"/>
        <item h="1" x="64"/>
        <item h="1" x="74"/>
        <item h="1" x="9"/>
        <item h="1" x="53"/>
        <item h="1" x="27"/>
        <item h="1" x="25"/>
        <item h="1" x="23"/>
        <item h="1" x="18"/>
        <item h="1" x="34"/>
        <item h="1" x="42"/>
        <item h="1" x="51"/>
        <item h="1" x="3"/>
        <item h="1" x="62"/>
        <item h="1" x="16"/>
        <item h="1" x="73"/>
        <item h="1" x="35"/>
        <item h="1" x="59"/>
        <item h="1" x="69"/>
        <item h="1" x="11"/>
        <item h="1" x="7"/>
        <item h="1" x="63"/>
        <item h="1" x="46"/>
        <item h="1" x="71"/>
        <item h="1" x="31"/>
        <item x="14"/>
        <item x="19"/>
        <item h="1" x="38"/>
        <item h="1" x="68"/>
        <item h="1" x="65"/>
        <item h="1" x="60"/>
        <item h="1" x="37"/>
        <item h="1" x="66"/>
        <item h="1" x="47"/>
        <item h="1" x="43"/>
        <item h="1" x="61"/>
        <item h="1" x="54"/>
        <item h="1" x="29"/>
        <item h="1" x="4"/>
        <item h="1" x="13"/>
        <item h="1" x="2"/>
        <item h="1" x="26"/>
        <item h="1" m="1" x="77"/>
        <item h="1" x="0"/>
      </items>
    </pivotField>
    <pivotField showAll="0" defaultSubtotal="0"/>
    <pivotField showAll="0" defaultSubtotal="0"/>
    <pivotField numFmtId="166" showAll="0"/>
    <pivotField showAll="0" defaultSubtotal="0"/>
    <pivotField showAll="0"/>
    <pivotField showAll="0"/>
  </pivotFields>
  <rowFields count="2">
    <field x="3"/>
    <field x="8"/>
  </rowFields>
  <rowItems count="20">
    <i>
      <x/>
    </i>
    <i r="1">
      <x v="59"/>
    </i>
    <i>
      <x v="1"/>
    </i>
    <i r="1">
      <x v="59"/>
    </i>
    <i>
      <x v="2"/>
    </i>
    <i r="1">
      <x v="59"/>
    </i>
    <i>
      <x v="3"/>
    </i>
    <i r="1">
      <x v="59"/>
    </i>
    <i r="1">
      <x v="60"/>
    </i>
    <i>
      <x v="4"/>
    </i>
    <i r="1">
      <x v="59"/>
    </i>
    <i>
      <x v="5"/>
    </i>
    <i r="1">
      <x v="59"/>
    </i>
    <i r="1">
      <x v="60"/>
    </i>
    <i>
      <x v="6"/>
    </i>
    <i r="1">
      <x v="13"/>
    </i>
    <i r="1">
      <x v="14"/>
    </i>
    <i r="1">
      <x v="15"/>
    </i>
    <i r="1">
      <x v="59"/>
    </i>
    <i t="grand">
      <x/>
    </i>
  </rowItems>
  <colFields count="1">
    <field x="5"/>
  </colFields>
  <colItems count="3">
    <i>
      <x v="1"/>
    </i>
    <i>
      <x v="3"/>
    </i>
    <i>
      <x v="4"/>
    </i>
  </colItems>
  <dataFields count="1">
    <dataField name="Cuenta de Id. Client por dìa" fld="7" subtotal="count" baseField="8" baseItem="23" numFmtId="167"/>
  </dataFields>
  <formats count="10">
    <format dxfId="555">
      <pivotArea collapsedLevelsAreSubtotals="1" fieldPosition="0">
        <references count="2">
          <reference field="3" count="1">
            <x v="0"/>
          </reference>
          <reference field="5" count="1" selected="0">
            <x v="2"/>
          </reference>
        </references>
      </pivotArea>
    </format>
    <format dxfId="554">
      <pivotArea collapsedLevelsAreSubtotals="1" fieldPosition="0">
        <references count="2">
          <reference field="3" count="2">
            <x v="5"/>
            <x v="6"/>
          </reference>
          <reference field="5" count="1" selected="0">
            <x v="3"/>
          </reference>
        </references>
      </pivotArea>
    </format>
    <format dxfId="553">
      <pivotArea collapsedLevelsAreSubtotals="1" fieldPosition="0">
        <references count="2">
          <reference field="3" count="1">
            <x v="0"/>
          </reference>
          <reference field="5" count="1" selected="0">
            <x v="4"/>
          </reference>
        </references>
      </pivotArea>
    </format>
    <format dxfId="552">
      <pivotArea collapsedLevelsAreSubtotals="1" fieldPosition="0">
        <references count="2">
          <reference field="3" count="2">
            <x v="5"/>
            <x v="6"/>
          </reference>
          <reference field="5" count="1" selected="0">
            <x v="3"/>
          </reference>
        </references>
      </pivotArea>
    </format>
    <format dxfId="551">
      <pivotArea collapsedLevelsAreSubtotals="1" fieldPosition="0">
        <references count="2">
          <reference field="3" count="1">
            <x v="0"/>
          </reference>
          <reference field="5" count="1" selected="0">
            <x v="4"/>
          </reference>
        </references>
      </pivotArea>
    </format>
    <format dxfId="550">
      <pivotArea dataOnly="0" labelOnly="1" fieldPosition="0">
        <references count="1">
          <reference field="5" count="4">
            <x v="1"/>
            <x v="2"/>
            <x v="3"/>
            <x v="4"/>
          </reference>
        </references>
      </pivotArea>
    </format>
    <format dxfId="549">
      <pivotArea dataOnly="0" outline="0" fieldPosition="0">
        <references count="1">
          <reference field="5" count="1">
            <x v="0"/>
          </reference>
        </references>
      </pivotArea>
    </format>
    <format dxfId="548">
      <pivotArea dataOnly="0" labelOnly="1" fieldPosition="0">
        <references count="1">
          <reference field="5" count="1">
            <x v="5"/>
          </reference>
        </references>
      </pivotArea>
    </format>
    <format dxfId="547">
      <pivotArea outline="0" collapsedLevelsAreSubtotals="1" fieldPosition="0"/>
    </format>
    <format dxfId="546">
      <pivotArea dataOnly="0" labelOnly="1" fieldPosition="0">
        <references count="1">
          <reference field="5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la dinámica2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8" rowHeaderCaption="Día" colHeaderCaption="Semana">
  <location ref="A1:D10" firstHeaderRow="1" firstDataRow="2" firstDataCol="1"/>
  <pivotFields count="15">
    <pivotField showAll="0"/>
    <pivotField numFmtId="14" showAll="0" sortType="ascending"/>
    <pivotField showAll="0" sortType="ascending"/>
    <pivotField axis="axisRow" showAll="0" defaultSubtotal="0">
      <items count="8">
        <item x="1"/>
        <item x="2"/>
        <item x="3"/>
        <item x="4"/>
        <item x="5"/>
        <item x="6"/>
        <item x="0"/>
        <item m="1" x="7"/>
      </items>
    </pivotField>
    <pivotField showAll="0" defaultSubtotal="0"/>
    <pivotField axis="axisCol" showAll="0" sortType="ascending" defaultSubtotal="0">
      <items count="18">
        <item x="0"/>
        <item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m="1" x="17"/>
        <item h="1" m="1" x="16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numFmtId="166" showAll="0"/>
    <pivotField showAll="0" defaultSubtota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3">
    <i>
      <x/>
    </i>
    <i>
      <x v="1"/>
    </i>
    <i>
      <x v="4"/>
    </i>
  </colItems>
  <dataFields count="1">
    <dataField name="Máx. de Id. Client por dìa" fld="7" subtotal="max" baseField="3" baseItem="6" numFmtId="167"/>
  </dataFields>
  <formats count="10">
    <format dxfId="565">
      <pivotArea collapsedLevelsAreSubtotals="1" fieldPosition="0">
        <references count="2">
          <reference field="3" count="1">
            <x v="0"/>
          </reference>
          <reference field="5" count="1" selected="0">
            <x v="2"/>
          </reference>
        </references>
      </pivotArea>
    </format>
    <format dxfId="564">
      <pivotArea collapsedLevelsAreSubtotals="1" fieldPosition="0">
        <references count="2">
          <reference field="3" count="2">
            <x v="5"/>
            <x v="6"/>
          </reference>
          <reference field="5" count="1" selected="0">
            <x v="3"/>
          </reference>
        </references>
      </pivotArea>
    </format>
    <format dxfId="563">
      <pivotArea collapsedLevelsAreSubtotals="1" fieldPosition="0">
        <references count="2">
          <reference field="3" count="1">
            <x v="0"/>
          </reference>
          <reference field="5" count="1" selected="0">
            <x v="4"/>
          </reference>
        </references>
      </pivotArea>
    </format>
    <format dxfId="562">
      <pivotArea collapsedLevelsAreSubtotals="1" fieldPosition="0">
        <references count="2">
          <reference field="3" count="2">
            <x v="5"/>
            <x v="6"/>
          </reference>
          <reference field="5" count="1" selected="0">
            <x v="3"/>
          </reference>
        </references>
      </pivotArea>
    </format>
    <format dxfId="561">
      <pivotArea collapsedLevelsAreSubtotals="1" fieldPosition="0">
        <references count="2">
          <reference field="3" count="1">
            <x v="0"/>
          </reference>
          <reference field="5" count="1" selected="0">
            <x v="4"/>
          </reference>
        </references>
      </pivotArea>
    </format>
    <format dxfId="560">
      <pivotArea dataOnly="0" labelOnly="1" fieldPosition="0">
        <references count="1">
          <reference field="5" count="4">
            <x v="1"/>
            <x v="2"/>
            <x v="3"/>
            <x v="4"/>
          </reference>
        </references>
      </pivotArea>
    </format>
    <format dxfId="559">
      <pivotArea dataOnly="0" outline="0" fieldPosition="0">
        <references count="1">
          <reference field="5" count="1">
            <x v="0"/>
          </reference>
        </references>
      </pivotArea>
    </format>
    <format dxfId="558">
      <pivotArea dataOnly="0" labelOnly="1" fieldPosition="0">
        <references count="1">
          <reference field="5" count="1">
            <x v="5"/>
          </reference>
        </references>
      </pivotArea>
    </format>
    <format dxfId="557">
      <pivotArea outline="0" collapsedLevelsAreSubtotals="1" fieldPosition="0"/>
    </format>
    <format dxfId="556">
      <pivotArea dataOnly="0" labelOnly="1" fieldPosition="0">
        <references count="1">
          <reference field="5" count="0"/>
        </references>
      </pivotArea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1000000}" name="Tabla dinámica4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E25:F26" firstHeaderRow="1" firstDataRow="1" firstDataCol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0"/>
    </i>
  </rowItems>
  <colItems count="1">
    <i/>
  </colItems>
  <dataFields count="1">
    <dataField name="Total Ventas" fld="11" baseField="1" baseItem="0" numFmtId="167"/>
  </dataFields>
  <formats count="3">
    <format dxfId="536">
      <pivotArea outline="0" collapsedLevelsAreSubtotals="1" fieldPosition="0"/>
    </format>
    <format dxfId="535">
      <pivotArea outline="0" collapsedLevelsAreSubtotals="1" fieldPosition="0"/>
    </format>
    <format dxfId="534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0000000}" name="Tabla dinámica3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A25:B26" firstHeaderRow="1" firstDataRow="1" firstDataCol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9"/>
    </i>
  </rowItems>
  <colItems count="1">
    <i/>
  </colItems>
  <dataFields count="1">
    <dataField name="Total Ventas" fld="11" baseField="1" baseItem="0" numFmtId="167"/>
  </dataFields>
  <formats count="3">
    <format dxfId="539">
      <pivotArea outline="0" collapsedLevelsAreSubtotals="1" fieldPosition="0"/>
    </format>
    <format dxfId="538">
      <pivotArea outline="0" collapsedLevelsAreSubtotals="1" fieldPosition="0"/>
    </format>
    <format dxfId="537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2000000}" name="Tabla dinámica5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I25:J26" firstHeaderRow="1" firstDataRow="1" firstDataCol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1"/>
    </i>
  </rowItems>
  <colItems count="1">
    <i/>
  </colItems>
  <dataFields count="1">
    <dataField name="Total Ventas" fld="11" baseField="1" baseItem="0" numFmtId="167"/>
  </dataFields>
  <formats count="3">
    <format dxfId="542">
      <pivotArea outline="0" collapsedLevelsAreSubtotals="1" fieldPosition="0"/>
    </format>
    <format dxfId="541">
      <pivotArea outline="0" collapsedLevelsAreSubtotals="1" fieldPosition="0"/>
    </format>
    <format dxfId="540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3000000}" name="TablaDinámica9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O25:P26" firstHeaderRow="1" firstDataRow="1" firstDataCol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2"/>
    </i>
  </rowItems>
  <colItems count="1">
    <i/>
  </colItems>
  <dataFields count="1">
    <dataField name="Total Ventas" fld="11" baseField="1" baseItem="0" numFmtId="167"/>
  </dataFields>
  <formats count="3">
    <format dxfId="545">
      <pivotArea outline="0" collapsedLevelsAreSubtotals="1" fieldPosition="0"/>
    </format>
    <format dxfId="544">
      <pivotArea outline="0" collapsedLevelsAreSubtotals="1" fieldPosition="0"/>
    </format>
    <format dxfId="543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Tabla dinámica6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I27:J28" firstHeaderRow="1" firstDataRow="1" firstDataCol="1" rowPageCount="1" colPageCount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t="default"/>
      </items>
    </pivotField>
    <pivotField numFmtId="167"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1"/>
    </i>
  </rowItems>
  <colItems count="1">
    <i/>
  </colItems>
  <pageFields count="1">
    <pageField fld="4" hier="-1"/>
  </pageFields>
  <dataFields count="1">
    <dataField name="Total Ventas" fld="11" baseField="1" baseItem="0" numFmtId="167"/>
  </dataFields>
  <formats count="3">
    <format dxfId="514">
      <pivotArea outline="0" collapsedLevelsAreSubtotals="1" fieldPosition="0"/>
    </format>
    <format dxfId="513">
      <pivotArea outline="0" collapsedLevelsAreSubtotals="1" fieldPosition="0"/>
    </format>
    <format dxfId="512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3000000}" name="TablaDinámica2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O27:P28" firstHeaderRow="1" firstDataRow="1" firstDataCol="1" rowPageCount="1" colPageCount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x="12"/>
        <item h="1" x="13"/>
        <item t="default"/>
      </items>
    </pivotField>
    <pivotField numFmtId="167"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2"/>
    </i>
  </rowItems>
  <colItems count="1">
    <i/>
  </colItems>
  <pageFields count="1">
    <pageField fld="4" hier="-1"/>
  </pageFields>
  <dataFields count="1">
    <dataField name="Total Ventas" fld="11" baseField="1" baseItem="0" numFmtId="167"/>
  </dataFields>
  <formats count="3">
    <format dxfId="517">
      <pivotArea outline="0" collapsedLevelsAreSubtotals="1" fieldPosition="0"/>
    </format>
    <format dxfId="516">
      <pivotArea outline="0" collapsedLevelsAreSubtotals="1" fieldPosition="0"/>
    </format>
    <format dxfId="515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2000000}" name="Tabla dinámica8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A27:B28" firstHeaderRow="1" firstDataRow="1" firstDataCol="1" rowPageCount="1" colPageCount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numFmtId="167"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9"/>
    </i>
  </rowItems>
  <colItems count="1">
    <i/>
  </colItems>
  <pageFields count="1">
    <pageField fld="4" hier="-1"/>
  </pageFields>
  <dataFields count="1">
    <dataField name="Total Ventas" fld="11" baseField="1" baseItem="0" numFmtId="167"/>
  </dataFields>
  <formats count="3">
    <format dxfId="520">
      <pivotArea outline="0" collapsedLevelsAreSubtotals="1" fieldPosition="0"/>
    </format>
    <format dxfId="519">
      <pivotArea outline="0" collapsedLevelsAreSubtotals="1" fieldPosition="0"/>
    </format>
    <format dxfId="518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1000000}" name="Tabla dinámica7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E27:F28" firstHeaderRow="1" firstDataRow="1" firstDataCol="1" rowPageCount="1" colPageCount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t="default"/>
      </items>
    </pivotField>
    <pivotField numFmtId="167"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0"/>
    </i>
  </rowItems>
  <colItems count="1">
    <i/>
  </colItems>
  <pageFields count="1">
    <pageField fld="4" hier="-1"/>
  </pageFields>
  <dataFields count="1">
    <dataField name="Total Ventas" fld="11" baseField="1" baseItem="0" numFmtId="167"/>
  </dataFields>
  <formats count="13">
    <format dxfId="533">
      <pivotArea outline="0" collapsedLevelsAreSubtotals="1" fieldPosition="0"/>
    </format>
    <format dxfId="532">
      <pivotArea outline="0" collapsedLevelsAreSubtotals="1" fieldPosition="0"/>
    </format>
    <format dxfId="531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  <format dxfId="530">
      <pivotArea type="all" dataOnly="0" outline="0" fieldPosition="0"/>
    </format>
    <format dxfId="529">
      <pivotArea outline="0" collapsedLevelsAreSubtotals="1" fieldPosition="0"/>
    </format>
    <format dxfId="528">
      <pivotArea field="1" type="button" dataOnly="0" labelOnly="1" outline="0" axis="axisRow" fieldPosition="0"/>
    </format>
    <format dxfId="527">
      <pivotArea dataOnly="0" labelOnly="1" outline="0" axis="axisValues" fieldPosition="0"/>
    </format>
    <format dxfId="526">
      <pivotArea dataOnly="0" labelOnly="1" fieldPosition="0">
        <references count="1">
          <reference field="1" count="0"/>
        </references>
      </pivotArea>
    </format>
    <format dxfId="525">
      <pivotArea type="all" dataOnly="0" outline="0" fieldPosition="0"/>
    </format>
    <format dxfId="524">
      <pivotArea outline="0" collapsedLevelsAreSubtotals="1" fieldPosition="0"/>
    </format>
    <format dxfId="523">
      <pivotArea field="1" type="button" dataOnly="0" labelOnly="1" outline="0" axis="axisRow" fieldPosition="0"/>
    </format>
    <format dxfId="522">
      <pivotArea dataOnly="0" labelOnly="1" outline="0" axis="axisValues" fieldPosition="0"/>
    </format>
    <format dxfId="521">
      <pivotArea dataOnly="0" labelOnly="1" fieldPosition="0">
        <references count="1">
          <reference field="1" count="0"/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1000000}" name="Tabla dinámica3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3" rowHeaderCaption="Día" colHeaderCaption="Mes">
  <location ref="C1:F3" firstHeaderRow="1" firstDataRow="2" firstDataCol="1"/>
  <pivotFields count="15">
    <pivotField showAll="0"/>
    <pivotField axis="axisCol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0"/>
        <item x="13"/>
        <item t="default"/>
      </items>
    </pivotField>
    <pivotField showAll="0" sortType="ascending">
      <items count="33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Items count="1">
    <i/>
  </rowItems>
  <colFields count="1">
    <field x="1"/>
  </colFields>
  <colItems count="3">
    <i>
      <x v="8"/>
    </i>
    <i>
      <x v="9"/>
    </i>
    <i>
      <x v="10"/>
    </i>
  </colItems>
  <dataFields count="1">
    <dataField name="INGRESOS " fld="11" baseField="2" baseItem="19"/>
  </dataFields>
  <formats count="6">
    <format dxfId="490">
      <pivotArea outline="0" collapsedLevelsAreSubtotals="1" fieldPosition="0"/>
    </format>
    <format dxfId="489">
      <pivotArea outline="0" collapsedLevelsAreSubtotals="1" fieldPosition="0"/>
    </format>
    <format dxfId="488">
      <pivotArea field="2" type="button" dataOnly="0" labelOnly="1" outline="0"/>
    </format>
    <format dxfId="487">
      <pivotArea dataOnly="0" labelOnly="1" grandRow="1" outline="0" fieldPosition="0"/>
    </format>
    <format dxfId="486">
      <pivotArea dataOnly="0" labelOnly="1" fieldPosition="0">
        <references count="1">
          <reference field="1" count="3">
            <x v="8"/>
            <x v="9"/>
            <x v="10"/>
          </reference>
        </references>
      </pivotArea>
    </format>
    <format dxfId="485">
      <pivotArea outline="0" collapsedLevelsAreSubtotals="1" fieldPosition="0">
        <references count="1">
          <reference field="1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Tabla dinámica2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chartFormat="3" rowHeaderCaption="Mes" colHeaderCaption="Mes">
  <location ref="C13:F83" firstHeaderRow="1" firstDataRow="1" firstDataCol="3"/>
  <pivotFields count="15">
    <pivotField showAll="0"/>
    <pivotField axis="axisRow" numFmtId="14" outline="0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0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ascending" defaultSubtotal="0">
      <items count="32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</items>
    </pivotField>
    <pivotField name="Día de Semana" axis="axisRow" showAll="0" defaultSubtotal="0">
      <items count="8">
        <item x="1"/>
        <item x="2"/>
        <item x="3"/>
        <item x="4"/>
        <item x="5"/>
        <item x="6"/>
        <item x="0"/>
        <item m="1"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Fields count="3">
    <field x="1"/>
    <field x="2"/>
    <field x="3"/>
  </rowFields>
  <rowItems count="70">
    <i>
      <x v="8"/>
      <x v="22"/>
      <x v="6"/>
    </i>
    <i r="1">
      <x v="23"/>
      <x/>
    </i>
    <i r="1">
      <x v="24"/>
      <x v="1"/>
    </i>
    <i r="1">
      <x v="25"/>
      <x v="2"/>
    </i>
    <i r="1">
      <x v="26"/>
      <x v="3"/>
    </i>
    <i r="1">
      <x v="27"/>
      <x v="4"/>
    </i>
    <i r="1">
      <x v="28"/>
      <x v="5"/>
    </i>
    <i r="1">
      <x v="29"/>
      <x v="6"/>
    </i>
    <i r="1">
      <x v="30"/>
      <x/>
    </i>
    <i>
      <x v="9"/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/>
    </i>
    <i r="1">
      <x v="8"/>
      <x v="1"/>
    </i>
    <i r="1">
      <x v="9"/>
      <x v="2"/>
    </i>
    <i r="1">
      <x v="10"/>
      <x v="3"/>
    </i>
    <i r="1">
      <x v="11"/>
      <x v="4"/>
    </i>
    <i r="1">
      <x v="12"/>
      <x v="5"/>
    </i>
    <i r="1">
      <x v="13"/>
      <x v="6"/>
    </i>
    <i r="1">
      <x v="14"/>
      <x/>
    </i>
    <i r="1">
      <x v="15"/>
      <x v="1"/>
    </i>
    <i r="1">
      <x v="16"/>
      <x v="2"/>
    </i>
    <i r="1">
      <x v="17"/>
      <x v="3"/>
    </i>
    <i r="1">
      <x v="18"/>
      <x v="4"/>
    </i>
    <i r="1">
      <x v="19"/>
      <x v="5"/>
    </i>
    <i r="1">
      <x v="20"/>
      <x v="6"/>
    </i>
    <i r="1">
      <x v="21"/>
      <x/>
    </i>
    <i r="1">
      <x v="22"/>
      <x v="1"/>
    </i>
    <i r="1">
      <x v="23"/>
      <x v="2"/>
    </i>
    <i r="1">
      <x v="24"/>
      <x v="3"/>
    </i>
    <i r="1">
      <x v="25"/>
      <x v="4"/>
    </i>
    <i r="1">
      <x v="26"/>
      <x v="5"/>
    </i>
    <i r="1">
      <x v="27"/>
      <x v="6"/>
    </i>
    <i r="1">
      <x v="28"/>
      <x/>
    </i>
    <i r="1">
      <x v="29"/>
      <x v="1"/>
    </i>
    <i r="1">
      <x v="30"/>
      <x v="2"/>
    </i>
    <i r="1">
      <x v="31"/>
      <x v="3"/>
    </i>
    <i>
      <x v="10"/>
      <x v="1"/>
      <x v="4"/>
    </i>
    <i r="1">
      <x v="2"/>
      <x v="5"/>
    </i>
    <i r="1">
      <x v="3"/>
      <x v="6"/>
    </i>
    <i r="1">
      <x v="4"/>
      <x/>
    </i>
    <i r="1">
      <x v="5"/>
      <x v="1"/>
    </i>
    <i r="1">
      <x v="6"/>
      <x v="2"/>
    </i>
    <i r="1">
      <x v="7"/>
      <x v="3"/>
    </i>
    <i r="1">
      <x v="8"/>
      <x v="4"/>
    </i>
    <i r="1">
      <x v="9"/>
      <x v="5"/>
    </i>
    <i r="1">
      <x v="10"/>
      <x v="6"/>
    </i>
    <i r="1">
      <x v="11"/>
      <x/>
    </i>
    <i r="1">
      <x v="12"/>
      <x v="1"/>
    </i>
    <i r="1">
      <x v="13"/>
      <x v="2"/>
    </i>
    <i r="1">
      <x v="14"/>
      <x v="3"/>
    </i>
    <i r="1">
      <x v="15"/>
      <x v="4"/>
    </i>
    <i r="1">
      <x v="16"/>
      <x v="5"/>
    </i>
    <i r="1">
      <x v="17"/>
      <x v="6"/>
    </i>
    <i r="1">
      <x v="18"/>
      <x/>
    </i>
    <i r="1">
      <x v="19"/>
      <x v="1"/>
    </i>
    <i r="1">
      <x v="20"/>
      <x v="2"/>
    </i>
    <i r="1">
      <x v="21"/>
      <x v="3"/>
    </i>
    <i r="1">
      <x v="22"/>
      <x v="4"/>
    </i>
    <i r="1">
      <x v="23"/>
      <x v="5"/>
    </i>
    <i r="1">
      <x v="24"/>
      <x v="6"/>
    </i>
    <i r="1">
      <x v="25"/>
      <x/>
    </i>
    <i r="1">
      <x v="26"/>
      <x v="1"/>
    </i>
    <i r="1">
      <x v="27"/>
      <x v="2"/>
    </i>
    <i r="1">
      <x v="28"/>
      <x v="3"/>
    </i>
    <i r="1">
      <x v="29"/>
      <x v="4"/>
    </i>
    <i r="1">
      <x v="30"/>
      <x v="5"/>
    </i>
  </rowItems>
  <colItems count="1">
    <i/>
  </colItems>
  <dataFields count="1">
    <dataField name="INGRESOS TOTALES" fld="11" baseField="2" baseItem="19"/>
  </dataFields>
  <formats count="21">
    <format dxfId="511">
      <pivotArea outline="0" collapsedLevelsAreSubtotals="1" fieldPosition="0"/>
    </format>
    <format dxfId="510">
      <pivotArea outline="0" collapsedLevelsAreSubtotals="1" fieldPosition="0"/>
    </format>
    <format dxfId="509">
      <pivotArea dataOnly="0" labelOnly="1" fieldPosition="0">
        <references count="1">
          <reference field="2" count="0"/>
        </references>
      </pivotArea>
    </format>
    <format dxfId="508">
      <pivotArea dataOnly="0" labelOnly="1" grandRow="1" outline="0" fieldPosition="0"/>
    </format>
    <format dxfId="507">
      <pivotArea dataOnly="0" labelOnly="1" fieldPosition="0">
        <references count="1">
          <reference field="1" count="3">
            <x v="8"/>
            <x v="9"/>
            <x v="10"/>
          </reference>
        </references>
      </pivotArea>
    </format>
    <format dxfId="506">
      <pivotArea field="1" type="button" dataOnly="0" labelOnly="1" outline="0" axis="axisRow" fieldPosition="0"/>
    </format>
    <format dxfId="505">
      <pivotArea field="2" type="button" dataOnly="0" labelOnly="1" outline="0" axis="axisRow" fieldPosition="1"/>
    </format>
    <format dxfId="504">
      <pivotArea field="3" type="button" dataOnly="0" labelOnly="1" outline="0" axis="axisRow" fieldPosition="2"/>
    </format>
    <format dxfId="503">
      <pivotArea dataOnly="0" labelOnly="1" outline="0" axis="axisValues" fieldPosition="0"/>
    </format>
    <format dxfId="502">
      <pivotArea field="1" type="button" dataOnly="0" labelOnly="1" outline="0" axis="axisRow" fieldPosition="0"/>
    </format>
    <format dxfId="501">
      <pivotArea field="2" type="button" dataOnly="0" labelOnly="1" outline="0" axis="axisRow" fieldPosition="1"/>
    </format>
    <format dxfId="500">
      <pivotArea field="3" type="button" dataOnly="0" labelOnly="1" outline="0" axis="axisRow" fieldPosition="2"/>
    </format>
    <format dxfId="499">
      <pivotArea dataOnly="0" labelOnly="1" outline="0" axis="axisValues" fieldPosition="0"/>
    </format>
    <format dxfId="498">
      <pivotArea field="1" type="button" dataOnly="0" labelOnly="1" outline="0" axis="axisRow" fieldPosition="0"/>
    </format>
    <format dxfId="497">
      <pivotArea field="2" type="button" dataOnly="0" labelOnly="1" outline="0" axis="axisRow" fieldPosition="1"/>
    </format>
    <format dxfId="496">
      <pivotArea field="3" type="button" dataOnly="0" labelOnly="1" outline="0" axis="axisRow" fieldPosition="2"/>
    </format>
    <format dxfId="495">
      <pivotArea dataOnly="0" labelOnly="1" outline="0" axis="axisValues" fieldPosition="0"/>
    </format>
    <format dxfId="494">
      <pivotArea dataOnly="0" labelOnly="1" outline="0" axis="axisValues" fieldPosition="0"/>
    </format>
    <format dxfId="493">
      <pivotArea dataOnly="0" labelOnly="1" outline="0" axis="axisValues" fieldPosition="0"/>
    </format>
    <format dxfId="492">
      <pivotArea dataOnly="0" outline="0" axis="axisValues" fieldPosition="0"/>
    </format>
    <format dxfId="491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2000000}" name="Tabla dinámica8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A27:B28" firstHeaderRow="1" firstDataRow="1" firstDataCol="1" rowPageCount="2" colPageCount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numFmtId="167" showAll="0"/>
    <pivotField axis="axisPage" multipleItemSelectionAllowed="1" showAll="0">
      <items count="9">
        <item x="1"/>
        <item x="2"/>
        <item x="3"/>
        <item x="4"/>
        <item h="1" x="5"/>
        <item x="6"/>
        <item x="0"/>
        <item m="1" x="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9"/>
    </i>
  </rowItems>
  <colItems count="1">
    <i/>
  </colItems>
  <pageFields count="2">
    <pageField fld="3" hier="-1"/>
    <pageField fld="4" hier="-1"/>
  </pageFields>
  <dataFields count="1">
    <dataField name="Total Ventas" fld="11" baseField="1" baseItem="0" numFmtId="167"/>
  </dataFields>
  <formats count="3">
    <format dxfId="478">
      <pivotArea outline="0" collapsedLevelsAreSubtotals="1" fieldPosition="0"/>
    </format>
    <format dxfId="477">
      <pivotArea outline="0" collapsedLevelsAreSubtotals="1" fieldPosition="0"/>
    </format>
    <format dxfId="476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Tabla dinámica6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I27:J28" firstHeaderRow="1" firstDataRow="1" firstDataCol="1" rowPageCount="2" colPageCount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t="default"/>
      </items>
    </pivotField>
    <pivotField numFmtId="167" showAll="0"/>
    <pivotField axis="axisPage" multipleItemSelectionAllowed="1" showAll="0">
      <items count="9">
        <item x="1"/>
        <item x="2"/>
        <item x="3"/>
        <item x="4"/>
        <item h="1" x="5"/>
        <item x="6"/>
        <item x="0"/>
        <item m="1" x="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1"/>
    </i>
  </rowItems>
  <colItems count="1">
    <i/>
  </colItems>
  <pageFields count="2">
    <pageField fld="3" hier="-1"/>
    <pageField fld="4" hier="-1"/>
  </pageFields>
  <dataFields count="1">
    <dataField name="Total Ventas" fld="11" baseField="1" baseItem="0" numFmtId="167"/>
  </dataFields>
  <formats count="3">
    <format dxfId="481">
      <pivotArea outline="0" collapsedLevelsAreSubtotals="1" fieldPosition="0"/>
    </format>
    <format dxfId="480">
      <pivotArea outline="0" collapsedLevelsAreSubtotals="1" fieldPosition="0"/>
    </format>
    <format dxfId="479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1000000}" name="Tabla dinámica7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E27:F28" firstHeaderRow="1" firstDataRow="1" firstDataCol="1" rowPageCount="2" colPageCount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t="default"/>
      </items>
    </pivotField>
    <pivotField numFmtId="167" showAll="0"/>
    <pivotField axis="axisPage" multipleItemSelectionAllowed="1" showAll="0">
      <items count="9">
        <item x="1"/>
        <item x="2"/>
        <item x="3"/>
        <item x="4"/>
        <item h="1" x="5"/>
        <item x="6"/>
        <item x="0"/>
        <item m="1" x="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0"/>
    </i>
  </rowItems>
  <colItems count="1">
    <i/>
  </colItems>
  <pageFields count="2">
    <pageField fld="3" hier="-1"/>
    <pageField fld="4" hier="-1"/>
  </pageFields>
  <dataFields count="1">
    <dataField name="Total Ventas" fld="11" baseField="1" baseItem="0" numFmtId="167"/>
  </dataFields>
  <formats count="3">
    <format dxfId="484">
      <pivotArea outline="0" collapsedLevelsAreSubtotals="1" fieldPosition="0"/>
    </format>
    <format dxfId="483">
      <pivotArea outline="0" collapsedLevelsAreSubtotals="1" fieldPosition="0"/>
    </format>
    <format dxfId="482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2000000}" name="Tabla dinámica5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I25:J26" firstHeaderRow="1" firstDataRow="1" firstDataCol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1"/>
    </i>
  </rowItems>
  <colItems count="1">
    <i/>
  </colItems>
  <dataFields count="1">
    <dataField name="Total Ventas" fld="11" baseField="1" baseItem="0" numFmtId="167"/>
  </dataFields>
  <formats count="3">
    <format dxfId="469">
      <pivotArea outline="0" collapsedLevelsAreSubtotals="1" fieldPosition="0"/>
    </format>
    <format dxfId="468">
      <pivotArea outline="0" collapsedLevelsAreSubtotals="1" fieldPosition="0"/>
    </format>
    <format dxfId="467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Tabla dinámica3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A25:B26" firstHeaderRow="1" firstDataRow="1" firstDataCol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9"/>
    </i>
  </rowItems>
  <colItems count="1">
    <i/>
  </colItems>
  <dataFields count="1">
    <dataField name="Total Ventas" fld="11" baseField="1" baseItem="0" numFmtId="167"/>
  </dataFields>
  <formats count="3">
    <format dxfId="472">
      <pivotArea outline="0" collapsedLevelsAreSubtotals="1" fieldPosition="0"/>
    </format>
    <format dxfId="471">
      <pivotArea outline="0" collapsedLevelsAreSubtotals="1" fieldPosition="0"/>
    </format>
    <format dxfId="470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1000000}" name="Tabla dinámica4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rowHeaderCaption="Mes">
  <location ref="E25:F26" firstHeaderRow="1" firstDataRow="1" firstDataCol="1"/>
  <pivotFields count="15">
    <pivotField showAll="0"/>
    <pivotField axis="axisRow" numFmtId="14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t="default"/>
      </items>
    </pivotField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">
    <i>
      <x v="10"/>
    </i>
  </rowItems>
  <colItems count="1">
    <i/>
  </colItems>
  <dataFields count="1">
    <dataField name="Total Ventas" fld="11" baseField="1" baseItem="0" numFmtId="167"/>
  </dataFields>
  <formats count="3">
    <format dxfId="475">
      <pivotArea outline="0" collapsedLevelsAreSubtotals="1" fieldPosition="0"/>
    </format>
    <format dxfId="474">
      <pivotArea outline="0" collapsedLevelsAreSubtotals="1" fieldPosition="0"/>
    </format>
    <format dxfId="473">
      <pivotArea dataOnly="0" labelOnly="1" fieldPosition="0">
        <references count="1">
          <reference field="1" count="3">
            <x v="9"/>
            <x v="10"/>
            <x v="1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0000000}" name="Tabla dinámica2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chartFormat="3" rowHeaderCaption="Mes" colHeaderCaption="Mes">
  <location ref="C13:F83" firstHeaderRow="1" firstDataRow="1" firstDataCol="3"/>
  <pivotFields count="15">
    <pivotField showAll="0"/>
    <pivotField axis="axisRow" numFmtId="14" outline="0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0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ascending" defaultSubtotal="0">
      <items count="32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</items>
    </pivotField>
    <pivotField name="Día de Semana" axis="axisRow" showAll="0" defaultSubtotal="0">
      <items count="8">
        <item x="1"/>
        <item x="2"/>
        <item x="3"/>
        <item x="4"/>
        <item x="5"/>
        <item x="6"/>
        <item x="0"/>
        <item m="1" x="7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Fields count="3">
    <field x="1"/>
    <field x="2"/>
    <field x="3"/>
  </rowFields>
  <rowItems count="70">
    <i>
      <x v="8"/>
      <x v="22"/>
      <x v="6"/>
    </i>
    <i r="1">
      <x v="23"/>
      <x/>
    </i>
    <i r="1">
      <x v="24"/>
      <x v="1"/>
    </i>
    <i r="1">
      <x v="25"/>
      <x v="2"/>
    </i>
    <i r="1">
      <x v="26"/>
      <x v="3"/>
    </i>
    <i r="1">
      <x v="27"/>
      <x v="4"/>
    </i>
    <i r="1">
      <x v="28"/>
      <x v="5"/>
    </i>
    <i r="1">
      <x v="29"/>
      <x v="6"/>
    </i>
    <i r="1">
      <x v="30"/>
      <x/>
    </i>
    <i>
      <x v="9"/>
      <x v="1"/>
      <x v="1"/>
    </i>
    <i r="1">
      <x v="2"/>
      <x v="2"/>
    </i>
    <i r="1">
      <x v="3"/>
      <x v="3"/>
    </i>
    <i r="1">
      <x v="4"/>
      <x v="4"/>
    </i>
    <i r="1">
      <x v="5"/>
      <x v="5"/>
    </i>
    <i r="1">
      <x v="6"/>
      <x v="6"/>
    </i>
    <i r="1">
      <x v="7"/>
      <x/>
    </i>
    <i r="1">
      <x v="8"/>
      <x v="1"/>
    </i>
    <i r="1">
      <x v="9"/>
      <x v="2"/>
    </i>
    <i r="1">
      <x v="10"/>
      <x v="3"/>
    </i>
    <i r="1">
      <x v="11"/>
      <x v="4"/>
    </i>
    <i r="1">
      <x v="12"/>
      <x v="5"/>
    </i>
    <i r="1">
      <x v="13"/>
      <x v="6"/>
    </i>
    <i r="1">
      <x v="14"/>
      <x/>
    </i>
    <i r="1">
      <x v="15"/>
      <x v="1"/>
    </i>
    <i r="1">
      <x v="16"/>
      <x v="2"/>
    </i>
    <i r="1">
      <x v="17"/>
      <x v="3"/>
    </i>
    <i r="1">
      <x v="18"/>
      <x v="4"/>
    </i>
    <i r="1">
      <x v="19"/>
      <x v="5"/>
    </i>
    <i r="1">
      <x v="20"/>
      <x v="6"/>
    </i>
    <i r="1">
      <x v="21"/>
      <x/>
    </i>
    <i r="1">
      <x v="22"/>
      <x v="1"/>
    </i>
    <i r="1">
      <x v="23"/>
      <x v="2"/>
    </i>
    <i r="1">
      <x v="24"/>
      <x v="3"/>
    </i>
    <i r="1">
      <x v="25"/>
      <x v="4"/>
    </i>
    <i r="1">
      <x v="26"/>
      <x v="5"/>
    </i>
    <i r="1">
      <x v="27"/>
      <x v="6"/>
    </i>
    <i r="1">
      <x v="28"/>
      <x/>
    </i>
    <i r="1">
      <x v="29"/>
      <x v="1"/>
    </i>
    <i r="1">
      <x v="30"/>
      <x v="2"/>
    </i>
    <i r="1">
      <x v="31"/>
      <x v="3"/>
    </i>
    <i>
      <x v="10"/>
      <x v="1"/>
      <x v="4"/>
    </i>
    <i r="1">
      <x v="2"/>
      <x v="5"/>
    </i>
    <i r="1">
      <x v="3"/>
      <x v="6"/>
    </i>
    <i r="1">
      <x v="4"/>
      <x/>
    </i>
    <i r="1">
      <x v="5"/>
      <x v="1"/>
    </i>
    <i r="1">
      <x v="6"/>
      <x v="2"/>
    </i>
    <i r="1">
      <x v="7"/>
      <x v="3"/>
    </i>
    <i r="1">
      <x v="8"/>
      <x v="4"/>
    </i>
    <i r="1">
      <x v="9"/>
      <x v="5"/>
    </i>
    <i r="1">
      <x v="10"/>
      <x v="6"/>
    </i>
    <i r="1">
      <x v="11"/>
      <x/>
    </i>
    <i r="1">
      <x v="12"/>
      <x v="1"/>
    </i>
    <i r="1">
      <x v="13"/>
      <x v="2"/>
    </i>
    <i r="1">
      <x v="14"/>
      <x v="3"/>
    </i>
    <i r="1">
      <x v="15"/>
      <x v="4"/>
    </i>
    <i r="1">
      <x v="16"/>
      <x v="5"/>
    </i>
    <i r="1">
      <x v="17"/>
      <x v="6"/>
    </i>
    <i r="1">
      <x v="18"/>
      <x/>
    </i>
    <i r="1">
      <x v="19"/>
      <x v="1"/>
    </i>
    <i r="1">
      <x v="20"/>
      <x v="2"/>
    </i>
    <i r="1">
      <x v="21"/>
      <x v="3"/>
    </i>
    <i r="1">
      <x v="22"/>
      <x v="4"/>
    </i>
    <i r="1">
      <x v="23"/>
      <x v="5"/>
    </i>
    <i r="1">
      <x v="24"/>
      <x v="6"/>
    </i>
    <i r="1">
      <x v="25"/>
      <x/>
    </i>
    <i r="1">
      <x v="26"/>
      <x v="1"/>
    </i>
    <i r="1">
      <x v="27"/>
      <x v="2"/>
    </i>
    <i r="1">
      <x v="28"/>
      <x v="3"/>
    </i>
    <i r="1">
      <x v="29"/>
      <x v="4"/>
    </i>
    <i r="1">
      <x v="30"/>
      <x v="5"/>
    </i>
  </rowItems>
  <colItems count="1">
    <i/>
  </colItems>
  <dataFields count="1">
    <dataField name="INGRESOS TOTALES" fld="11" baseField="2" baseItem="19"/>
  </dataFields>
  <formats count="21">
    <format dxfId="460">
      <pivotArea outline="0" collapsedLevelsAreSubtotals="1" fieldPosition="0"/>
    </format>
    <format dxfId="459">
      <pivotArea outline="0" collapsedLevelsAreSubtotals="1" fieldPosition="0"/>
    </format>
    <format dxfId="458">
      <pivotArea dataOnly="0" labelOnly="1" fieldPosition="0">
        <references count="1">
          <reference field="2" count="0"/>
        </references>
      </pivotArea>
    </format>
    <format dxfId="457">
      <pivotArea dataOnly="0" labelOnly="1" grandRow="1" outline="0" fieldPosition="0"/>
    </format>
    <format dxfId="456">
      <pivotArea dataOnly="0" labelOnly="1" fieldPosition="0">
        <references count="1">
          <reference field="1" count="3">
            <x v="8"/>
            <x v="9"/>
            <x v="10"/>
          </reference>
        </references>
      </pivotArea>
    </format>
    <format dxfId="455">
      <pivotArea field="1" type="button" dataOnly="0" labelOnly="1" outline="0" axis="axisRow" fieldPosition="0"/>
    </format>
    <format dxfId="454">
      <pivotArea field="2" type="button" dataOnly="0" labelOnly="1" outline="0" axis="axisRow" fieldPosition="1"/>
    </format>
    <format dxfId="453">
      <pivotArea field="3" type="button" dataOnly="0" labelOnly="1" outline="0" axis="axisRow" fieldPosition="2"/>
    </format>
    <format dxfId="452">
      <pivotArea dataOnly="0" labelOnly="1" outline="0" axis="axisValues" fieldPosition="0"/>
    </format>
    <format dxfId="451">
      <pivotArea field="1" type="button" dataOnly="0" labelOnly="1" outline="0" axis="axisRow" fieldPosition="0"/>
    </format>
    <format dxfId="450">
      <pivotArea field="2" type="button" dataOnly="0" labelOnly="1" outline="0" axis="axisRow" fieldPosition="1"/>
    </format>
    <format dxfId="449">
      <pivotArea field="3" type="button" dataOnly="0" labelOnly="1" outline="0" axis="axisRow" fieldPosition="2"/>
    </format>
    <format dxfId="448">
      <pivotArea dataOnly="0" labelOnly="1" outline="0" axis="axisValues" fieldPosition="0"/>
    </format>
    <format dxfId="447">
      <pivotArea field="1" type="button" dataOnly="0" labelOnly="1" outline="0" axis="axisRow" fieldPosition="0"/>
    </format>
    <format dxfId="446">
      <pivotArea field="2" type="button" dataOnly="0" labelOnly="1" outline="0" axis="axisRow" fieldPosition="1"/>
    </format>
    <format dxfId="445">
      <pivotArea field="3" type="button" dataOnly="0" labelOnly="1" outline="0" axis="axisRow" fieldPosition="2"/>
    </format>
    <format dxfId="444">
      <pivotArea dataOnly="0" labelOnly="1" outline="0" axis="axisValues" fieldPosition="0"/>
    </format>
    <format dxfId="443">
      <pivotArea dataOnly="0" labelOnly="1" outline="0" axis="axisValues" fieldPosition="0"/>
    </format>
    <format dxfId="442">
      <pivotArea dataOnly="0" labelOnly="1" outline="0" axis="axisValues" fieldPosition="0"/>
    </format>
    <format dxfId="441">
      <pivotArea dataOnly="0" outline="0" axis="axisValues" fieldPosition="0"/>
    </format>
    <format dxfId="440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1000000}" name="Tabla dinámica3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3" rowHeaderCaption="Día" colHeaderCaption="Mes">
  <location ref="C1:F3" firstHeaderRow="1" firstDataRow="2" firstDataCol="1"/>
  <pivotFields count="15">
    <pivotField showAll="0"/>
    <pivotField axis="axisCol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0"/>
        <item x="13"/>
        <item t="default"/>
      </items>
    </pivotField>
    <pivotField showAll="0" sortType="ascending">
      <items count="33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Items count="1">
    <i/>
  </rowItems>
  <colFields count="1">
    <field x="1"/>
  </colFields>
  <colItems count="3">
    <i>
      <x v="8"/>
    </i>
    <i>
      <x v="9"/>
    </i>
    <i>
      <x v="10"/>
    </i>
  </colItems>
  <dataFields count="1">
    <dataField name="INGRESOS " fld="11" baseField="2" baseItem="19"/>
  </dataFields>
  <formats count="6">
    <format dxfId="466">
      <pivotArea outline="0" collapsedLevelsAreSubtotals="1" fieldPosition="0"/>
    </format>
    <format dxfId="465">
      <pivotArea outline="0" collapsedLevelsAreSubtotals="1" fieldPosition="0"/>
    </format>
    <format dxfId="464">
      <pivotArea field="2" type="button" dataOnly="0" labelOnly="1" outline="0"/>
    </format>
    <format dxfId="463">
      <pivotArea dataOnly="0" labelOnly="1" grandRow="1" outline="0" fieldPosition="0"/>
    </format>
    <format dxfId="462">
      <pivotArea dataOnly="0" labelOnly="1" fieldPosition="0">
        <references count="1">
          <reference field="1" count="3">
            <x v="8"/>
            <x v="9"/>
            <x v="10"/>
          </reference>
        </references>
      </pivotArea>
    </format>
    <format dxfId="461">
      <pivotArea outline="0" collapsedLevelsAreSubtotals="1" fieldPosition="0">
        <references count="1">
          <reference field="1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900-000000000000}" name="Tabla dinámica3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3" rowHeaderCaption="Día" colHeaderCaption="Mes">
  <location ref="C1:F3" firstHeaderRow="1" firstDataRow="2" firstDataCol="1"/>
  <pivotFields count="15">
    <pivotField showAll="0"/>
    <pivotField axis="axisCol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0"/>
        <item x="13"/>
        <item t="default"/>
      </items>
    </pivotField>
    <pivotField showAll="0" sortType="ascending">
      <items count="33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Items count="1">
    <i/>
  </rowItems>
  <colFields count="1">
    <field x="1"/>
  </colFields>
  <colItems count="3">
    <i>
      <x v="8"/>
    </i>
    <i>
      <x v="9"/>
    </i>
    <i>
      <x v="10"/>
    </i>
  </colItems>
  <dataFields count="1">
    <dataField name="INGRESOS " fld="11" baseField="2" baseItem="19"/>
  </dataFields>
  <formats count="6">
    <format dxfId="439">
      <pivotArea outline="0" collapsedLevelsAreSubtotals="1" fieldPosition="0"/>
    </format>
    <format dxfId="438">
      <pivotArea outline="0" collapsedLevelsAreSubtotals="1" fieldPosition="0"/>
    </format>
    <format dxfId="437">
      <pivotArea field="2" type="button" dataOnly="0" labelOnly="1" outline="0"/>
    </format>
    <format dxfId="436">
      <pivotArea dataOnly="0" labelOnly="1" grandRow="1" outline="0" fieldPosition="0"/>
    </format>
    <format dxfId="435">
      <pivotArea dataOnly="0" labelOnly="1" fieldPosition="0">
        <references count="1">
          <reference field="1" count="3">
            <x v="8"/>
            <x v="9"/>
            <x v="10"/>
          </reference>
        </references>
      </pivotArea>
    </format>
    <format dxfId="434">
      <pivotArea outline="0" collapsedLevelsAreSubtotals="1" fieldPosition="0">
        <references count="1">
          <reference field="1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01000000}" name="Tabla dinámica3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3" rowHeaderCaption="Día" colHeaderCaption="Mes">
  <location ref="C1:F3" firstHeaderRow="1" firstDataRow="2" firstDataCol="1"/>
  <pivotFields count="15">
    <pivotField showAll="0"/>
    <pivotField axis="axisCol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0"/>
        <item x="13"/>
        <item t="default"/>
      </items>
    </pivotField>
    <pivotField showAll="0" sortType="ascending">
      <items count="33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Items count="1">
    <i/>
  </rowItems>
  <colFields count="1">
    <field x="1"/>
  </colFields>
  <colItems count="3">
    <i>
      <x v="8"/>
    </i>
    <i>
      <x v="9"/>
    </i>
    <i>
      <x v="10"/>
    </i>
  </colItems>
  <dataFields count="1">
    <dataField name="INGRESOS " fld="11" baseField="2" baseItem="19"/>
  </dataFields>
  <formats count="6">
    <format dxfId="412">
      <pivotArea outline="0" collapsedLevelsAreSubtotals="1" fieldPosition="0"/>
    </format>
    <format dxfId="411">
      <pivotArea outline="0" collapsedLevelsAreSubtotals="1" fieldPosition="0"/>
    </format>
    <format dxfId="410">
      <pivotArea field="2" type="button" dataOnly="0" labelOnly="1" outline="0"/>
    </format>
    <format dxfId="409">
      <pivotArea dataOnly="0" labelOnly="1" grandRow="1" outline="0" fieldPosition="0"/>
    </format>
    <format dxfId="408">
      <pivotArea dataOnly="0" labelOnly="1" fieldPosition="0">
        <references count="1">
          <reference field="1" count="3">
            <x v="8"/>
            <x v="9"/>
            <x v="10"/>
          </reference>
        </references>
      </pivotArea>
    </format>
    <format dxfId="407">
      <pivotArea outline="0" collapsedLevelsAreSubtotals="1" fieldPosition="0">
        <references count="1">
          <reference field="1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00000000}" name="Tabla dinámica2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chartFormat="3" rowHeaderCaption="Mes" colHeaderCaption="Mes">
  <location ref="C11:F44" firstHeaderRow="1" firstDataRow="1" firstDataCol="3" rowPageCount="1" colPageCount="1"/>
  <pivotFields count="15">
    <pivotField showAll="0"/>
    <pivotField axis="axisRow" numFmtId="14" outline="0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0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ascending" defaultSubtotal="0">
      <items count="32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</items>
    </pivotField>
    <pivotField name="Día de Semana" axis="axisRow" showAll="0" defaultSubtotal="0">
      <items count="8">
        <item x="1"/>
        <item x="2"/>
        <item x="3"/>
        <item x="4"/>
        <item x="5"/>
        <item x="6"/>
        <item x="0"/>
        <item m="1" x="7"/>
      </items>
    </pivotField>
    <pivotField axis="axisPage" multipleItemSelectionAllowed="1" showAll="0" defaultSubtotal="0">
      <items count="2">
        <item h="1" x="1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Fields count="3">
    <field x="1"/>
    <field x="2"/>
    <field x="3"/>
  </rowFields>
  <rowItems count="33">
    <i>
      <x v="8"/>
      <x v="22"/>
      <x v="6"/>
    </i>
    <i r="1">
      <x v="27"/>
      <x v="4"/>
    </i>
    <i r="1">
      <x v="28"/>
      <x v="5"/>
    </i>
    <i r="1">
      <x v="29"/>
      <x v="6"/>
    </i>
    <i>
      <x v="9"/>
      <x v="4"/>
      <x v="4"/>
    </i>
    <i r="1">
      <x v="5"/>
      <x v="5"/>
    </i>
    <i r="1">
      <x v="6"/>
      <x v="6"/>
    </i>
    <i r="1">
      <x v="11"/>
      <x v="4"/>
    </i>
    <i r="1">
      <x v="12"/>
      <x v="5"/>
    </i>
    <i r="1">
      <x v="13"/>
      <x v="6"/>
    </i>
    <i r="1">
      <x v="14"/>
      <x/>
    </i>
    <i r="1">
      <x v="18"/>
      <x v="4"/>
    </i>
    <i r="1">
      <x v="19"/>
      <x v="5"/>
    </i>
    <i r="1">
      <x v="20"/>
      <x v="6"/>
    </i>
    <i r="1">
      <x v="25"/>
      <x v="4"/>
    </i>
    <i r="1">
      <x v="26"/>
      <x v="5"/>
    </i>
    <i r="1">
      <x v="27"/>
      <x v="6"/>
    </i>
    <i>
      <x v="10"/>
      <x v="1"/>
      <x v="4"/>
    </i>
    <i r="1">
      <x v="2"/>
      <x v="5"/>
    </i>
    <i r="1">
      <x v="3"/>
      <x v="6"/>
    </i>
    <i r="1">
      <x v="4"/>
      <x/>
    </i>
    <i r="1">
      <x v="8"/>
      <x v="4"/>
    </i>
    <i r="1">
      <x v="9"/>
      <x v="5"/>
    </i>
    <i r="1">
      <x v="10"/>
      <x v="6"/>
    </i>
    <i r="1">
      <x v="11"/>
      <x/>
    </i>
    <i r="1">
      <x v="15"/>
      <x v="4"/>
    </i>
    <i r="1">
      <x v="16"/>
      <x v="5"/>
    </i>
    <i r="1">
      <x v="17"/>
      <x v="6"/>
    </i>
    <i r="1">
      <x v="22"/>
      <x v="4"/>
    </i>
    <i r="1">
      <x v="23"/>
      <x v="5"/>
    </i>
    <i r="1">
      <x v="24"/>
      <x v="6"/>
    </i>
    <i r="1">
      <x v="29"/>
      <x v="4"/>
    </i>
    <i r="1">
      <x v="30"/>
      <x v="5"/>
    </i>
  </rowItems>
  <colItems count="1">
    <i/>
  </colItems>
  <pageFields count="1">
    <pageField fld="4" hier="-1"/>
  </pageFields>
  <dataFields count="1">
    <dataField name="INGRESOS TOTALES" fld="11" baseField="2" baseItem="19"/>
  </dataFields>
  <formats count="21">
    <format dxfId="433">
      <pivotArea outline="0" collapsedLevelsAreSubtotals="1" fieldPosition="0"/>
    </format>
    <format dxfId="432">
      <pivotArea outline="0" collapsedLevelsAreSubtotals="1" fieldPosition="0"/>
    </format>
    <format dxfId="431">
      <pivotArea dataOnly="0" labelOnly="1" fieldPosition="0">
        <references count="1">
          <reference field="2" count="0"/>
        </references>
      </pivotArea>
    </format>
    <format dxfId="430">
      <pivotArea dataOnly="0" labelOnly="1" grandRow="1" outline="0" fieldPosition="0"/>
    </format>
    <format dxfId="429">
      <pivotArea dataOnly="0" labelOnly="1" fieldPosition="0">
        <references count="1">
          <reference field="1" count="3">
            <x v="8"/>
            <x v="9"/>
            <x v="10"/>
          </reference>
        </references>
      </pivotArea>
    </format>
    <format dxfId="428">
      <pivotArea field="1" type="button" dataOnly="0" labelOnly="1" outline="0" axis="axisRow" fieldPosition="0"/>
    </format>
    <format dxfId="427">
      <pivotArea field="2" type="button" dataOnly="0" labelOnly="1" outline="0" axis="axisRow" fieldPosition="1"/>
    </format>
    <format dxfId="426">
      <pivotArea field="3" type="button" dataOnly="0" labelOnly="1" outline="0" axis="axisRow" fieldPosition="2"/>
    </format>
    <format dxfId="425">
      <pivotArea dataOnly="0" labelOnly="1" outline="0" axis="axisValues" fieldPosition="0"/>
    </format>
    <format dxfId="424">
      <pivotArea field="1" type="button" dataOnly="0" labelOnly="1" outline="0" axis="axisRow" fieldPosition="0"/>
    </format>
    <format dxfId="423">
      <pivotArea field="2" type="button" dataOnly="0" labelOnly="1" outline="0" axis="axisRow" fieldPosition="1"/>
    </format>
    <format dxfId="422">
      <pivotArea field="3" type="button" dataOnly="0" labelOnly="1" outline="0" axis="axisRow" fieldPosition="2"/>
    </format>
    <format dxfId="421">
      <pivotArea dataOnly="0" labelOnly="1" outline="0" axis="axisValues" fieldPosition="0"/>
    </format>
    <format dxfId="420">
      <pivotArea field="1" type="button" dataOnly="0" labelOnly="1" outline="0" axis="axisRow" fieldPosition="0"/>
    </format>
    <format dxfId="419">
      <pivotArea field="2" type="button" dataOnly="0" labelOnly="1" outline="0" axis="axisRow" fieldPosition="1"/>
    </format>
    <format dxfId="418">
      <pivotArea field="3" type="button" dataOnly="0" labelOnly="1" outline="0" axis="axisRow" fieldPosition="2"/>
    </format>
    <format dxfId="417">
      <pivotArea dataOnly="0" labelOnly="1" outline="0" axis="axisValues" fieldPosition="0"/>
    </format>
    <format dxfId="416">
      <pivotArea dataOnly="0" labelOnly="1" outline="0" axis="axisValues" fieldPosition="0"/>
    </format>
    <format dxfId="415">
      <pivotArea dataOnly="0" labelOnly="1" outline="0" axis="axisValues" fieldPosition="0"/>
    </format>
    <format dxfId="414">
      <pivotArea dataOnly="0" outline="0" axis="axisValues" fieldPosition="0"/>
    </format>
    <format dxfId="413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B00-000000000000}" name="Tabla dinámica2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 chartFormat="3" rowHeaderCaption="Mes" colHeaderCaption="Mes">
  <location ref="C11:F34" firstHeaderRow="1" firstDataRow="1" firstDataCol="3" rowPageCount="1" colPageCount="1"/>
  <pivotFields count="15">
    <pivotField showAll="0"/>
    <pivotField axis="axisRow" numFmtId="14" outline="0" showAll="0" sortType="ascending" defaultSubtota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0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sortType="ascending" defaultSubtotal="0">
      <items count="32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</items>
    </pivotField>
    <pivotField name="Día de Semana" axis="axisRow" showAll="0" defaultSubtotal="0">
      <items count="8">
        <item x="1"/>
        <item x="2"/>
        <item x="3"/>
        <item x="4"/>
        <item h="1" x="5"/>
        <item x="6"/>
        <item x="0"/>
        <item m="1" x="7"/>
      </items>
    </pivotField>
    <pivotField axis="axisPage" multipleItemSelectionAllowed="1" showAll="0" defaultSubtotal="0">
      <items count="2">
        <item h="1" x="1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Fields count="3">
    <field x="1"/>
    <field x="2"/>
    <field x="3"/>
  </rowFields>
  <rowItems count="23">
    <i>
      <x v="8"/>
      <x v="22"/>
      <x v="6"/>
    </i>
    <i r="1">
      <x v="28"/>
      <x v="5"/>
    </i>
    <i r="1">
      <x v="29"/>
      <x v="6"/>
    </i>
    <i>
      <x v="9"/>
      <x v="5"/>
      <x v="5"/>
    </i>
    <i r="1">
      <x v="6"/>
      <x v="6"/>
    </i>
    <i r="1">
      <x v="12"/>
      <x v="5"/>
    </i>
    <i r="1">
      <x v="13"/>
      <x v="6"/>
    </i>
    <i r="1">
      <x v="14"/>
      <x/>
    </i>
    <i r="1">
      <x v="19"/>
      <x v="5"/>
    </i>
    <i r="1">
      <x v="20"/>
      <x v="6"/>
    </i>
    <i r="1">
      <x v="26"/>
      <x v="5"/>
    </i>
    <i r="1">
      <x v="27"/>
      <x v="6"/>
    </i>
    <i>
      <x v="10"/>
      <x v="2"/>
      <x v="5"/>
    </i>
    <i r="1">
      <x v="3"/>
      <x v="6"/>
    </i>
    <i r="1">
      <x v="4"/>
      <x/>
    </i>
    <i r="1">
      <x v="9"/>
      <x v="5"/>
    </i>
    <i r="1">
      <x v="10"/>
      <x v="6"/>
    </i>
    <i r="1">
      <x v="11"/>
      <x/>
    </i>
    <i r="1">
      <x v="16"/>
      <x v="5"/>
    </i>
    <i r="1">
      <x v="17"/>
      <x v="6"/>
    </i>
    <i r="1">
      <x v="23"/>
      <x v="5"/>
    </i>
    <i r="1">
      <x v="24"/>
      <x v="6"/>
    </i>
    <i r="1">
      <x v="30"/>
      <x v="5"/>
    </i>
  </rowItems>
  <colItems count="1">
    <i/>
  </colItems>
  <pageFields count="1">
    <pageField fld="4" hier="-1"/>
  </pageFields>
  <dataFields count="1">
    <dataField name="INGRESOS TOTALES" fld="11" baseField="2" baseItem="19"/>
  </dataFields>
  <formats count="21">
    <format dxfId="400">
      <pivotArea outline="0" collapsedLevelsAreSubtotals="1" fieldPosition="0"/>
    </format>
    <format dxfId="399">
      <pivotArea outline="0" collapsedLevelsAreSubtotals="1" fieldPosition="0"/>
    </format>
    <format dxfId="398">
      <pivotArea dataOnly="0" labelOnly="1" fieldPosition="0">
        <references count="1">
          <reference field="2" count="0"/>
        </references>
      </pivotArea>
    </format>
    <format dxfId="397">
      <pivotArea dataOnly="0" labelOnly="1" grandRow="1" outline="0" fieldPosition="0"/>
    </format>
    <format dxfId="396">
      <pivotArea dataOnly="0" labelOnly="1" fieldPosition="0">
        <references count="1">
          <reference field="1" count="3">
            <x v="8"/>
            <x v="9"/>
            <x v="10"/>
          </reference>
        </references>
      </pivotArea>
    </format>
    <format dxfId="395">
      <pivotArea field="1" type="button" dataOnly="0" labelOnly="1" outline="0" axis="axisRow" fieldPosition="0"/>
    </format>
    <format dxfId="394">
      <pivotArea field="2" type="button" dataOnly="0" labelOnly="1" outline="0" axis="axisRow" fieldPosition="1"/>
    </format>
    <format dxfId="393">
      <pivotArea field="3" type="button" dataOnly="0" labelOnly="1" outline="0" axis="axisRow" fieldPosition="2"/>
    </format>
    <format dxfId="392">
      <pivotArea dataOnly="0" labelOnly="1" outline="0" axis="axisValues" fieldPosition="0"/>
    </format>
    <format dxfId="391">
      <pivotArea field="1" type="button" dataOnly="0" labelOnly="1" outline="0" axis="axisRow" fieldPosition="0"/>
    </format>
    <format dxfId="390">
      <pivotArea field="2" type="button" dataOnly="0" labelOnly="1" outline="0" axis="axisRow" fieldPosition="1"/>
    </format>
    <format dxfId="389">
      <pivotArea field="3" type="button" dataOnly="0" labelOnly="1" outline="0" axis="axisRow" fieldPosition="2"/>
    </format>
    <format dxfId="388">
      <pivotArea dataOnly="0" labelOnly="1" outline="0" axis="axisValues" fieldPosition="0"/>
    </format>
    <format dxfId="387">
      <pivotArea field="1" type="button" dataOnly="0" labelOnly="1" outline="0" axis="axisRow" fieldPosition="0"/>
    </format>
    <format dxfId="386">
      <pivotArea field="2" type="button" dataOnly="0" labelOnly="1" outline="0" axis="axisRow" fieldPosition="1"/>
    </format>
    <format dxfId="385">
      <pivotArea field="3" type="button" dataOnly="0" labelOnly="1" outline="0" axis="axisRow" fieldPosition="2"/>
    </format>
    <format dxfId="384">
      <pivotArea dataOnly="0" labelOnly="1" outline="0" axis="axisValues" fieldPosition="0"/>
    </format>
    <format dxfId="383">
      <pivotArea dataOnly="0" labelOnly="1" outline="0" axis="axisValues" fieldPosition="0"/>
    </format>
    <format dxfId="382">
      <pivotArea dataOnly="0" labelOnly="1" outline="0" axis="axisValues" fieldPosition="0"/>
    </format>
    <format dxfId="381">
      <pivotArea dataOnly="0" outline="0" axis="axisValues" fieldPosition="0"/>
    </format>
    <format dxfId="380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B00-000001000000}" name="Tabla dinámica3" cacheId="44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chartFormat="3" rowHeaderCaption="Día" colHeaderCaption="Mes">
  <location ref="C1:F3" firstHeaderRow="1" firstDataRow="2" firstDataCol="1"/>
  <pivotFields count="15">
    <pivotField showAll="0"/>
    <pivotField axis="axisCol" numFmtId="14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x="0"/>
        <item x="13"/>
        <item t="default"/>
      </items>
    </pivotField>
    <pivotField showAll="0" sortType="ascending">
      <items count="33">
        <item m="1" x="3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3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howAll="0"/>
    <pivotField showAll="0" defaultSubtotal="0"/>
    <pivotField showAll="0"/>
    <pivotField showAll="0"/>
  </pivotFields>
  <rowItems count="1">
    <i/>
  </rowItems>
  <colFields count="1">
    <field x="1"/>
  </colFields>
  <colItems count="3">
    <i>
      <x v="8"/>
    </i>
    <i>
      <x v="9"/>
    </i>
    <i>
      <x v="10"/>
    </i>
  </colItems>
  <dataFields count="1">
    <dataField name="INGRESOS " fld="11" baseField="2" baseItem="19"/>
  </dataFields>
  <formats count="6">
    <format dxfId="406">
      <pivotArea outline="0" collapsedLevelsAreSubtotals="1" fieldPosition="0"/>
    </format>
    <format dxfId="405">
      <pivotArea outline="0" collapsedLevelsAreSubtotals="1" fieldPosition="0"/>
    </format>
    <format dxfId="404">
      <pivotArea field="2" type="button" dataOnly="0" labelOnly="1" outline="0"/>
    </format>
    <format dxfId="403">
      <pivotArea dataOnly="0" labelOnly="1" grandRow="1" outline="0" fieldPosition="0"/>
    </format>
    <format dxfId="402">
      <pivotArea dataOnly="0" labelOnly="1" fieldPosition="0">
        <references count="1">
          <reference field="1" count="3">
            <x v="8"/>
            <x v="9"/>
            <x v="10"/>
          </reference>
        </references>
      </pivotArea>
    </format>
    <format dxfId="401">
      <pivotArea outline="0" collapsedLevelsAreSubtotals="1" fieldPosition="0">
        <references count="1">
          <reference field="1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D00-000000000000}" name="Tabla dinámica5" cacheId="23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>
  <location ref="A3:C178" firstHeaderRow="0" firstDataRow="1" firstDataCol="1" rowPageCount="1" colPageCount="1"/>
  <pivotFields count="5">
    <pivotField axis="axisPage" allDrilled="1" showAll="0" dataSourceSort="1" defaultAttributeDrillState="1">
      <items count="1">
        <item t="default"/>
      </items>
    </pivotField>
    <pivotField axis="axisRow" allDrilled="1" showAll="0" sortType="ascending" defaultAttributeDrillState="1">
      <items count="8">
        <item x="2"/>
        <item x="3"/>
        <item x="4"/>
        <item x="1"/>
        <item x="6"/>
        <item x="5"/>
        <item x="0"/>
        <item t="default"/>
      </items>
    </pivotField>
    <pivotField dataField="1" showAll="0"/>
    <pivotField axis="axisRow" allDrilled="1" showAll="0" sortType="descending" defaultAttributeDrillState="1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3"/>
  </rowFields>
  <rowItems count="175">
    <i>
      <x/>
    </i>
    <i r="1">
      <x/>
    </i>
    <i r="1">
      <x v="42"/>
    </i>
    <i r="1">
      <x v="22"/>
    </i>
    <i r="1">
      <x v="49"/>
    </i>
    <i r="1">
      <x v="7"/>
    </i>
    <i r="1">
      <x v="55"/>
    </i>
    <i r="1">
      <x v="28"/>
    </i>
    <i r="1">
      <x v="47"/>
    </i>
    <i r="1">
      <x v="24"/>
    </i>
    <i r="1">
      <x v="27"/>
    </i>
    <i r="1">
      <x v="8"/>
    </i>
    <i r="1">
      <x v="33"/>
    </i>
    <i r="1">
      <x v="25"/>
    </i>
    <i r="1">
      <x v="56"/>
    </i>
    <i r="1">
      <x v="59"/>
    </i>
    <i r="1">
      <x v="58"/>
    </i>
    <i r="1">
      <x v="57"/>
    </i>
    <i>
      <x v="1"/>
    </i>
    <i r="1">
      <x/>
    </i>
    <i r="1">
      <x v="22"/>
    </i>
    <i r="1">
      <x v="12"/>
    </i>
    <i r="1">
      <x v="51"/>
    </i>
    <i r="1">
      <x v="49"/>
    </i>
    <i r="1">
      <x v="62"/>
    </i>
    <i r="1">
      <x v="42"/>
    </i>
    <i r="1">
      <x v="53"/>
    </i>
    <i r="1">
      <x v="61"/>
    </i>
    <i r="1">
      <x v="24"/>
    </i>
    <i r="1">
      <x v="27"/>
    </i>
    <i r="1">
      <x v="25"/>
    </i>
    <i r="1">
      <x v="34"/>
    </i>
    <i r="1">
      <x v="28"/>
    </i>
    <i r="1">
      <x v="60"/>
    </i>
    <i r="1">
      <x v="8"/>
    </i>
    <i>
      <x v="2"/>
    </i>
    <i r="1">
      <x/>
    </i>
    <i r="1">
      <x v="42"/>
    </i>
    <i r="1">
      <x v="22"/>
    </i>
    <i r="1">
      <x v="12"/>
    </i>
    <i r="1">
      <x v="49"/>
    </i>
    <i r="1">
      <x v="53"/>
    </i>
    <i r="1">
      <x v="63"/>
    </i>
    <i r="1">
      <x v="38"/>
    </i>
    <i r="1">
      <x v="50"/>
    </i>
    <i r="1">
      <x v="33"/>
    </i>
    <i r="1">
      <x v="16"/>
    </i>
    <i r="1">
      <x v="64"/>
    </i>
    <i r="1">
      <x v="28"/>
    </i>
    <i r="1">
      <x v="65"/>
    </i>
    <i r="1">
      <x v="8"/>
    </i>
    <i r="1">
      <x v="34"/>
    </i>
    <i r="1">
      <x v="25"/>
    </i>
    <i r="1">
      <x v="24"/>
    </i>
    <i r="1">
      <x v="52"/>
    </i>
    <i>
      <x v="3"/>
    </i>
    <i r="1">
      <x/>
    </i>
    <i r="1">
      <x v="22"/>
    </i>
    <i r="1">
      <x v="54"/>
    </i>
    <i r="1">
      <x v="12"/>
    </i>
    <i r="1">
      <x v="42"/>
    </i>
    <i r="1">
      <x v="53"/>
    </i>
    <i r="1">
      <x v="49"/>
    </i>
    <i r="1">
      <x v="17"/>
    </i>
    <i r="1">
      <x v="16"/>
    </i>
    <i r="1">
      <x v="51"/>
    </i>
    <i r="1">
      <x v="24"/>
    </i>
    <i r="1">
      <x v="25"/>
    </i>
    <i r="1">
      <x v="52"/>
    </i>
    <i r="1">
      <x v="33"/>
    </i>
    <i r="1">
      <x v="50"/>
    </i>
    <i>
      <x v="4"/>
    </i>
    <i r="1">
      <x/>
    </i>
    <i r="1">
      <x v="22"/>
    </i>
    <i r="1">
      <x v="42"/>
    </i>
    <i r="1">
      <x v="17"/>
    </i>
    <i r="1">
      <x v="61"/>
    </i>
    <i r="1">
      <x v="49"/>
    </i>
    <i r="1">
      <x v="51"/>
    </i>
    <i r="1">
      <x v="7"/>
    </i>
    <i r="1">
      <x v="24"/>
    </i>
    <i r="1">
      <x v="8"/>
    </i>
    <i r="1">
      <x v="25"/>
    </i>
    <i r="1">
      <x v="44"/>
    </i>
    <i r="1">
      <x v="27"/>
    </i>
    <i r="1">
      <x v="75"/>
    </i>
    <i r="1">
      <x v="16"/>
    </i>
    <i r="1">
      <x v="52"/>
    </i>
    <i r="1">
      <x v="74"/>
    </i>
    <i>
      <x v="5"/>
    </i>
    <i r="1">
      <x/>
    </i>
    <i r="1">
      <x v="42"/>
    </i>
    <i r="1">
      <x v="54"/>
    </i>
    <i r="1">
      <x v="22"/>
    </i>
    <i r="1">
      <x v="49"/>
    </i>
    <i r="1">
      <x v="12"/>
    </i>
    <i r="1">
      <x v="29"/>
    </i>
    <i r="1">
      <x v="2"/>
    </i>
    <i r="1">
      <x v="72"/>
    </i>
    <i r="1">
      <x v="4"/>
    </i>
    <i r="1">
      <x v="7"/>
    </i>
    <i r="1">
      <x v="48"/>
    </i>
    <i r="1">
      <x v="13"/>
    </i>
    <i r="1">
      <x v="53"/>
    </i>
    <i r="1">
      <x v="17"/>
    </i>
    <i r="1">
      <x v="67"/>
    </i>
    <i r="1">
      <x v="6"/>
    </i>
    <i r="1">
      <x v="68"/>
    </i>
    <i r="1">
      <x v="15"/>
    </i>
    <i r="1">
      <x v="25"/>
    </i>
    <i r="1">
      <x v="73"/>
    </i>
    <i r="1">
      <x v="24"/>
    </i>
    <i r="1">
      <x v="33"/>
    </i>
    <i r="1">
      <x v="69"/>
    </i>
    <i r="1">
      <x v="30"/>
    </i>
    <i r="1">
      <x v="27"/>
    </i>
    <i r="1">
      <x v="70"/>
    </i>
    <i r="1">
      <x v="66"/>
    </i>
    <i r="1">
      <x v="71"/>
    </i>
    <i r="1">
      <x v="50"/>
    </i>
    <i r="1">
      <x v="56"/>
    </i>
    <i r="1">
      <x v="41"/>
    </i>
    <i>
      <x v="6"/>
    </i>
    <i r="1">
      <x/>
    </i>
    <i r="1">
      <x v="42"/>
    </i>
    <i r="1">
      <x v="49"/>
    </i>
    <i r="1">
      <x v="39"/>
    </i>
    <i r="1">
      <x v="22"/>
    </i>
    <i r="1">
      <x v="12"/>
    </i>
    <i r="1">
      <x v="38"/>
    </i>
    <i r="1">
      <x v="14"/>
    </i>
    <i r="1">
      <x v="37"/>
    </i>
    <i r="1">
      <x v="28"/>
    </i>
    <i r="1">
      <x v="11"/>
    </i>
    <i r="1">
      <x v="18"/>
    </i>
    <i r="1">
      <x v="16"/>
    </i>
    <i r="1">
      <x v="27"/>
    </i>
    <i r="1">
      <x v="23"/>
    </i>
    <i r="1">
      <x v="10"/>
    </i>
    <i r="1">
      <x v="13"/>
    </i>
    <i r="1">
      <x v="17"/>
    </i>
    <i r="1">
      <x v="36"/>
    </i>
    <i r="1">
      <x v="25"/>
    </i>
    <i r="1">
      <x v="40"/>
    </i>
    <i r="1">
      <x v="29"/>
    </i>
    <i r="1">
      <x v="20"/>
    </i>
    <i r="1">
      <x v="19"/>
    </i>
    <i r="1">
      <x v="9"/>
    </i>
    <i r="1">
      <x v="7"/>
    </i>
    <i r="1">
      <x v="47"/>
    </i>
    <i r="1">
      <x v="34"/>
    </i>
    <i r="1">
      <x v="24"/>
    </i>
    <i r="1">
      <x v="15"/>
    </i>
    <i r="1">
      <x v="48"/>
    </i>
    <i r="1">
      <x v="5"/>
    </i>
    <i r="1">
      <x v="46"/>
    </i>
    <i r="1">
      <x v="8"/>
    </i>
    <i r="1">
      <x v="6"/>
    </i>
    <i r="1">
      <x v="2"/>
    </i>
    <i r="1">
      <x v="1"/>
    </i>
    <i r="1">
      <x v="30"/>
    </i>
    <i r="1">
      <x v="33"/>
    </i>
    <i r="1">
      <x v="4"/>
    </i>
    <i r="1">
      <x v="21"/>
    </i>
    <i r="1">
      <x v="43"/>
    </i>
    <i r="1">
      <x v="32"/>
    </i>
    <i r="1">
      <x v="3"/>
    </i>
    <i r="1">
      <x v="26"/>
    </i>
    <i r="1">
      <x v="35"/>
    </i>
    <i r="1">
      <x v="45"/>
    </i>
    <i r="1">
      <x v="50"/>
    </i>
    <i r="1">
      <x v="31"/>
    </i>
    <i r="1">
      <x v="44"/>
    </i>
    <i r="1">
      <x v="41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1" name="[Ventas].[FECHA].[All]" cap="All"/>
  </pageFields>
  <dataFields count="2">
    <dataField name="Suma de Ventas" fld="2" baseField="0" baseItem="0" numFmtId="167"/>
    <dataField name="Recuento distinto de Id. Client por dìa" fld="4" subtotal="count" baseField="3" baseItem="32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1">
    <format dxfId="378">
      <pivotArea outline="0" collapsedLevelsAreSubtotals="1" fieldPosition="0"/>
    </format>
  </formats>
  <pivotHierarchies count="21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Medium9" showRowHeaders="1" showColHeaders="1" showRowStripes="0" showColStripes="0" showLastColumn="1"/>
  <rowHierarchiesUsage count="2">
    <rowHierarchyUsage hierarchyUsage="3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s Tunos_ Parrilla_Forecast.xlsx!Ventas">
        <x15:activeTabTopLevelEntity name="[Venta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D00-000001000000}" name="Tabla dinámica6" cacheId="22" applyNumberFormats="0" applyBorderFormats="0" applyFontFormats="0" applyPatternFormats="0" applyAlignmentFormats="0" applyWidthHeightFormats="1" dataCaption="Valores" updatedVersion="5" minRefreshableVersion="3" useAutoFormatting="1" subtotalHiddenItems="1" itemPrintTitles="1" createdVersion="5" indent="0" outline="1" outlineData="1" multipleFieldFilters="0">
  <location ref="E3:M58" firstHeaderRow="1" firstDataRow="2" firstDataCol="1" rowPageCount="1" colPageCount="1"/>
  <pivotFields count="4">
    <pivotField axis="axisPage" allDrilled="1" showAll="0" dataSourceSort="1" defaultAttributeDrillState="1">
      <items count="8">
        <item s="1" x="0"/>
        <item s="1" x="1"/>
        <item s="1" x="2"/>
        <item s="1" x="3"/>
        <item s="1" x="4"/>
        <item s="1" x="5"/>
        <item s="1" x="6"/>
        <item t="default"/>
      </items>
    </pivotField>
    <pivotField axis="axisCol" allDrilled="1" showAll="0" sortType="ascending" defaultAttributeDrillState="1">
      <items count="8">
        <item x="2"/>
        <item x="3"/>
        <item x="4"/>
        <item x="1"/>
        <item x="6"/>
        <item x="5"/>
        <item x="0"/>
        <item t="default"/>
      </items>
    </pivotField>
    <pivotField dataField="1" showAll="0"/>
    <pivotField axis="axisRow" allDrilled="1" showAll="0" sortType="descending" defaultAttributeDrillState="1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54">
    <i>
      <x v="42"/>
    </i>
    <i>
      <x v="21"/>
    </i>
    <i>
      <x v="12"/>
    </i>
    <i>
      <x v="43"/>
    </i>
    <i>
      <x v="49"/>
    </i>
    <i>
      <x v="15"/>
    </i>
    <i>
      <x v="38"/>
    </i>
    <i>
      <x v="30"/>
    </i>
    <i>
      <x v="19"/>
    </i>
    <i>
      <x v="40"/>
    </i>
    <i>
      <x v="14"/>
    </i>
    <i>
      <x v="5"/>
    </i>
    <i>
      <x v="39"/>
    </i>
    <i>
      <x v="2"/>
    </i>
    <i>
      <x v="11"/>
    </i>
    <i>
      <x v="3"/>
    </i>
    <i>
      <x v="50"/>
    </i>
    <i>
      <x v="44"/>
    </i>
    <i>
      <x v="26"/>
    </i>
    <i>
      <x v="22"/>
    </i>
    <i>
      <x v="6"/>
    </i>
    <i>
      <x v="10"/>
    </i>
    <i>
      <x v="48"/>
    </i>
    <i>
      <x v="24"/>
    </i>
    <i>
      <x v="20"/>
    </i>
    <i>
      <x v="8"/>
    </i>
    <i>
      <x v="25"/>
    </i>
    <i>
      <x v="9"/>
    </i>
    <i>
      <x v="13"/>
    </i>
    <i>
      <x v="35"/>
    </i>
    <i>
      <x v="7"/>
    </i>
    <i>
      <x v="47"/>
    </i>
    <i>
      <x v="4"/>
    </i>
    <i>
      <x v="32"/>
    </i>
    <i>
      <x v="17"/>
    </i>
    <i>
      <x v="16"/>
    </i>
    <i>
      <x v="45"/>
    </i>
    <i>
      <x v="34"/>
    </i>
    <i>
      <x v="23"/>
    </i>
    <i>
      <x v="18"/>
    </i>
    <i>
      <x v="31"/>
    </i>
    <i>
      <x v="27"/>
    </i>
    <i>
      <x v="1"/>
    </i>
    <i>
      <x v="28"/>
    </i>
    <i>
      <x v="36"/>
    </i>
    <i>
      <x v="46"/>
    </i>
    <i>
      <x/>
    </i>
    <i>
      <x v="33"/>
    </i>
    <i>
      <x v="29"/>
    </i>
    <i>
      <x v="52"/>
    </i>
    <i>
      <x v="51"/>
    </i>
    <i>
      <x v="37"/>
    </i>
    <i>
      <x v="4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0" hier="1" name="[Ventas].[FECHA].[All]" cap="All"/>
  </pageFields>
  <dataFields count="1">
    <dataField name="Suma de Ventas" fld="2" baseField="0" baseItem="0" numFmtId="167"/>
  </dataFields>
  <formats count="1">
    <format dxfId="379">
      <pivotArea outline="0" collapsedLevelsAreSubtotals="1" fieldPosition="0"/>
    </format>
  </formats>
  <pivotHierarchies count="21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Medium2" showRowHeaders="1" showColHeaders="1" showRowStripes="0" showColStripes="0" showLastColumn="1"/>
  <rowHierarchiesUsage count="1">
    <rowHierarchyUsage hierarchyUsage="8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os Tunos_ Parrilla_Forecast.xlsx!Ventas">
        <x15:activeTabTopLevelEntity name="[Venta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" displayName="Ventas" ref="B4:P607" totalsRowShown="0" headerRowDxfId="668" headerRowBorderDxfId="667" tableBorderDxfId="666" totalsRowBorderDxfId="665" headerRowCellStyle="Moneda">
  <autoFilter ref="B4:P607" xr:uid="{00000000-0009-0000-0100-000001000000}"/>
  <tableColumns count="15">
    <tableColumn id="1" xr3:uid="{00000000-0010-0000-0000-000001000000}" name="Politica implantada" dataDxfId="664"/>
    <tableColumn id="2" xr3:uid="{00000000-0010-0000-0000-000002000000}" name="FECHA" dataDxfId="663"/>
    <tableColumn id="7" xr3:uid="{00000000-0010-0000-0000-000007000000}" name="Dia" dataDxfId="662" dataCellStyle="Millares">
      <calculatedColumnFormula>+DAY(Ventas[[#This Row],[FECHA]])</calculatedColumnFormula>
    </tableColumn>
    <tableColumn id="3" xr3:uid="{00000000-0010-0000-0000-000003000000}" name="Dia semanal" dataDxfId="661">
      <calculatedColumnFormula>+TEXT(C5,"dddd")</calculatedColumnFormula>
    </tableColumn>
    <tableColumn id="16" xr3:uid="{00000000-0010-0000-0000-000010000000}" name="Tipo Dìa" dataDxfId="660"/>
    <tableColumn id="14" xr3:uid="{00000000-0010-0000-0000-00000E000000}" name="No. de semana" dataDxfId="659"/>
    <tableColumn id="10" xr3:uid="{00000000-0010-0000-0000-00000A000000}" name="Vendedor" dataDxfId="658"/>
    <tableColumn id="11" xr3:uid="{00000000-0010-0000-0000-00000B000000}" name="Id. Client por dìa" dataDxfId="657"/>
    <tableColumn id="8" xr3:uid="{00000000-0010-0000-0000-000008000000}" name="Producto" dataDxfId="656"/>
    <tableColumn id="9" xr3:uid="{00000000-0010-0000-0000-000009000000}" name="Q" dataDxfId="655"/>
    <tableColumn id="12" xr3:uid="{00000000-0010-0000-0000-00000C000000}" name="Precio item" dataDxfId="654"/>
    <tableColumn id="4" xr3:uid="{00000000-0010-0000-0000-000004000000}" name="Ventas" dataDxfId="653" dataCellStyle="Moneda"/>
    <tableColumn id="13" xr3:uid="{00000000-0010-0000-0000-00000D000000}" name="Detalle" dataDxfId="652" dataCellStyle="Moneda"/>
    <tableColumn id="5" xr3:uid="{00000000-0010-0000-0000-000005000000}" name="Gastos" dataDxfId="651" dataCellStyle="Moneda"/>
    <tableColumn id="6" xr3:uid="{00000000-0010-0000-0000-000006000000}" name="Hay soportes" dataDxfId="650" dataCellStyle="Moneda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ma" displayName="Clima" ref="A1:D35" totalsRowShown="0" dataDxfId="641" headerRowBorderDxfId="642" tableBorderDxfId="640" totalsRowBorderDxfId="639">
  <autoFilter ref="A1:D35" xr:uid="{00000000-0009-0000-0100-000002000000}"/>
  <tableColumns count="4">
    <tableColumn id="1" xr3:uid="{00000000-0010-0000-0100-000001000000}" name="FECHA" dataDxfId="638">
      <calculatedColumnFormula>+A1+1</calculatedColumnFormula>
    </tableColumn>
    <tableColumn id="2" xr3:uid="{00000000-0010-0000-0100-000002000000}" name="Dia" dataDxfId="637" dataCellStyle="Millares">
      <calculatedColumnFormula>+DAY(A2)</calculatedColumnFormula>
    </tableColumn>
    <tableColumn id="3" xr3:uid="{00000000-0010-0000-0100-000003000000}" name="Dia semanal" dataDxfId="636">
      <calculatedColumnFormula>+TEXT(A2,"dddd")</calculatedColumnFormula>
    </tableColumn>
    <tableColumn id="4" xr3:uid="{00000000-0010-0000-0100-000004000000}" name="Estado clima" dataDxfId="63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pivotTable" Target="../pivotTables/pivotTable6.xml"/><Relationship Id="rId7" Type="http://schemas.openxmlformats.org/officeDocument/2006/relationships/vmlDrawing" Target="../drawings/vmlDrawing4.v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rinterSettings" Target="../printerSettings/printerSettings9.bin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7" Type="http://schemas.openxmlformats.org/officeDocument/2006/relationships/comments" Target="../comments9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vmlDrawing" Target="../drawings/vmlDrawing9.v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7" Type="http://schemas.openxmlformats.org/officeDocument/2006/relationships/comments" Target="../comments10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vmlDrawing" Target="../drawings/vmlDrawing10.vml"/><Relationship Id="rId5" Type="http://schemas.openxmlformats.org/officeDocument/2006/relationships/drawing" Target="../drawings/drawing8.xml"/><Relationship Id="rId4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5" Type="http://schemas.openxmlformats.org/officeDocument/2006/relationships/comments" Target="../comments11.xml"/><Relationship Id="rId4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6" Type="http://schemas.openxmlformats.org/officeDocument/2006/relationships/comments" Target="../comments12.xml"/><Relationship Id="rId5" Type="http://schemas.openxmlformats.org/officeDocument/2006/relationships/vmlDrawing" Target="../drawings/vmlDrawing12.vml"/><Relationship Id="rId4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6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6" Type="http://schemas.openxmlformats.org/officeDocument/2006/relationships/comments" Target="../comments13.xml"/><Relationship Id="rId5" Type="http://schemas.openxmlformats.org/officeDocument/2006/relationships/vmlDrawing" Target="../drawings/vmlDrawing13.vml"/><Relationship Id="rId4" Type="http://schemas.openxmlformats.org/officeDocument/2006/relationships/drawing" Target="../drawings/drawing1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ivotTable" Target="../pivotTables/pivotTable28.xml"/><Relationship Id="rId1" Type="http://schemas.openxmlformats.org/officeDocument/2006/relationships/pivotTable" Target="../pivotTables/pivotTable27.xml"/><Relationship Id="rId5" Type="http://schemas.openxmlformats.org/officeDocument/2006/relationships/comments" Target="../comments14.xml"/><Relationship Id="rId4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2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ivotTable" Target="../pivotTables/pivotTable31.xml"/><Relationship Id="rId1" Type="http://schemas.openxmlformats.org/officeDocument/2006/relationships/pivotTable" Target="../pivotTables/pivotTable3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ivotTable" Target="../pivotTables/pivotTable33.xml"/><Relationship Id="rId1" Type="http://schemas.openxmlformats.org/officeDocument/2006/relationships/pivotTable" Target="../pivotTables/pivotTable32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ondoemprender.com/SitePages/Contactenos.aspx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www.google.com/maps/dir/Texaco,+km+37,+Autopista+Nte.,+Tocancip%C3%A1,+Cundinamarca/Texaco/@4.9545171,-74.5076782,8.96z/data=!4m13!4m12!1m5!1m1!1s0x8e407158228ea999:0x1d86c6a065291755!2m2!1d-73.9372383!2d4.9539161!1m5!1m1!1s0x8e407158228ea999:0x1d86c6a065291755!2m2!1d-73.9372383!2d4.9539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O512"/>
  <sheetViews>
    <sheetView workbookViewId="0"/>
  </sheetViews>
  <sheetFormatPr baseColWidth="10" defaultColWidth="11.42578125" defaultRowHeight="15" x14ac:dyDescent="0.25"/>
  <cols>
    <col min="1" max="1" width="10.140625" style="72" customWidth="1"/>
    <col min="2" max="2" width="5" style="72" customWidth="1"/>
    <col min="3" max="3" width="29" style="72" customWidth="1"/>
    <col min="4" max="4" width="20.5703125" style="72" customWidth="1"/>
    <col min="5" max="5" width="19.85546875" style="72" bestFit="1" customWidth="1"/>
    <col min="6" max="6" width="18" style="72" bestFit="1" customWidth="1"/>
    <col min="7" max="7" width="18" style="72" customWidth="1"/>
    <col min="8" max="9" width="13" style="72" bestFit="1" customWidth="1"/>
    <col min="10" max="13" width="11.42578125" style="72"/>
    <col min="14" max="14" width="32.28515625" style="72" bestFit="1" customWidth="1"/>
    <col min="15" max="16384" width="11.42578125" style="72"/>
  </cols>
  <sheetData>
    <row r="1" spans="1:15" s="70" customFormat="1" ht="27.6" customHeight="1" x14ac:dyDescent="0.25"/>
    <row r="2" spans="1:15" x14ac:dyDescent="0.25">
      <c r="A2" s="71"/>
    </row>
    <row r="3" spans="1:15" x14ac:dyDescent="0.25">
      <c r="A3" s="71"/>
      <c r="C3" s="73" t="s">
        <v>188</v>
      </c>
      <c r="D3" s="74">
        <f>2670000+850000</f>
        <v>3520000</v>
      </c>
      <c r="F3" s="463" t="s">
        <v>189</v>
      </c>
      <c r="G3" s="463"/>
    </row>
    <row r="4" spans="1:15" x14ac:dyDescent="0.25">
      <c r="A4" s="71"/>
      <c r="C4" s="75" t="s">
        <v>190</v>
      </c>
      <c r="D4" s="76">
        <v>0.1043</v>
      </c>
      <c r="F4" s="77" t="s">
        <v>191</v>
      </c>
      <c r="G4" s="78">
        <f>D3</f>
        <v>3520000</v>
      </c>
    </row>
    <row r="5" spans="1:15" x14ac:dyDescent="0.25">
      <c r="C5" s="75" t="s">
        <v>54</v>
      </c>
      <c r="D5" s="74">
        <v>2</v>
      </c>
      <c r="F5" s="77" t="s">
        <v>192</v>
      </c>
      <c r="G5" s="78">
        <f>SUM($D$14:$D$400)</f>
        <v>3915111.0847787042</v>
      </c>
      <c r="N5" s="464" t="s">
        <v>193</v>
      </c>
      <c r="O5" s="464"/>
    </row>
    <row r="6" spans="1:15" ht="15.75" x14ac:dyDescent="0.25">
      <c r="C6" s="75" t="s">
        <v>194</v>
      </c>
      <c r="D6" s="79" t="s">
        <v>195</v>
      </c>
      <c r="F6" s="77" t="s">
        <v>196</v>
      </c>
      <c r="G6" s="78">
        <f>SUM($E$14:$E$400)</f>
        <v>395111.08477870602</v>
      </c>
      <c r="H6" s="80"/>
      <c r="I6" s="80"/>
      <c r="N6" s="81" t="s">
        <v>197</v>
      </c>
      <c r="O6" s="82">
        <f>360/360</f>
        <v>1</v>
      </c>
    </row>
    <row r="7" spans="1:15" ht="15.75" x14ac:dyDescent="0.25">
      <c r="C7" s="75" t="s">
        <v>198</v>
      </c>
      <c r="D7" s="83">
        <f>((1+EFFECT(D4,D8))^VLOOKUP(D6,$N$6:$O$11,2,0))-1</f>
        <v>8.6916666666667641E-3</v>
      </c>
      <c r="E7" s="84"/>
      <c r="F7" s="77"/>
      <c r="G7" s="77"/>
      <c r="N7" s="81" t="s">
        <v>199</v>
      </c>
      <c r="O7" s="82">
        <f>180/360</f>
        <v>0.5</v>
      </c>
    </row>
    <row r="8" spans="1:15" ht="15.75" x14ac:dyDescent="0.25">
      <c r="C8" s="75" t="s">
        <v>200</v>
      </c>
      <c r="D8" s="85">
        <f>IF(D6="Mensual",12,IF(D6="Bimensual",6,IF(D6="Trimestral",4,IF(D6="Cuatrimestral",3,IF(D6="Semestral",2,1)))))</f>
        <v>12</v>
      </c>
      <c r="E8" s="84"/>
      <c r="F8" s="77"/>
      <c r="G8" s="77"/>
      <c r="N8" s="81" t="s">
        <v>201</v>
      </c>
      <c r="O8" s="82">
        <f>120/360</f>
        <v>0.33333333333333331</v>
      </c>
    </row>
    <row r="9" spans="1:15" ht="15.75" x14ac:dyDescent="0.25">
      <c r="C9" s="75" t="s">
        <v>202</v>
      </c>
      <c r="D9" s="85">
        <f>D5*D8</f>
        <v>24</v>
      </c>
      <c r="E9" s="84"/>
      <c r="N9" s="81" t="s">
        <v>203</v>
      </c>
      <c r="O9" s="82">
        <f>90/360</f>
        <v>0.25</v>
      </c>
    </row>
    <row r="10" spans="1:15" ht="15.75" x14ac:dyDescent="0.25">
      <c r="N10" s="81" t="s">
        <v>204</v>
      </c>
      <c r="O10" s="82">
        <f>60/360</f>
        <v>0.16666666666666666</v>
      </c>
    </row>
    <row r="11" spans="1:15" ht="15.75" x14ac:dyDescent="0.25">
      <c r="D11" s="86"/>
      <c r="E11" s="86"/>
      <c r="N11" s="81" t="s">
        <v>195</v>
      </c>
      <c r="O11" s="82">
        <f>30/360</f>
        <v>8.3333333333333329E-2</v>
      </c>
    </row>
    <row r="12" spans="1:15" ht="26.25" customHeight="1" x14ac:dyDescent="0.25">
      <c r="A12" s="87"/>
      <c r="C12" s="73" t="s">
        <v>205</v>
      </c>
      <c r="D12" s="73" t="s">
        <v>206</v>
      </c>
      <c r="E12" s="73" t="s">
        <v>207</v>
      </c>
      <c r="F12" s="73" t="s">
        <v>208</v>
      </c>
      <c r="G12" s="73" t="s">
        <v>209</v>
      </c>
      <c r="I12" s="88"/>
    </row>
    <row r="13" spans="1:15" s="87" customFormat="1" x14ac:dyDescent="0.25">
      <c r="C13" s="89">
        <v>0</v>
      </c>
      <c r="D13" s="90"/>
      <c r="E13" s="90"/>
      <c r="F13" s="91"/>
      <c r="G13" s="90">
        <f>D3</f>
        <v>3520000</v>
      </c>
    </row>
    <row r="14" spans="1:15" x14ac:dyDescent="0.25">
      <c r="A14" s="92"/>
      <c r="C14" s="93">
        <f>IF(OR(C13=$D$9,C13=""),"",IF(ISNUMBER(C13),C13+1,1))</f>
        <v>1</v>
      </c>
      <c r="D14" s="69">
        <f>IF(C14&gt;$D$9,"",PMT($D$7,$D$9,$D$3)*-1)</f>
        <v>163129.62853244602</v>
      </c>
      <c r="E14" s="69">
        <f>IF(C14&gt;$D$9,"",$D$7*G13)</f>
        <v>30594.66666666701</v>
      </c>
      <c r="F14" s="94">
        <f>IF(C14&gt;$D$9,"",D14-E14)</f>
        <v>132534.96186577901</v>
      </c>
      <c r="G14" s="69">
        <f>IF(C14&gt;$D$9,"",G13-F14)</f>
        <v>3387465.038134221</v>
      </c>
    </row>
    <row r="15" spans="1:15" x14ac:dyDescent="0.25">
      <c r="A15" s="95"/>
      <c r="C15" s="93">
        <f t="shared" ref="C15:C78" si="0">IF(OR(C14=$D$9,C14=""),"",IF(ISNUMBER(C14),C14+1,1))</f>
        <v>2</v>
      </c>
      <c r="D15" s="69">
        <f t="shared" ref="D15:D78" si="1">IF(C15&gt;$D$9,"",PMT($D$7,$D$9,$D$3)*-1)</f>
        <v>163129.62853244602</v>
      </c>
      <c r="E15" s="69">
        <f>IF(C15&gt;$D$9,"",$D$7*G14)</f>
        <v>29442.716956450269</v>
      </c>
      <c r="F15" s="94">
        <f>IF(C15&gt;$D$9,"",D15-E15)</f>
        <v>133686.91157599573</v>
      </c>
      <c r="G15" s="69">
        <f t="shared" ref="G15:G78" si="2">IF(C15&gt;$D$9,"",G14-F15)</f>
        <v>3253778.1265582251</v>
      </c>
    </row>
    <row r="16" spans="1:15" x14ac:dyDescent="0.25">
      <c r="A16" s="87"/>
      <c r="C16" s="93">
        <f t="shared" si="0"/>
        <v>3</v>
      </c>
      <c r="D16" s="69">
        <f t="shared" si="1"/>
        <v>163129.62853244602</v>
      </c>
      <c r="E16" s="69">
        <f>IF(C16&gt;$D$9,"",$D$7*G15)</f>
        <v>28280.754883335558</v>
      </c>
      <c r="F16" s="94">
        <f t="shared" ref="F16:F79" si="3">IF(C16&gt;$D$9,"",D16-E16)</f>
        <v>134848.87364911046</v>
      </c>
      <c r="G16" s="69">
        <f>IF(C16&gt;$D$9,"",G15-F16)</f>
        <v>3118929.2529091146</v>
      </c>
    </row>
    <row r="17" spans="1:7" x14ac:dyDescent="0.25">
      <c r="A17" s="92"/>
      <c r="C17" s="93">
        <f t="shared" si="0"/>
        <v>4</v>
      </c>
      <c r="D17" s="69">
        <f t="shared" si="1"/>
        <v>163129.62853244602</v>
      </c>
      <c r="E17" s="69">
        <f>IF(C17&gt;$D$9,"",$D$7*G16)</f>
        <v>27108.693423202025</v>
      </c>
      <c r="F17" s="94">
        <f t="shared" si="3"/>
        <v>136020.93510924399</v>
      </c>
      <c r="G17" s="69">
        <f t="shared" si="2"/>
        <v>2982908.3177998704</v>
      </c>
    </row>
    <row r="18" spans="1:7" x14ac:dyDescent="0.25">
      <c r="A18" s="87"/>
      <c r="C18" s="93">
        <f t="shared" si="0"/>
        <v>5</v>
      </c>
      <c r="D18" s="69">
        <f t="shared" si="1"/>
        <v>163129.62853244602</v>
      </c>
      <c r="E18" s="69">
        <f t="shared" ref="E18:E81" si="4">IF(C18&gt;$D$9,"",$D$7*G17)</f>
        <v>25926.444795544165</v>
      </c>
      <c r="F18" s="94">
        <f t="shared" si="3"/>
        <v>137203.18373690185</v>
      </c>
      <c r="G18" s="69">
        <f>IF(C18&gt;$D$9,"",G17-F18)</f>
        <v>2845705.1340629687</v>
      </c>
    </row>
    <row r="19" spans="1:7" x14ac:dyDescent="0.25">
      <c r="A19" s="87"/>
      <c r="C19" s="93">
        <f t="shared" si="0"/>
        <v>6</v>
      </c>
      <c r="D19" s="69">
        <f t="shared" si="1"/>
        <v>163129.62853244602</v>
      </c>
      <c r="E19" s="69">
        <f t="shared" si="4"/>
        <v>24733.92045689758</v>
      </c>
      <c r="F19" s="94">
        <f t="shared" si="3"/>
        <v>138395.70807554843</v>
      </c>
      <c r="G19" s="69">
        <f t="shared" si="2"/>
        <v>2707309.4259874201</v>
      </c>
    </row>
    <row r="20" spans="1:7" x14ac:dyDescent="0.25">
      <c r="A20" s="92"/>
      <c r="C20" s="93">
        <f t="shared" si="0"/>
        <v>7</v>
      </c>
      <c r="D20" s="69">
        <f t="shared" si="1"/>
        <v>163129.62853244602</v>
      </c>
      <c r="E20" s="69">
        <f t="shared" si="4"/>
        <v>23531.031094207592</v>
      </c>
      <c r="F20" s="94">
        <f t="shared" si="3"/>
        <v>139598.59743823842</v>
      </c>
      <c r="G20" s="69">
        <f t="shared" si="2"/>
        <v>2567710.8285491816</v>
      </c>
    </row>
    <row r="21" spans="1:7" x14ac:dyDescent="0.25">
      <c r="A21" s="87"/>
      <c r="C21" s="93">
        <f t="shared" si="0"/>
        <v>8</v>
      </c>
      <c r="D21" s="69">
        <f t="shared" si="1"/>
        <v>163129.62853244602</v>
      </c>
      <c r="E21" s="69">
        <f t="shared" si="4"/>
        <v>22317.686618140218</v>
      </c>
      <c r="F21" s="94">
        <f t="shared" si="3"/>
        <v>140811.94191430579</v>
      </c>
      <c r="G21" s="69">
        <f t="shared" si="2"/>
        <v>2426898.886634876</v>
      </c>
    </row>
    <row r="22" spans="1:7" x14ac:dyDescent="0.25">
      <c r="A22" s="87"/>
      <c r="C22" s="93">
        <f t="shared" si="0"/>
        <v>9</v>
      </c>
      <c r="D22" s="69">
        <f t="shared" si="1"/>
        <v>163129.62853244602</v>
      </c>
      <c r="E22" s="69">
        <f t="shared" si="4"/>
        <v>21093.796156335033</v>
      </c>
      <c r="F22" s="94">
        <f t="shared" si="3"/>
        <v>142035.83237611098</v>
      </c>
      <c r="G22" s="69">
        <f t="shared" si="2"/>
        <v>2284863.0542587652</v>
      </c>
    </row>
    <row r="23" spans="1:7" x14ac:dyDescent="0.25">
      <c r="A23" s="92"/>
      <c r="C23" s="93">
        <f t="shared" si="0"/>
        <v>10</v>
      </c>
      <c r="D23" s="69">
        <f t="shared" si="1"/>
        <v>163129.62853244602</v>
      </c>
      <c r="E23" s="69">
        <f t="shared" si="4"/>
        <v>19859.268046599322</v>
      </c>
      <c r="F23" s="94">
        <f t="shared" si="3"/>
        <v>143270.3604858467</v>
      </c>
      <c r="G23" s="69">
        <f t="shared" si="2"/>
        <v>2141592.6937729185</v>
      </c>
    </row>
    <row r="24" spans="1:7" x14ac:dyDescent="0.25">
      <c r="A24" s="87"/>
      <c r="C24" s="93">
        <f t="shared" si="0"/>
        <v>11</v>
      </c>
      <c r="D24" s="69">
        <f t="shared" si="1"/>
        <v>163129.62853244602</v>
      </c>
      <c r="E24" s="69">
        <f t="shared" si="4"/>
        <v>18614.00983004316</v>
      </c>
      <c r="F24" s="94">
        <f t="shared" si="3"/>
        <v>144515.61870240286</v>
      </c>
      <c r="G24" s="69">
        <f t="shared" si="2"/>
        <v>1997077.0750705157</v>
      </c>
    </row>
    <row r="25" spans="1:7" x14ac:dyDescent="0.25">
      <c r="A25" s="87"/>
      <c r="C25" s="93">
        <f t="shared" si="0"/>
        <v>12</v>
      </c>
      <c r="D25" s="69">
        <f t="shared" si="1"/>
        <v>163129.62853244602</v>
      </c>
      <c r="E25" s="69">
        <f t="shared" si="4"/>
        <v>17357.928244154762</v>
      </c>
      <c r="F25" s="94">
        <f t="shared" si="3"/>
        <v>145771.70028829126</v>
      </c>
      <c r="G25" s="69">
        <f t="shared" si="2"/>
        <v>1851305.3747822244</v>
      </c>
    </row>
    <row r="26" spans="1:7" x14ac:dyDescent="0.25">
      <c r="A26" s="92"/>
      <c r="C26" s="93">
        <f t="shared" si="0"/>
        <v>13</v>
      </c>
      <c r="D26" s="69">
        <f t="shared" si="1"/>
        <v>163129.62853244602</v>
      </c>
      <c r="E26" s="69">
        <f t="shared" si="4"/>
        <v>16090.92921581568</v>
      </c>
      <c r="F26" s="94">
        <f t="shared" si="3"/>
        <v>147038.69931663034</v>
      </c>
      <c r="G26" s="69">
        <f t="shared" si="2"/>
        <v>1704266.675465594</v>
      </c>
    </row>
    <row r="27" spans="1:7" x14ac:dyDescent="0.25">
      <c r="A27" s="87"/>
      <c r="C27" s="93">
        <f t="shared" si="0"/>
        <v>14</v>
      </c>
      <c r="D27" s="69">
        <f t="shared" si="1"/>
        <v>163129.62853244602</v>
      </c>
      <c r="E27" s="69">
        <f t="shared" si="4"/>
        <v>14812.917854255287</v>
      </c>
      <c r="F27" s="94">
        <f t="shared" si="3"/>
        <v>148316.71067819072</v>
      </c>
      <c r="G27" s="69">
        <f t="shared" si="2"/>
        <v>1555949.9647874034</v>
      </c>
    </row>
    <row r="28" spans="1:7" x14ac:dyDescent="0.25">
      <c r="A28" s="87"/>
      <c r="C28" s="93">
        <f t="shared" si="0"/>
        <v>15</v>
      </c>
      <c r="D28" s="69">
        <f t="shared" si="1"/>
        <v>163129.62853244602</v>
      </c>
      <c r="E28" s="69">
        <f t="shared" si="4"/>
        <v>13523.798443943999</v>
      </c>
      <c r="F28" s="94">
        <f t="shared" si="3"/>
        <v>149605.83008850203</v>
      </c>
      <c r="G28" s="69">
        <f t="shared" si="2"/>
        <v>1406344.1346989013</v>
      </c>
    </row>
    <row r="29" spans="1:7" x14ac:dyDescent="0.25">
      <c r="A29" s="92"/>
      <c r="C29" s="93">
        <f t="shared" si="0"/>
        <v>16</v>
      </c>
      <c r="D29" s="69">
        <f t="shared" si="1"/>
        <v>163129.62853244602</v>
      </c>
      <c r="E29" s="69">
        <f t="shared" si="4"/>
        <v>12223.474437424755</v>
      </c>
      <c r="F29" s="94">
        <f t="shared" si="3"/>
        <v>150906.15409502125</v>
      </c>
      <c r="G29" s="69">
        <f t="shared" si="2"/>
        <v>1255437.98060388</v>
      </c>
    </row>
    <row r="30" spans="1:7" x14ac:dyDescent="0.25">
      <c r="A30" s="92"/>
      <c r="C30" s="93">
        <f t="shared" si="0"/>
        <v>17</v>
      </c>
      <c r="D30" s="69">
        <f t="shared" si="1"/>
        <v>163129.62853244602</v>
      </c>
      <c r="E30" s="69">
        <f t="shared" si="4"/>
        <v>10911.848448082179</v>
      </c>
      <c r="F30" s="94">
        <f t="shared" si="3"/>
        <v>152217.78008436383</v>
      </c>
      <c r="G30" s="69">
        <f t="shared" si="2"/>
        <v>1103220.2005195161</v>
      </c>
    </row>
    <row r="31" spans="1:7" x14ac:dyDescent="0.25">
      <c r="A31" s="87"/>
      <c r="C31" s="93">
        <f t="shared" si="0"/>
        <v>18</v>
      </c>
      <c r="D31" s="69">
        <f t="shared" si="1"/>
        <v>163129.62853244602</v>
      </c>
      <c r="E31" s="69">
        <f t="shared" si="4"/>
        <v>9588.8222428489025</v>
      </c>
      <c r="F31" s="94">
        <f t="shared" si="3"/>
        <v>153540.80628959712</v>
      </c>
      <c r="G31" s="69">
        <f t="shared" si="2"/>
        <v>949679.39422991895</v>
      </c>
    </row>
    <row r="32" spans="1:7" x14ac:dyDescent="0.25">
      <c r="A32" s="87"/>
      <c r="C32" s="93">
        <f t="shared" si="0"/>
        <v>19</v>
      </c>
      <c r="D32" s="69">
        <f t="shared" si="1"/>
        <v>163129.62853244602</v>
      </c>
      <c r="E32" s="69">
        <f t="shared" si="4"/>
        <v>8254.2967348484708</v>
      </c>
      <c r="F32" s="94">
        <f t="shared" si="3"/>
        <v>154875.33179759755</v>
      </c>
      <c r="G32" s="69">
        <f t="shared" si="2"/>
        <v>794804.06243232137</v>
      </c>
    </row>
    <row r="33" spans="1:7" ht="15" customHeight="1" x14ac:dyDescent="0.25">
      <c r="A33" s="92"/>
      <c r="C33" s="93">
        <f t="shared" si="0"/>
        <v>20</v>
      </c>
      <c r="D33" s="69">
        <f t="shared" si="1"/>
        <v>163129.62853244602</v>
      </c>
      <c r="E33" s="69">
        <f t="shared" si="4"/>
        <v>6908.1719759743373</v>
      </c>
      <c r="F33" s="94">
        <f t="shared" si="3"/>
        <v>156221.45655647168</v>
      </c>
      <c r="G33" s="69">
        <f t="shared" si="2"/>
        <v>638582.60587584972</v>
      </c>
    </row>
    <row r="34" spans="1:7" ht="15" customHeight="1" x14ac:dyDescent="0.25">
      <c r="A34" s="87"/>
      <c r="C34" s="93">
        <f t="shared" si="0"/>
        <v>21</v>
      </c>
      <c r="D34" s="69">
        <f t="shared" si="1"/>
        <v>163129.62853244602</v>
      </c>
      <c r="E34" s="69">
        <f t="shared" si="4"/>
        <v>5550.3471494043224</v>
      </c>
      <c r="F34" s="94">
        <f t="shared" si="3"/>
        <v>157579.2813830417</v>
      </c>
      <c r="G34" s="69">
        <f t="shared" si="2"/>
        <v>481003.32449280802</v>
      </c>
    </row>
    <row r="35" spans="1:7" ht="15" customHeight="1" x14ac:dyDescent="0.25">
      <c r="A35" s="96"/>
      <c r="C35" s="93">
        <f t="shared" si="0"/>
        <v>22</v>
      </c>
      <c r="D35" s="69">
        <f t="shared" si="1"/>
        <v>163129.62853244602</v>
      </c>
      <c r="E35" s="69">
        <f t="shared" si="4"/>
        <v>4180.7205620500363</v>
      </c>
      <c r="F35" s="94">
        <f t="shared" si="3"/>
        <v>158948.90797039599</v>
      </c>
      <c r="G35" s="69">
        <f t="shared" si="2"/>
        <v>322054.41652241204</v>
      </c>
    </row>
    <row r="36" spans="1:7" ht="15" customHeight="1" x14ac:dyDescent="0.25">
      <c r="A36" s="87"/>
      <c r="C36" s="93">
        <f t="shared" si="0"/>
        <v>23</v>
      </c>
      <c r="D36" s="69">
        <f t="shared" si="1"/>
        <v>163129.62853244602</v>
      </c>
      <c r="E36" s="69">
        <f t="shared" si="4"/>
        <v>2799.1896369406627</v>
      </c>
      <c r="F36" s="94">
        <f t="shared" si="3"/>
        <v>160330.43889550536</v>
      </c>
      <c r="G36" s="69">
        <f t="shared" si="2"/>
        <v>161723.97762690668</v>
      </c>
    </row>
    <row r="37" spans="1:7" ht="15" customHeight="1" x14ac:dyDescent="0.25">
      <c r="A37" s="87"/>
      <c r="C37" s="93">
        <f t="shared" si="0"/>
        <v>24</v>
      </c>
      <c r="D37" s="69">
        <f t="shared" si="1"/>
        <v>163129.62853244602</v>
      </c>
      <c r="E37" s="69">
        <f t="shared" si="4"/>
        <v>1405.6509055405463</v>
      </c>
      <c r="F37" s="94">
        <f t="shared" si="3"/>
        <v>161723.97762690549</v>
      </c>
      <c r="G37" s="69">
        <f t="shared" si="2"/>
        <v>1.1932570487260818E-9</v>
      </c>
    </row>
    <row r="38" spans="1:7" x14ac:dyDescent="0.25">
      <c r="A38" s="97"/>
      <c r="C38" s="93" t="str">
        <f t="shared" si="0"/>
        <v/>
      </c>
      <c r="D38" s="69" t="str">
        <f t="shared" si="1"/>
        <v/>
      </c>
      <c r="E38" s="69" t="str">
        <f t="shared" si="4"/>
        <v/>
      </c>
      <c r="F38" s="94" t="str">
        <f t="shared" si="3"/>
        <v/>
      </c>
      <c r="G38" s="69" t="str">
        <f t="shared" si="2"/>
        <v/>
      </c>
    </row>
    <row r="39" spans="1:7" x14ac:dyDescent="0.25">
      <c r="A39" s="87"/>
      <c r="C39" s="93" t="str">
        <f t="shared" si="0"/>
        <v/>
      </c>
      <c r="D39" s="69" t="str">
        <f t="shared" si="1"/>
        <v/>
      </c>
      <c r="E39" s="69" t="str">
        <f t="shared" si="4"/>
        <v/>
      </c>
      <c r="F39" s="94" t="str">
        <f t="shared" si="3"/>
        <v/>
      </c>
      <c r="G39" s="69" t="str">
        <f t="shared" si="2"/>
        <v/>
      </c>
    </row>
    <row r="40" spans="1:7" x14ac:dyDescent="0.25">
      <c r="A40" s="87"/>
      <c r="C40" s="93" t="str">
        <f t="shared" si="0"/>
        <v/>
      </c>
      <c r="D40" s="69" t="str">
        <f t="shared" si="1"/>
        <v/>
      </c>
      <c r="E40" s="69" t="str">
        <f t="shared" si="4"/>
        <v/>
      </c>
      <c r="F40" s="94" t="str">
        <f t="shared" si="3"/>
        <v/>
      </c>
      <c r="G40" s="69" t="str">
        <f t="shared" si="2"/>
        <v/>
      </c>
    </row>
    <row r="41" spans="1:7" x14ac:dyDescent="0.25">
      <c r="A41" s="87"/>
      <c r="C41" s="93" t="str">
        <f t="shared" si="0"/>
        <v/>
      </c>
      <c r="D41" s="69" t="str">
        <f t="shared" si="1"/>
        <v/>
      </c>
      <c r="E41" s="69" t="str">
        <f t="shared" si="4"/>
        <v/>
      </c>
      <c r="F41" s="94" t="str">
        <f t="shared" si="3"/>
        <v/>
      </c>
      <c r="G41" s="69" t="str">
        <f t="shared" si="2"/>
        <v/>
      </c>
    </row>
    <row r="42" spans="1:7" x14ac:dyDescent="0.25">
      <c r="A42" s="87"/>
      <c r="C42" s="93" t="str">
        <f t="shared" si="0"/>
        <v/>
      </c>
      <c r="D42" s="69" t="str">
        <f t="shared" si="1"/>
        <v/>
      </c>
      <c r="E42" s="69" t="str">
        <f t="shared" si="4"/>
        <v/>
      </c>
      <c r="F42" s="94" t="str">
        <f t="shared" si="3"/>
        <v/>
      </c>
      <c r="G42" s="69" t="str">
        <f t="shared" si="2"/>
        <v/>
      </c>
    </row>
    <row r="43" spans="1:7" x14ac:dyDescent="0.25">
      <c r="A43" s="87"/>
      <c r="C43" s="93" t="str">
        <f t="shared" si="0"/>
        <v/>
      </c>
      <c r="D43" s="69" t="str">
        <f t="shared" si="1"/>
        <v/>
      </c>
      <c r="E43" s="69" t="str">
        <f t="shared" si="4"/>
        <v/>
      </c>
      <c r="F43" s="94" t="str">
        <f t="shared" si="3"/>
        <v/>
      </c>
      <c r="G43" s="69" t="str">
        <f t="shared" si="2"/>
        <v/>
      </c>
    </row>
    <row r="44" spans="1:7" x14ac:dyDescent="0.25">
      <c r="A44" s="87"/>
      <c r="C44" s="93" t="str">
        <f t="shared" si="0"/>
        <v/>
      </c>
      <c r="D44" s="69" t="str">
        <f t="shared" si="1"/>
        <v/>
      </c>
      <c r="E44" s="69" t="str">
        <f t="shared" si="4"/>
        <v/>
      </c>
      <c r="F44" s="94" t="str">
        <f t="shared" si="3"/>
        <v/>
      </c>
      <c r="G44" s="69" t="str">
        <f t="shared" si="2"/>
        <v/>
      </c>
    </row>
    <row r="45" spans="1:7" x14ac:dyDescent="0.25">
      <c r="A45" s="87"/>
      <c r="C45" s="93" t="str">
        <f t="shared" si="0"/>
        <v/>
      </c>
      <c r="D45" s="69" t="str">
        <f t="shared" si="1"/>
        <v/>
      </c>
      <c r="E45" s="69" t="str">
        <f t="shared" si="4"/>
        <v/>
      </c>
      <c r="F45" s="94" t="str">
        <f t="shared" si="3"/>
        <v/>
      </c>
      <c r="G45" s="69" t="str">
        <f t="shared" si="2"/>
        <v/>
      </c>
    </row>
    <row r="46" spans="1:7" x14ac:dyDescent="0.25">
      <c r="A46" s="87"/>
      <c r="C46" s="93" t="str">
        <f t="shared" si="0"/>
        <v/>
      </c>
      <c r="D46" s="69" t="str">
        <f t="shared" si="1"/>
        <v/>
      </c>
      <c r="E46" s="69" t="str">
        <f t="shared" si="4"/>
        <v/>
      </c>
      <c r="F46" s="94" t="str">
        <f t="shared" si="3"/>
        <v/>
      </c>
      <c r="G46" s="69" t="str">
        <f t="shared" si="2"/>
        <v/>
      </c>
    </row>
    <row r="47" spans="1:7" x14ac:dyDescent="0.25">
      <c r="C47" s="93" t="str">
        <f t="shared" si="0"/>
        <v/>
      </c>
      <c r="D47" s="69" t="str">
        <f t="shared" si="1"/>
        <v/>
      </c>
      <c r="E47" s="69" t="str">
        <f t="shared" si="4"/>
        <v/>
      </c>
      <c r="F47" s="94" t="str">
        <f t="shared" si="3"/>
        <v/>
      </c>
      <c r="G47" s="69" t="str">
        <f t="shared" si="2"/>
        <v/>
      </c>
    </row>
    <row r="48" spans="1:7" x14ac:dyDescent="0.25">
      <c r="C48" s="93" t="str">
        <f t="shared" si="0"/>
        <v/>
      </c>
      <c r="D48" s="69" t="str">
        <f t="shared" si="1"/>
        <v/>
      </c>
      <c r="E48" s="69" t="str">
        <f t="shared" si="4"/>
        <v/>
      </c>
      <c r="F48" s="94" t="str">
        <f t="shared" si="3"/>
        <v/>
      </c>
      <c r="G48" s="69" t="str">
        <f t="shared" si="2"/>
        <v/>
      </c>
    </row>
    <row r="49" spans="3:7" x14ac:dyDescent="0.25">
      <c r="C49" s="93" t="str">
        <f t="shared" si="0"/>
        <v/>
      </c>
      <c r="D49" s="69" t="str">
        <f t="shared" si="1"/>
        <v/>
      </c>
      <c r="E49" s="69" t="str">
        <f t="shared" si="4"/>
        <v/>
      </c>
      <c r="F49" s="94" t="str">
        <f t="shared" si="3"/>
        <v/>
      </c>
      <c r="G49" s="69" t="str">
        <f t="shared" si="2"/>
        <v/>
      </c>
    </row>
    <row r="50" spans="3:7" x14ac:dyDescent="0.25">
      <c r="C50" s="93" t="str">
        <f t="shared" si="0"/>
        <v/>
      </c>
      <c r="D50" s="69" t="str">
        <f t="shared" si="1"/>
        <v/>
      </c>
      <c r="E50" s="69" t="str">
        <f t="shared" si="4"/>
        <v/>
      </c>
      <c r="F50" s="94" t="str">
        <f t="shared" si="3"/>
        <v/>
      </c>
      <c r="G50" s="69" t="str">
        <f t="shared" si="2"/>
        <v/>
      </c>
    </row>
    <row r="51" spans="3:7" x14ac:dyDescent="0.25">
      <c r="C51" s="93" t="str">
        <f t="shared" si="0"/>
        <v/>
      </c>
      <c r="D51" s="69" t="str">
        <f t="shared" si="1"/>
        <v/>
      </c>
      <c r="E51" s="69" t="str">
        <f t="shared" si="4"/>
        <v/>
      </c>
      <c r="F51" s="94" t="str">
        <f t="shared" si="3"/>
        <v/>
      </c>
      <c r="G51" s="69" t="str">
        <f t="shared" si="2"/>
        <v/>
      </c>
    </row>
    <row r="52" spans="3:7" x14ac:dyDescent="0.25">
      <c r="C52" s="93" t="str">
        <f t="shared" si="0"/>
        <v/>
      </c>
      <c r="D52" s="69" t="str">
        <f t="shared" si="1"/>
        <v/>
      </c>
      <c r="E52" s="69" t="str">
        <f t="shared" si="4"/>
        <v/>
      </c>
      <c r="F52" s="94" t="str">
        <f t="shared" si="3"/>
        <v/>
      </c>
      <c r="G52" s="69" t="str">
        <f t="shared" si="2"/>
        <v/>
      </c>
    </row>
    <row r="53" spans="3:7" x14ac:dyDescent="0.25">
      <c r="C53" s="93" t="str">
        <f t="shared" si="0"/>
        <v/>
      </c>
      <c r="D53" s="69" t="str">
        <f t="shared" si="1"/>
        <v/>
      </c>
      <c r="E53" s="69" t="str">
        <f t="shared" si="4"/>
        <v/>
      </c>
      <c r="F53" s="94" t="str">
        <f t="shared" si="3"/>
        <v/>
      </c>
      <c r="G53" s="69" t="str">
        <f t="shared" si="2"/>
        <v/>
      </c>
    </row>
    <row r="54" spans="3:7" x14ac:dyDescent="0.25">
      <c r="C54" s="93" t="str">
        <f t="shared" si="0"/>
        <v/>
      </c>
      <c r="D54" s="69" t="str">
        <f t="shared" si="1"/>
        <v/>
      </c>
      <c r="E54" s="69" t="str">
        <f t="shared" si="4"/>
        <v/>
      </c>
      <c r="F54" s="94" t="str">
        <f t="shared" si="3"/>
        <v/>
      </c>
      <c r="G54" s="69" t="str">
        <f t="shared" si="2"/>
        <v/>
      </c>
    </row>
    <row r="55" spans="3:7" x14ac:dyDescent="0.25">
      <c r="C55" s="93" t="str">
        <f t="shared" si="0"/>
        <v/>
      </c>
      <c r="D55" s="69" t="str">
        <f t="shared" si="1"/>
        <v/>
      </c>
      <c r="E55" s="69" t="str">
        <f t="shared" si="4"/>
        <v/>
      </c>
      <c r="F55" s="94" t="str">
        <f t="shared" si="3"/>
        <v/>
      </c>
      <c r="G55" s="69" t="str">
        <f t="shared" si="2"/>
        <v/>
      </c>
    </row>
    <row r="56" spans="3:7" x14ac:dyDescent="0.25">
      <c r="C56" s="93" t="str">
        <f t="shared" si="0"/>
        <v/>
      </c>
      <c r="D56" s="69" t="str">
        <f t="shared" si="1"/>
        <v/>
      </c>
      <c r="E56" s="69" t="str">
        <f t="shared" si="4"/>
        <v/>
      </c>
      <c r="F56" s="94" t="str">
        <f t="shared" si="3"/>
        <v/>
      </c>
      <c r="G56" s="69" t="str">
        <f t="shared" si="2"/>
        <v/>
      </c>
    </row>
    <row r="57" spans="3:7" x14ac:dyDescent="0.25">
      <c r="C57" s="93" t="str">
        <f t="shared" si="0"/>
        <v/>
      </c>
      <c r="D57" s="69" t="str">
        <f t="shared" si="1"/>
        <v/>
      </c>
      <c r="E57" s="69" t="str">
        <f t="shared" si="4"/>
        <v/>
      </c>
      <c r="F57" s="94" t="str">
        <f t="shared" si="3"/>
        <v/>
      </c>
      <c r="G57" s="69" t="str">
        <f t="shared" si="2"/>
        <v/>
      </c>
    </row>
    <row r="58" spans="3:7" x14ac:dyDescent="0.25">
      <c r="C58" s="93" t="str">
        <f t="shared" si="0"/>
        <v/>
      </c>
      <c r="D58" s="69" t="str">
        <f t="shared" si="1"/>
        <v/>
      </c>
      <c r="E58" s="69" t="str">
        <f t="shared" si="4"/>
        <v/>
      </c>
      <c r="F58" s="94" t="str">
        <f t="shared" si="3"/>
        <v/>
      </c>
      <c r="G58" s="69" t="str">
        <f t="shared" si="2"/>
        <v/>
      </c>
    </row>
    <row r="59" spans="3:7" x14ac:dyDescent="0.25">
      <c r="C59" s="93" t="str">
        <f t="shared" si="0"/>
        <v/>
      </c>
      <c r="D59" s="69" t="str">
        <f t="shared" si="1"/>
        <v/>
      </c>
      <c r="E59" s="69" t="str">
        <f t="shared" si="4"/>
        <v/>
      </c>
      <c r="F59" s="94" t="str">
        <f t="shared" si="3"/>
        <v/>
      </c>
      <c r="G59" s="69" t="str">
        <f t="shared" si="2"/>
        <v/>
      </c>
    </row>
    <row r="60" spans="3:7" x14ac:dyDescent="0.25">
      <c r="C60" s="93" t="str">
        <f t="shared" si="0"/>
        <v/>
      </c>
      <c r="D60" s="69" t="str">
        <f t="shared" si="1"/>
        <v/>
      </c>
      <c r="E60" s="69" t="str">
        <f t="shared" si="4"/>
        <v/>
      </c>
      <c r="F60" s="94" t="str">
        <f t="shared" si="3"/>
        <v/>
      </c>
      <c r="G60" s="69" t="str">
        <f t="shared" si="2"/>
        <v/>
      </c>
    </row>
    <row r="61" spans="3:7" x14ac:dyDescent="0.25">
      <c r="C61" s="93" t="str">
        <f t="shared" si="0"/>
        <v/>
      </c>
      <c r="D61" s="69" t="str">
        <f t="shared" si="1"/>
        <v/>
      </c>
      <c r="E61" s="69" t="str">
        <f t="shared" si="4"/>
        <v/>
      </c>
      <c r="F61" s="94" t="str">
        <f t="shared" si="3"/>
        <v/>
      </c>
      <c r="G61" s="69" t="str">
        <f t="shared" si="2"/>
        <v/>
      </c>
    </row>
    <row r="62" spans="3:7" x14ac:dyDescent="0.25">
      <c r="C62" s="93" t="str">
        <f t="shared" si="0"/>
        <v/>
      </c>
      <c r="D62" s="69" t="str">
        <f t="shared" si="1"/>
        <v/>
      </c>
      <c r="E62" s="69" t="str">
        <f t="shared" si="4"/>
        <v/>
      </c>
      <c r="F62" s="94" t="str">
        <f t="shared" si="3"/>
        <v/>
      </c>
      <c r="G62" s="69" t="str">
        <f t="shared" si="2"/>
        <v/>
      </c>
    </row>
    <row r="63" spans="3:7" x14ac:dyDescent="0.25">
      <c r="C63" s="93" t="str">
        <f t="shared" si="0"/>
        <v/>
      </c>
      <c r="D63" s="69" t="str">
        <f t="shared" si="1"/>
        <v/>
      </c>
      <c r="E63" s="69" t="str">
        <f t="shared" si="4"/>
        <v/>
      </c>
      <c r="F63" s="94" t="str">
        <f t="shared" si="3"/>
        <v/>
      </c>
      <c r="G63" s="69" t="str">
        <f t="shared" si="2"/>
        <v/>
      </c>
    </row>
    <row r="64" spans="3:7" x14ac:dyDescent="0.25">
      <c r="C64" s="93" t="str">
        <f t="shared" si="0"/>
        <v/>
      </c>
      <c r="D64" s="69" t="str">
        <f t="shared" si="1"/>
        <v/>
      </c>
      <c r="E64" s="69" t="str">
        <f t="shared" si="4"/>
        <v/>
      </c>
      <c r="F64" s="94" t="str">
        <f t="shared" si="3"/>
        <v/>
      </c>
      <c r="G64" s="69" t="str">
        <f t="shared" si="2"/>
        <v/>
      </c>
    </row>
    <row r="65" spans="3:7" x14ac:dyDescent="0.25">
      <c r="C65" s="93" t="str">
        <f t="shared" si="0"/>
        <v/>
      </c>
      <c r="D65" s="69" t="str">
        <f t="shared" si="1"/>
        <v/>
      </c>
      <c r="E65" s="69" t="str">
        <f t="shared" si="4"/>
        <v/>
      </c>
      <c r="F65" s="94" t="str">
        <f t="shared" si="3"/>
        <v/>
      </c>
      <c r="G65" s="69" t="str">
        <f t="shared" si="2"/>
        <v/>
      </c>
    </row>
    <row r="66" spans="3:7" x14ac:dyDescent="0.25">
      <c r="C66" s="93" t="str">
        <f t="shared" si="0"/>
        <v/>
      </c>
      <c r="D66" s="69" t="str">
        <f t="shared" si="1"/>
        <v/>
      </c>
      <c r="E66" s="69" t="str">
        <f t="shared" si="4"/>
        <v/>
      </c>
      <c r="F66" s="94" t="str">
        <f t="shared" si="3"/>
        <v/>
      </c>
      <c r="G66" s="69" t="str">
        <f t="shared" si="2"/>
        <v/>
      </c>
    </row>
    <row r="67" spans="3:7" x14ac:dyDescent="0.25">
      <c r="C67" s="93" t="str">
        <f t="shared" si="0"/>
        <v/>
      </c>
      <c r="D67" s="69" t="str">
        <f t="shared" si="1"/>
        <v/>
      </c>
      <c r="E67" s="69" t="str">
        <f t="shared" si="4"/>
        <v/>
      </c>
      <c r="F67" s="94" t="str">
        <f t="shared" si="3"/>
        <v/>
      </c>
      <c r="G67" s="69" t="str">
        <f t="shared" si="2"/>
        <v/>
      </c>
    </row>
    <row r="68" spans="3:7" x14ac:dyDescent="0.25">
      <c r="C68" s="93" t="str">
        <f t="shared" si="0"/>
        <v/>
      </c>
      <c r="D68" s="69" t="str">
        <f t="shared" si="1"/>
        <v/>
      </c>
      <c r="E68" s="69" t="str">
        <f t="shared" si="4"/>
        <v/>
      </c>
      <c r="F68" s="94" t="str">
        <f t="shared" si="3"/>
        <v/>
      </c>
      <c r="G68" s="69" t="str">
        <f t="shared" si="2"/>
        <v/>
      </c>
    </row>
    <row r="69" spans="3:7" x14ac:dyDescent="0.25">
      <c r="C69" s="93" t="str">
        <f t="shared" si="0"/>
        <v/>
      </c>
      <c r="D69" s="69" t="str">
        <f t="shared" si="1"/>
        <v/>
      </c>
      <c r="E69" s="69" t="str">
        <f t="shared" si="4"/>
        <v/>
      </c>
      <c r="F69" s="94" t="str">
        <f t="shared" si="3"/>
        <v/>
      </c>
      <c r="G69" s="69" t="str">
        <f t="shared" si="2"/>
        <v/>
      </c>
    </row>
    <row r="70" spans="3:7" x14ac:dyDescent="0.25">
      <c r="C70" s="93" t="str">
        <f t="shared" si="0"/>
        <v/>
      </c>
      <c r="D70" s="69" t="str">
        <f t="shared" si="1"/>
        <v/>
      </c>
      <c r="E70" s="69" t="str">
        <f t="shared" si="4"/>
        <v/>
      </c>
      <c r="F70" s="94" t="str">
        <f t="shared" si="3"/>
        <v/>
      </c>
      <c r="G70" s="69" t="str">
        <f t="shared" si="2"/>
        <v/>
      </c>
    </row>
    <row r="71" spans="3:7" x14ac:dyDescent="0.25">
      <c r="C71" s="93" t="str">
        <f t="shared" si="0"/>
        <v/>
      </c>
      <c r="D71" s="69" t="str">
        <f t="shared" si="1"/>
        <v/>
      </c>
      <c r="E71" s="69" t="str">
        <f t="shared" si="4"/>
        <v/>
      </c>
      <c r="F71" s="94" t="str">
        <f t="shared" si="3"/>
        <v/>
      </c>
      <c r="G71" s="69" t="str">
        <f t="shared" si="2"/>
        <v/>
      </c>
    </row>
    <row r="72" spans="3:7" x14ac:dyDescent="0.25">
      <c r="C72" s="93" t="str">
        <f t="shared" si="0"/>
        <v/>
      </c>
      <c r="D72" s="69" t="str">
        <f t="shared" si="1"/>
        <v/>
      </c>
      <c r="E72" s="69" t="str">
        <f t="shared" si="4"/>
        <v/>
      </c>
      <c r="F72" s="94" t="str">
        <f t="shared" si="3"/>
        <v/>
      </c>
      <c r="G72" s="69" t="str">
        <f t="shared" si="2"/>
        <v/>
      </c>
    </row>
    <row r="73" spans="3:7" x14ac:dyDescent="0.25">
      <c r="C73" s="93" t="str">
        <f t="shared" si="0"/>
        <v/>
      </c>
      <c r="D73" s="69" t="str">
        <f t="shared" si="1"/>
        <v/>
      </c>
      <c r="E73" s="69" t="str">
        <f t="shared" si="4"/>
        <v/>
      </c>
      <c r="F73" s="94" t="str">
        <f t="shared" si="3"/>
        <v/>
      </c>
      <c r="G73" s="69" t="str">
        <f t="shared" si="2"/>
        <v/>
      </c>
    </row>
    <row r="74" spans="3:7" x14ac:dyDescent="0.25">
      <c r="C74" s="93" t="str">
        <f t="shared" si="0"/>
        <v/>
      </c>
      <c r="D74" s="69" t="str">
        <f t="shared" si="1"/>
        <v/>
      </c>
      <c r="E74" s="69" t="str">
        <f t="shared" si="4"/>
        <v/>
      </c>
      <c r="F74" s="94" t="str">
        <f t="shared" si="3"/>
        <v/>
      </c>
      <c r="G74" s="69" t="str">
        <f t="shared" si="2"/>
        <v/>
      </c>
    </row>
    <row r="75" spans="3:7" x14ac:dyDescent="0.25">
      <c r="C75" s="93" t="str">
        <f t="shared" si="0"/>
        <v/>
      </c>
      <c r="D75" s="69" t="str">
        <f t="shared" si="1"/>
        <v/>
      </c>
      <c r="E75" s="69" t="str">
        <f t="shared" si="4"/>
        <v/>
      </c>
      <c r="F75" s="94" t="str">
        <f t="shared" si="3"/>
        <v/>
      </c>
      <c r="G75" s="69" t="str">
        <f t="shared" si="2"/>
        <v/>
      </c>
    </row>
    <row r="76" spans="3:7" x14ac:dyDescent="0.25">
      <c r="C76" s="93" t="str">
        <f t="shared" si="0"/>
        <v/>
      </c>
      <c r="D76" s="69" t="str">
        <f t="shared" si="1"/>
        <v/>
      </c>
      <c r="E76" s="69" t="str">
        <f t="shared" si="4"/>
        <v/>
      </c>
      <c r="F76" s="94" t="str">
        <f t="shared" si="3"/>
        <v/>
      </c>
      <c r="G76" s="69" t="str">
        <f t="shared" si="2"/>
        <v/>
      </c>
    </row>
    <row r="77" spans="3:7" x14ac:dyDescent="0.25">
      <c r="C77" s="93" t="str">
        <f t="shared" si="0"/>
        <v/>
      </c>
      <c r="D77" s="69" t="str">
        <f t="shared" si="1"/>
        <v/>
      </c>
      <c r="E77" s="69" t="str">
        <f t="shared" si="4"/>
        <v/>
      </c>
      <c r="F77" s="94" t="str">
        <f t="shared" si="3"/>
        <v/>
      </c>
      <c r="G77" s="69" t="str">
        <f t="shared" si="2"/>
        <v/>
      </c>
    </row>
    <row r="78" spans="3:7" x14ac:dyDescent="0.25">
      <c r="C78" s="93" t="str">
        <f t="shared" si="0"/>
        <v/>
      </c>
      <c r="D78" s="69" t="str">
        <f t="shared" si="1"/>
        <v/>
      </c>
      <c r="E78" s="69" t="str">
        <f t="shared" si="4"/>
        <v/>
      </c>
      <c r="F78" s="94" t="str">
        <f t="shared" si="3"/>
        <v/>
      </c>
      <c r="G78" s="69" t="str">
        <f t="shared" si="2"/>
        <v/>
      </c>
    </row>
    <row r="79" spans="3:7" x14ac:dyDescent="0.25">
      <c r="C79" s="93" t="str">
        <f t="shared" ref="C79:C121" si="5">IF(OR(C78=$D$9,C78=""),"",IF(ISNUMBER(C78),C78+1,1))</f>
        <v/>
      </c>
      <c r="D79" s="69" t="str">
        <f t="shared" ref="D79:D121" si="6">IF(C79&gt;$D$9,"",PMT($D$7,$D$9,$D$3)*-1)</f>
        <v/>
      </c>
      <c r="E79" s="69" t="str">
        <f t="shared" si="4"/>
        <v/>
      </c>
      <c r="F79" s="94" t="str">
        <f t="shared" si="3"/>
        <v/>
      </c>
      <c r="G79" s="69" t="str">
        <f t="shared" ref="G79:G121" si="7">IF(C79&gt;$D$9,"",G78-F79)</f>
        <v/>
      </c>
    </row>
    <row r="80" spans="3:7" x14ac:dyDescent="0.25">
      <c r="C80" s="93" t="str">
        <f t="shared" si="5"/>
        <v/>
      </c>
      <c r="D80" s="69" t="str">
        <f t="shared" si="6"/>
        <v/>
      </c>
      <c r="E80" s="69" t="str">
        <f t="shared" si="4"/>
        <v/>
      </c>
      <c r="F80" s="94" t="str">
        <f t="shared" ref="F80:F121" si="8">IF(C80&gt;$D$9,"",D80-E80)</f>
        <v/>
      </c>
      <c r="G80" s="69" t="str">
        <f t="shared" si="7"/>
        <v/>
      </c>
    </row>
    <row r="81" spans="3:7" x14ac:dyDescent="0.25">
      <c r="C81" s="93" t="str">
        <f t="shared" si="5"/>
        <v/>
      </c>
      <c r="D81" s="69" t="str">
        <f t="shared" si="6"/>
        <v/>
      </c>
      <c r="E81" s="69" t="str">
        <f t="shared" si="4"/>
        <v/>
      </c>
      <c r="F81" s="94" t="str">
        <f t="shared" si="8"/>
        <v/>
      </c>
      <c r="G81" s="69" t="str">
        <f t="shared" si="7"/>
        <v/>
      </c>
    </row>
    <row r="82" spans="3:7" x14ac:dyDescent="0.25">
      <c r="C82" s="93" t="str">
        <f t="shared" si="5"/>
        <v/>
      </c>
      <c r="D82" s="69" t="str">
        <f t="shared" si="6"/>
        <v/>
      </c>
      <c r="E82" s="69" t="str">
        <f t="shared" ref="E82:E121" si="9">IF(C82&gt;$D$9,"",$D$7*G81)</f>
        <v/>
      </c>
      <c r="F82" s="94" t="str">
        <f t="shared" si="8"/>
        <v/>
      </c>
      <c r="G82" s="69" t="str">
        <f t="shared" si="7"/>
        <v/>
      </c>
    </row>
    <row r="83" spans="3:7" x14ac:dyDescent="0.25">
      <c r="C83" s="93" t="str">
        <f t="shared" si="5"/>
        <v/>
      </c>
      <c r="D83" s="69" t="str">
        <f t="shared" si="6"/>
        <v/>
      </c>
      <c r="E83" s="69" t="str">
        <f t="shared" si="9"/>
        <v/>
      </c>
      <c r="F83" s="94" t="str">
        <f t="shared" si="8"/>
        <v/>
      </c>
      <c r="G83" s="69" t="str">
        <f t="shared" si="7"/>
        <v/>
      </c>
    </row>
    <row r="84" spans="3:7" x14ac:dyDescent="0.25">
      <c r="C84" s="93" t="str">
        <f t="shared" si="5"/>
        <v/>
      </c>
      <c r="D84" s="69" t="str">
        <f t="shared" si="6"/>
        <v/>
      </c>
      <c r="E84" s="69" t="str">
        <f t="shared" si="9"/>
        <v/>
      </c>
      <c r="F84" s="94" t="str">
        <f t="shared" si="8"/>
        <v/>
      </c>
      <c r="G84" s="69" t="str">
        <f t="shared" si="7"/>
        <v/>
      </c>
    </row>
    <row r="85" spans="3:7" x14ac:dyDescent="0.25">
      <c r="C85" s="93" t="str">
        <f t="shared" si="5"/>
        <v/>
      </c>
      <c r="D85" s="69" t="str">
        <f t="shared" si="6"/>
        <v/>
      </c>
      <c r="E85" s="69" t="str">
        <f t="shared" si="9"/>
        <v/>
      </c>
      <c r="F85" s="94" t="str">
        <f t="shared" si="8"/>
        <v/>
      </c>
      <c r="G85" s="69" t="str">
        <f t="shared" si="7"/>
        <v/>
      </c>
    </row>
    <row r="86" spans="3:7" x14ac:dyDescent="0.25">
      <c r="C86" s="93" t="str">
        <f t="shared" si="5"/>
        <v/>
      </c>
      <c r="D86" s="69" t="str">
        <f t="shared" si="6"/>
        <v/>
      </c>
      <c r="E86" s="69" t="str">
        <f t="shared" si="9"/>
        <v/>
      </c>
      <c r="F86" s="94" t="str">
        <f t="shared" si="8"/>
        <v/>
      </c>
      <c r="G86" s="69" t="str">
        <f t="shared" si="7"/>
        <v/>
      </c>
    </row>
    <row r="87" spans="3:7" x14ac:dyDescent="0.25">
      <c r="C87" s="93" t="str">
        <f t="shared" si="5"/>
        <v/>
      </c>
      <c r="D87" s="69" t="str">
        <f t="shared" si="6"/>
        <v/>
      </c>
      <c r="E87" s="69" t="str">
        <f t="shared" si="9"/>
        <v/>
      </c>
      <c r="F87" s="94" t="str">
        <f t="shared" si="8"/>
        <v/>
      </c>
      <c r="G87" s="69" t="str">
        <f t="shared" si="7"/>
        <v/>
      </c>
    </row>
    <row r="88" spans="3:7" x14ac:dyDescent="0.25">
      <c r="C88" s="93" t="str">
        <f t="shared" si="5"/>
        <v/>
      </c>
      <c r="D88" s="69" t="str">
        <f t="shared" si="6"/>
        <v/>
      </c>
      <c r="E88" s="69" t="str">
        <f t="shared" si="9"/>
        <v/>
      </c>
      <c r="F88" s="94" t="str">
        <f t="shared" si="8"/>
        <v/>
      </c>
      <c r="G88" s="69" t="str">
        <f t="shared" si="7"/>
        <v/>
      </c>
    </row>
    <row r="89" spans="3:7" x14ac:dyDescent="0.25">
      <c r="C89" s="93" t="str">
        <f t="shared" si="5"/>
        <v/>
      </c>
      <c r="D89" s="69" t="str">
        <f t="shared" si="6"/>
        <v/>
      </c>
      <c r="E89" s="69" t="str">
        <f t="shared" si="9"/>
        <v/>
      </c>
      <c r="F89" s="94" t="str">
        <f t="shared" si="8"/>
        <v/>
      </c>
      <c r="G89" s="69" t="str">
        <f t="shared" si="7"/>
        <v/>
      </c>
    </row>
    <row r="90" spans="3:7" x14ac:dyDescent="0.25">
      <c r="C90" s="93" t="str">
        <f t="shared" si="5"/>
        <v/>
      </c>
      <c r="D90" s="69" t="str">
        <f t="shared" si="6"/>
        <v/>
      </c>
      <c r="E90" s="69" t="str">
        <f t="shared" si="9"/>
        <v/>
      </c>
      <c r="F90" s="94" t="str">
        <f t="shared" si="8"/>
        <v/>
      </c>
      <c r="G90" s="69" t="str">
        <f t="shared" si="7"/>
        <v/>
      </c>
    </row>
    <row r="91" spans="3:7" x14ac:dyDescent="0.25">
      <c r="C91" s="93" t="str">
        <f t="shared" si="5"/>
        <v/>
      </c>
      <c r="D91" s="69" t="str">
        <f t="shared" si="6"/>
        <v/>
      </c>
      <c r="E91" s="69" t="str">
        <f t="shared" si="9"/>
        <v/>
      </c>
      <c r="F91" s="94" t="str">
        <f t="shared" si="8"/>
        <v/>
      </c>
      <c r="G91" s="69" t="str">
        <f t="shared" si="7"/>
        <v/>
      </c>
    </row>
    <row r="92" spans="3:7" x14ac:dyDescent="0.25">
      <c r="C92" s="93" t="str">
        <f t="shared" si="5"/>
        <v/>
      </c>
      <c r="D92" s="69" t="str">
        <f t="shared" si="6"/>
        <v/>
      </c>
      <c r="E92" s="69" t="str">
        <f t="shared" si="9"/>
        <v/>
      </c>
      <c r="F92" s="94" t="str">
        <f t="shared" si="8"/>
        <v/>
      </c>
      <c r="G92" s="69" t="str">
        <f t="shared" si="7"/>
        <v/>
      </c>
    </row>
    <row r="93" spans="3:7" x14ac:dyDescent="0.25">
      <c r="C93" s="93" t="str">
        <f t="shared" si="5"/>
        <v/>
      </c>
      <c r="D93" s="69" t="str">
        <f t="shared" si="6"/>
        <v/>
      </c>
      <c r="E93" s="69" t="str">
        <f t="shared" si="9"/>
        <v/>
      </c>
      <c r="F93" s="94" t="str">
        <f t="shared" si="8"/>
        <v/>
      </c>
      <c r="G93" s="69" t="str">
        <f t="shared" si="7"/>
        <v/>
      </c>
    </row>
    <row r="94" spans="3:7" x14ac:dyDescent="0.25">
      <c r="C94" s="93" t="str">
        <f t="shared" si="5"/>
        <v/>
      </c>
      <c r="D94" s="69" t="str">
        <f t="shared" si="6"/>
        <v/>
      </c>
      <c r="E94" s="69" t="str">
        <f t="shared" si="9"/>
        <v/>
      </c>
      <c r="F94" s="94" t="str">
        <f t="shared" si="8"/>
        <v/>
      </c>
      <c r="G94" s="69" t="str">
        <f t="shared" si="7"/>
        <v/>
      </c>
    </row>
    <row r="95" spans="3:7" x14ac:dyDescent="0.25">
      <c r="C95" s="93" t="str">
        <f t="shared" si="5"/>
        <v/>
      </c>
      <c r="D95" s="69" t="str">
        <f t="shared" si="6"/>
        <v/>
      </c>
      <c r="E95" s="69" t="str">
        <f t="shared" si="9"/>
        <v/>
      </c>
      <c r="F95" s="94" t="str">
        <f t="shared" si="8"/>
        <v/>
      </c>
      <c r="G95" s="69" t="str">
        <f t="shared" si="7"/>
        <v/>
      </c>
    </row>
    <row r="96" spans="3:7" x14ac:dyDescent="0.25">
      <c r="C96" s="93" t="str">
        <f t="shared" si="5"/>
        <v/>
      </c>
      <c r="D96" s="69" t="str">
        <f t="shared" si="6"/>
        <v/>
      </c>
      <c r="E96" s="69" t="str">
        <f t="shared" si="9"/>
        <v/>
      </c>
      <c r="F96" s="94" t="str">
        <f t="shared" si="8"/>
        <v/>
      </c>
      <c r="G96" s="69" t="str">
        <f t="shared" si="7"/>
        <v/>
      </c>
    </row>
    <row r="97" spans="3:7" x14ac:dyDescent="0.25">
      <c r="C97" s="93" t="str">
        <f t="shared" si="5"/>
        <v/>
      </c>
      <c r="D97" s="69" t="str">
        <f t="shared" si="6"/>
        <v/>
      </c>
      <c r="E97" s="69" t="str">
        <f t="shared" si="9"/>
        <v/>
      </c>
      <c r="F97" s="94" t="str">
        <f t="shared" si="8"/>
        <v/>
      </c>
      <c r="G97" s="69" t="str">
        <f t="shared" si="7"/>
        <v/>
      </c>
    </row>
    <row r="98" spans="3:7" x14ac:dyDescent="0.25">
      <c r="C98" s="93" t="str">
        <f t="shared" si="5"/>
        <v/>
      </c>
      <c r="D98" s="69" t="str">
        <f t="shared" si="6"/>
        <v/>
      </c>
      <c r="E98" s="69" t="str">
        <f t="shared" si="9"/>
        <v/>
      </c>
      <c r="F98" s="94" t="str">
        <f t="shared" si="8"/>
        <v/>
      </c>
      <c r="G98" s="69" t="str">
        <f t="shared" si="7"/>
        <v/>
      </c>
    </row>
    <row r="99" spans="3:7" x14ac:dyDescent="0.25">
      <c r="C99" s="93" t="str">
        <f t="shared" si="5"/>
        <v/>
      </c>
      <c r="D99" s="69" t="str">
        <f t="shared" si="6"/>
        <v/>
      </c>
      <c r="E99" s="69" t="str">
        <f t="shared" si="9"/>
        <v/>
      </c>
      <c r="F99" s="94" t="str">
        <f t="shared" si="8"/>
        <v/>
      </c>
      <c r="G99" s="69" t="str">
        <f t="shared" si="7"/>
        <v/>
      </c>
    </row>
    <row r="100" spans="3:7" x14ac:dyDescent="0.25">
      <c r="C100" s="93" t="str">
        <f t="shared" si="5"/>
        <v/>
      </c>
      <c r="D100" s="69" t="str">
        <f t="shared" si="6"/>
        <v/>
      </c>
      <c r="E100" s="69" t="str">
        <f t="shared" si="9"/>
        <v/>
      </c>
      <c r="F100" s="94" t="str">
        <f t="shared" si="8"/>
        <v/>
      </c>
      <c r="G100" s="69" t="str">
        <f t="shared" si="7"/>
        <v/>
      </c>
    </row>
    <row r="101" spans="3:7" x14ac:dyDescent="0.25">
      <c r="C101" s="93" t="str">
        <f t="shared" si="5"/>
        <v/>
      </c>
      <c r="D101" s="69" t="str">
        <f t="shared" si="6"/>
        <v/>
      </c>
      <c r="E101" s="69" t="str">
        <f t="shared" si="9"/>
        <v/>
      </c>
      <c r="F101" s="94" t="str">
        <f t="shared" si="8"/>
        <v/>
      </c>
      <c r="G101" s="69" t="str">
        <f t="shared" si="7"/>
        <v/>
      </c>
    </row>
    <row r="102" spans="3:7" x14ac:dyDescent="0.25">
      <c r="C102" s="93" t="str">
        <f t="shared" si="5"/>
        <v/>
      </c>
      <c r="D102" s="69" t="str">
        <f t="shared" si="6"/>
        <v/>
      </c>
      <c r="E102" s="69" t="str">
        <f t="shared" si="9"/>
        <v/>
      </c>
      <c r="F102" s="94" t="str">
        <f t="shared" si="8"/>
        <v/>
      </c>
      <c r="G102" s="69" t="str">
        <f t="shared" si="7"/>
        <v/>
      </c>
    </row>
    <row r="103" spans="3:7" x14ac:dyDescent="0.25">
      <c r="C103" s="93" t="str">
        <f t="shared" si="5"/>
        <v/>
      </c>
      <c r="D103" s="69" t="str">
        <f t="shared" si="6"/>
        <v/>
      </c>
      <c r="E103" s="69" t="str">
        <f t="shared" si="9"/>
        <v/>
      </c>
      <c r="F103" s="94" t="str">
        <f t="shared" si="8"/>
        <v/>
      </c>
      <c r="G103" s="69" t="str">
        <f t="shared" si="7"/>
        <v/>
      </c>
    </row>
    <row r="104" spans="3:7" x14ac:dyDescent="0.25">
      <c r="C104" s="93" t="str">
        <f t="shared" si="5"/>
        <v/>
      </c>
      <c r="D104" s="69" t="str">
        <f t="shared" si="6"/>
        <v/>
      </c>
      <c r="E104" s="69" t="str">
        <f t="shared" si="9"/>
        <v/>
      </c>
      <c r="F104" s="94" t="str">
        <f t="shared" si="8"/>
        <v/>
      </c>
      <c r="G104" s="69" t="str">
        <f t="shared" si="7"/>
        <v/>
      </c>
    </row>
    <row r="105" spans="3:7" x14ac:dyDescent="0.25">
      <c r="C105" s="93" t="str">
        <f t="shared" si="5"/>
        <v/>
      </c>
      <c r="D105" s="69" t="str">
        <f t="shared" si="6"/>
        <v/>
      </c>
      <c r="E105" s="69" t="str">
        <f t="shared" si="9"/>
        <v/>
      </c>
      <c r="F105" s="94" t="str">
        <f t="shared" si="8"/>
        <v/>
      </c>
      <c r="G105" s="69" t="str">
        <f t="shared" si="7"/>
        <v/>
      </c>
    </row>
    <row r="106" spans="3:7" x14ac:dyDescent="0.25">
      <c r="C106" s="93" t="str">
        <f t="shared" si="5"/>
        <v/>
      </c>
      <c r="D106" s="69" t="str">
        <f t="shared" si="6"/>
        <v/>
      </c>
      <c r="E106" s="69" t="str">
        <f t="shared" si="9"/>
        <v/>
      </c>
      <c r="F106" s="94" t="str">
        <f t="shared" si="8"/>
        <v/>
      </c>
      <c r="G106" s="69" t="str">
        <f t="shared" si="7"/>
        <v/>
      </c>
    </row>
    <row r="107" spans="3:7" x14ac:dyDescent="0.25">
      <c r="C107" s="93" t="str">
        <f t="shared" si="5"/>
        <v/>
      </c>
      <c r="D107" s="69" t="str">
        <f t="shared" si="6"/>
        <v/>
      </c>
      <c r="E107" s="69" t="str">
        <f t="shared" si="9"/>
        <v/>
      </c>
      <c r="F107" s="94" t="str">
        <f t="shared" si="8"/>
        <v/>
      </c>
      <c r="G107" s="69" t="str">
        <f t="shared" si="7"/>
        <v/>
      </c>
    </row>
    <row r="108" spans="3:7" x14ac:dyDescent="0.25">
      <c r="C108" s="93" t="str">
        <f t="shared" si="5"/>
        <v/>
      </c>
      <c r="D108" s="69" t="str">
        <f t="shared" si="6"/>
        <v/>
      </c>
      <c r="E108" s="69" t="str">
        <f t="shared" si="9"/>
        <v/>
      </c>
      <c r="F108" s="94" t="str">
        <f t="shared" si="8"/>
        <v/>
      </c>
      <c r="G108" s="69" t="str">
        <f t="shared" si="7"/>
        <v/>
      </c>
    </row>
    <row r="109" spans="3:7" x14ac:dyDescent="0.25">
      <c r="C109" s="93" t="str">
        <f t="shared" si="5"/>
        <v/>
      </c>
      <c r="D109" s="69" t="str">
        <f t="shared" si="6"/>
        <v/>
      </c>
      <c r="E109" s="69" t="str">
        <f t="shared" si="9"/>
        <v/>
      </c>
      <c r="F109" s="94" t="str">
        <f t="shared" si="8"/>
        <v/>
      </c>
      <c r="G109" s="69" t="str">
        <f t="shared" si="7"/>
        <v/>
      </c>
    </row>
    <row r="110" spans="3:7" x14ac:dyDescent="0.25">
      <c r="C110" s="93" t="str">
        <f t="shared" si="5"/>
        <v/>
      </c>
      <c r="D110" s="69" t="str">
        <f t="shared" si="6"/>
        <v/>
      </c>
      <c r="E110" s="69" t="str">
        <f t="shared" si="9"/>
        <v/>
      </c>
      <c r="F110" s="94" t="str">
        <f t="shared" si="8"/>
        <v/>
      </c>
      <c r="G110" s="69" t="str">
        <f t="shared" si="7"/>
        <v/>
      </c>
    </row>
    <row r="111" spans="3:7" x14ac:dyDescent="0.25">
      <c r="C111" s="93" t="str">
        <f t="shared" si="5"/>
        <v/>
      </c>
      <c r="D111" s="69" t="str">
        <f t="shared" si="6"/>
        <v/>
      </c>
      <c r="E111" s="69" t="str">
        <f t="shared" si="9"/>
        <v/>
      </c>
      <c r="F111" s="94" t="str">
        <f t="shared" si="8"/>
        <v/>
      </c>
      <c r="G111" s="69" t="str">
        <f t="shared" si="7"/>
        <v/>
      </c>
    </row>
    <row r="112" spans="3:7" x14ac:dyDescent="0.25">
      <c r="C112" s="93" t="str">
        <f t="shared" si="5"/>
        <v/>
      </c>
      <c r="D112" s="69" t="str">
        <f t="shared" si="6"/>
        <v/>
      </c>
      <c r="E112" s="69" t="str">
        <f t="shared" si="9"/>
        <v/>
      </c>
      <c r="F112" s="94" t="str">
        <f t="shared" si="8"/>
        <v/>
      </c>
      <c r="G112" s="69" t="str">
        <f t="shared" si="7"/>
        <v/>
      </c>
    </row>
    <row r="113" spans="3:7" x14ac:dyDescent="0.25">
      <c r="C113" s="93" t="str">
        <f t="shared" si="5"/>
        <v/>
      </c>
      <c r="D113" s="69" t="str">
        <f t="shared" si="6"/>
        <v/>
      </c>
      <c r="E113" s="69" t="str">
        <f t="shared" si="9"/>
        <v/>
      </c>
      <c r="F113" s="94" t="str">
        <f t="shared" si="8"/>
        <v/>
      </c>
      <c r="G113" s="69" t="str">
        <f t="shared" si="7"/>
        <v/>
      </c>
    </row>
    <row r="114" spans="3:7" x14ac:dyDescent="0.25">
      <c r="C114" s="93" t="str">
        <f t="shared" si="5"/>
        <v/>
      </c>
      <c r="D114" s="69" t="str">
        <f t="shared" si="6"/>
        <v/>
      </c>
      <c r="E114" s="69" t="str">
        <f t="shared" si="9"/>
        <v/>
      </c>
      <c r="F114" s="94" t="str">
        <f t="shared" si="8"/>
        <v/>
      </c>
      <c r="G114" s="69" t="str">
        <f t="shared" si="7"/>
        <v/>
      </c>
    </row>
    <row r="115" spans="3:7" x14ac:dyDescent="0.25">
      <c r="C115" s="93" t="str">
        <f t="shared" si="5"/>
        <v/>
      </c>
      <c r="D115" s="69" t="str">
        <f t="shared" si="6"/>
        <v/>
      </c>
      <c r="E115" s="69" t="str">
        <f t="shared" si="9"/>
        <v/>
      </c>
      <c r="F115" s="94" t="str">
        <f t="shared" si="8"/>
        <v/>
      </c>
      <c r="G115" s="69" t="str">
        <f t="shared" si="7"/>
        <v/>
      </c>
    </row>
    <row r="116" spans="3:7" x14ac:dyDescent="0.25">
      <c r="C116" s="93" t="str">
        <f t="shared" si="5"/>
        <v/>
      </c>
      <c r="D116" s="69" t="str">
        <f t="shared" si="6"/>
        <v/>
      </c>
      <c r="E116" s="69" t="str">
        <f t="shared" si="9"/>
        <v/>
      </c>
      <c r="F116" s="94" t="str">
        <f t="shared" si="8"/>
        <v/>
      </c>
      <c r="G116" s="69" t="str">
        <f t="shared" si="7"/>
        <v/>
      </c>
    </row>
    <row r="117" spans="3:7" x14ac:dyDescent="0.25">
      <c r="C117" s="93" t="str">
        <f t="shared" si="5"/>
        <v/>
      </c>
      <c r="D117" s="69" t="str">
        <f t="shared" si="6"/>
        <v/>
      </c>
      <c r="E117" s="69" t="str">
        <f t="shared" si="9"/>
        <v/>
      </c>
      <c r="F117" s="94" t="str">
        <f t="shared" si="8"/>
        <v/>
      </c>
      <c r="G117" s="69" t="str">
        <f t="shared" si="7"/>
        <v/>
      </c>
    </row>
    <row r="118" spans="3:7" x14ac:dyDescent="0.25">
      <c r="C118" s="93" t="str">
        <f t="shared" si="5"/>
        <v/>
      </c>
      <c r="D118" s="69" t="str">
        <f t="shared" si="6"/>
        <v/>
      </c>
      <c r="E118" s="69" t="str">
        <f t="shared" si="9"/>
        <v/>
      </c>
      <c r="F118" s="94" t="str">
        <f t="shared" si="8"/>
        <v/>
      </c>
      <c r="G118" s="69" t="str">
        <f t="shared" si="7"/>
        <v/>
      </c>
    </row>
    <row r="119" spans="3:7" x14ac:dyDescent="0.25">
      <c r="C119" s="93" t="str">
        <f t="shared" si="5"/>
        <v/>
      </c>
      <c r="D119" s="69" t="str">
        <f t="shared" si="6"/>
        <v/>
      </c>
      <c r="E119" s="69" t="str">
        <f t="shared" si="9"/>
        <v/>
      </c>
      <c r="F119" s="94" t="str">
        <f t="shared" si="8"/>
        <v/>
      </c>
      <c r="G119" s="69" t="str">
        <f t="shared" si="7"/>
        <v/>
      </c>
    </row>
    <row r="120" spans="3:7" x14ac:dyDescent="0.25">
      <c r="C120" s="93" t="str">
        <f t="shared" si="5"/>
        <v/>
      </c>
      <c r="D120" s="69" t="str">
        <f t="shared" si="6"/>
        <v/>
      </c>
      <c r="E120" s="69" t="str">
        <f t="shared" si="9"/>
        <v/>
      </c>
      <c r="F120" s="94" t="str">
        <f t="shared" si="8"/>
        <v/>
      </c>
      <c r="G120" s="69" t="str">
        <f t="shared" si="7"/>
        <v/>
      </c>
    </row>
    <row r="121" spans="3:7" x14ac:dyDescent="0.25">
      <c r="C121" s="93" t="str">
        <f t="shared" si="5"/>
        <v/>
      </c>
      <c r="D121" s="69" t="str">
        <f t="shared" si="6"/>
        <v/>
      </c>
      <c r="E121" s="69" t="str">
        <f t="shared" si="9"/>
        <v/>
      </c>
      <c r="F121" s="94" t="str">
        <f t="shared" si="8"/>
        <v/>
      </c>
      <c r="G121" s="69" t="str">
        <f t="shared" si="7"/>
        <v/>
      </c>
    </row>
    <row r="122" spans="3:7" x14ac:dyDescent="0.25">
      <c r="C122" s="93"/>
      <c r="D122" s="69"/>
      <c r="E122" s="69"/>
      <c r="F122" s="94"/>
      <c r="G122" s="69"/>
    </row>
    <row r="123" spans="3:7" x14ac:dyDescent="0.25">
      <c r="C123" s="93"/>
      <c r="D123" s="69"/>
      <c r="E123" s="69"/>
      <c r="F123" s="94"/>
      <c r="G123" s="69"/>
    </row>
    <row r="124" spans="3:7" x14ac:dyDescent="0.25">
      <c r="C124" s="93"/>
      <c r="D124" s="69"/>
      <c r="E124" s="69"/>
      <c r="F124" s="94"/>
      <c r="G124" s="69"/>
    </row>
    <row r="125" spans="3:7" x14ac:dyDescent="0.25">
      <c r="C125" s="93"/>
      <c r="D125" s="69"/>
      <c r="E125" s="69"/>
      <c r="F125" s="94"/>
      <c r="G125" s="69"/>
    </row>
    <row r="126" spans="3:7" x14ac:dyDescent="0.25">
      <c r="C126" s="93"/>
      <c r="D126" s="69"/>
      <c r="E126" s="69"/>
      <c r="F126" s="94"/>
      <c r="G126" s="69"/>
    </row>
    <row r="127" spans="3:7" x14ac:dyDescent="0.25">
      <c r="C127" s="93"/>
      <c r="D127" s="69"/>
      <c r="E127" s="69"/>
      <c r="F127" s="94"/>
      <c r="G127" s="69"/>
    </row>
    <row r="128" spans="3:7" x14ac:dyDescent="0.25">
      <c r="C128" s="93"/>
      <c r="D128" s="69"/>
      <c r="E128" s="69"/>
      <c r="F128" s="94"/>
      <c r="G128" s="69"/>
    </row>
    <row r="129" spans="3:7" x14ac:dyDescent="0.25">
      <c r="C129" s="93"/>
      <c r="D129" s="69"/>
      <c r="E129" s="69"/>
      <c r="F129" s="94"/>
      <c r="G129" s="69"/>
    </row>
    <row r="130" spans="3:7" x14ac:dyDescent="0.25">
      <c r="C130" s="93"/>
      <c r="D130" s="69"/>
      <c r="E130" s="69"/>
      <c r="F130" s="94"/>
      <c r="G130" s="69"/>
    </row>
    <row r="131" spans="3:7" x14ac:dyDescent="0.25">
      <c r="C131" s="93"/>
      <c r="D131" s="69"/>
      <c r="E131" s="69"/>
      <c r="F131" s="94"/>
      <c r="G131" s="69"/>
    </row>
    <row r="132" spans="3:7" x14ac:dyDescent="0.25">
      <c r="C132" s="93"/>
      <c r="D132" s="69"/>
      <c r="E132" s="69"/>
      <c r="F132" s="94"/>
      <c r="G132" s="69"/>
    </row>
    <row r="133" spans="3:7" x14ac:dyDescent="0.25">
      <c r="C133" s="93"/>
      <c r="D133" s="69"/>
      <c r="E133" s="69"/>
      <c r="F133" s="94"/>
      <c r="G133" s="69"/>
    </row>
    <row r="134" spans="3:7" x14ac:dyDescent="0.25">
      <c r="C134" s="93"/>
      <c r="D134" s="69"/>
      <c r="E134" s="69"/>
      <c r="F134" s="94"/>
      <c r="G134" s="69"/>
    </row>
    <row r="135" spans="3:7" x14ac:dyDescent="0.25">
      <c r="C135" s="93"/>
      <c r="D135" s="69"/>
      <c r="E135" s="69"/>
      <c r="F135" s="94"/>
      <c r="G135" s="69"/>
    </row>
    <row r="136" spans="3:7" x14ac:dyDescent="0.25">
      <c r="C136" s="93"/>
      <c r="D136" s="69"/>
      <c r="E136" s="69"/>
      <c r="F136" s="94"/>
      <c r="G136" s="69"/>
    </row>
    <row r="137" spans="3:7" x14ac:dyDescent="0.25">
      <c r="C137" s="93"/>
      <c r="D137" s="69"/>
      <c r="E137" s="69"/>
      <c r="F137" s="94"/>
      <c r="G137" s="69"/>
    </row>
    <row r="138" spans="3:7" x14ac:dyDescent="0.25">
      <c r="C138" s="93"/>
      <c r="D138" s="69"/>
      <c r="E138" s="69"/>
      <c r="F138" s="94"/>
      <c r="G138" s="69"/>
    </row>
    <row r="139" spans="3:7" x14ac:dyDescent="0.25">
      <c r="C139" s="93"/>
      <c r="D139" s="69"/>
      <c r="E139" s="69"/>
      <c r="F139" s="94"/>
      <c r="G139" s="69"/>
    </row>
    <row r="140" spans="3:7" x14ac:dyDescent="0.25">
      <c r="C140" s="93"/>
      <c r="D140" s="69"/>
      <c r="E140" s="69"/>
      <c r="F140" s="94"/>
      <c r="G140" s="69"/>
    </row>
    <row r="141" spans="3:7" x14ac:dyDescent="0.25">
      <c r="C141" s="93"/>
      <c r="D141" s="69"/>
      <c r="E141" s="69"/>
      <c r="F141" s="94"/>
      <c r="G141" s="69"/>
    </row>
    <row r="142" spans="3:7" x14ac:dyDescent="0.25">
      <c r="C142" s="93"/>
      <c r="D142" s="69"/>
      <c r="E142" s="69"/>
      <c r="F142" s="94"/>
      <c r="G142" s="69"/>
    </row>
    <row r="143" spans="3:7" x14ac:dyDescent="0.25">
      <c r="C143" s="93"/>
      <c r="D143" s="69"/>
      <c r="E143" s="69"/>
      <c r="F143" s="94"/>
      <c r="G143" s="69"/>
    </row>
    <row r="144" spans="3:7" x14ac:dyDescent="0.25">
      <c r="C144" s="93"/>
      <c r="D144" s="69"/>
      <c r="E144" s="69"/>
      <c r="F144" s="94"/>
      <c r="G144" s="69"/>
    </row>
    <row r="145" spans="3:7" x14ac:dyDescent="0.25">
      <c r="C145" s="93"/>
      <c r="D145" s="69"/>
      <c r="E145" s="69"/>
      <c r="F145" s="94"/>
      <c r="G145" s="69"/>
    </row>
    <row r="146" spans="3:7" x14ac:dyDescent="0.25">
      <c r="C146" s="93"/>
      <c r="D146" s="69"/>
      <c r="E146" s="69"/>
      <c r="F146" s="94"/>
      <c r="G146" s="69"/>
    </row>
    <row r="147" spans="3:7" x14ac:dyDescent="0.25">
      <c r="C147" s="93"/>
      <c r="D147" s="69"/>
      <c r="E147" s="69"/>
      <c r="F147" s="94"/>
      <c r="G147" s="69"/>
    </row>
    <row r="148" spans="3:7" x14ac:dyDescent="0.25">
      <c r="C148" s="93"/>
      <c r="D148" s="69"/>
      <c r="E148" s="69"/>
      <c r="F148" s="94"/>
      <c r="G148" s="69"/>
    </row>
    <row r="149" spans="3:7" x14ac:dyDescent="0.25">
      <c r="C149" s="93"/>
      <c r="D149" s="69"/>
      <c r="E149" s="69"/>
      <c r="F149" s="94"/>
      <c r="G149" s="69"/>
    </row>
    <row r="150" spans="3:7" x14ac:dyDescent="0.25">
      <c r="C150" s="93"/>
      <c r="D150" s="69"/>
      <c r="E150" s="69"/>
      <c r="F150" s="94"/>
      <c r="G150" s="69"/>
    </row>
    <row r="151" spans="3:7" x14ac:dyDescent="0.25">
      <c r="C151" s="93"/>
      <c r="D151" s="69"/>
      <c r="E151" s="69"/>
      <c r="F151" s="94"/>
      <c r="G151" s="69"/>
    </row>
    <row r="152" spans="3:7" x14ac:dyDescent="0.25">
      <c r="C152" s="93"/>
      <c r="D152" s="69"/>
      <c r="E152" s="69"/>
      <c r="F152" s="94"/>
      <c r="G152" s="69"/>
    </row>
    <row r="153" spans="3:7" x14ac:dyDescent="0.25">
      <c r="C153" s="93"/>
      <c r="D153" s="69"/>
      <c r="E153" s="69"/>
      <c r="F153" s="94"/>
      <c r="G153" s="69"/>
    </row>
    <row r="154" spans="3:7" x14ac:dyDescent="0.25">
      <c r="C154" s="93"/>
      <c r="D154" s="69"/>
      <c r="E154" s="69"/>
      <c r="F154" s="94"/>
      <c r="G154" s="69"/>
    </row>
    <row r="155" spans="3:7" x14ac:dyDescent="0.25">
      <c r="C155" s="93"/>
      <c r="D155" s="69"/>
      <c r="E155" s="69"/>
      <c r="F155" s="94"/>
      <c r="G155" s="69"/>
    </row>
    <row r="156" spans="3:7" x14ac:dyDescent="0.25">
      <c r="C156" s="93"/>
      <c r="D156" s="69"/>
      <c r="E156" s="69"/>
      <c r="F156" s="94"/>
      <c r="G156" s="69"/>
    </row>
    <row r="157" spans="3:7" x14ac:dyDescent="0.25">
      <c r="C157" s="93"/>
      <c r="D157" s="69"/>
      <c r="E157" s="69"/>
      <c r="F157" s="94"/>
      <c r="G157" s="69"/>
    </row>
    <row r="158" spans="3:7" x14ac:dyDescent="0.25">
      <c r="C158" s="93"/>
      <c r="D158" s="69"/>
      <c r="E158" s="69"/>
      <c r="F158" s="94"/>
      <c r="G158" s="69"/>
    </row>
    <row r="159" spans="3:7" x14ac:dyDescent="0.25">
      <c r="C159" s="93"/>
      <c r="D159" s="69"/>
      <c r="E159" s="69"/>
      <c r="F159" s="94"/>
      <c r="G159" s="69"/>
    </row>
    <row r="160" spans="3:7" x14ac:dyDescent="0.25">
      <c r="C160" s="93"/>
      <c r="D160" s="69"/>
      <c r="E160" s="69"/>
      <c r="F160" s="94"/>
      <c r="G160" s="69"/>
    </row>
    <row r="161" spans="3:7" x14ac:dyDescent="0.25">
      <c r="C161" s="93"/>
      <c r="D161" s="69"/>
      <c r="E161" s="69"/>
      <c r="F161" s="94"/>
      <c r="G161" s="69"/>
    </row>
    <row r="162" spans="3:7" x14ac:dyDescent="0.25">
      <c r="C162" s="93"/>
      <c r="D162" s="69"/>
      <c r="E162" s="69"/>
      <c r="F162" s="94"/>
      <c r="G162" s="69"/>
    </row>
    <row r="163" spans="3:7" x14ac:dyDescent="0.25">
      <c r="C163" s="93"/>
      <c r="D163" s="69"/>
      <c r="E163" s="69"/>
      <c r="F163" s="94"/>
      <c r="G163" s="69"/>
    </row>
    <row r="164" spans="3:7" x14ac:dyDescent="0.25">
      <c r="C164" s="93"/>
      <c r="D164" s="69"/>
      <c r="E164" s="69"/>
      <c r="F164" s="94"/>
      <c r="G164" s="69"/>
    </row>
    <row r="165" spans="3:7" x14ac:dyDescent="0.25">
      <c r="C165" s="93"/>
      <c r="D165" s="69"/>
      <c r="E165" s="69"/>
      <c r="F165" s="94"/>
      <c r="G165" s="69"/>
    </row>
    <row r="166" spans="3:7" x14ac:dyDescent="0.25">
      <c r="C166" s="93"/>
      <c r="D166" s="69"/>
      <c r="E166" s="69"/>
      <c r="F166" s="94"/>
      <c r="G166" s="69"/>
    </row>
    <row r="167" spans="3:7" x14ac:dyDescent="0.25">
      <c r="C167" s="93"/>
      <c r="D167" s="69"/>
      <c r="E167" s="69"/>
      <c r="F167" s="94"/>
      <c r="G167" s="69"/>
    </row>
    <row r="168" spans="3:7" x14ac:dyDescent="0.25">
      <c r="C168" s="93"/>
      <c r="D168" s="69"/>
      <c r="E168" s="69"/>
      <c r="F168" s="94"/>
      <c r="G168" s="69"/>
    </row>
    <row r="169" spans="3:7" x14ac:dyDescent="0.25">
      <c r="C169" s="93"/>
      <c r="D169" s="69"/>
      <c r="E169" s="69"/>
      <c r="F169" s="94"/>
      <c r="G169" s="69"/>
    </row>
    <row r="170" spans="3:7" x14ac:dyDescent="0.25">
      <c r="C170" s="93"/>
      <c r="D170" s="69"/>
      <c r="E170" s="69"/>
      <c r="F170" s="94"/>
      <c r="G170" s="69"/>
    </row>
    <row r="171" spans="3:7" x14ac:dyDescent="0.25">
      <c r="C171" s="93"/>
      <c r="D171" s="69"/>
      <c r="E171" s="69"/>
      <c r="F171" s="94"/>
      <c r="G171" s="69"/>
    </row>
    <row r="172" spans="3:7" x14ac:dyDescent="0.25">
      <c r="C172" s="93"/>
      <c r="D172" s="69"/>
      <c r="E172" s="69"/>
      <c r="F172" s="94"/>
      <c r="G172" s="69"/>
    </row>
    <row r="173" spans="3:7" x14ac:dyDescent="0.25">
      <c r="C173" s="93"/>
      <c r="D173" s="69"/>
      <c r="E173" s="69"/>
      <c r="F173" s="94"/>
      <c r="G173" s="69"/>
    </row>
    <row r="174" spans="3:7" x14ac:dyDescent="0.25">
      <c r="C174" s="93"/>
      <c r="D174" s="69"/>
      <c r="E174" s="69"/>
      <c r="F174" s="94"/>
      <c r="G174" s="69"/>
    </row>
    <row r="175" spans="3:7" x14ac:dyDescent="0.25">
      <c r="C175" s="93"/>
      <c r="D175" s="69"/>
      <c r="E175" s="69"/>
      <c r="F175" s="94"/>
      <c r="G175" s="69"/>
    </row>
    <row r="176" spans="3:7" x14ac:dyDescent="0.25">
      <c r="C176" s="93"/>
      <c r="D176" s="69"/>
      <c r="E176" s="69"/>
      <c r="F176" s="94"/>
      <c r="G176" s="69"/>
    </row>
    <row r="177" spans="3:7" x14ac:dyDescent="0.25">
      <c r="C177" s="93"/>
      <c r="D177" s="69"/>
      <c r="E177" s="69"/>
      <c r="F177" s="94"/>
      <c r="G177" s="69"/>
    </row>
    <row r="178" spans="3:7" x14ac:dyDescent="0.25">
      <c r="C178" s="93"/>
      <c r="D178" s="69"/>
      <c r="E178" s="69"/>
      <c r="F178" s="94"/>
      <c r="G178" s="69"/>
    </row>
    <row r="179" spans="3:7" x14ac:dyDescent="0.25">
      <c r="C179" s="93"/>
      <c r="D179" s="69"/>
      <c r="E179" s="69"/>
      <c r="F179" s="94"/>
      <c r="G179" s="69"/>
    </row>
    <row r="180" spans="3:7" x14ac:dyDescent="0.25">
      <c r="C180" s="93"/>
      <c r="D180" s="69"/>
      <c r="E180" s="69"/>
      <c r="F180" s="94"/>
      <c r="G180" s="69"/>
    </row>
    <row r="181" spans="3:7" x14ac:dyDescent="0.25">
      <c r="C181" s="93"/>
      <c r="D181" s="69"/>
      <c r="E181" s="69"/>
      <c r="F181" s="94"/>
      <c r="G181" s="69"/>
    </row>
    <row r="182" spans="3:7" x14ac:dyDescent="0.25">
      <c r="C182" s="93"/>
      <c r="D182" s="69"/>
      <c r="E182" s="69"/>
      <c r="F182" s="94"/>
      <c r="G182" s="69"/>
    </row>
    <row r="183" spans="3:7" x14ac:dyDescent="0.25">
      <c r="C183" s="93"/>
      <c r="D183" s="69"/>
      <c r="E183" s="69"/>
      <c r="F183" s="94"/>
      <c r="G183" s="69"/>
    </row>
    <row r="184" spans="3:7" x14ac:dyDescent="0.25">
      <c r="C184" s="93"/>
      <c r="D184" s="69"/>
      <c r="E184" s="69"/>
      <c r="F184" s="94"/>
      <c r="G184" s="69"/>
    </row>
    <row r="185" spans="3:7" x14ac:dyDescent="0.25">
      <c r="C185" s="93"/>
      <c r="D185" s="69"/>
      <c r="E185" s="69"/>
      <c r="F185" s="94"/>
      <c r="G185" s="69"/>
    </row>
    <row r="186" spans="3:7" x14ac:dyDescent="0.25">
      <c r="C186" s="93"/>
      <c r="D186" s="69"/>
      <c r="E186" s="69"/>
      <c r="F186" s="94"/>
      <c r="G186" s="69"/>
    </row>
    <row r="187" spans="3:7" x14ac:dyDescent="0.25">
      <c r="C187" s="93"/>
      <c r="D187" s="69"/>
      <c r="E187" s="69"/>
      <c r="F187" s="94"/>
      <c r="G187" s="69"/>
    </row>
    <row r="188" spans="3:7" x14ac:dyDescent="0.25">
      <c r="C188" s="93"/>
      <c r="D188" s="69"/>
      <c r="E188" s="69"/>
      <c r="F188" s="94"/>
      <c r="G188" s="69"/>
    </row>
    <row r="189" spans="3:7" x14ac:dyDescent="0.25">
      <c r="C189" s="93"/>
      <c r="D189" s="69"/>
      <c r="E189" s="69"/>
      <c r="F189" s="94"/>
      <c r="G189" s="69"/>
    </row>
    <row r="190" spans="3:7" x14ac:dyDescent="0.25">
      <c r="C190" s="93"/>
      <c r="D190" s="69"/>
      <c r="E190" s="69"/>
      <c r="F190" s="94"/>
      <c r="G190" s="69"/>
    </row>
    <row r="191" spans="3:7" x14ac:dyDescent="0.25">
      <c r="C191" s="93"/>
      <c r="D191" s="69"/>
      <c r="E191" s="69"/>
      <c r="F191" s="94"/>
      <c r="G191" s="69"/>
    </row>
    <row r="192" spans="3:7" x14ac:dyDescent="0.25">
      <c r="C192" s="93"/>
      <c r="D192" s="69"/>
      <c r="E192" s="69"/>
      <c r="F192" s="94"/>
      <c r="G192" s="69"/>
    </row>
    <row r="193" spans="3:7" x14ac:dyDescent="0.25">
      <c r="C193" s="93"/>
      <c r="D193" s="69"/>
      <c r="E193" s="69"/>
      <c r="F193" s="94"/>
      <c r="G193" s="69"/>
    </row>
    <row r="194" spans="3:7" x14ac:dyDescent="0.25">
      <c r="C194" s="93"/>
      <c r="D194" s="69"/>
      <c r="E194" s="69"/>
      <c r="F194" s="94"/>
      <c r="G194" s="69"/>
    </row>
    <row r="195" spans="3:7" x14ac:dyDescent="0.25">
      <c r="C195" s="93"/>
      <c r="D195" s="69"/>
      <c r="E195" s="69"/>
      <c r="F195" s="94"/>
      <c r="G195" s="69"/>
    </row>
    <row r="196" spans="3:7" x14ac:dyDescent="0.25">
      <c r="C196" s="93"/>
      <c r="D196" s="69"/>
      <c r="E196" s="69"/>
      <c r="F196" s="94"/>
      <c r="G196" s="69"/>
    </row>
    <row r="197" spans="3:7" x14ac:dyDescent="0.25">
      <c r="C197" s="93"/>
      <c r="D197" s="69"/>
      <c r="E197" s="69"/>
      <c r="F197" s="94"/>
      <c r="G197" s="69"/>
    </row>
    <row r="198" spans="3:7" x14ac:dyDescent="0.25">
      <c r="C198" s="93"/>
      <c r="D198" s="69"/>
      <c r="E198" s="69"/>
      <c r="F198" s="94"/>
      <c r="G198" s="69"/>
    </row>
    <row r="199" spans="3:7" x14ac:dyDescent="0.25">
      <c r="C199" s="93"/>
      <c r="D199" s="69"/>
      <c r="E199" s="69"/>
      <c r="F199" s="94"/>
      <c r="G199" s="69"/>
    </row>
    <row r="200" spans="3:7" x14ac:dyDescent="0.25">
      <c r="C200" s="93"/>
      <c r="D200" s="69"/>
      <c r="E200" s="69"/>
      <c r="F200" s="94"/>
      <c r="G200" s="69"/>
    </row>
    <row r="201" spans="3:7" x14ac:dyDescent="0.25">
      <c r="C201" s="93"/>
      <c r="D201" s="69"/>
      <c r="E201" s="69"/>
      <c r="F201" s="94"/>
      <c r="G201" s="69"/>
    </row>
    <row r="202" spans="3:7" x14ac:dyDescent="0.25">
      <c r="C202" s="93"/>
      <c r="D202" s="69"/>
      <c r="E202" s="69"/>
      <c r="F202" s="94"/>
      <c r="G202" s="69"/>
    </row>
    <row r="203" spans="3:7" x14ac:dyDescent="0.25">
      <c r="C203" s="93"/>
      <c r="D203" s="69"/>
      <c r="E203" s="69"/>
      <c r="F203" s="94"/>
      <c r="G203" s="69"/>
    </row>
    <row r="204" spans="3:7" x14ac:dyDescent="0.25">
      <c r="C204" s="93"/>
      <c r="D204" s="69"/>
      <c r="E204" s="69"/>
      <c r="F204" s="94"/>
      <c r="G204" s="69"/>
    </row>
    <row r="205" spans="3:7" x14ac:dyDescent="0.25">
      <c r="C205" s="93"/>
      <c r="D205" s="69"/>
      <c r="E205" s="69"/>
      <c r="F205" s="94"/>
      <c r="G205" s="69"/>
    </row>
    <row r="206" spans="3:7" x14ac:dyDescent="0.25">
      <c r="C206" s="93"/>
      <c r="D206" s="69"/>
      <c r="E206" s="69"/>
      <c r="F206" s="94"/>
      <c r="G206" s="69"/>
    </row>
    <row r="207" spans="3:7" x14ac:dyDescent="0.25">
      <c r="C207" s="93"/>
      <c r="D207" s="69"/>
      <c r="E207" s="69"/>
      <c r="F207" s="94"/>
      <c r="G207" s="69"/>
    </row>
    <row r="208" spans="3:7" x14ac:dyDescent="0.25">
      <c r="C208" s="93"/>
      <c r="D208" s="69"/>
      <c r="E208" s="69"/>
      <c r="F208" s="94"/>
      <c r="G208" s="69"/>
    </row>
    <row r="209" spans="3:7" x14ac:dyDescent="0.25">
      <c r="C209" s="93"/>
      <c r="D209" s="69"/>
      <c r="E209" s="69"/>
      <c r="F209" s="94"/>
      <c r="G209" s="69"/>
    </row>
    <row r="210" spans="3:7" x14ac:dyDescent="0.25">
      <c r="C210" s="93"/>
      <c r="D210" s="69"/>
      <c r="E210" s="69"/>
      <c r="F210" s="94"/>
      <c r="G210" s="69"/>
    </row>
    <row r="211" spans="3:7" x14ac:dyDescent="0.25">
      <c r="C211" s="93"/>
      <c r="D211" s="69"/>
      <c r="E211" s="69"/>
      <c r="F211" s="94"/>
      <c r="G211" s="69"/>
    </row>
    <row r="212" spans="3:7" x14ac:dyDescent="0.25">
      <c r="C212" s="93"/>
      <c r="D212" s="69"/>
      <c r="E212" s="69"/>
      <c r="F212" s="94"/>
      <c r="G212" s="69"/>
    </row>
    <row r="213" spans="3:7" x14ac:dyDescent="0.25">
      <c r="C213" s="93"/>
      <c r="D213" s="69"/>
      <c r="E213" s="69"/>
      <c r="F213" s="94"/>
      <c r="G213" s="69"/>
    </row>
    <row r="214" spans="3:7" x14ac:dyDescent="0.25">
      <c r="C214" s="93"/>
      <c r="D214" s="69"/>
      <c r="E214" s="69"/>
      <c r="F214" s="94"/>
      <c r="G214" s="69"/>
    </row>
    <row r="215" spans="3:7" x14ac:dyDescent="0.25">
      <c r="C215" s="93"/>
      <c r="D215" s="69"/>
      <c r="E215" s="69"/>
      <c r="F215" s="94"/>
      <c r="G215" s="69"/>
    </row>
    <row r="216" spans="3:7" x14ac:dyDescent="0.25">
      <c r="C216" s="93"/>
      <c r="D216" s="69"/>
      <c r="E216" s="69"/>
      <c r="F216" s="94"/>
      <c r="G216" s="69"/>
    </row>
    <row r="217" spans="3:7" x14ac:dyDescent="0.25">
      <c r="C217" s="93"/>
      <c r="D217" s="69"/>
      <c r="E217" s="69"/>
      <c r="F217" s="94"/>
      <c r="G217" s="69"/>
    </row>
    <row r="218" spans="3:7" x14ac:dyDescent="0.25">
      <c r="C218" s="93"/>
      <c r="D218" s="69"/>
      <c r="E218" s="69"/>
      <c r="F218" s="94"/>
      <c r="G218" s="69"/>
    </row>
    <row r="219" spans="3:7" x14ac:dyDescent="0.25">
      <c r="C219" s="93"/>
      <c r="D219" s="69"/>
      <c r="E219" s="69"/>
      <c r="F219" s="94"/>
      <c r="G219" s="69"/>
    </row>
    <row r="220" spans="3:7" x14ac:dyDescent="0.25">
      <c r="C220" s="93"/>
      <c r="D220" s="69"/>
      <c r="E220" s="69"/>
      <c r="F220" s="94"/>
      <c r="G220" s="69"/>
    </row>
    <row r="221" spans="3:7" x14ac:dyDescent="0.25">
      <c r="C221" s="93"/>
      <c r="D221" s="69"/>
      <c r="E221" s="69"/>
      <c r="F221" s="94"/>
      <c r="G221" s="69"/>
    </row>
    <row r="222" spans="3:7" x14ac:dyDescent="0.25">
      <c r="C222" s="93"/>
      <c r="D222" s="69"/>
      <c r="E222" s="69"/>
      <c r="F222" s="94"/>
      <c r="G222" s="69"/>
    </row>
    <row r="223" spans="3:7" x14ac:dyDescent="0.25">
      <c r="C223" s="93"/>
      <c r="D223" s="69"/>
      <c r="E223" s="69"/>
      <c r="F223" s="94"/>
      <c r="G223" s="69"/>
    </row>
    <row r="224" spans="3:7" x14ac:dyDescent="0.25">
      <c r="C224" s="93"/>
      <c r="D224" s="69"/>
      <c r="E224" s="69"/>
      <c r="F224" s="94"/>
      <c r="G224" s="69"/>
    </row>
    <row r="225" spans="3:7" x14ac:dyDescent="0.25">
      <c r="C225" s="93"/>
      <c r="D225" s="69"/>
      <c r="E225" s="69"/>
      <c r="F225" s="94"/>
      <c r="G225" s="69"/>
    </row>
    <row r="226" spans="3:7" x14ac:dyDescent="0.25">
      <c r="C226" s="93"/>
      <c r="D226" s="69"/>
      <c r="E226" s="69"/>
      <c r="F226" s="94"/>
      <c r="G226" s="69"/>
    </row>
    <row r="227" spans="3:7" x14ac:dyDescent="0.25">
      <c r="C227" s="93"/>
      <c r="D227" s="69"/>
      <c r="E227" s="69"/>
      <c r="F227" s="94"/>
      <c r="G227" s="69"/>
    </row>
    <row r="228" spans="3:7" x14ac:dyDescent="0.25">
      <c r="C228" s="93"/>
      <c r="D228" s="69"/>
      <c r="E228" s="69"/>
      <c r="F228" s="94"/>
      <c r="G228" s="69"/>
    </row>
    <row r="229" spans="3:7" x14ac:dyDescent="0.25">
      <c r="C229" s="93"/>
      <c r="D229" s="69"/>
      <c r="E229" s="69"/>
      <c r="F229" s="94"/>
      <c r="G229" s="69"/>
    </row>
    <row r="230" spans="3:7" x14ac:dyDescent="0.25">
      <c r="C230" s="93"/>
      <c r="D230" s="69"/>
      <c r="E230" s="69"/>
      <c r="F230" s="94"/>
      <c r="G230" s="69"/>
    </row>
    <row r="231" spans="3:7" x14ac:dyDescent="0.25">
      <c r="C231" s="93"/>
      <c r="D231" s="69"/>
      <c r="E231" s="69"/>
      <c r="F231" s="94"/>
      <c r="G231" s="69"/>
    </row>
    <row r="232" spans="3:7" x14ac:dyDescent="0.25">
      <c r="C232" s="93"/>
      <c r="D232" s="69"/>
      <c r="E232" s="69"/>
      <c r="F232" s="94"/>
      <c r="G232" s="69"/>
    </row>
    <row r="233" spans="3:7" x14ac:dyDescent="0.25">
      <c r="C233" s="93"/>
      <c r="D233" s="69"/>
      <c r="E233" s="69"/>
      <c r="F233" s="94"/>
      <c r="G233" s="69"/>
    </row>
    <row r="234" spans="3:7" x14ac:dyDescent="0.25">
      <c r="C234" s="93"/>
      <c r="D234" s="69"/>
      <c r="E234" s="69"/>
      <c r="F234" s="94"/>
      <c r="G234" s="69"/>
    </row>
    <row r="235" spans="3:7" x14ac:dyDescent="0.25">
      <c r="C235" s="93"/>
      <c r="D235" s="69"/>
      <c r="E235" s="69"/>
      <c r="F235" s="94"/>
      <c r="G235" s="69"/>
    </row>
    <row r="236" spans="3:7" x14ac:dyDescent="0.25">
      <c r="C236" s="93"/>
      <c r="D236" s="69"/>
      <c r="E236" s="69"/>
      <c r="F236" s="94"/>
      <c r="G236" s="69"/>
    </row>
    <row r="237" spans="3:7" x14ac:dyDescent="0.25">
      <c r="C237" s="93"/>
      <c r="D237" s="69"/>
      <c r="E237" s="69"/>
      <c r="F237" s="94"/>
      <c r="G237" s="69"/>
    </row>
    <row r="238" spans="3:7" x14ac:dyDescent="0.25">
      <c r="C238" s="93"/>
      <c r="D238" s="69"/>
      <c r="E238" s="69"/>
      <c r="F238" s="94"/>
      <c r="G238" s="69"/>
    </row>
    <row r="239" spans="3:7" x14ac:dyDescent="0.25">
      <c r="C239" s="93"/>
      <c r="D239" s="69"/>
      <c r="E239" s="69"/>
      <c r="F239" s="94"/>
      <c r="G239" s="69"/>
    </row>
    <row r="240" spans="3:7" x14ac:dyDescent="0.25">
      <c r="C240" s="93"/>
      <c r="D240" s="69"/>
      <c r="E240" s="69"/>
      <c r="F240" s="94"/>
      <c r="G240" s="69"/>
    </row>
    <row r="241" spans="3:7" x14ac:dyDescent="0.25">
      <c r="C241" s="93"/>
      <c r="D241" s="69"/>
      <c r="E241" s="69"/>
      <c r="F241" s="94"/>
      <c r="G241" s="69"/>
    </row>
    <row r="242" spans="3:7" x14ac:dyDescent="0.25">
      <c r="C242" s="93"/>
      <c r="D242" s="69"/>
      <c r="E242" s="69"/>
      <c r="F242" s="94"/>
      <c r="G242" s="69"/>
    </row>
    <row r="243" spans="3:7" x14ac:dyDescent="0.25">
      <c r="C243" s="93"/>
      <c r="D243" s="69"/>
      <c r="E243" s="69"/>
      <c r="F243" s="94"/>
      <c r="G243" s="69"/>
    </row>
    <row r="244" spans="3:7" x14ac:dyDescent="0.25">
      <c r="C244" s="93"/>
      <c r="D244" s="69"/>
      <c r="E244" s="69"/>
      <c r="F244" s="94"/>
      <c r="G244" s="69"/>
    </row>
    <row r="245" spans="3:7" x14ac:dyDescent="0.25">
      <c r="C245" s="93"/>
      <c r="D245" s="69"/>
      <c r="E245" s="69"/>
      <c r="F245" s="94"/>
      <c r="G245" s="69"/>
    </row>
    <row r="246" spans="3:7" x14ac:dyDescent="0.25">
      <c r="C246" s="93"/>
      <c r="D246" s="69"/>
      <c r="E246" s="69"/>
      <c r="F246" s="94"/>
      <c r="G246" s="69"/>
    </row>
    <row r="247" spans="3:7" x14ac:dyDescent="0.25">
      <c r="C247" s="93"/>
      <c r="D247" s="69"/>
      <c r="E247" s="69"/>
      <c r="F247" s="94"/>
      <c r="G247" s="69"/>
    </row>
    <row r="248" spans="3:7" x14ac:dyDescent="0.25">
      <c r="C248" s="93"/>
      <c r="D248" s="69"/>
      <c r="E248" s="69"/>
      <c r="F248" s="94"/>
      <c r="G248" s="69"/>
    </row>
    <row r="249" spans="3:7" x14ac:dyDescent="0.25">
      <c r="C249" s="93"/>
      <c r="D249" s="69"/>
      <c r="E249" s="69"/>
      <c r="F249" s="94"/>
      <c r="G249" s="69"/>
    </row>
    <row r="250" spans="3:7" x14ac:dyDescent="0.25">
      <c r="C250" s="93"/>
      <c r="D250" s="69"/>
      <c r="E250" s="69"/>
      <c r="F250" s="94"/>
      <c r="G250" s="69"/>
    </row>
    <row r="251" spans="3:7" x14ac:dyDescent="0.25">
      <c r="C251" s="93"/>
      <c r="D251" s="69"/>
      <c r="E251" s="69"/>
      <c r="F251" s="94"/>
      <c r="G251" s="69"/>
    </row>
    <row r="252" spans="3:7" x14ac:dyDescent="0.25">
      <c r="C252" s="93"/>
      <c r="D252" s="69"/>
      <c r="E252" s="69"/>
      <c r="F252" s="94"/>
      <c r="G252" s="69"/>
    </row>
    <row r="253" spans="3:7" x14ac:dyDescent="0.25">
      <c r="C253" s="93"/>
      <c r="D253" s="69"/>
      <c r="E253" s="69"/>
      <c r="F253" s="94"/>
      <c r="G253" s="69"/>
    </row>
    <row r="254" spans="3:7" x14ac:dyDescent="0.25">
      <c r="C254" s="93"/>
      <c r="D254" s="69"/>
      <c r="E254" s="69"/>
      <c r="F254" s="94"/>
      <c r="G254" s="69"/>
    </row>
    <row r="255" spans="3:7" x14ac:dyDescent="0.25">
      <c r="C255" s="93"/>
      <c r="D255" s="69"/>
      <c r="E255" s="69"/>
      <c r="F255" s="94"/>
      <c r="G255" s="69"/>
    </row>
    <row r="256" spans="3:7" x14ac:dyDescent="0.25">
      <c r="C256" s="93"/>
      <c r="D256" s="69"/>
      <c r="E256" s="69"/>
      <c r="F256" s="94"/>
      <c r="G256" s="69"/>
    </row>
    <row r="257" spans="3:7" x14ac:dyDescent="0.25">
      <c r="C257" s="93"/>
      <c r="D257" s="69"/>
      <c r="E257" s="69"/>
      <c r="F257" s="94"/>
      <c r="G257" s="69"/>
    </row>
    <row r="258" spans="3:7" x14ac:dyDescent="0.25">
      <c r="C258" s="93"/>
      <c r="D258" s="69"/>
      <c r="E258" s="69"/>
      <c r="F258" s="94"/>
      <c r="G258" s="69"/>
    </row>
    <row r="259" spans="3:7" x14ac:dyDescent="0.25">
      <c r="C259" s="93"/>
      <c r="D259" s="69"/>
      <c r="E259" s="69"/>
      <c r="F259" s="94"/>
      <c r="G259" s="69"/>
    </row>
    <row r="260" spans="3:7" x14ac:dyDescent="0.25">
      <c r="C260" s="93"/>
      <c r="D260" s="69"/>
      <c r="E260" s="69"/>
      <c r="F260" s="94"/>
      <c r="G260" s="69"/>
    </row>
    <row r="261" spans="3:7" x14ac:dyDescent="0.25">
      <c r="C261" s="93"/>
      <c r="D261" s="69"/>
      <c r="E261" s="69"/>
      <c r="F261" s="94"/>
      <c r="G261" s="69"/>
    </row>
    <row r="262" spans="3:7" x14ac:dyDescent="0.25">
      <c r="C262" s="93"/>
      <c r="D262" s="69"/>
      <c r="E262" s="69"/>
      <c r="F262" s="94"/>
      <c r="G262" s="69"/>
    </row>
    <row r="263" spans="3:7" x14ac:dyDescent="0.25">
      <c r="C263" s="93"/>
      <c r="D263" s="69"/>
      <c r="E263" s="69"/>
      <c r="F263" s="94"/>
      <c r="G263" s="69"/>
    </row>
    <row r="264" spans="3:7" x14ac:dyDescent="0.25">
      <c r="C264" s="93"/>
      <c r="D264" s="69"/>
      <c r="E264" s="69"/>
      <c r="F264" s="94"/>
      <c r="G264" s="69"/>
    </row>
    <row r="265" spans="3:7" x14ac:dyDescent="0.25">
      <c r="C265" s="93"/>
      <c r="D265" s="69"/>
      <c r="E265" s="69"/>
      <c r="F265" s="94"/>
      <c r="G265" s="69"/>
    </row>
    <row r="266" spans="3:7" x14ac:dyDescent="0.25">
      <c r="C266" s="93"/>
      <c r="D266" s="69"/>
      <c r="E266" s="69"/>
      <c r="F266" s="94"/>
      <c r="G266" s="69"/>
    </row>
    <row r="267" spans="3:7" x14ac:dyDescent="0.25">
      <c r="C267" s="93"/>
      <c r="D267" s="69"/>
      <c r="E267" s="69"/>
      <c r="F267" s="94"/>
      <c r="G267" s="69"/>
    </row>
    <row r="268" spans="3:7" x14ac:dyDescent="0.25">
      <c r="C268" s="93"/>
      <c r="D268" s="69"/>
      <c r="E268" s="69"/>
      <c r="F268" s="94"/>
      <c r="G268" s="69"/>
    </row>
    <row r="269" spans="3:7" x14ac:dyDescent="0.25">
      <c r="C269" s="93"/>
      <c r="D269" s="69"/>
      <c r="E269" s="69"/>
      <c r="F269" s="94"/>
      <c r="G269" s="69"/>
    </row>
    <row r="270" spans="3:7" x14ac:dyDescent="0.25">
      <c r="C270" s="93"/>
      <c r="D270" s="69"/>
      <c r="E270" s="69"/>
      <c r="F270" s="94"/>
      <c r="G270" s="69"/>
    </row>
    <row r="271" spans="3:7" x14ac:dyDescent="0.25">
      <c r="C271" s="93"/>
      <c r="D271" s="69"/>
      <c r="E271" s="69"/>
      <c r="F271" s="94"/>
      <c r="G271" s="69"/>
    </row>
    <row r="272" spans="3:7" x14ac:dyDescent="0.25">
      <c r="C272" s="93"/>
      <c r="D272" s="69"/>
      <c r="E272" s="69"/>
      <c r="F272" s="94"/>
      <c r="G272" s="69"/>
    </row>
    <row r="273" spans="3:7" x14ac:dyDescent="0.25">
      <c r="C273" s="93"/>
      <c r="D273" s="69"/>
      <c r="E273" s="69"/>
      <c r="F273" s="94"/>
      <c r="G273" s="69"/>
    </row>
    <row r="274" spans="3:7" x14ac:dyDescent="0.25">
      <c r="C274" s="93"/>
      <c r="D274" s="69"/>
      <c r="E274" s="69"/>
      <c r="F274" s="94"/>
      <c r="G274" s="69"/>
    </row>
    <row r="275" spans="3:7" x14ac:dyDescent="0.25">
      <c r="C275" s="93"/>
      <c r="D275" s="69"/>
      <c r="E275" s="69"/>
      <c r="F275" s="94"/>
      <c r="G275" s="69"/>
    </row>
    <row r="276" spans="3:7" x14ac:dyDescent="0.25">
      <c r="C276" s="93"/>
      <c r="D276" s="69"/>
      <c r="E276" s="69"/>
      <c r="F276" s="94"/>
      <c r="G276" s="69"/>
    </row>
    <row r="277" spans="3:7" x14ac:dyDescent="0.25">
      <c r="C277" s="93"/>
      <c r="D277" s="69"/>
      <c r="E277" s="69"/>
      <c r="F277" s="94"/>
      <c r="G277" s="69"/>
    </row>
    <row r="278" spans="3:7" x14ac:dyDescent="0.25">
      <c r="C278" s="93"/>
      <c r="D278" s="69"/>
      <c r="E278" s="69"/>
      <c r="F278" s="94"/>
      <c r="G278" s="69"/>
    </row>
    <row r="279" spans="3:7" x14ac:dyDescent="0.25">
      <c r="C279" s="93"/>
      <c r="D279" s="69"/>
      <c r="E279" s="69"/>
      <c r="F279" s="94"/>
      <c r="G279" s="69"/>
    </row>
    <row r="280" spans="3:7" x14ac:dyDescent="0.25">
      <c r="C280" s="93"/>
      <c r="D280" s="69"/>
      <c r="E280" s="69"/>
      <c r="F280" s="94"/>
      <c r="G280" s="69"/>
    </row>
    <row r="281" spans="3:7" x14ac:dyDescent="0.25">
      <c r="C281" s="93"/>
      <c r="D281" s="69"/>
      <c r="E281" s="69"/>
      <c r="F281" s="94"/>
      <c r="G281" s="69"/>
    </row>
    <row r="282" spans="3:7" x14ac:dyDescent="0.25">
      <c r="C282" s="93"/>
      <c r="D282" s="69"/>
      <c r="E282" s="69"/>
      <c r="F282" s="94"/>
      <c r="G282" s="69"/>
    </row>
    <row r="283" spans="3:7" x14ac:dyDescent="0.25">
      <c r="C283" s="93"/>
      <c r="D283" s="69"/>
      <c r="E283" s="69"/>
      <c r="F283" s="94"/>
      <c r="G283" s="69"/>
    </row>
    <row r="284" spans="3:7" x14ac:dyDescent="0.25">
      <c r="C284" s="93"/>
      <c r="D284" s="69"/>
      <c r="E284" s="69"/>
      <c r="F284" s="94"/>
      <c r="G284" s="69"/>
    </row>
    <row r="285" spans="3:7" x14ac:dyDescent="0.25">
      <c r="C285" s="93"/>
      <c r="D285" s="69"/>
      <c r="E285" s="69"/>
      <c r="F285" s="94"/>
      <c r="G285" s="69"/>
    </row>
    <row r="286" spans="3:7" x14ac:dyDescent="0.25">
      <c r="C286" s="93"/>
      <c r="D286" s="69"/>
      <c r="E286" s="69"/>
      <c r="F286" s="94"/>
      <c r="G286" s="69"/>
    </row>
    <row r="287" spans="3:7" x14ac:dyDescent="0.25">
      <c r="C287" s="93"/>
      <c r="D287" s="69"/>
      <c r="E287" s="69"/>
      <c r="F287" s="94"/>
      <c r="G287" s="69"/>
    </row>
    <row r="288" spans="3:7" x14ac:dyDescent="0.25">
      <c r="C288" s="93"/>
      <c r="D288" s="69"/>
      <c r="E288" s="69"/>
      <c r="F288" s="94"/>
      <c r="G288" s="69"/>
    </row>
    <row r="289" spans="3:7" x14ac:dyDescent="0.25">
      <c r="C289" s="93"/>
      <c r="D289" s="69"/>
      <c r="E289" s="69"/>
      <c r="F289" s="94"/>
      <c r="G289" s="69"/>
    </row>
    <row r="290" spans="3:7" x14ac:dyDescent="0.25">
      <c r="C290" s="93"/>
      <c r="D290" s="69"/>
      <c r="E290" s="69"/>
      <c r="F290" s="94"/>
      <c r="G290" s="69"/>
    </row>
    <row r="291" spans="3:7" x14ac:dyDescent="0.25">
      <c r="C291" s="93"/>
      <c r="D291" s="69"/>
      <c r="E291" s="69"/>
      <c r="F291" s="94"/>
      <c r="G291" s="69"/>
    </row>
    <row r="292" spans="3:7" x14ac:dyDescent="0.25">
      <c r="C292" s="93"/>
      <c r="D292" s="69"/>
      <c r="E292" s="69"/>
      <c r="F292" s="94"/>
      <c r="G292" s="69"/>
    </row>
    <row r="293" spans="3:7" x14ac:dyDescent="0.25">
      <c r="C293" s="93"/>
      <c r="D293" s="69"/>
      <c r="E293" s="69"/>
      <c r="F293" s="94"/>
      <c r="G293" s="69"/>
    </row>
    <row r="294" spans="3:7" x14ac:dyDescent="0.25">
      <c r="C294" s="93"/>
      <c r="D294" s="69"/>
      <c r="E294" s="69"/>
      <c r="F294" s="94"/>
      <c r="G294" s="69"/>
    </row>
    <row r="295" spans="3:7" x14ac:dyDescent="0.25">
      <c r="C295" s="93"/>
      <c r="D295" s="69"/>
      <c r="E295" s="69"/>
      <c r="F295" s="94"/>
      <c r="G295" s="69"/>
    </row>
    <row r="296" spans="3:7" x14ac:dyDescent="0.25">
      <c r="C296" s="93"/>
      <c r="D296" s="69"/>
      <c r="E296" s="69"/>
      <c r="F296" s="94"/>
      <c r="G296" s="69"/>
    </row>
    <row r="297" spans="3:7" x14ac:dyDescent="0.25">
      <c r="C297" s="93"/>
      <c r="D297" s="69"/>
      <c r="E297" s="69"/>
      <c r="F297" s="94"/>
      <c r="G297" s="69"/>
    </row>
    <row r="298" spans="3:7" x14ac:dyDescent="0.25">
      <c r="C298" s="93"/>
      <c r="D298" s="69"/>
      <c r="E298" s="69"/>
      <c r="F298" s="94"/>
      <c r="G298" s="69"/>
    </row>
    <row r="299" spans="3:7" x14ac:dyDescent="0.25">
      <c r="C299" s="93"/>
      <c r="D299" s="69"/>
      <c r="E299" s="69"/>
      <c r="F299" s="94"/>
      <c r="G299" s="69"/>
    </row>
    <row r="300" spans="3:7" x14ac:dyDescent="0.25">
      <c r="C300" s="93"/>
      <c r="D300" s="69"/>
      <c r="E300" s="69"/>
      <c r="F300" s="94"/>
      <c r="G300" s="69"/>
    </row>
    <row r="301" spans="3:7" x14ac:dyDescent="0.25">
      <c r="C301" s="93"/>
      <c r="D301" s="69"/>
      <c r="E301" s="69"/>
      <c r="F301" s="94"/>
      <c r="G301" s="69"/>
    </row>
    <row r="302" spans="3:7" x14ac:dyDescent="0.25">
      <c r="C302" s="93"/>
      <c r="D302" s="69"/>
      <c r="E302" s="69"/>
      <c r="F302" s="94"/>
      <c r="G302" s="69"/>
    </row>
    <row r="303" spans="3:7" x14ac:dyDescent="0.25">
      <c r="C303" s="93"/>
      <c r="D303" s="69"/>
      <c r="E303" s="69"/>
      <c r="F303" s="94"/>
      <c r="G303" s="69"/>
    </row>
    <row r="304" spans="3:7" x14ac:dyDescent="0.25">
      <c r="C304" s="93"/>
      <c r="D304" s="69"/>
      <c r="E304" s="69"/>
      <c r="F304" s="94"/>
      <c r="G304" s="69"/>
    </row>
    <row r="305" spans="3:7" x14ac:dyDescent="0.25">
      <c r="C305" s="93"/>
      <c r="D305" s="69"/>
      <c r="E305" s="69"/>
      <c r="F305" s="94"/>
      <c r="G305" s="69"/>
    </row>
    <row r="306" spans="3:7" x14ac:dyDescent="0.25">
      <c r="C306" s="93"/>
      <c r="D306" s="69"/>
      <c r="E306" s="69"/>
      <c r="F306" s="94"/>
      <c r="G306" s="69"/>
    </row>
    <row r="307" spans="3:7" x14ac:dyDescent="0.25">
      <c r="C307" s="93"/>
      <c r="D307" s="69"/>
      <c r="E307" s="69"/>
      <c r="F307" s="94"/>
      <c r="G307" s="69"/>
    </row>
    <row r="308" spans="3:7" x14ac:dyDescent="0.25">
      <c r="C308" s="93"/>
      <c r="D308" s="69"/>
      <c r="E308" s="69"/>
      <c r="F308" s="94"/>
      <c r="G308" s="69"/>
    </row>
    <row r="309" spans="3:7" x14ac:dyDescent="0.25">
      <c r="C309" s="93"/>
      <c r="D309" s="69"/>
      <c r="E309" s="69"/>
      <c r="F309" s="94"/>
      <c r="G309" s="69"/>
    </row>
    <row r="310" spans="3:7" x14ac:dyDescent="0.25">
      <c r="C310" s="93"/>
      <c r="D310" s="69"/>
      <c r="E310" s="69"/>
      <c r="F310" s="94"/>
      <c r="G310" s="69"/>
    </row>
    <row r="311" spans="3:7" x14ac:dyDescent="0.25">
      <c r="C311" s="93"/>
      <c r="D311" s="69"/>
      <c r="E311" s="69"/>
      <c r="F311" s="94"/>
      <c r="G311" s="69"/>
    </row>
    <row r="312" spans="3:7" x14ac:dyDescent="0.25">
      <c r="C312" s="93"/>
      <c r="D312" s="69"/>
      <c r="E312" s="69"/>
      <c r="F312" s="94"/>
      <c r="G312" s="69"/>
    </row>
    <row r="313" spans="3:7" x14ac:dyDescent="0.25">
      <c r="C313" s="93"/>
      <c r="D313" s="69"/>
      <c r="E313" s="69"/>
      <c r="F313" s="94"/>
      <c r="G313" s="69"/>
    </row>
    <row r="314" spans="3:7" x14ac:dyDescent="0.25">
      <c r="C314" s="93"/>
      <c r="D314" s="69"/>
      <c r="E314" s="69"/>
      <c r="F314" s="94"/>
      <c r="G314" s="69"/>
    </row>
    <row r="315" spans="3:7" x14ac:dyDescent="0.25">
      <c r="C315" s="93"/>
      <c r="D315" s="69"/>
      <c r="E315" s="69"/>
      <c r="F315" s="94"/>
      <c r="G315" s="69"/>
    </row>
    <row r="316" spans="3:7" x14ac:dyDescent="0.25">
      <c r="C316" s="93"/>
      <c r="D316" s="69"/>
      <c r="E316" s="69"/>
      <c r="F316" s="94"/>
      <c r="G316" s="69"/>
    </row>
    <row r="317" spans="3:7" x14ac:dyDescent="0.25">
      <c r="C317" s="93"/>
      <c r="D317" s="69"/>
      <c r="E317" s="69"/>
      <c r="F317" s="94"/>
      <c r="G317" s="69"/>
    </row>
    <row r="318" spans="3:7" x14ac:dyDescent="0.25">
      <c r="C318" s="93"/>
      <c r="D318" s="69"/>
      <c r="E318" s="69"/>
      <c r="F318" s="94"/>
      <c r="G318" s="69"/>
    </row>
    <row r="319" spans="3:7" x14ac:dyDescent="0.25">
      <c r="C319" s="93"/>
      <c r="D319" s="69"/>
      <c r="E319" s="69"/>
      <c r="F319" s="94"/>
      <c r="G319" s="69"/>
    </row>
    <row r="320" spans="3:7" x14ac:dyDescent="0.25">
      <c r="C320" s="93"/>
      <c r="D320" s="69"/>
      <c r="E320" s="69"/>
      <c r="F320" s="94"/>
      <c r="G320" s="69"/>
    </row>
    <row r="321" spans="3:7" x14ac:dyDescent="0.25">
      <c r="C321" s="93"/>
      <c r="D321" s="69"/>
      <c r="E321" s="69"/>
      <c r="F321" s="94"/>
      <c r="G321" s="69"/>
    </row>
    <row r="322" spans="3:7" x14ac:dyDescent="0.25">
      <c r="C322" s="93"/>
      <c r="D322" s="69"/>
      <c r="E322" s="69"/>
      <c r="F322" s="94"/>
      <c r="G322" s="69"/>
    </row>
    <row r="323" spans="3:7" x14ac:dyDescent="0.25">
      <c r="C323" s="93"/>
      <c r="D323" s="69"/>
      <c r="E323" s="69"/>
      <c r="F323" s="94"/>
      <c r="G323" s="69"/>
    </row>
    <row r="324" spans="3:7" x14ac:dyDescent="0.25">
      <c r="C324" s="93"/>
      <c r="D324" s="69"/>
      <c r="E324" s="69"/>
      <c r="F324" s="94"/>
      <c r="G324" s="69"/>
    </row>
    <row r="325" spans="3:7" x14ac:dyDescent="0.25">
      <c r="C325" s="93"/>
      <c r="D325" s="69"/>
      <c r="E325" s="69"/>
      <c r="F325" s="94"/>
      <c r="G325" s="69"/>
    </row>
    <row r="326" spans="3:7" x14ac:dyDescent="0.25">
      <c r="C326" s="93"/>
      <c r="D326" s="69"/>
      <c r="E326" s="69"/>
      <c r="F326" s="94"/>
      <c r="G326" s="69"/>
    </row>
    <row r="327" spans="3:7" x14ac:dyDescent="0.25">
      <c r="C327" s="93"/>
      <c r="D327" s="69"/>
      <c r="E327" s="69"/>
      <c r="F327" s="94"/>
      <c r="G327" s="69"/>
    </row>
    <row r="328" spans="3:7" x14ac:dyDescent="0.25">
      <c r="C328" s="93"/>
      <c r="D328" s="69"/>
      <c r="E328" s="69"/>
      <c r="F328" s="94"/>
      <c r="G328" s="69"/>
    </row>
    <row r="329" spans="3:7" x14ac:dyDescent="0.25">
      <c r="C329" s="93"/>
      <c r="D329" s="69"/>
      <c r="E329" s="69"/>
      <c r="F329" s="94"/>
      <c r="G329" s="69"/>
    </row>
    <row r="330" spans="3:7" x14ac:dyDescent="0.25">
      <c r="C330" s="93"/>
      <c r="D330" s="69"/>
      <c r="E330" s="69"/>
      <c r="F330" s="94"/>
      <c r="G330" s="69"/>
    </row>
    <row r="331" spans="3:7" x14ac:dyDescent="0.25">
      <c r="C331" s="93"/>
      <c r="D331" s="69"/>
      <c r="E331" s="69"/>
      <c r="F331" s="94"/>
      <c r="G331" s="69"/>
    </row>
    <row r="332" spans="3:7" x14ac:dyDescent="0.25">
      <c r="C332" s="93"/>
      <c r="D332" s="69"/>
      <c r="E332" s="69"/>
      <c r="F332" s="94"/>
      <c r="G332" s="69"/>
    </row>
    <row r="333" spans="3:7" x14ac:dyDescent="0.25">
      <c r="C333" s="93"/>
      <c r="D333" s="69"/>
      <c r="E333" s="69"/>
      <c r="F333" s="94"/>
      <c r="G333" s="69"/>
    </row>
    <row r="334" spans="3:7" x14ac:dyDescent="0.25">
      <c r="C334" s="93"/>
      <c r="D334" s="69"/>
      <c r="E334" s="69"/>
      <c r="F334" s="94"/>
      <c r="G334" s="69"/>
    </row>
    <row r="335" spans="3:7" x14ac:dyDescent="0.25">
      <c r="C335" s="93"/>
      <c r="D335" s="69"/>
      <c r="E335" s="69"/>
      <c r="F335" s="94"/>
      <c r="G335" s="69"/>
    </row>
    <row r="336" spans="3:7" x14ac:dyDescent="0.25">
      <c r="C336" s="93"/>
      <c r="D336" s="69"/>
      <c r="E336" s="69"/>
      <c r="F336" s="94"/>
      <c r="G336" s="69"/>
    </row>
    <row r="337" spans="3:7" x14ac:dyDescent="0.25">
      <c r="C337" s="93"/>
      <c r="D337" s="69"/>
      <c r="E337" s="69"/>
      <c r="F337" s="94"/>
      <c r="G337" s="69"/>
    </row>
    <row r="338" spans="3:7" x14ac:dyDescent="0.25">
      <c r="C338" s="93"/>
      <c r="D338" s="69"/>
      <c r="E338" s="69"/>
      <c r="F338" s="94"/>
      <c r="G338" s="69"/>
    </row>
    <row r="339" spans="3:7" x14ac:dyDescent="0.25">
      <c r="C339" s="93"/>
      <c r="D339" s="69"/>
      <c r="E339" s="69"/>
      <c r="F339" s="94"/>
      <c r="G339" s="69"/>
    </row>
    <row r="340" spans="3:7" x14ac:dyDescent="0.25">
      <c r="C340" s="93"/>
      <c r="D340" s="69"/>
      <c r="E340" s="69"/>
      <c r="F340" s="94"/>
      <c r="G340" s="69"/>
    </row>
    <row r="341" spans="3:7" x14ac:dyDescent="0.25">
      <c r="C341" s="93"/>
      <c r="D341" s="69"/>
      <c r="E341" s="69"/>
      <c r="F341" s="94"/>
      <c r="G341" s="69"/>
    </row>
    <row r="342" spans="3:7" x14ac:dyDescent="0.25">
      <c r="C342" s="93"/>
      <c r="D342" s="69"/>
      <c r="E342" s="69"/>
      <c r="F342" s="94"/>
      <c r="G342" s="69"/>
    </row>
    <row r="343" spans="3:7" x14ac:dyDescent="0.25">
      <c r="C343" s="93"/>
      <c r="D343" s="69"/>
      <c r="E343" s="69"/>
      <c r="F343" s="94"/>
      <c r="G343" s="69"/>
    </row>
    <row r="344" spans="3:7" x14ac:dyDescent="0.25">
      <c r="C344" s="93"/>
      <c r="D344" s="69"/>
      <c r="E344" s="69"/>
      <c r="F344" s="94"/>
      <c r="G344" s="69"/>
    </row>
    <row r="345" spans="3:7" x14ac:dyDescent="0.25">
      <c r="C345" s="93"/>
      <c r="D345" s="69"/>
      <c r="E345" s="69"/>
      <c r="F345" s="94"/>
      <c r="G345" s="69"/>
    </row>
    <row r="346" spans="3:7" x14ac:dyDescent="0.25">
      <c r="C346" s="93"/>
      <c r="D346" s="69"/>
      <c r="E346" s="69"/>
      <c r="F346" s="94"/>
      <c r="G346" s="69"/>
    </row>
    <row r="347" spans="3:7" x14ac:dyDescent="0.25">
      <c r="C347" s="93"/>
      <c r="D347" s="69"/>
      <c r="E347" s="69"/>
      <c r="F347" s="94"/>
      <c r="G347" s="69"/>
    </row>
    <row r="348" spans="3:7" x14ac:dyDescent="0.25">
      <c r="C348" s="93"/>
      <c r="D348" s="69"/>
      <c r="E348" s="69"/>
      <c r="F348" s="94"/>
      <c r="G348" s="69"/>
    </row>
    <row r="349" spans="3:7" x14ac:dyDescent="0.25">
      <c r="C349" s="93"/>
      <c r="D349" s="69"/>
      <c r="E349" s="69"/>
      <c r="F349" s="94"/>
      <c r="G349" s="69"/>
    </row>
    <row r="350" spans="3:7" x14ac:dyDescent="0.25">
      <c r="C350" s="93"/>
      <c r="D350" s="69"/>
      <c r="E350" s="69"/>
      <c r="F350" s="94"/>
      <c r="G350" s="69"/>
    </row>
    <row r="351" spans="3:7" x14ac:dyDescent="0.25">
      <c r="C351" s="93"/>
      <c r="D351" s="69"/>
      <c r="E351" s="69"/>
      <c r="F351" s="94"/>
      <c r="G351" s="69"/>
    </row>
    <row r="352" spans="3:7" x14ac:dyDescent="0.25">
      <c r="C352" s="93"/>
      <c r="D352" s="69"/>
      <c r="E352" s="69"/>
      <c r="F352" s="94"/>
      <c r="G352" s="69"/>
    </row>
    <row r="353" spans="3:7" x14ac:dyDescent="0.25">
      <c r="C353" s="93"/>
      <c r="D353" s="69"/>
      <c r="E353" s="69"/>
      <c r="F353" s="94"/>
      <c r="G353" s="69"/>
    </row>
    <row r="354" spans="3:7" x14ac:dyDescent="0.25">
      <c r="C354" s="93"/>
      <c r="D354" s="69"/>
      <c r="E354" s="69"/>
      <c r="F354" s="94"/>
      <c r="G354" s="69"/>
    </row>
    <row r="355" spans="3:7" x14ac:dyDescent="0.25">
      <c r="C355" s="93"/>
      <c r="D355" s="69"/>
      <c r="E355" s="69"/>
      <c r="F355" s="94"/>
      <c r="G355" s="69"/>
    </row>
    <row r="356" spans="3:7" x14ac:dyDescent="0.25">
      <c r="C356" s="93"/>
      <c r="D356" s="69"/>
      <c r="E356" s="69"/>
      <c r="F356" s="94"/>
      <c r="G356" s="69"/>
    </row>
    <row r="357" spans="3:7" x14ac:dyDescent="0.25">
      <c r="C357" s="93"/>
      <c r="D357" s="69"/>
      <c r="E357" s="69"/>
      <c r="F357" s="94"/>
      <c r="G357" s="69"/>
    </row>
    <row r="358" spans="3:7" x14ac:dyDescent="0.25">
      <c r="C358" s="93"/>
      <c r="D358" s="69"/>
      <c r="E358" s="69"/>
      <c r="F358" s="94"/>
      <c r="G358" s="69"/>
    </row>
    <row r="359" spans="3:7" x14ac:dyDescent="0.25">
      <c r="C359" s="93"/>
      <c r="D359" s="69"/>
      <c r="E359" s="69"/>
      <c r="F359" s="94"/>
      <c r="G359" s="69"/>
    </row>
    <row r="360" spans="3:7" x14ac:dyDescent="0.25">
      <c r="C360" s="93"/>
      <c r="D360" s="69"/>
      <c r="E360" s="69"/>
      <c r="F360" s="94"/>
      <c r="G360" s="69"/>
    </row>
    <row r="361" spans="3:7" x14ac:dyDescent="0.25">
      <c r="C361" s="93"/>
      <c r="D361" s="69"/>
      <c r="E361" s="69"/>
      <c r="F361" s="94"/>
      <c r="G361" s="69"/>
    </row>
    <row r="362" spans="3:7" x14ac:dyDescent="0.25">
      <c r="C362" s="93"/>
      <c r="D362" s="69"/>
      <c r="E362" s="69"/>
      <c r="F362" s="94"/>
      <c r="G362" s="69"/>
    </row>
    <row r="363" spans="3:7" x14ac:dyDescent="0.25">
      <c r="C363" s="93"/>
      <c r="D363" s="69"/>
      <c r="E363" s="69"/>
      <c r="F363" s="94"/>
      <c r="G363" s="69"/>
    </row>
    <row r="364" spans="3:7" x14ac:dyDescent="0.25">
      <c r="C364" s="93"/>
      <c r="D364" s="69"/>
      <c r="E364" s="69"/>
      <c r="F364" s="94"/>
      <c r="G364" s="69"/>
    </row>
    <row r="365" spans="3:7" x14ac:dyDescent="0.25">
      <c r="C365" s="93"/>
      <c r="D365" s="69"/>
      <c r="E365" s="69"/>
      <c r="F365" s="94"/>
      <c r="G365" s="69"/>
    </row>
    <row r="366" spans="3:7" x14ac:dyDescent="0.25">
      <c r="C366" s="93"/>
      <c r="D366" s="69"/>
      <c r="E366" s="69"/>
      <c r="F366" s="94"/>
      <c r="G366" s="69"/>
    </row>
    <row r="367" spans="3:7" x14ac:dyDescent="0.25">
      <c r="C367" s="93"/>
      <c r="D367" s="69"/>
      <c r="E367" s="69"/>
      <c r="F367" s="94"/>
      <c r="G367" s="69"/>
    </row>
    <row r="368" spans="3:7" x14ac:dyDescent="0.25">
      <c r="C368" s="93"/>
      <c r="D368" s="69"/>
      <c r="E368" s="69"/>
      <c r="F368" s="94"/>
      <c r="G368" s="69"/>
    </row>
    <row r="369" spans="3:7" x14ac:dyDescent="0.25">
      <c r="C369" s="93"/>
      <c r="D369" s="69"/>
      <c r="E369" s="69"/>
      <c r="F369" s="94"/>
      <c r="G369" s="69"/>
    </row>
    <row r="370" spans="3:7" x14ac:dyDescent="0.25">
      <c r="C370" s="93"/>
      <c r="D370" s="69"/>
      <c r="E370" s="69"/>
      <c r="F370" s="94"/>
      <c r="G370" s="69"/>
    </row>
    <row r="371" spans="3:7" x14ac:dyDescent="0.25">
      <c r="C371" s="93"/>
      <c r="D371" s="69"/>
      <c r="E371" s="69"/>
      <c r="F371" s="94"/>
      <c r="G371" s="69"/>
    </row>
    <row r="372" spans="3:7" x14ac:dyDescent="0.25">
      <c r="C372" s="93"/>
      <c r="D372" s="69"/>
      <c r="E372" s="69"/>
      <c r="F372" s="94"/>
      <c r="G372" s="69"/>
    </row>
    <row r="373" spans="3:7" x14ac:dyDescent="0.25">
      <c r="C373" s="93"/>
      <c r="D373" s="69"/>
      <c r="E373" s="69"/>
      <c r="F373" s="94"/>
      <c r="G373" s="69"/>
    </row>
    <row r="374" spans="3:7" x14ac:dyDescent="0.25">
      <c r="C374" s="93"/>
      <c r="D374" s="69"/>
      <c r="E374" s="69"/>
      <c r="F374" s="94"/>
      <c r="G374" s="69"/>
    </row>
    <row r="375" spans="3:7" x14ac:dyDescent="0.25">
      <c r="C375" s="93"/>
      <c r="D375" s="69"/>
      <c r="E375" s="69"/>
      <c r="F375" s="94"/>
      <c r="G375" s="69"/>
    </row>
    <row r="376" spans="3:7" x14ac:dyDescent="0.25">
      <c r="C376" s="93"/>
      <c r="D376" s="69"/>
      <c r="E376" s="69"/>
      <c r="F376" s="94"/>
      <c r="G376" s="69"/>
    </row>
    <row r="377" spans="3:7" x14ac:dyDescent="0.25">
      <c r="C377" s="93"/>
      <c r="D377" s="69"/>
      <c r="E377" s="69"/>
      <c r="F377" s="94"/>
      <c r="G377" s="69"/>
    </row>
    <row r="378" spans="3:7" x14ac:dyDescent="0.25">
      <c r="C378" s="93"/>
      <c r="D378" s="69"/>
      <c r="E378" s="69"/>
      <c r="F378" s="94"/>
      <c r="G378" s="69"/>
    </row>
    <row r="379" spans="3:7" x14ac:dyDescent="0.25">
      <c r="C379" s="93"/>
      <c r="D379" s="69"/>
      <c r="E379" s="69"/>
      <c r="F379" s="94"/>
      <c r="G379" s="69"/>
    </row>
    <row r="380" spans="3:7" x14ac:dyDescent="0.25">
      <c r="C380" s="93"/>
      <c r="D380" s="69"/>
      <c r="E380" s="69"/>
      <c r="F380" s="94"/>
      <c r="G380" s="69"/>
    </row>
    <row r="381" spans="3:7" x14ac:dyDescent="0.25">
      <c r="C381" s="93"/>
      <c r="D381" s="69"/>
      <c r="E381" s="69"/>
      <c r="F381" s="94"/>
      <c r="G381" s="69"/>
    </row>
    <row r="382" spans="3:7" x14ac:dyDescent="0.25">
      <c r="C382" s="93"/>
      <c r="D382" s="69"/>
      <c r="E382" s="69"/>
      <c r="F382" s="94"/>
      <c r="G382" s="69"/>
    </row>
    <row r="383" spans="3:7" x14ac:dyDescent="0.25">
      <c r="C383" s="93"/>
      <c r="D383" s="69"/>
      <c r="E383" s="69"/>
      <c r="F383" s="94"/>
      <c r="G383" s="69"/>
    </row>
    <row r="384" spans="3:7" x14ac:dyDescent="0.25">
      <c r="C384" s="93"/>
      <c r="D384" s="69"/>
      <c r="E384" s="69"/>
      <c r="F384" s="94"/>
      <c r="G384" s="69"/>
    </row>
    <row r="385" spans="3:7" x14ac:dyDescent="0.25">
      <c r="C385" s="93"/>
      <c r="D385" s="69"/>
      <c r="E385" s="69"/>
      <c r="F385" s="94"/>
      <c r="G385" s="69"/>
    </row>
    <row r="386" spans="3:7" x14ac:dyDescent="0.25">
      <c r="C386" s="93"/>
      <c r="D386" s="69"/>
      <c r="E386" s="69"/>
      <c r="F386" s="94"/>
      <c r="G386" s="69"/>
    </row>
    <row r="387" spans="3:7" x14ac:dyDescent="0.25">
      <c r="C387" s="93"/>
      <c r="D387" s="69"/>
      <c r="E387" s="69"/>
      <c r="F387" s="94"/>
      <c r="G387" s="69"/>
    </row>
    <row r="388" spans="3:7" x14ac:dyDescent="0.25">
      <c r="C388" s="93"/>
      <c r="D388" s="69"/>
      <c r="E388" s="69"/>
      <c r="F388" s="94"/>
      <c r="G388" s="69"/>
    </row>
    <row r="389" spans="3:7" x14ac:dyDescent="0.25">
      <c r="C389" s="93"/>
      <c r="D389" s="69"/>
      <c r="E389" s="69"/>
      <c r="F389" s="94"/>
      <c r="G389" s="69"/>
    </row>
    <row r="390" spans="3:7" x14ac:dyDescent="0.25">
      <c r="C390" s="93"/>
      <c r="D390" s="69"/>
      <c r="E390" s="69"/>
      <c r="F390" s="94"/>
      <c r="G390" s="69"/>
    </row>
    <row r="391" spans="3:7" x14ac:dyDescent="0.25">
      <c r="C391" s="93"/>
      <c r="D391" s="69"/>
      <c r="E391" s="69"/>
      <c r="F391" s="94"/>
      <c r="G391" s="69"/>
    </row>
    <row r="392" spans="3:7" x14ac:dyDescent="0.25">
      <c r="C392" s="93"/>
      <c r="D392" s="69"/>
      <c r="E392" s="69"/>
      <c r="F392" s="94"/>
      <c r="G392" s="69"/>
    </row>
    <row r="393" spans="3:7" x14ac:dyDescent="0.25">
      <c r="C393" s="93"/>
      <c r="D393" s="69"/>
      <c r="E393" s="69"/>
      <c r="F393" s="94"/>
      <c r="G393" s="69"/>
    </row>
    <row r="394" spans="3:7" x14ac:dyDescent="0.25">
      <c r="C394" s="93"/>
      <c r="D394" s="69"/>
      <c r="E394" s="69"/>
      <c r="F394" s="94"/>
      <c r="G394" s="69"/>
    </row>
    <row r="395" spans="3:7" x14ac:dyDescent="0.25">
      <c r="C395" s="93"/>
      <c r="D395" s="69"/>
      <c r="E395" s="69"/>
      <c r="F395" s="94"/>
      <c r="G395" s="69"/>
    </row>
    <row r="396" spans="3:7" x14ac:dyDescent="0.25">
      <c r="C396" s="93"/>
      <c r="D396" s="69"/>
      <c r="E396" s="69"/>
      <c r="F396" s="94"/>
      <c r="G396" s="69"/>
    </row>
    <row r="397" spans="3:7" x14ac:dyDescent="0.25">
      <c r="C397" s="93"/>
      <c r="D397" s="69"/>
      <c r="E397" s="69"/>
      <c r="F397" s="94"/>
      <c r="G397" s="69"/>
    </row>
    <row r="398" spans="3:7" x14ac:dyDescent="0.25">
      <c r="C398" s="93"/>
      <c r="D398" s="69"/>
      <c r="E398" s="69"/>
      <c r="F398" s="94"/>
      <c r="G398" s="69"/>
    </row>
    <row r="399" spans="3:7" x14ac:dyDescent="0.25">
      <c r="C399" s="93"/>
      <c r="D399" s="69"/>
      <c r="E399" s="69"/>
      <c r="F399" s="94"/>
      <c r="G399" s="69"/>
    </row>
    <row r="400" spans="3:7" x14ac:dyDescent="0.25">
      <c r="C400" s="93"/>
      <c r="D400" s="69"/>
      <c r="E400" s="69"/>
      <c r="F400" s="94"/>
      <c r="G400" s="69"/>
    </row>
    <row r="401" spans="3:7" x14ac:dyDescent="0.25">
      <c r="C401" s="87"/>
      <c r="D401" s="98"/>
      <c r="E401" s="98"/>
      <c r="F401" s="98"/>
      <c r="G401" s="98"/>
    </row>
    <row r="402" spans="3:7" x14ac:dyDescent="0.25">
      <c r="C402" s="87"/>
      <c r="D402" s="98"/>
      <c r="E402" s="98"/>
      <c r="F402" s="98"/>
      <c r="G402" s="98"/>
    </row>
    <row r="403" spans="3:7" x14ac:dyDescent="0.25">
      <c r="C403" s="87"/>
      <c r="D403" s="98"/>
      <c r="E403" s="98"/>
      <c r="F403" s="98"/>
      <c r="G403" s="98"/>
    </row>
    <row r="404" spans="3:7" x14ac:dyDescent="0.25">
      <c r="C404" s="87"/>
      <c r="D404" s="98"/>
      <c r="E404" s="98"/>
      <c r="F404" s="98"/>
      <c r="G404" s="98"/>
    </row>
    <row r="405" spans="3:7" x14ac:dyDescent="0.25">
      <c r="C405" s="87"/>
      <c r="D405" s="98"/>
      <c r="E405" s="98"/>
      <c r="F405" s="98"/>
      <c r="G405" s="98"/>
    </row>
    <row r="406" spans="3:7" x14ac:dyDescent="0.25">
      <c r="C406" s="87"/>
      <c r="D406" s="98"/>
      <c r="E406" s="98"/>
      <c r="F406" s="98"/>
      <c r="G406" s="98"/>
    </row>
    <row r="407" spans="3:7" x14ac:dyDescent="0.25">
      <c r="C407" s="87"/>
      <c r="D407" s="98"/>
      <c r="E407" s="98"/>
      <c r="F407" s="98"/>
      <c r="G407" s="98"/>
    </row>
    <row r="408" spans="3:7" x14ac:dyDescent="0.25">
      <c r="C408" s="87"/>
      <c r="D408" s="98"/>
      <c r="E408" s="98"/>
      <c r="F408" s="98"/>
      <c r="G408" s="98"/>
    </row>
    <row r="409" spans="3:7" x14ac:dyDescent="0.25">
      <c r="C409" s="87"/>
      <c r="D409" s="98"/>
      <c r="E409" s="98"/>
      <c r="F409" s="98"/>
      <c r="G409" s="98"/>
    </row>
    <row r="410" spans="3:7" x14ac:dyDescent="0.25">
      <c r="C410" s="87"/>
      <c r="D410" s="98"/>
      <c r="E410" s="98"/>
      <c r="F410" s="98"/>
      <c r="G410" s="98"/>
    </row>
    <row r="411" spans="3:7" x14ac:dyDescent="0.25">
      <c r="C411" s="87"/>
      <c r="D411" s="98"/>
      <c r="E411" s="98"/>
      <c r="F411" s="98"/>
      <c r="G411" s="98"/>
    </row>
    <row r="412" spans="3:7" x14ac:dyDescent="0.25">
      <c r="C412" s="87"/>
      <c r="D412" s="98"/>
      <c r="E412" s="98"/>
      <c r="F412" s="98"/>
      <c r="G412" s="98"/>
    </row>
    <row r="413" spans="3:7" x14ac:dyDescent="0.25">
      <c r="C413" s="87"/>
      <c r="D413" s="98"/>
      <c r="E413" s="98"/>
      <c r="F413" s="98"/>
      <c r="G413" s="98"/>
    </row>
    <row r="414" spans="3:7" x14ac:dyDescent="0.25">
      <c r="C414" s="87"/>
      <c r="D414" s="98"/>
      <c r="E414" s="98"/>
      <c r="F414" s="98"/>
      <c r="G414" s="98"/>
    </row>
    <row r="415" spans="3:7" x14ac:dyDescent="0.25">
      <c r="C415" s="87"/>
      <c r="D415" s="98"/>
      <c r="E415" s="98"/>
      <c r="F415" s="98"/>
      <c r="G415" s="98"/>
    </row>
    <row r="416" spans="3:7" x14ac:dyDescent="0.25">
      <c r="C416" s="87"/>
      <c r="D416" s="98"/>
      <c r="E416" s="98"/>
      <c r="F416" s="98"/>
      <c r="G416" s="98"/>
    </row>
    <row r="417" spans="3:7" x14ac:dyDescent="0.25">
      <c r="C417" s="87"/>
      <c r="D417" s="98"/>
      <c r="E417" s="98"/>
      <c r="F417" s="98"/>
      <c r="G417" s="98"/>
    </row>
    <row r="418" spans="3:7" x14ac:dyDescent="0.25">
      <c r="C418" s="87"/>
      <c r="D418" s="98"/>
      <c r="E418" s="98"/>
      <c r="F418" s="98"/>
      <c r="G418" s="98"/>
    </row>
    <row r="419" spans="3:7" x14ac:dyDescent="0.25">
      <c r="C419" s="87"/>
      <c r="D419" s="98"/>
      <c r="E419" s="98"/>
      <c r="F419" s="98"/>
      <c r="G419" s="98"/>
    </row>
    <row r="420" spans="3:7" x14ac:dyDescent="0.25">
      <c r="C420" s="87"/>
      <c r="D420" s="98"/>
      <c r="E420" s="98"/>
      <c r="F420" s="98"/>
      <c r="G420" s="98"/>
    </row>
    <row r="421" spans="3:7" x14ac:dyDescent="0.25">
      <c r="C421" s="87"/>
      <c r="D421" s="98"/>
      <c r="E421" s="98"/>
      <c r="F421" s="98"/>
      <c r="G421" s="98"/>
    </row>
    <row r="422" spans="3:7" x14ac:dyDescent="0.25">
      <c r="C422" s="87"/>
      <c r="D422" s="98"/>
      <c r="E422" s="98"/>
      <c r="F422" s="98"/>
      <c r="G422" s="98"/>
    </row>
    <row r="423" spans="3:7" x14ac:dyDescent="0.25">
      <c r="C423" s="87"/>
      <c r="D423" s="98"/>
      <c r="E423" s="98"/>
      <c r="F423" s="98"/>
      <c r="G423" s="98"/>
    </row>
    <row r="424" spans="3:7" x14ac:dyDescent="0.25">
      <c r="C424" s="87"/>
      <c r="D424" s="98"/>
      <c r="E424" s="98"/>
      <c r="F424" s="98"/>
      <c r="G424" s="98"/>
    </row>
    <row r="425" spans="3:7" x14ac:dyDescent="0.25">
      <c r="C425" s="87"/>
      <c r="D425" s="98"/>
      <c r="E425" s="98"/>
      <c r="F425" s="98"/>
      <c r="G425" s="98"/>
    </row>
    <row r="426" spans="3:7" x14ac:dyDescent="0.25">
      <c r="C426" s="87"/>
      <c r="D426" s="98"/>
      <c r="E426" s="98"/>
      <c r="F426" s="98"/>
      <c r="G426" s="98"/>
    </row>
    <row r="427" spans="3:7" x14ac:dyDescent="0.25">
      <c r="C427" s="87"/>
      <c r="D427" s="98"/>
      <c r="E427" s="98"/>
      <c r="F427" s="98"/>
      <c r="G427" s="98"/>
    </row>
    <row r="428" spans="3:7" x14ac:dyDescent="0.25">
      <c r="C428" s="87"/>
      <c r="D428" s="98"/>
      <c r="E428" s="98"/>
      <c r="F428" s="98"/>
      <c r="G428" s="98"/>
    </row>
    <row r="429" spans="3:7" x14ac:dyDescent="0.25">
      <c r="C429" s="87"/>
      <c r="D429" s="98"/>
      <c r="E429" s="98"/>
      <c r="F429" s="98"/>
      <c r="G429" s="98"/>
    </row>
    <row r="430" spans="3:7" x14ac:dyDescent="0.25">
      <c r="C430" s="87"/>
      <c r="D430" s="98"/>
      <c r="E430" s="98"/>
      <c r="F430" s="98"/>
      <c r="G430" s="98"/>
    </row>
    <row r="431" spans="3:7" x14ac:dyDescent="0.25">
      <c r="C431" s="87"/>
      <c r="D431" s="98"/>
      <c r="E431" s="98"/>
      <c r="F431" s="98"/>
      <c r="G431" s="98"/>
    </row>
    <row r="432" spans="3:7" x14ac:dyDescent="0.25">
      <c r="C432" s="87"/>
      <c r="D432" s="98"/>
      <c r="E432" s="98"/>
      <c r="F432" s="98"/>
      <c r="G432" s="98"/>
    </row>
    <row r="433" spans="3:7" x14ac:dyDescent="0.25">
      <c r="C433" s="87"/>
      <c r="D433" s="98"/>
      <c r="E433" s="98"/>
      <c r="F433" s="98"/>
      <c r="G433" s="98"/>
    </row>
    <row r="434" spans="3:7" x14ac:dyDescent="0.25">
      <c r="C434" s="87"/>
      <c r="D434" s="98"/>
      <c r="E434" s="98"/>
      <c r="F434" s="98"/>
      <c r="G434" s="98"/>
    </row>
    <row r="435" spans="3:7" x14ac:dyDescent="0.25">
      <c r="C435" s="87"/>
      <c r="D435" s="98"/>
      <c r="E435" s="98"/>
      <c r="F435" s="98"/>
      <c r="G435" s="98"/>
    </row>
    <row r="436" spans="3:7" x14ac:dyDescent="0.25">
      <c r="C436" s="87"/>
      <c r="D436" s="98"/>
      <c r="E436" s="98"/>
      <c r="F436" s="98"/>
      <c r="G436" s="98"/>
    </row>
    <row r="437" spans="3:7" x14ac:dyDescent="0.25">
      <c r="C437" s="87"/>
      <c r="D437" s="98"/>
      <c r="E437" s="98"/>
      <c r="F437" s="98"/>
      <c r="G437" s="98"/>
    </row>
    <row r="438" spans="3:7" x14ac:dyDescent="0.25">
      <c r="C438" s="87"/>
      <c r="D438" s="98"/>
      <c r="E438" s="98"/>
      <c r="F438" s="98"/>
      <c r="G438" s="98"/>
    </row>
    <row r="439" spans="3:7" x14ac:dyDescent="0.25">
      <c r="C439" s="87"/>
      <c r="D439" s="98"/>
      <c r="E439" s="98"/>
      <c r="F439" s="98"/>
      <c r="G439" s="98"/>
    </row>
    <row r="440" spans="3:7" x14ac:dyDescent="0.25">
      <c r="C440" s="87"/>
      <c r="D440" s="98"/>
      <c r="E440" s="98"/>
      <c r="F440" s="98"/>
      <c r="G440" s="98"/>
    </row>
    <row r="441" spans="3:7" x14ac:dyDescent="0.25">
      <c r="C441" s="87"/>
      <c r="D441" s="98"/>
      <c r="E441" s="98"/>
      <c r="F441" s="98"/>
      <c r="G441" s="98"/>
    </row>
    <row r="442" spans="3:7" x14ac:dyDescent="0.25">
      <c r="C442" s="87"/>
      <c r="D442" s="98"/>
      <c r="E442" s="98"/>
      <c r="F442" s="98"/>
      <c r="G442" s="98"/>
    </row>
    <row r="443" spans="3:7" x14ac:dyDescent="0.25">
      <c r="C443" s="87"/>
      <c r="D443" s="98"/>
      <c r="E443" s="98"/>
      <c r="F443" s="98"/>
      <c r="G443" s="98"/>
    </row>
    <row r="444" spans="3:7" x14ac:dyDescent="0.25">
      <c r="C444" s="87"/>
      <c r="D444" s="98"/>
      <c r="E444" s="98"/>
      <c r="F444" s="98"/>
      <c r="G444" s="98"/>
    </row>
    <row r="445" spans="3:7" x14ac:dyDescent="0.25">
      <c r="C445" s="87"/>
      <c r="D445" s="98"/>
      <c r="E445" s="98"/>
      <c r="F445" s="98"/>
      <c r="G445" s="98"/>
    </row>
    <row r="446" spans="3:7" x14ac:dyDescent="0.25">
      <c r="C446" s="87"/>
      <c r="D446" s="98"/>
      <c r="E446" s="98"/>
      <c r="F446" s="98"/>
      <c r="G446" s="98"/>
    </row>
    <row r="447" spans="3:7" x14ac:dyDescent="0.25">
      <c r="C447" s="87"/>
      <c r="D447" s="98"/>
      <c r="E447" s="98"/>
      <c r="F447" s="98"/>
      <c r="G447" s="98"/>
    </row>
    <row r="448" spans="3:7" x14ac:dyDescent="0.25">
      <c r="C448" s="87"/>
      <c r="D448" s="98"/>
      <c r="E448" s="98"/>
      <c r="F448" s="98"/>
      <c r="G448" s="98"/>
    </row>
    <row r="449" spans="3:7" x14ac:dyDescent="0.25">
      <c r="C449" s="87"/>
      <c r="D449" s="98"/>
      <c r="E449" s="98"/>
      <c r="F449" s="98"/>
      <c r="G449" s="98"/>
    </row>
    <row r="450" spans="3:7" x14ac:dyDescent="0.25">
      <c r="C450" s="87"/>
      <c r="D450" s="98"/>
      <c r="E450" s="98"/>
      <c r="F450" s="98"/>
      <c r="G450" s="98"/>
    </row>
    <row r="451" spans="3:7" x14ac:dyDescent="0.25">
      <c r="C451" s="87"/>
      <c r="D451" s="98"/>
      <c r="E451" s="98"/>
      <c r="F451" s="98"/>
      <c r="G451" s="98"/>
    </row>
    <row r="452" spans="3:7" x14ac:dyDescent="0.25">
      <c r="C452" s="87"/>
      <c r="D452" s="98"/>
      <c r="E452" s="98"/>
      <c r="F452" s="98"/>
      <c r="G452" s="98"/>
    </row>
    <row r="453" spans="3:7" x14ac:dyDescent="0.25">
      <c r="C453" s="87"/>
      <c r="D453" s="98"/>
      <c r="E453" s="98"/>
      <c r="F453" s="98"/>
      <c r="G453" s="98"/>
    </row>
    <row r="454" spans="3:7" x14ac:dyDescent="0.25">
      <c r="C454" s="87"/>
      <c r="D454" s="98"/>
      <c r="E454" s="98"/>
      <c r="F454" s="98"/>
      <c r="G454" s="98"/>
    </row>
    <row r="455" spans="3:7" x14ac:dyDescent="0.25">
      <c r="C455" s="87"/>
      <c r="D455" s="98"/>
      <c r="E455" s="98"/>
      <c r="F455" s="98"/>
      <c r="G455" s="98"/>
    </row>
    <row r="456" spans="3:7" x14ac:dyDescent="0.25">
      <c r="C456" s="87"/>
      <c r="D456" s="98"/>
      <c r="E456" s="98"/>
      <c r="F456" s="98"/>
      <c r="G456" s="98"/>
    </row>
    <row r="457" spans="3:7" x14ac:dyDescent="0.25">
      <c r="C457" s="87"/>
      <c r="D457" s="98"/>
      <c r="E457" s="98"/>
      <c r="F457" s="98"/>
      <c r="G457" s="98"/>
    </row>
    <row r="458" spans="3:7" x14ac:dyDescent="0.25">
      <c r="C458" s="87"/>
      <c r="D458" s="98"/>
      <c r="E458" s="98"/>
      <c r="F458" s="98"/>
      <c r="G458" s="98"/>
    </row>
    <row r="459" spans="3:7" x14ac:dyDescent="0.25">
      <c r="C459" s="87"/>
      <c r="D459" s="98"/>
      <c r="E459" s="98"/>
      <c r="F459" s="98"/>
      <c r="G459" s="98"/>
    </row>
    <row r="460" spans="3:7" x14ac:dyDescent="0.25">
      <c r="C460" s="87"/>
      <c r="D460" s="98"/>
      <c r="E460" s="98"/>
      <c r="F460" s="98"/>
      <c r="G460" s="98"/>
    </row>
    <row r="461" spans="3:7" x14ac:dyDescent="0.25">
      <c r="C461" s="87"/>
      <c r="D461" s="98"/>
      <c r="E461" s="98"/>
      <c r="F461" s="98"/>
      <c r="G461" s="98"/>
    </row>
    <row r="462" spans="3:7" x14ac:dyDescent="0.25">
      <c r="C462" s="87"/>
      <c r="D462" s="98"/>
      <c r="E462" s="98"/>
      <c r="F462" s="98"/>
      <c r="G462" s="98"/>
    </row>
    <row r="463" spans="3:7" x14ac:dyDescent="0.25">
      <c r="C463" s="87"/>
      <c r="D463" s="98"/>
      <c r="E463" s="98"/>
      <c r="F463" s="98"/>
      <c r="G463" s="98"/>
    </row>
    <row r="464" spans="3:7" x14ac:dyDescent="0.25">
      <c r="C464" s="87"/>
      <c r="D464" s="98"/>
      <c r="E464" s="98"/>
      <c r="F464" s="98"/>
      <c r="G464" s="98"/>
    </row>
    <row r="465" spans="3:7" x14ac:dyDescent="0.25">
      <c r="C465" s="87"/>
      <c r="D465" s="98"/>
      <c r="E465" s="98"/>
      <c r="F465" s="98"/>
      <c r="G465" s="98"/>
    </row>
    <row r="466" spans="3:7" x14ac:dyDescent="0.25">
      <c r="C466" s="87"/>
      <c r="D466" s="98"/>
      <c r="E466" s="98"/>
      <c r="F466" s="98"/>
      <c r="G466" s="98"/>
    </row>
    <row r="467" spans="3:7" x14ac:dyDescent="0.25">
      <c r="C467" s="87"/>
      <c r="D467" s="98"/>
      <c r="E467" s="98"/>
      <c r="F467" s="98"/>
      <c r="G467" s="98"/>
    </row>
    <row r="468" spans="3:7" x14ac:dyDescent="0.25">
      <c r="C468" s="87"/>
      <c r="D468" s="98"/>
      <c r="E468" s="98"/>
      <c r="F468" s="98"/>
      <c r="G468" s="98"/>
    </row>
    <row r="469" spans="3:7" x14ac:dyDescent="0.25">
      <c r="C469" s="87"/>
      <c r="D469" s="98"/>
      <c r="E469" s="98"/>
      <c r="F469" s="98"/>
      <c r="G469" s="98"/>
    </row>
    <row r="470" spans="3:7" x14ac:dyDescent="0.25">
      <c r="C470" s="87"/>
      <c r="D470" s="98"/>
      <c r="E470" s="98"/>
      <c r="F470" s="98"/>
      <c r="G470" s="98"/>
    </row>
    <row r="471" spans="3:7" x14ac:dyDescent="0.25">
      <c r="C471" s="87"/>
      <c r="D471" s="98"/>
      <c r="E471" s="98"/>
      <c r="F471" s="98"/>
      <c r="G471" s="98"/>
    </row>
    <row r="472" spans="3:7" x14ac:dyDescent="0.25">
      <c r="C472" s="87"/>
      <c r="D472" s="98"/>
      <c r="E472" s="98"/>
      <c r="F472" s="98"/>
      <c r="G472" s="98"/>
    </row>
    <row r="473" spans="3:7" x14ac:dyDescent="0.25">
      <c r="C473" s="87"/>
      <c r="D473" s="98"/>
      <c r="E473" s="98"/>
      <c r="F473" s="98"/>
      <c r="G473" s="98"/>
    </row>
    <row r="474" spans="3:7" x14ac:dyDescent="0.25">
      <c r="C474" s="87"/>
      <c r="D474" s="98"/>
      <c r="E474" s="98"/>
      <c r="F474" s="98"/>
      <c r="G474" s="98"/>
    </row>
    <row r="475" spans="3:7" x14ac:dyDescent="0.25">
      <c r="C475" s="87"/>
      <c r="D475" s="98"/>
      <c r="E475" s="98"/>
      <c r="F475" s="98"/>
      <c r="G475" s="98"/>
    </row>
    <row r="476" spans="3:7" x14ac:dyDescent="0.25">
      <c r="C476" s="87"/>
      <c r="D476" s="98"/>
      <c r="E476" s="98"/>
      <c r="F476" s="98"/>
      <c r="G476" s="98"/>
    </row>
    <row r="477" spans="3:7" x14ac:dyDescent="0.25">
      <c r="C477" s="87"/>
      <c r="D477" s="98"/>
      <c r="E477" s="98"/>
      <c r="F477" s="98"/>
      <c r="G477" s="98"/>
    </row>
    <row r="478" spans="3:7" x14ac:dyDescent="0.25">
      <c r="C478" s="87"/>
      <c r="D478" s="98"/>
      <c r="E478" s="98"/>
      <c r="F478" s="98"/>
      <c r="G478" s="98"/>
    </row>
    <row r="479" spans="3:7" x14ac:dyDescent="0.25">
      <c r="C479" s="87"/>
      <c r="D479" s="98"/>
      <c r="E479" s="98"/>
      <c r="F479" s="98"/>
      <c r="G479" s="98"/>
    </row>
    <row r="480" spans="3:7" x14ac:dyDescent="0.25">
      <c r="C480" s="87"/>
      <c r="D480" s="98"/>
      <c r="E480" s="98"/>
      <c r="F480" s="98"/>
      <c r="G480" s="98"/>
    </row>
    <row r="481" spans="3:7" x14ac:dyDescent="0.25">
      <c r="C481" s="87"/>
      <c r="D481" s="98"/>
      <c r="E481" s="98"/>
      <c r="F481" s="98"/>
      <c r="G481" s="98"/>
    </row>
    <row r="482" spans="3:7" x14ac:dyDescent="0.25">
      <c r="C482" s="87"/>
      <c r="D482" s="98"/>
      <c r="E482" s="98"/>
      <c r="F482" s="98"/>
      <c r="G482" s="98"/>
    </row>
    <row r="483" spans="3:7" x14ac:dyDescent="0.25">
      <c r="C483" s="87"/>
      <c r="D483" s="98"/>
      <c r="E483" s="98"/>
      <c r="F483" s="98"/>
      <c r="G483" s="98"/>
    </row>
    <row r="484" spans="3:7" x14ac:dyDescent="0.25">
      <c r="C484" s="87"/>
      <c r="D484" s="98"/>
      <c r="E484" s="98"/>
      <c r="F484" s="98"/>
      <c r="G484" s="98"/>
    </row>
    <row r="485" spans="3:7" x14ac:dyDescent="0.25">
      <c r="C485" s="87"/>
      <c r="D485" s="98"/>
      <c r="E485" s="98"/>
      <c r="F485" s="98"/>
      <c r="G485" s="98"/>
    </row>
    <row r="486" spans="3:7" x14ac:dyDescent="0.25">
      <c r="C486" s="87"/>
      <c r="D486" s="98"/>
      <c r="E486" s="98"/>
      <c r="F486" s="98"/>
      <c r="G486" s="98"/>
    </row>
    <row r="487" spans="3:7" x14ac:dyDescent="0.25">
      <c r="C487" s="87"/>
      <c r="D487" s="98"/>
      <c r="E487" s="98"/>
      <c r="F487" s="98"/>
      <c r="G487" s="98"/>
    </row>
    <row r="488" spans="3:7" x14ac:dyDescent="0.25">
      <c r="C488" s="87"/>
      <c r="D488" s="98"/>
      <c r="E488" s="98"/>
      <c r="F488" s="98"/>
      <c r="G488" s="98"/>
    </row>
    <row r="489" spans="3:7" x14ac:dyDescent="0.25">
      <c r="C489" s="87"/>
      <c r="D489" s="98"/>
      <c r="E489" s="98"/>
      <c r="F489" s="98"/>
      <c r="G489" s="98"/>
    </row>
    <row r="490" spans="3:7" x14ac:dyDescent="0.25">
      <c r="C490" s="87"/>
      <c r="D490" s="98"/>
      <c r="E490" s="98"/>
      <c r="F490" s="98"/>
      <c r="G490" s="98"/>
    </row>
    <row r="491" spans="3:7" x14ac:dyDescent="0.25">
      <c r="C491" s="87"/>
      <c r="D491" s="98"/>
      <c r="E491" s="98"/>
      <c r="F491" s="98"/>
      <c r="G491" s="98"/>
    </row>
    <row r="492" spans="3:7" x14ac:dyDescent="0.25">
      <c r="C492" s="87"/>
      <c r="D492" s="98"/>
      <c r="E492" s="98"/>
      <c r="F492" s="98"/>
      <c r="G492" s="98"/>
    </row>
    <row r="493" spans="3:7" x14ac:dyDescent="0.25">
      <c r="C493" s="87"/>
      <c r="D493" s="98"/>
      <c r="E493" s="98"/>
      <c r="F493" s="98"/>
      <c r="G493" s="98"/>
    </row>
    <row r="494" spans="3:7" x14ac:dyDescent="0.25">
      <c r="C494" s="87"/>
      <c r="D494" s="98"/>
      <c r="E494" s="98"/>
      <c r="F494" s="98"/>
      <c r="G494" s="98"/>
    </row>
    <row r="495" spans="3:7" x14ac:dyDescent="0.25">
      <c r="C495" s="87"/>
      <c r="D495" s="98"/>
      <c r="E495" s="98"/>
      <c r="F495" s="98"/>
      <c r="G495" s="98"/>
    </row>
    <row r="496" spans="3:7" x14ac:dyDescent="0.25">
      <c r="C496" s="87"/>
      <c r="D496" s="98"/>
      <c r="E496" s="98"/>
      <c r="F496" s="98"/>
      <c r="G496" s="98"/>
    </row>
    <row r="497" spans="3:7" x14ac:dyDescent="0.25">
      <c r="C497" s="87"/>
      <c r="D497" s="98"/>
      <c r="E497" s="98"/>
      <c r="F497" s="98"/>
      <c r="G497" s="98"/>
    </row>
    <row r="498" spans="3:7" x14ac:dyDescent="0.25">
      <c r="C498" s="87"/>
      <c r="D498" s="98"/>
      <c r="E498" s="98"/>
      <c r="F498" s="98"/>
      <c r="G498" s="98"/>
    </row>
    <row r="499" spans="3:7" x14ac:dyDescent="0.25">
      <c r="C499" s="87"/>
      <c r="D499" s="98"/>
      <c r="E499" s="98"/>
      <c r="F499" s="98"/>
      <c r="G499" s="98"/>
    </row>
    <row r="500" spans="3:7" x14ac:dyDescent="0.25">
      <c r="C500" s="87"/>
      <c r="D500" s="98"/>
      <c r="E500" s="98"/>
      <c r="F500" s="98"/>
      <c r="G500" s="98"/>
    </row>
    <row r="501" spans="3:7" x14ac:dyDescent="0.25">
      <c r="C501" s="87"/>
      <c r="D501" s="98"/>
      <c r="E501" s="98"/>
      <c r="F501" s="98"/>
      <c r="G501" s="98"/>
    </row>
    <row r="502" spans="3:7" x14ac:dyDescent="0.25">
      <c r="C502" s="87"/>
      <c r="D502" s="98"/>
      <c r="E502" s="98"/>
      <c r="F502" s="98"/>
      <c r="G502" s="98"/>
    </row>
    <row r="503" spans="3:7" x14ac:dyDescent="0.25">
      <c r="C503" s="87"/>
      <c r="D503" s="98"/>
      <c r="E503" s="98"/>
      <c r="F503" s="98"/>
      <c r="G503" s="98"/>
    </row>
    <row r="504" spans="3:7" x14ac:dyDescent="0.25">
      <c r="C504" s="87"/>
      <c r="D504" s="98"/>
      <c r="E504" s="98"/>
      <c r="F504" s="98"/>
      <c r="G504" s="98"/>
    </row>
    <row r="505" spans="3:7" x14ac:dyDescent="0.25">
      <c r="C505" s="87"/>
      <c r="D505" s="98"/>
      <c r="E505" s="98"/>
      <c r="F505" s="98"/>
      <c r="G505" s="98"/>
    </row>
    <row r="506" spans="3:7" x14ac:dyDescent="0.25">
      <c r="C506" s="87"/>
      <c r="D506" s="98"/>
      <c r="E506" s="98"/>
      <c r="F506" s="98"/>
      <c r="G506" s="98"/>
    </row>
    <row r="507" spans="3:7" x14ac:dyDescent="0.25">
      <c r="C507" s="87"/>
      <c r="D507" s="98"/>
      <c r="E507" s="98"/>
      <c r="F507" s="98"/>
      <c r="G507" s="98"/>
    </row>
    <row r="508" spans="3:7" x14ac:dyDescent="0.25">
      <c r="C508" s="87"/>
      <c r="D508" s="98"/>
      <c r="E508" s="98"/>
      <c r="F508" s="98"/>
      <c r="G508" s="98"/>
    </row>
    <row r="509" spans="3:7" x14ac:dyDescent="0.25">
      <c r="C509" s="87"/>
      <c r="D509" s="98"/>
      <c r="E509" s="98"/>
      <c r="F509" s="98"/>
      <c r="G509" s="98"/>
    </row>
    <row r="510" spans="3:7" x14ac:dyDescent="0.25">
      <c r="C510" s="87"/>
      <c r="D510" s="98"/>
      <c r="E510" s="98"/>
      <c r="F510" s="98"/>
      <c r="G510" s="98"/>
    </row>
    <row r="511" spans="3:7" x14ac:dyDescent="0.25">
      <c r="C511" s="87"/>
      <c r="D511" s="98"/>
      <c r="E511" s="98"/>
      <c r="F511" s="98"/>
      <c r="G511" s="98"/>
    </row>
    <row r="512" spans="3:7" x14ac:dyDescent="0.25">
      <c r="C512" s="87"/>
      <c r="D512" s="98"/>
      <c r="E512" s="98"/>
      <c r="F512" s="98"/>
      <c r="G512" s="98"/>
    </row>
  </sheetData>
  <mergeCells count="2">
    <mergeCell ref="F3:G3"/>
    <mergeCell ref="N5:O5"/>
  </mergeCells>
  <conditionalFormatting sqref="C48:C400">
    <cfRule type="expression" dxfId="377" priority="1">
      <formula>C48&lt;&gt;""</formula>
    </cfRule>
  </conditionalFormatting>
  <conditionalFormatting sqref="C13:G13">
    <cfRule type="expression" dxfId="376" priority="2">
      <formula>$C$13=0</formula>
    </cfRule>
  </conditionalFormatting>
  <conditionalFormatting sqref="C401:G512">
    <cfRule type="expression" dxfId="375" priority="4">
      <formula>C401&lt;&gt;""</formula>
    </cfRule>
  </conditionalFormatting>
  <dataValidations count="1">
    <dataValidation type="list" allowBlank="1" showInputMessage="1" showErrorMessage="1" sqref="D6" xr:uid="{00000000-0002-0000-0000-000000000000}">
      <formula1>"Mensual, Bimensual, Trimestral, Cuatrimestral, Semestral, Anual"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O512"/>
  <sheetViews>
    <sheetView workbookViewId="0"/>
  </sheetViews>
  <sheetFormatPr baseColWidth="10" defaultColWidth="11.42578125" defaultRowHeight="15" x14ac:dyDescent="0.25"/>
  <cols>
    <col min="1" max="1" width="10.140625" style="72" customWidth="1"/>
    <col min="2" max="2" width="5" style="72" customWidth="1"/>
    <col min="3" max="3" width="29" style="72" customWidth="1"/>
    <col min="4" max="4" width="20.5703125" style="72" customWidth="1"/>
    <col min="5" max="5" width="19.85546875" style="72" bestFit="1" customWidth="1"/>
    <col min="6" max="6" width="18" style="72" bestFit="1" customWidth="1"/>
    <col min="7" max="7" width="18" style="72" customWidth="1"/>
    <col min="8" max="9" width="13" style="72" bestFit="1" customWidth="1"/>
    <col min="10" max="13" width="11.42578125" style="72"/>
    <col min="14" max="14" width="32.28515625" style="72" bestFit="1" customWidth="1"/>
    <col min="15" max="16384" width="11.42578125" style="72"/>
  </cols>
  <sheetData>
    <row r="1" spans="1:15" s="70" customFormat="1" ht="27.6" customHeight="1" x14ac:dyDescent="0.25"/>
    <row r="2" spans="1:15" x14ac:dyDescent="0.25">
      <c r="A2" s="71"/>
    </row>
    <row r="3" spans="1:15" x14ac:dyDescent="0.25">
      <c r="A3" s="71"/>
      <c r="C3" s="73" t="s">
        <v>188</v>
      </c>
      <c r="D3" s="74">
        <f>3000000+650000+1200000</f>
        <v>4850000</v>
      </c>
      <c r="F3" s="463" t="s">
        <v>189</v>
      </c>
      <c r="G3" s="463"/>
    </row>
    <row r="4" spans="1:15" x14ac:dyDescent="0.25">
      <c r="A4" s="71"/>
      <c r="C4" s="75" t="s">
        <v>190</v>
      </c>
      <c r="D4" s="76">
        <v>0.28920000000000001</v>
      </c>
      <c r="F4" s="77" t="s">
        <v>191</v>
      </c>
      <c r="G4" s="78">
        <f>D3</f>
        <v>4850000</v>
      </c>
    </row>
    <row r="5" spans="1:15" x14ac:dyDescent="0.25">
      <c r="C5" s="75" t="s">
        <v>54</v>
      </c>
      <c r="D5" s="74">
        <v>2</v>
      </c>
      <c r="F5" s="77" t="s">
        <v>192</v>
      </c>
      <c r="G5" s="78">
        <f>SUM($D$14:$D$400)</f>
        <v>6443717.7158159604</v>
      </c>
      <c r="N5" s="464" t="s">
        <v>193</v>
      </c>
      <c r="O5" s="464"/>
    </row>
    <row r="6" spans="1:15" ht="15.75" x14ac:dyDescent="0.25">
      <c r="C6" s="75" t="s">
        <v>194</v>
      </c>
      <c r="D6" s="79" t="s">
        <v>195</v>
      </c>
      <c r="F6" s="77" t="s">
        <v>196</v>
      </c>
      <c r="G6" s="78">
        <f>SUM($E$14:$E$400)</f>
        <v>1593717.7158159649</v>
      </c>
      <c r="H6" s="80"/>
      <c r="I6" s="80"/>
      <c r="J6" s="72">
        <v>143000</v>
      </c>
      <c r="N6" s="81" t="s">
        <v>197</v>
      </c>
      <c r="O6" s="82">
        <f>360/360</f>
        <v>1</v>
      </c>
    </row>
    <row r="7" spans="1:15" ht="15.75" x14ac:dyDescent="0.25">
      <c r="C7" s="75" t="s">
        <v>198</v>
      </c>
      <c r="D7" s="83">
        <f>((1+EFFECT(D4,D8))^VLOOKUP(D6,$N$6:$O$11,2,0))-1</f>
        <v>2.410000000000001E-2</v>
      </c>
      <c r="E7" s="84"/>
      <c r="F7" s="77"/>
      <c r="G7" s="77"/>
      <c r="N7" s="81" t="s">
        <v>199</v>
      </c>
      <c r="O7" s="82">
        <f>180/360</f>
        <v>0.5</v>
      </c>
    </row>
    <row r="8" spans="1:15" ht="15.75" x14ac:dyDescent="0.25">
      <c r="C8" s="75" t="s">
        <v>200</v>
      </c>
      <c r="D8" s="85">
        <f>IF(D6="Mensual",12,IF(D6="Bimensual",6,IF(D6="Trimestral",4,IF(D6="Cuatrimestral",3,IF(D6="Semestral",2,1)))))</f>
        <v>12</v>
      </c>
      <c r="E8" s="84"/>
      <c r="F8" s="77"/>
      <c r="G8" s="77"/>
      <c r="N8" s="81" t="s">
        <v>201</v>
      </c>
      <c r="O8" s="82">
        <f>120/360</f>
        <v>0.33333333333333331</v>
      </c>
    </row>
    <row r="9" spans="1:15" ht="15.75" x14ac:dyDescent="0.25">
      <c r="C9" s="75" t="s">
        <v>202</v>
      </c>
      <c r="D9" s="85">
        <f>D5*D8</f>
        <v>24</v>
      </c>
      <c r="E9" s="84"/>
      <c r="N9" s="81" t="s">
        <v>203</v>
      </c>
      <c r="O9" s="82">
        <f>90/360</f>
        <v>0.25</v>
      </c>
    </row>
    <row r="10" spans="1:15" ht="15.75" x14ac:dyDescent="0.25">
      <c r="N10" s="81" t="s">
        <v>204</v>
      </c>
      <c r="O10" s="82">
        <f>60/360</f>
        <v>0.16666666666666666</v>
      </c>
    </row>
    <row r="11" spans="1:15" ht="15.75" x14ac:dyDescent="0.25">
      <c r="D11" s="86"/>
      <c r="E11" s="86"/>
      <c r="N11" s="81" t="s">
        <v>195</v>
      </c>
      <c r="O11" s="82">
        <f>30/360</f>
        <v>8.3333333333333329E-2</v>
      </c>
    </row>
    <row r="12" spans="1:15" ht="26.25" customHeight="1" x14ac:dyDescent="0.25">
      <c r="A12" s="87"/>
      <c r="C12" s="73" t="s">
        <v>205</v>
      </c>
      <c r="D12" s="73" t="s">
        <v>206</v>
      </c>
      <c r="E12" s="73" t="s">
        <v>207</v>
      </c>
      <c r="F12" s="73" t="s">
        <v>208</v>
      </c>
      <c r="G12" s="73" t="s">
        <v>209</v>
      </c>
      <c r="I12" s="88"/>
    </row>
    <row r="13" spans="1:15" s="87" customFormat="1" x14ac:dyDescent="0.25">
      <c r="C13" s="89">
        <v>0</v>
      </c>
      <c r="D13" s="90"/>
      <c r="E13" s="90"/>
      <c r="F13" s="91"/>
      <c r="G13" s="90">
        <f>D3</f>
        <v>4850000</v>
      </c>
    </row>
    <row r="14" spans="1:15" x14ac:dyDescent="0.25">
      <c r="A14" s="92"/>
      <c r="C14" s="93">
        <f>IF(OR(C13=$D$9,C13=""),"",IF(ISNUMBER(C13),C13+1,1))</f>
        <v>1</v>
      </c>
      <c r="D14" s="69">
        <f>IF(C14&gt;$D$9,"",PMT($D$7,$D$9,$D$3)*-1)</f>
        <v>268488.23815899849</v>
      </c>
      <c r="E14" s="69">
        <f>IF(C14&gt;$D$9,"",$D$7*G13)</f>
        <v>116885.00000000004</v>
      </c>
      <c r="F14" s="94">
        <f>IF(C14&gt;$D$9,"",D14-E14)</f>
        <v>151603.23815899843</v>
      </c>
      <c r="G14" s="69">
        <f>IF(C14&gt;$D$9,"",G13-F14)</f>
        <v>4698396.7618410019</v>
      </c>
    </row>
    <row r="15" spans="1:15" x14ac:dyDescent="0.25">
      <c r="A15" s="95"/>
      <c r="C15" s="93">
        <f t="shared" ref="C15:C78" si="0">IF(OR(C14=$D$9,C14=""),"",IF(ISNUMBER(C14),C14+1,1))</f>
        <v>2</v>
      </c>
      <c r="D15" s="69">
        <f t="shared" ref="D15:D78" si="1">IF(C15&gt;$D$9,"",PMT($D$7,$D$9,$D$3)*-1)</f>
        <v>268488.23815899849</v>
      </c>
      <c r="E15" s="69">
        <f>IF(C15&gt;$D$9,"",$D$7*G14)</f>
        <v>113231.3619603682</v>
      </c>
      <c r="F15" s="94">
        <f>IF(C15&gt;$D$9,"",D15-E15)</f>
        <v>155256.87619863029</v>
      </c>
      <c r="G15" s="69">
        <f t="shared" ref="G15:G78" si="2">IF(C15&gt;$D$9,"",G14-F15)</f>
        <v>4543139.8856423721</v>
      </c>
    </row>
    <row r="16" spans="1:15" x14ac:dyDescent="0.25">
      <c r="A16" s="87"/>
      <c r="C16" s="93">
        <f t="shared" si="0"/>
        <v>3</v>
      </c>
      <c r="D16" s="69">
        <f t="shared" si="1"/>
        <v>268488.23815899849</v>
      </c>
      <c r="E16" s="69">
        <f>IF(C16&gt;$D$9,"",$D$7*G15)</f>
        <v>109489.67124398121</v>
      </c>
      <c r="F16" s="94">
        <f t="shared" ref="F16:F79" si="3">IF(C16&gt;$D$9,"",D16-E16)</f>
        <v>158998.56691501726</v>
      </c>
      <c r="G16" s="69">
        <f>IF(C16&gt;$D$9,"",G15-F16)</f>
        <v>4384141.3187273545</v>
      </c>
    </row>
    <row r="17" spans="1:7" x14ac:dyDescent="0.25">
      <c r="A17" s="92"/>
      <c r="C17" s="93">
        <f t="shared" si="0"/>
        <v>4</v>
      </c>
      <c r="D17" s="69">
        <f t="shared" si="1"/>
        <v>268488.23815899849</v>
      </c>
      <c r="E17" s="69">
        <f>IF(C17&gt;$D$9,"",$D$7*G16)</f>
        <v>105657.80578132928</v>
      </c>
      <c r="F17" s="94">
        <f t="shared" si="3"/>
        <v>162830.4323776692</v>
      </c>
      <c r="G17" s="69">
        <f t="shared" si="2"/>
        <v>4221310.8863496855</v>
      </c>
    </row>
    <row r="18" spans="1:7" x14ac:dyDescent="0.25">
      <c r="A18" s="87"/>
      <c r="C18" s="93">
        <f t="shared" si="0"/>
        <v>5</v>
      </c>
      <c r="D18" s="69">
        <f t="shared" si="1"/>
        <v>268488.23815899849</v>
      </c>
      <c r="E18" s="69">
        <f t="shared" ref="E18:E81" si="4">IF(C18&gt;$D$9,"",$D$7*G17)</f>
        <v>101733.59236102746</v>
      </c>
      <c r="F18" s="94">
        <f t="shared" si="3"/>
        <v>166754.64579797102</v>
      </c>
      <c r="G18" s="69">
        <f>IF(C18&gt;$D$9,"",G17-F18)</f>
        <v>4054556.2405517143</v>
      </c>
    </row>
    <row r="19" spans="1:7" x14ac:dyDescent="0.25">
      <c r="A19" s="87"/>
      <c r="C19" s="93">
        <f t="shared" si="0"/>
        <v>6</v>
      </c>
      <c r="D19" s="69">
        <f t="shared" si="1"/>
        <v>268488.23815899849</v>
      </c>
      <c r="E19" s="69">
        <f t="shared" si="4"/>
        <v>97714.805397296353</v>
      </c>
      <c r="F19" s="94">
        <f t="shared" si="3"/>
        <v>170773.43276170213</v>
      </c>
      <c r="G19" s="69">
        <f t="shared" si="2"/>
        <v>3883782.8077900121</v>
      </c>
    </row>
    <row r="20" spans="1:7" x14ac:dyDescent="0.25">
      <c r="A20" s="92"/>
      <c r="C20" s="93">
        <f t="shared" si="0"/>
        <v>7</v>
      </c>
      <c r="D20" s="69">
        <f t="shared" si="1"/>
        <v>268488.23815899849</v>
      </c>
      <c r="E20" s="69">
        <f t="shared" si="4"/>
        <v>93599.165667739333</v>
      </c>
      <c r="F20" s="94">
        <f t="shared" si="3"/>
        <v>174889.07249125914</v>
      </c>
      <c r="G20" s="69">
        <f t="shared" si="2"/>
        <v>3708893.7352987528</v>
      </c>
    </row>
    <row r="21" spans="1:7" x14ac:dyDescent="0.25">
      <c r="A21" s="87"/>
      <c r="C21" s="93">
        <f t="shared" si="0"/>
        <v>8</v>
      </c>
      <c r="D21" s="69">
        <f t="shared" si="1"/>
        <v>268488.23815899849</v>
      </c>
      <c r="E21" s="69">
        <f t="shared" si="4"/>
        <v>89384.339020699976</v>
      </c>
      <c r="F21" s="94">
        <f t="shared" si="3"/>
        <v>179103.89913829853</v>
      </c>
      <c r="G21" s="69">
        <f t="shared" si="2"/>
        <v>3529789.8361604544</v>
      </c>
    </row>
    <row r="22" spans="1:7" x14ac:dyDescent="0.25">
      <c r="A22" s="87"/>
      <c r="C22" s="93">
        <f t="shared" si="0"/>
        <v>9</v>
      </c>
      <c r="D22" s="69">
        <f t="shared" si="1"/>
        <v>268488.23815899849</v>
      </c>
      <c r="E22" s="69">
        <f t="shared" si="4"/>
        <v>85067.935051466993</v>
      </c>
      <c r="F22" s="94">
        <f t="shared" si="3"/>
        <v>183420.30310753151</v>
      </c>
      <c r="G22" s="69">
        <f t="shared" si="2"/>
        <v>3346369.5330529232</v>
      </c>
    </row>
    <row r="23" spans="1:7" x14ac:dyDescent="0.25">
      <c r="A23" s="92"/>
      <c r="C23" s="93">
        <f t="shared" si="0"/>
        <v>10</v>
      </c>
      <c r="D23" s="69">
        <f t="shared" si="1"/>
        <v>268488.23815899849</v>
      </c>
      <c r="E23" s="69">
        <f t="shared" si="4"/>
        <v>80647.50574657548</v>
      </c>
      <c r="F23" s="94">
        <f t="shared" si="3"/>
        <v>187840.73241242301</v>
      </c>
      <c r="G23" s="69">
        <f t="shared" si="2"/>
        <v>3158528.8006405002</v>
      </c>
    </row>
    <row r="24" spans="1:7" x14ac:dyDescent="0.25">
      <c r="A24" s="87"/>
      <c r="C24" s="93">
        <f t="shared" si="0"/>
        <v>11</v>
      </c>
      <c r="D24" s="69">
        <f t="shared" si="1"/>
        <v>268488.23815899849</v>
      </c>
      <c r="E24" s="69">
        <f t="shared" si="4"/>
        <v>76120.544095436082</v>
      </c>
      <c r="F24" s="94">
        <f t="shared" si="3"/>
        <v>192367.69406356241</v>
      </c>
      <c r="G24" s="69">
        <f t="shared" si="2"/>
        <v>2966161.1065769377</v>
      </c>
    </row>
    <row r="25" spans="1:7" x14ac:dyDescent="0.25">
      <c r="A25" s="87"/>
      <c r="C25" s="93">
        <f t="shared" si="0"/>
        <v>12</v>
      </c>
      <c r="D25" s="69">
        <f t="shared" si="1"/>
        <v>268488.23815899849</v>
      </c>
      <c r="E25" s="69">
        <f t="shared" si="4"/>
        <v>71484.482668504235</v>
      </c>
      <c r="F25" s="94">
        <f t="shared" si="3"/>
        <v>197003.75549049425</v>
      </c>
      <c r="G25" s="69">
        <f t="shared" si="2"/>
        <v>2769157.3510864433</v>
      </c>
    </row>
    <row r="26" spans="1:7" x14ac:dyDescent="0.25">
      <c r="A26" s="92"/>
      <c r="C26" s="93">
        <f t="shared" si="0"/>
        <v>13</v>
      </c>
      <c r="D26" s="69">
        <f t="shared" si="1"/>
        <v>268488.23815899849</v>
      </c>
      <c r="E26" s="69">
        <f t="shared" si="4"/>
        <v>66736.69216118331</v>
      </c>
      <c r="F26" s="94">
        <f t="shared" si="3"/>
        <v>201751.54599781518</v>
      </c>
      <c r="G26" s="69">
        <f t="shared" si="2"/>
        <v>2567405.8050886281</v>
      </c>
    </row>
    <row r="27" spans="1:7" x14ac:dyDescent="0.25">
      <c r="A27" s="87"/>
      <c r="C27" s="93">
        <f t="shared" si="0"/>
        <v>14</v>
      </c>
      <c r="D27" s="69">
        <f t="shared" si="1"/>
        <v>268488.23815899849</v>
      </c>
      <c r="E27" s="69">
        <f t="shared" si="4"/>
        <v>61874.479902635961</v>
      </c>
      <c r="F27" s="94">
        <f t="shared" si="3"/>
        <v>206613.75825636252</v>
      </c>
      <c r="G27" s="69">
        <f t="shared" si="2"/>
        <v>2360792.0468322653</v>
      </c>
    </row>
    <row r="28" spans="1:7" x14ac:dyDescent="0.25">
      <c r="A28" s="87"/>
      <c r="C28" s="93">
        <f t="shared" si="0"/>
        <v>15</v>
      </c>
      <c r="D28" s="69">
        <f t="shared" si="1"/>
        <v>268488.23815899849</v>
      </c>
      <c r="E28" s="69">
        <f t="shared" si="4"/>
        <v>56895.088328657621</v>
      </c>
      <c r="F28" s="94">
        <f t="shared" si="3"/>
        <v>211593.14983034087</v>
      </c>
      <c r="G28" s="69">
        <f t="shared" si="2"/>
        <v>2149198.8970019245</v>
      </c>
    </row>
    <row r="29" spans="1:7" x14ac:dyDescent="0.25">
      <c r="A29" s="92"/>
      <c r="C29" s="93">
        <f t="shared" si="0"/>
        <v>16</v>
      </c>
      <c r="D29" s="69">
        <f t="shared" si="1"/>
        <v>268488.23815899849</v>
      </c>
      <c r="E29" s="69">
        <f t="shared" si="4"/>
        <v>51795.693417746399</v>
      </c>
      <c r="F29" s="94">
        <f t="shared" si="3"/>
        <v>216692.54474125209</v>
      </c>
      <c r="G29" s="69">
        <f t="shared" si="2"/>
        <v>1932506.3522606725</v>
      </c>
    </row>
    <row r="30" spans="1:7" x14ac:dyDescent="0.25">
      <c r="A30" s="92"/>
      <c r="C30" s="93">
        <f t="shared" si="0"/>
        <v>17</v>
      </c>
      <c r="D30" s="69">
        <f t="shared" si="1"/>
        <v>268488.23815899849</v>
      </c>
      <c r="E30" s="69">
        <f t="shared" si="4"/>
        <v>46573.403089482228</v>
      </c>
      <c r="F30" s="94">
        <f t="shared" si="3"/>
        <v>221914.83506951627</v>
      </c>
      <c r="G30" s="69">
        <f t="shared" si="2"/>
        <v>1710591.5171911563</v>
      </c>
    </row>
    <row r="31" spans="1:7" x14ac:dyDescent="0.25">
      <c r="A31" s="87"/>
      <c r="C31" s="93">
        <f t="shared" si="0"/>
        <v>18</v>
      </c>
      <c r="D31" s="69">
        <f t="shared" si="1"/>
        <v>268488.23815899849</v>
      </c>
      <c r="E31" s="69">
        <f t="shared" si="4"/>
        <v>41225.255564306884</v>
      </c>
      <c r="F31" s="94">
        <f t="shared" si="3"/>
        <v>227262.9825946916</v>
      </c>
      <c r="G31" s="69">
        <f t="shared" si="2"/>
        <v>1483328.5345964646</v>
      </c>
    </row>
    <row r="32" spans="1:7" x14ac:dyDescent="0.25">
      <c r="A32" s="87"/>
      <c r="C32" s="93">
        <f t="shared" si="0"/>
        <v>19</v>
      </c>
      <c r="D32" s="69">
        <f t="shared" si="1"/>
        <v>268488.23815899849</v>
      </c>
      <c r="E32" s="69">
        <f t="shared" si="4"/>
        <v>35748.217683774812</v>
      </c>
      <c r="F32" s="94">
        <f t="shared" si="3"/>
        <v>232740.02047522366</v>
      </c>
      <c r="G32" s="69">
        <f t="shared" si="2"/>
        <v>1250588.5141212409</v>
      </c>
    </row>
    <row r="33" spans="1:7" ht="15" customHeight="1" x14ac:dyDescent="0.25">
      <c r="A33" s="92"/>
      <c r="C33" s="93">
        <f t="shared" si="0"/>
        <v>20</v>
      </c>
      <c r="D33" s="69">
        <f t="shared" si="1"/>
        <v>268488.23815899849</v>
      </c>
      <c r="E33" s="69">
        <f t="shared" si="4"/>
        <v>30139.183190321921</v>
      </c>
      <c r="F33" s="94">
        <f t="shared" si="3"/>
        <v>238349.05496867656</v>
      </c>
      <c r="G33" s="69">
        <f t="shared" si="2"/>
        <v>1012239.4591525644</v>
      </c>
    </row>
    <row r="34" spans="1:7" ht="15" customHeight="1" x14ac:dyDescent="0.25">
      <c r="A34" s="87"/>
      <c r="C34" s="93">
        <f t="shared" si="0"/>
        <v>21</v>
      </c>
      <c r="D34" s="69">
        <f t="shared" si="1"/>
        <v>268488.23815899849</v>
      </c>
      <c r="E34" s="69">
        <f t="shared" si="4"/>
        <v>24394.970965576813</v>
      </c>
      <c r="F34" s="94">
        <f t="shared" si="3"/>
        <v>244093.26719342166</v>
      </c>
      <c r="G34" s="69">
        <f t="shared" si="2"/>
        <v>768146.19195914268</v>
      </c>
    </row>
    <row r="35" spans="1:7" ht="15" customHeight="1" x14ac:dyDescent="0.25">
      <c r="A35" s="96"/>
      <c r="C35" s="93">
        <f t="shared" si="0"/>
        <v>22</v>
      </c>
      <c r="D35" s="69">
        <f t="shared" si="1"/>
        <v>268488.23815899849</v>
      </c>
      <c r="E35" s="69">
        <f t="shared" si="4"/>
        <v>18512.323226215347</v>
      </c>
      <c r="F35" s="94">
        <f t="shared" si="3"/>
        <v>249975.91493278314</v>
      </c>
      <c r="G35" s="69">
        <f t="shared" si="2"/>
        <v>518170.27702635957</v>
      </c>
    </row>
    <row r="36" spans="1:7" ht="15" customHeight="1" x14ac:dyDescent="0.25">
      <c r="A36" s="87"/>
      <c r="C36" s="93">
        <f t="shared" si="0"/>
        <v>23</v>
      </c>
      <c r="D36" s="69">
        <f t="shared" si="1"/>
        <v>268488.23815899849</v>
      </c>
      <c r="E36" s="69">
        <f t="shared" si="4"/>
        <v>12487.903676335271</v>
      </c>
      <c r="F36" s="94">
        <f t="shared" si="3"/>
        <v>256000.33448266322</v>
      </c>
      <c r="G36" s="69">
        <f t="shared" si="2"/>
        <v>262169.94254369638</v>
      </c>
    </row>
    <row r="37" spans="1:7" ht="15" customHeight="1" x14ac:dyDescent="0.25">
      <c r="A37" s="87"/>
      <c r="C37" s="93">
        <f t="shared" si="0"/>
        <v>24</v>
      </c>
      <c r="D37" s="69">
        <f t="shared" si="1"/>
        <v>268488.23815899849</v>
      </c>
      <c r="E37" s="69">
        <f t="shared" si="4"/>
        <v>6318.2956153030855</v>
      </c>
      <c r="F37" s="94">
        <f t="shared" si="3"/>
        <v>262169.94254369539</v>
      </c>
      <c r="G37" s="69">
        <f t="shared" si="2"/>
        <v>9.8953023552894592E-10</v>
      </c>
    </row>
    <row r="38" spans="1:7" x14ac:dyDescent="0.25">
      <c r="A38" s="97"/>
      <c r="C38" s="93" t="str">
        <f t="shared" si="0"/>
        <v/>
      </c>
      <c r="D38" s="69" t="str">
        <f t="shared" si="1"/>
        <v/>
      </c>
      <c r="E38" s="69" t="str">
        <f t="shared" si="4"/>
        <v/>
      </c>
      <c r="F38" s="94" t="str">
        <f t="shared" si="3"/>
        <v/>
      </c>
      <c r="G38" s="69" t="str">
        <f t="shared" si="2"/>
        <v/>
      </c>
    </row>
    <row r="39" spans="1:7" x14ac:dyDescent="0.25">
      <c r="A39" s="87"/>
      <c r="C39" s="93" t="str">
        <f t="shared" si="0"/>
        <v/>
      </c>
      <c r="D39" s="69" t="str">
        <f t="shared" si="1"/>
        <v/>
      </c>
      <c r="E39" s="69" t="str">
        <f t="shared" si="4"/>
        <v/>
      </c>
      <c r="F39" s="94" t="str">
        <f t="shared" si="3"/>
        <v/>
      </c>
      <c r="G39" s="69" t="str">
        <f t="shared" si="2"/>
        <v/>
      </c>
    </row>
    <row r="40" spans="1:7" x14ac:dyDescent="0.25">
      <c r="A40" s="87"/>
      <c r="C40" s="93" t="str">
        <f t="shared" si="0"/>
        <v/>
      </c>
      <c r="D40" s="69" t="str">
        <f t="shared" si="1"/>
        <v/>
      </c>
      <c r="E40" s="69" t="str">
        <f t="shared" si="4"/>
        <v/>
      </c>
      <c r="F40" s="94" t="str">
        <f t="shared" si="3"/>
        <v/>
      </c>
      <c r="G40" s="69" t="str">
        <f t="shared" si="2"/>
        <v/>
      </c>
    </row>
    <row r="41" spans="1:7" x14ac:dyDescent="0.25">
      <c r="A41" s="87"/>
      <c r="C41" s="93" t="str">
        <f t="shared" si="0"/>
        <v/>
      </c>
      <c r="D41" s="69" t="str">
        <f t="shared" si="1"/>
        <v/>
      </c>
      <c r="E41" s="69" t="str">
        <f t="shared" si="4"/>
        <v/>
      </c>
      <c r="F41" s="94" t="str">
        <f t="shared" si="3"/>
        <v/>
      </c>
      <c r="G41" s="69" t="str">
        <f t="shared" si="2"/>
        <v/>
      </c>
    </row>
    <row r="42" spans="1:7" x14ac:dyDescent="0.25">
      <c r="A42" s="87"/>
      <c r="C42" s="93" t="str">
        <f t="shared" si="0"/>
        <v/>
      </c>
      <c r="D42" s="69" t="str">
        <f t="shared" si="1"/>
        <v/>
      </c>
      <c r="E42" s="69" t="str">
        <f t="shared" si="4"/>
        <v/>
      </c>
      <c r="F42" s="94" t="str">
        <f t="shared" si="3"/>
        <v/>
      </c>
      <c r="G42" s="69" t="str">
        <f t="shared" si="2"/>
        <v/>
      </c>
    </row>
    <row r="43" spans="1:7" x14ac:dyDescent="0.25">
      <c r="A43" s="87"/>
      <c r="C43" s="93" t="str">
        <f t="shared" si="0"/>
        <v/>
      </c>
      <c r="D43" s="69" t="str">
        <f t="shared" si="1"/>
        <v/>
      </c>
      <c r="E43" s="69" t="str">
        <f t="shared" si="4"/>
        <v/>
      </c>
      <c r="F43" s="94" t="str">
        <f t="shared" si="3"/>
        <v/>
      </c>
      <c r="G43" s="69" t="str">
        <f t="shared" si="2"/>
        <v/>
      </c>
    </row>
    <row r="44" spans="1:7" x14ac:dyDescent="0.25">
      <c r="A44" s="87"/>
      <c r="C44" s="93" t="str">
        <f t="shared" si="0"/>
        <v/>
      </c>
      <c r="D44" s="69" t="str">
        <f t="shared" si="1"/>
        <v/>
      </c>
      <c r="E44" s="69" t="str">
        <f t="shared" si="4"/>
        <v/>
      </c>
      <c r="F44" s="94" t="str">
        <f t="shared" si="3"/>
        <v/>
      </c>
      <c r="G44" s="69" t="str">
        <f t="shared" si="2"/>
        <v/>
      </c>
    </row>
    <row r="45" spans="1:7" x14ac:dyDescent="0.25">
      <c r="A45" s="87"/>
      <c r="C45" s="93" t="str">
        <f t="shared" si="0"/>
        <v/>
      </c>
      <c r="D45" s="69" t="str">
        <f t="shared" si="1"/>
        <v/>
      </c>
      <c r="E45" s="69" t="str">
        <f t="shared" si="4"/>
        <v/>
      </c>
      <c r="F45" s="94" t="str">
        <f t="shared" si="3"/>
        <v/>
      </c>
      <c r="G45" s="69" t="str">
        <f t="shared" si="2"/>
        <v/>
      </c>
    </row>
    <row r="46" spans="1:7" x14ac:dyDescent="0.25">
      <c r="A46" s="87"/>
      <c r="C46" s="93" t="str">
        <f t="shared" si="0"/>
        <v/>
      </c>
      <c r="D46" s="69" t="str">
        <f t="shared" si="1"/>
        <v/>
      </c>
      <c r="E46" s="69" t="str">
        <f t="shared" si="4"/>
        <v/>
      </c>
      <c r="F46" s="94" t="str">
        <f t="shared" si="3"/>
        <v/>
      </c>
      <c r="G46" s="69" t="str">
        <f t="shared" si="2"/>
        <v/>
      </c>
    </row>
    <row r="47" spans="1:7" x14ac:dyDescent="0.25">
      <c r="C47" s="93" t="str">
        <f t="shared" si="0"/>
        <v/>
      </c>
      <c r="D47" s="69" t="str">
        <f t="shared" si="1"/>
        <v/>
      </c>
      <c r="E47" s="69" t="str">
        <f t="shared" si="4"/>
        <v/>
      </c>
      <c r="F47" s="94" t="str">
        <f t="shared" si="3"/>
        <v/>
      </c>
      <c r="G47" s="69" t="str">
        <f t="shared" si="2"/>
        <v/>
      </c>
    </row>
    <row r="48" spans="1:7" x14ac:dyDescent="0.25">
      <c r="C48" s="93" t="str">
        <f t="shared" si="0"/>
        <v/>
      </c>
      <c r="D48" s="69" t="str">
        <f t="shared" si="1"/>
        <v/>
      </c>
      <c r="E48" s="69" t="str">
        <f t="shared" si="4"/>
        <v/>
      </c>
      <c r="F48" s="94" t="str">
        <f t="shared" si="3"/>
        <v/>
      </c>
      <c r="G48" s="69" t="str">
        <f t="shared" si="2"/>
        <v/>
      </c>
    </row>
    <row r="49" spans="3:7" x14ac:dyDescent="0.25">
      <c r="C49" s="93" t="str">
        <f t="shared" si="0"/>
        <v/>
      </c>
      <c r="D49" s="69" t="str">
        <f t="shared" si="1"/>
        <v/>
      </c>
      <c r="E49" s="69" t="str">
        <f t="shared" si="4"/>
        <v/>
      </c>
      <c r="F49" s="94" t="str">
        <f t="shared" si="3"/>
        <v/>
      </c>
      <c r="G49" s="69" t="str">
        <f t="shared" si="2"/>
        <v/>
      </c>
    </row>
    <row r="50" spans="3:7" x14ac:dyDescent="0.25">
      <c r="C50" s="93" t="str">
        <f t="shared" si="0"/>
        <v/>
      </c>
      <c r="D50" s="69" t="str">
        <f t="shared" si="1"/>
        <v/>
      </c>
      <c r="E50" s="69" t="str">
        <f t="shared" si="4"/>
        <v/>
      </c>
      <c r="F50" s="94" t="str">
        <f t="shared" si="3"/>
        <v/>
      </c>
      <c r="G50" s="69" t="str">
        <f t="shared" si="2"/>
        <v/>
      </c>
    </row>
    <row r="51" spans="3:7" x14ac:dyDescent="0.25">
      <c r="C51" s="93" t="str">
        <f t="shared" si="0"/>
        <v/>
      </c>
      <c r="D51" s="69" t="str">
        <f t="shared" si="1"/>
        <v/>
      </c>
      <c r="E51" s="69" t="str">
        <f t="shared" si="4"/>
        <v/>
      </c>
      <c r="F51" s="94" t="str">
        <f t="shared" si="3"/>
        <v/>
      </c>
      <c r="G51" s="69" t="str">
        <f t="shared" si="2"/>
        <v/>
      </c>
    </row>
    <row r="52" spans="3:7" x14ac:dyDescent="0.25">
      <c r="C52" s="93" t="str">
        <f t="shared" si="0"/>
        <v/>
      </c>
      <c r="D52" s="69" t="str">
        <f t="shared" si="1"/>
        <v/>
      </c>
      <c r="E52" s="69" t="str">
        <f t="shared" si="4"/>
        <v/>
      </c>
      <c r="F52" s="94" t="str">
        <f t="shared" si="3"/>
        <v/>
      </c>
      <c r="G52" s="69" t="str">
        <f t="shared" si="2"/>
        <v/>
      </c>
    </row>
    <row r="53" spans="3:7" x14ac:dyDescent="0.25">
      <c r="C53" s="93" t="str">
        <f t="shared" si="0"/>
        <v/>
      </c>
      <c r="D53" s="69" t="str">
        <f t="shared" si="1"/>
        <v/>
      </c>
      <c r="E53" s="69" t="str">
        <f t="shared" si="4"/>
        <v/>
      </c>
      <c r="F53" s="94" t="str">
        <f t="shared" si="3"/>
        <v/>
      </c>
      <c r="G53" s="69" t="str">
        <f t="shared" si="2"/>
        <v/>
      </c>
    </row>
    <row r="54" spans="3:7" x14ac:dyDescent="0.25">
      <c r="C54" s="93" t="str">
        <f t="shared" si="0"/>
        <v/>
      </c>
      <c r="D54" s="69" t="str">
        <f t="shared" si="1"/>
        <v/>
      </c>
      <c r="E54" s="69" t="str">
        <f t="shared" si="4"/>
        <v/>
      </c>
      <c r="F54" s="94" t="str">
        <f t="shared" si="3"/>
        <v/>
      </c>
      <c r="G54" s="69" t="str">
        <f t="shared" si="2"/>
        <v/>
      </c>
    </row>
    <row r="55" spans="3:7" x14ac:dyDescent="0.25">
      <c r="C55" s="93" t="str">
        <f t="shared" si="0"/>
        <v/>
      </c>
      <c r="D55" s="69" t="str">
        <f t="shared" si="1"/>
        <v/>
      </c>
      <c r="E55" s="69" t="str">
        <f t="shared" si="4"/>
        <v/>
      </c>
      <c r="F55" s="94" t="str">
        <f t="shared" si="3"/>
        <v/>
      </c>
      <c r="G55" s="69" t="str">
        <f t="shared" si="2"/>
        <v/>
      </c>
    </row>
    <row r="56" spans="3:7" x14ac:dyDescent="0.25">
      <c r="C56" s="93" t="str">
        <f t="shared" si="0"/>
        <v/>
      </c>
      <c r="D56" s="69" t="str">
        <f t="shared" si="1"/>
        <v/>
      </c>
      <c r="E56" s="69" t="str">
        <f t="shared" si="4"/>
        <v/>
      </c>
      <c r="F56" s="94" t="str">
        <f t="shared" si="3"/>
        <v/>
      </c>
      <c r="G56" s="69" t="str">
        <f t="shared" si="2"/>
        <v/>
      </c>
    </row>
    <row r="57" spans="3:7" x14ac:dyDescent="0.25">
      <c r="C57" s="93" t="str">
        <f t="shared" si="0"/>
        <v/>
      </c>
      <c r="D57" s="69" t="str">
        <f t="shared" si="1"/>
        <v/>
      </c>
      <c r="E57" s="69" t="str">
        <f t="shared" si="4"/>
        <v/>
      </c>
      <c r="F57" s="94" t="str">
        <f t="shared" si="3"/>
        <v/>
      </c>
      <c r="G57" s="69" t="str">
        <f t="shared" si="2"/>
        <v/>
      </c>
    </row>
    <row r="58" spans="3:7" x14ac:dyDescent="0.25">
      <c r="C58" s="93" t="str">
        <f t="shared" si="0"/>
        <v/>
      </c>
      <c r="D58" s="69" t="str">
        <f t="shared" si="1"/>
        <v/>
      </c>
      <c r="E58" s="69" t="str">
        <f t="shared" si="4"/>
        <v/>
      </c>
      <c r="F58" s="94" t="str">
        <f t="shared" si="3"/>
        <v/>
      </c>
      <c r="G58" s="69" t="str">
        <f t="shared" si="2"/>
        <v/>
      </c>
    </row>
    <row r="59" spans="3:7" x14ac:dyDescent="0.25">
      <c r="C59" s="93" t="str">
        <f t="shared" si="0"/>
        <v/>
      </c>
      <c r="D59" s="69" t="str">
        <f t="shared" si="1"/>
        <v/>
      </c>
      <c r="E59" s="69" t="str">
        <f t="shared" si="4"/>
        <v/>
      </c>
      <c r="F59" s="94" t="str">
        <f t="shared" si="3"/>
        <v/>
      </c>
      <c r="G59" s="69" t="str">
        <f t="shared" si="2"/>
        <v/>
      </c>
    </row>
    <row r="60" spans="3:7" x14ac:dyDescent="0.25">
      <c r="C60" s="93" t="str">
        <f t="shared" si="0"/>
        <v/>
      </c>
      <c r="D60" s="69" t="str">
        <f t="shared" si="1"/>
        <v/>
      </c>
      <c r="E60" s="69" t="str">
        <f t="shared" si="4"/>
        <v/>
      </c>
      <c r="F60" s="94" t="str">
        <f t="shared" si="3"/>
        <v/>
      </c>
      <c r="G60" s="69" t="str">
        <f t="shared" si="2"/>
        <v/>
      </c>
    </row>
    <row r="61" spans="3:7" x14ac:dyDescent="0.25">
      <c r="C61" s="93" t="str">
        <f t="shared" si="0"/>
        <v/>
      </c>
      <c r="D61" s="69" t="str">
        <f t="shared" si="1"/>
        <v/>
      </c>
      <c r="E61" s="69" t="str">
        <f t="shared" si="4"/>
        <v/>
      </c>
      <c r="F61" s="94" t="str">
        <f t="shared" si="3"/>
        <v/>
      </c>
      <c r="G61" s="69" t="str">
        <f t="shared" si="2"/>
        <v/>
      </c>
    </row>
    <row r="62" spans="3:7" x14ac:dyDescent="0.25">
      <c r="C62" s="93" t="str">
        <f t="shared" si="0"/>
        <v/>
      </c>
      <c r="D62" s="69" t="str">
        <f t="shared" si="1"/>
        <v/>
      </c>
      <c r="E62" s="69" t="str">
        <f t="shared" si="4"/>
        <v/>
      </c>
      <c r="F62" s="94" t="str">
        <f t="shared" si="3"/>
        <v/>
      </c>
      <c r="G62" s="69" t="str">
        <f t="shared" si="2"/>
        <v/>
      </c>
    </row>
    <row r="63" spans="3:7" x14ac:dyDescent="0.25">
      <c r="C63" s="93" t="str">
        <f t="shared" si="0"/>
        <v/>
      </c>
      <c r="D63" s="69" t="str">
        <f t="shared" si="1"/>
        <v/>
      </c>
      <c r="E63" s="69" t="str">
        <f t="shared" si="4"/>
        <v/>
      </c>
      <c r="F63" s="94" t="str">
        <f t="shared" si="3"/>
        <v/>
      </c>
      <c r="G63" s="69" t="str">
        <f t="shared" si="2"/>
        <v/>
      </c>
    </row>
    <row r="64" spans="3:7" x14ac:dyDescent="0.25">
      <c r="C64" s="93" t="str">
        <f t="shared" si="0"/>
        <v/>
      </c>
      <c r="D64" s="69" t="str">
        <f t="shared" si="1"/>
        <v/>
      </c>
      <c r="E64" s="69" t="str">
        <f t="shared" si="4"/>
        <v/>
      </c>
      <c r="F64" s="94" t="str">
        <f t="shared" si="3"/>
        <v/>
      </c>
      <c r="G64" s="69" t="str">
        <f t="shared" si="2"/>
        <v/>
      </c>
    </row>
    <row r="65" spans="3:7" x14ac:dyDescent="0.25">
      <c r="C65" s="93" t="str">
        <f t="shared" si="0"/>
        <v/>
      </c>
      <c r="D65" s="69" t="str">
        <f t="shared" si="1"/>
        <v/>
      </c>
      <c r="E65" s="69" t="str">
        <f t="shared" si="4"/>
        <v/>
      </c>
      <c r="F65" s="94" t="str">
        <f t="shared" si="3"/>
        <v/>
      </c>
      <c r="G65" s="69" t="str">
        <f t="shared" si="2"/>
        <v/>
      </c>
    </row>
    <row r="66" spans="3:7" x14ac:dyDescent="0.25">
      <c r="C66" s="93" t="str">
        <f t="shared" si="0"/>
        <v/>
      </c>
      <c r="D66" s="69" t="str">
        <f t="shared" si="1"/>
        <v/>
      </c>
      <c r="E66" s="69" t="str">
        <f t="shared" si="4"/>
        <v/>
      </c>
      <c r="F66" s="94" t="str">
        <f t="shared" si="3"/>
        <v/>
      </c>
      <c r="G66" s="69" t="str">
        <f t="shared" si="2"/>
        <v/>
      </c>
    </row>
    <row r="67" spans="3:7" x14ac:dyDescent="0.25">
      <c r="C67" s="93" t="str">
        <f t="shared" si="0"/>
        <v/>
      </c>
      <c r="D67" s="69" t="str">
        <f t="shared" si="1"/>
        <v/>
      </c>
      <c r="E67" s="69" t="str">
        <f t="shared" si="4"/>
        <v/>
      </c>
      <c r="F67" s="94" t="str">
        <f t="shared" si="3"/>
        <v/>
      </c>
      <c r="G67" s="69" t="str">
        <f t="shared" si="2"/>
        <v/>
      </c>
    </row>
    <row r="68" spans="3:7" x14ac:dyDescent="0.25">
      <c r="C68" s="93" t="str">
        <f t="shared" si="0"/>
        <v/>
      </c>
      <c r="D68" s="69" t="str">
        <f t="shared" si="1"/>
        <v/>
      </c>
      <c r="E68" s="69" t="str">
        <f t="shared" si="4"/>
        <v/>
      </c>
      <c r="F68" s="94" t="str">
        <f t="shared" si="3"/>
        <v/>
      </c>
      <c r="G68" s="69" t="str">
        <f t="shared" si="2"/>
        <v/>
      </c>
    </row>
    <row r="69" spans="3:7" x14ac:dyDescent="0.25">
      <c r="C69" s="93" t="str">
        <f t="shared" si="0"/>
        <v/>
      </c>
      <c r="D69" s="69" t="str">
        <f t="shared" si="1"/>
        <v/>
      </c>
      <c r="E69" s="69" t="str">
        <f t="shared" si="4"/>
        <v/>
      </c>
      <c r="F69" s="94" t="str">
        <f t="shared" si="3"/>
        <v/>
      </c>
      <c r="G69" s="69" t="str">
        <f t="shared" si="2"/>
        <v/>
      </c>
    </row>
    <row r="70" spans="3:7" x14ac:dyDescent="0.25">
      <c r="C70" s="93" t="str">
        <f t="shared" si="0"/>
        <v/>
      </c>
      <c r="D70" s="69" t="str">
        <f t="shared" si="1"/>
        <v/>
      </c>
      <c r="E70" s="69" t="str">
        <f t="shared" si="4"/>
        <v/>
      </c>
      <c r="F70" s="94" t="str">
        <f t="shared" si="3"/>
        <v/>
      </c>
      <c r="G70" s="69" t="str">
        <f t="shared" si="2"/>
        <v/>
      </c>
    </row>
    <row r="71" spans="3:7" x14ac:dyDescent="0.25">
      <c r="C71" s="93" t="str">
        <f t="shared" si="0"/>
        <v/>
      </c>
      <c r="D71" s="69" t="str">
        <f t="shared" si="1"/>
        <v/>
      </c>
      <c r="E71" s="69" t="str">
        <f t="shared" si="4"/>
        <v/>
      </c>
      <c r="F71" s="94" t="str">
        <f t="shared" si="3"/>
        <v/>
      </c>
      <c r="G71" s="69" t="str">
        <f t="shared" si="2"/>
        <v/>
      </c>
    </row>
    <row r="72" spans="3:7" x14ac:dyDescent="0.25">
      <c r="C72" s="93" t="str">
        <f t="shared" si="0"/>
        <v/>
      </c>
      <c r="D72" s="69" t="str">
        <f t="shared" si="1"/>
        <v/>
      </c>
      <c r="E72" s="69" t="str">
        <f t="shared" si="4"/>
        <v/>
      </c>
      <c r="F72" s="94" t="str">
        <f t="shared" si="3"/>
        <v/>
      </c>
      <c r="G72" s="69" t="str">
        <f t="shared" si="2"/>
        <v/>
      </c>
    </row>
    <row r="73" spans="3:7" x14ac:dyDescent="0.25">
      <c r="C73" s="93" t="str">
        <f t="shared" si="0"/>
        <v/>
      </c>
      <c r="D73" s="69" t="str">
        <f t="shared" si="1"/>
        <v/>
      </c>
      <c r="E73" s="69" t="str">
        <f t="shared" si="4"/>
        <v/>
      </c>
      <c r="F73" s="94" t="str">
        <f t="shared" si="3"/>
        <v/>
      </c>
      <c r="G73" s="69" t="str">
        <f t="shared" si="2"/>
        <v/>
      </c>
    </row>
    <row r="74" spans="3:7" x14ac:dyDescent="0.25">
      <c r="C74" s="93" t="str">
        <f t="shared" si="0"/>
        <v/>
      </c>
      <c r="D74" s="69" t="str">
        <f t="shared" si="1"/>
        <v/>
      </c>
      <c r="E74" s="69" t="str">
        <f t="shared" si="4"/>
        <v/>
      </c>
      <c r="F74" s="94" t="str">
        <f t="shared" si="3"/>
        <v/>
      </c>
      <c r="G74" s="69" t="str">
        <f t="shared" si="2"/>
        <v/>
      </c>
    </row>
    <row r="75" spans="3:7" x14ac:dyDescent="0.25">
      <c r="C75" s="93" t="str">
        <f t="shared" si="0"/>
        <v/>
      </c>
      <c r="D75" s="69" t="str">
        <f t="shared" si="1"/>
        <v/>
      </c>
      <c r="E75" s="69" t="str">
        <f t="shared" si="4"/>
        <v/>
      </c>
      <c r="F75" s="94" t="str">
        <f t="shared" si="3"/>
        <v/>
      </c>
      <c r="G75" s="69" t="str">
        <f t="shared" si="2"/>
        <v/>
      </c>
    </row>
    <row r="76" spans="3:7" x14ac:dyDescent="0.25">
      <c r="C76" s="93" t="str">
        <f t="shared" si="0"/>
        <v/>
      </c>
      <c r="D76" s="69" t="str">
        <f t="shared" si="1"/>
        <v/>
      </c>
      <c r="E76" s="69" t="str">
        <f t="shared" si="4"/>
        <v/>
      </c>
      <c r="F76" s="94" t="str">
        <f t="shared" si="3"/>
        <v/>
      </c>
      <c r="G76" s="69" t="str">
        <f t="shared" si="2"/>
        <v/>
      </c>
    </row>
    <row r="77" spans="3:7" x14ac:dyDescent="0.25">
      <c r="C77" s="93" t="str">
        <f t="shared" si="0"/>
        <v/>
      </c>
      <c r="D77" s="69" t="str">
        <f t="shared" si="1"/>
        <v/>
      </c>
      <c r="E77" s="69" t="str">
        <f t="shared" si="4"/>
        <v/>
      </c>
      <c r="F77" s="94" t="str">
        <f t="shared" si="3"/>
        <v/>
      </c>
      <c r="G77" s="69" t="str">
        <f t="shared" si="2"/>
        <v/>
      </c>
    </row>
    <row r="78" spans="3:7" x14ac:dyDescent="0.25">
      <c r="C78" s="93" t="str">
        <f t="shared" si="0"/>
        <v/>
      </c>
      <c r="D78" s="69" t="str">
        <f t="shared" si="1"/>
        <v/>
      </c>
      <c r="E78" s="69" t="str">
        <f t="shared" si="4"/>
        <v/>
      </c>
      <c r="F78" s="94" t="str">
        <f t="shared" si="3"/>
        <v/>
      </c>
      <c r="G78" s="69" t="str">
        <f t="shared" si="2"/>
        <v/>
      </c>
    </row>
    <row r="79" spans="3:7" x14ac:dyDescent="0.25">
      <c r="C79" s="93" t="str">
        <f t="shared" ref="C79:C121" si="5">IF(OR(C78=$D$9,C78=""),"",IF(ISNUMBER(C78),C78+1,1))</f>
        <v/>
      </c>
      <c r="D79" s="69" t="str">
        <f t="shared" ref="D79:D121" si="6">IF(C79&gt;$D$9,"",PMT($D$7,$D$9,$D$3)*-1)</f>
        <v/>
      </c>
      <c r="E79" s="69" t="str">
        <f t="shared" si="4"/>
        <v/>
      </c>
      <c r="F79" s="94" t="str">
        <f t="shared" si="3"/>
        <v/>
      </c>
      <c r="G79" s="69" t="str">
        <f t="shared" ref="G79:G121" si="7">IF(C79&gt;$D$9,"",G78-F79)</f>
        <v/>
      </c>
    </row>
    <row r="80" spans="3:7" x14ac:dyDescent="0.25">
      <c r="C80" s="93" t="str">
        <f t="shared" si="5"/>
        <v/>
      </c>
      <c r="D80" s="69" t="str">
        <f t="shared" si="6"/>
        <v/>
      </c>
      <c r="E80" s="69" t="str">
        <f t="shared" si="4"/>
        <v/>
      </c>
      <c r="F80" s="94" t="str">
        <f t="shared" ref="F80:F121" si="8">IF(C80&gt;$D$9,"",D80-E80)</f>
        <v/>
      </c>
      <c r="G80" s="69" t="str">
        <f t="shared" si="7"/>
        <v/>
      </c>
    </row>
    <row r="81" spans="3:7" x14ac:dyDescent="0.25">
      <c r="C81" s="93" t="str">
        <f t="shared" si="5"/>
        <v/>
      </c>
      <c r="D81" s="69" t="str">
        <f t="shared" si="6"/>
        <v/>
      </c>
      <c r="E81" s="69" t="str">
        <f t="shared" si="4"/>
        <v/>
      </c>
      <c r="F81" s="94" t="str">
        <f t="shared" si="8"/>
        <v/>
      </c>
      <c r="G81" s="69" t="str">
        <f t="shared" si="7"/>
        <v/>
      </c>
    </row>
    <row r="82" spans="3:7" x14ac:dyDescent="0.25">
      <c r="C82" s="93" t="str">
        <f t="shared" si="5"/>
        <v/>
      </c>
      <c r="D82" s="69" t="str">
        <f t="shared" si="6"/>
        <v/>
      </c>
      <c r="E82" s="69" t="str">
        <f t="shared" ref="E82:E121" si="9">IF(C82&gt;$D$9,"",$D$7*G81)</f>
        <v/>
      </c>
      <c r="F82" s="94" t="str">
        <f t="shared" si="8"/>
        <v/>
      </c>
      <c r="G82" s="69" t="str">
        <f t="shared" si="7"/>
        <v/>
      </c>
    </row>
    <row r="83" spans="3:7" x14ac:dyDescent="0.25">
      <c r="C83" s="93" t="str">
        <f t="shared" si="5"/>
        <v/>
      </c>
      <c r="D83" s="69" t="str">
        <f t="shared" si="6"/>
        <v/>
      </c>
      <c r="E83" s="69" t="str">
        <f t="shared" si="9"/>
        <v/>
      </c>
      <c r="F83" s="94" t="str">
        <f t="shared" si="8"/>
        <v/>
      </c>
      <c r="G83" s="69" t="str">
        <f t="shared" si="7"/>
        <v/>
      </c>
    </row>
    <row r="84" spans="3:7" x14ac:dyDescent="0.25">
      <c r="C84" s="93" t="str">
        <f t="shared" si="5"/>
        <v/>
      </c>
      <c r="D84" s="69" t="str">
        <f t="shared" si="6"/>
        <v/>
      </c>
      <c r="E84" s="69" t="str">
        <f t="shared" si="9"/>
        <v/>
      </c>
      <c r="F84" s="94" t="str">
        <f t="shared" si="8"/>
        <v/>
      </c>
      <c r="G84" s="69" t="str">
        <f t="shared" si="7"/>
        <v/>
      </c>
    </row>
    <row r="85" spans="3:7" x14ac:dyDescent="0.25">
      <c r="C85" s="93" t="str">
        <f t="shared" si="5"/>
        <v/>
      </c>
      <c r="D85" s="69" t="str">
        <f t="shared" si="6"/>
        <v/>
      </c>
      <c r="E85" s="69" t="str">
        <f t="shared" si="9"/>
        <v/>
      </c>
      <c r="F85" s="94" t="str">
        <f t="shared" si="8"/>
        <v/>
      </c>
      <c r="G85" s="69" t="str">
        <f t="shared" si="7"/>
        <v/>
      </c>
    </row>
    <row r="86" spans="3:7" x14ac:dyDescent="0.25">
      <c r="C86" s="93" t="str">
        <f t="shared" si="5"/>
        <v/>
      </c>
      <c r="D86" s="69" t="str">
        <f t="shared" si="6"/>
        <v/>
      </c>
      <c r="E86" s="69" t="str">
        <f t="shared" si="9"/>
        <v/>
      </c>
      <c r="F86" s="94" t="str">
        <f t="shared" si="8"/>
        <v/>
      </c>
      <c r="G86" s="69" t="str">
        <f t="shared" si="7"/>
        <v/>
      </c>
    </row>
    <row r="87" spans="3:7" x14ac:dyDescent="0.25">
      <c r="C87" s="93" t="str">
        <f t="shared" si="5"/>
        <v/>
      </c>
      <c r="D87" s="69" t="str">
        <f t="shared" si="6"/>
        <v/>
      </c>
      <c r="E87" s="69" t="str">
        <f t="shared" si="9"/>
        <v/>
      </c>
      <c r="F87" s="94" t="str">
        <f t="shared" si="8"/>
        <v/>
      </c>
      <c r="G87" s="69" t="str">
        <f t="shared" si="7"/>
        <v/>
      </c>
    </row>
    <row r="88" spans="3:7" x14ac:dyDescent="0.25">
      <c r="C88" s="93" t="str">
        <f t="shared" si="5"/>
        <v/>
      </c>
      <c r="D88" s="69" t="str">
        <f t="shared" si="6"/>
        <v/>
      </c>
      <c r="E88" s="69" t="str">
        <f t="shared" si="9"/>
        <v/>
      </c>
      <c r="F88" s="94" t="str">
        <f t="shared" si="8"/>
        <v/>
      </c>
      <c r="G88" s="69" t="str">
        <f t="shared" si="7"/>
        <v/>
      </c>
    </row>
    <row r="89" spans="3:7" x14ac:dyDescent="0.25">
      <c r="C89" s="93" t="str">
        <f t="shared" si="5"/>
        <v/>
      </c>
      <c r="D89" s="69" t="str">
        <f t="shared" si="6"/>
        <v/>
      </c>
      <c r="E89" s="69" t="str">
        <f t="shared" si="9"/>
        <v/>
      </c>
      <c r="F89" s="94" t="str">
        <f t="shared" si="8"/>
        <v/>
      </c>
      <c r="G89" s="69" t="str">
        <f t="shared" si="7"/>
        <v/>
      </c>
    </row>
    <row r="90" spans="3:7" x14ac:dyDescent="0.25">
      <c r="C90" s="93" t="str">
        <f t="shared" si="5"/>
        <v/>
      </c>
      <c r="D90" s="69" t="str">
        <f t="shared" si="6"/>
        <v/>
      </c>
      <c r="E90" s="69" t="str">
        <f t="shared" si="9"/>
        <v/>
      </c>
      <c r="F90" s="94" t="str">
        <f t="shared" si="8"/>
        <v/>
      </c>
      <c r="G90" s="69" t="str">
        <f t="shared" si="7"/>
        <v/>
      </c>
    </row>
    <row r="91" spans="3:7" x14ac:dyDescent="0.25">
      <c r="C91" s="93" t="str">
        <f t="shared" si="5"/>
        <v/>
      </c>
      <c r="D91" s="69" t="str">
        <f t="shared" si="6"/>
        <v/>
      </c>
      <c r="E91" s="69" t="str">
        <f t="shared" si="9"/>
        <v/>
      </c>
      <c r="F91" s="94" t="str">
        <f t="shared" si="8"/>
        <v/>
      </c>
      <c r="G91" s="69" t="str">
        <f t="shared" si="7"/>
        <v/>
      </c>
    </row>
    <row r="92" spans="3:7" x14ac:dyDescent="0.25">
      <c r="C92" s="93" t="str">
        <f t="shared" si="5"/>
        <v/>
      </c>
      <c r="D92" s="69" t="str">
        <f t="shared" si="6"/>
        <v/>
      </c>
      <c r="E92" s="69" t="str">
        <f t="shared" si="9"/>
        <v/>
      </c>
      <c r="F92" s="94" t="str">
        <f t="shared" si="8"/>
        <v/>
      </c>
      <c r="G92" s="69" t="str">
        <f t="shared" si="7"/>
        <v/>
      </c>
    </row>
    <row r="93" spans="3:7" x14ac:dyDescent="0.25">
      <c r="C93" s="93" t="str">
        <f t="shared" si="5"/>
        <v/>
      </c>
      <c r="D93" s="69" t="str">
        <f t="shared" si="6"/>
        <v/>
      </c>
      <c r="E93" s="69" t="str">
        <f t="shared" si="9"/>
        <v/>
      </c>
      <c r="F93" s="94" t="str">
        <f t="shared" si="8"/>
        <v/>
      </c>
      <c r="G93" s="69" t="str">
        <f t="shared" si="7"/>
        <v/>
      </c>
    </row>
    <row r="94" spans="3:7" x14ac:dyDescent="0.25">
      <c r="C94" s="93" t="str">
        <f t="shared" si="5"/>
        <v/>
      </c>
      <c r="D94" s="69" t="str">
        <f t="shared" si="6"/>
        <v/>
      </c>
      <c r="E94" s="69" t="str">
        <f t="shared" si="9"/>
        <v/>
      </c>
      <c r="F94" s="94" t="str">
        <f t="shared" si="8"/>
        <v/>
      </c>
      <c r="G94" s="69" t="str">
        <f t="shared" si="7"/>
        <v/>
      </c>
    </row>
    <row r="95" spans="3:7" x14ac:dyDescent="0.25">
      <c r="C95" s="93" t="str">
        <f t="shared" si="5"/>
        <v/>
      </c>
      <c r="D95" s="69" t="str">
        <f t="shared" si="6"/>
        <v/>
      </c>
      <c r="E95" s="69" t="str">
        <f t="shared" si="9"/>
        <v/>
      </c>
      <c r="F95" s="94" t="str">
        <f t="shared" si="8"/>
        <v/>
      </c>
      <c r="G95" s="69" t="str">
        <f t="shared" si="7"/>
        <v/>
      </c>
    </row>
    <row r="96" spans="3:7" x14ac:dyDescent="0.25">
      <c r="C96" s="93" t="str">
        <f t="shared" si="5"/>
        <v/>
      </c>
      <c r="D96" s="69" t="str">
        <f t="shared" si="6"/>
        <v/>
      </c>
      <c r="E96" s="69" t="str">
        <f t="shared" si="9"/>
        <v/>
      </c>
      <c r="F96" s="94" t="str">
        <f t="shared" si="8"/>
        <v/>
      </c>
      <c r="G96" s="69" t="str">
        <f t="shared" si="7"/>
        <v/>
      </c>
    </row>
    <row r="97" spans="3:7" x14ac:dyDescent="0.25">
      <c r="C97" s="93" t="str">
        <f t="shared" si="5"/>
        <v/>
      </c>
      <c r="D97" s="69" t="str">
        <f t="shared" si="6"/>
        <v/>
      </c>
      <c r="E97" s="69" t="str">
        <f t="shared" si="9"/>
        <v/>
      </c>
      <c r="F97" s="94" t="str">
        <f t="shared" si="8"/>
        <v/>
      </c>
      <c r="G97" s="69" t="str">
        <f t="shared" si="7"/>
        <v/>
      </c>
    </row>
    <row r="98" spans="3:7" x14ac:dyDescent="0.25">
      <c r="C98" s="93" t="str">
        <f t="shared" si="5"/>
        <v/>
      </c>
      <c r="D98" s="69" t="str">
        <f t="shared" si="6"/>
        <v/>
      </c>
      <c r="E98" s="69" t="str">
        <f t="shared" si="9"/>
        <v/>
      </c>
      <c r="F98" s="94" t="str">
        <f t="shared" si="8"/>
        <v/>
      </c>
      <c r="G98" s="69" t="str">
        <f t="shared" si="7"/>
        <v/>
      </c>
    </row>
    <row r="99" spans="3:7" x14ac:dyDescent="0.25">
      <c r="C99" s="93" t="str">
        <f t="shared" si="5"/>
        <v/>
      </c>
      <c r="D99" s="69" t="str">
        <f t="shared" si="6"/>
        <v/>
      </c>
      <c r="E99" s="69" t="str">
        <f t="shared" si="9"/>
        <v/>
      </c>
      <c r="F99" s="94" t="str">
        <f t="shared" si="8"/>
        <v/>
      </c>
      <c r="G99" s="69" t="str">
        <f t="shared" si="7"/>
        <v/>
      </c>
    </row>
    <row r="100" spans="3:7" x14ac:dyDescent="0.25">
      <c r="C100" s="93" t="str">
        <f t="shared" si="5"/>
        <v/>
      </c>
      <c r="D100" s="69" t="str">
        <f t="shared" si="6"/>
        <v/>
      </c>
      <c r="E100" s="69" t="str">
        <f t="shared" si="9"/>
        <v/>
      </c>
      <c r="F100" s="94" t="str">
        <f t="shared" si="8"/>
        <v/>
      </c>
      <c r="G100" s="69" t="str">
        <f t="shared" si="7"/>
        <v/>
      </c>
    </row>
    <row r="101" spans="3:7" x14ac:dyDescent="0.25">
      <c r="C101" s="93" t="str">
        <f t="shared" si="5"/>
        <v/>
      </c>
      <c r="D101" s="69" t="str">
        <f t="shared" si="6"/>
        <v/>
      </c>
      <c r="E101" s="69" t="str">
        <f t="shared" si="9"/>
        <v/>
      </c>
      <c r="F101" s="94" t="str">
        <f t="shared" si="8"/>
        <v/>
      </c>
      <c r="G101" s="69" t="str">
        <f t="shared" si="7"/>
        <v/>
      </c>
    </row>
    <row r="102" spans="3:7" x14ac:dyDescent="0.25">
      <c r="C102" s="93" t="str">
        <f t="shared" si="5"/>
        <v/>
      </c>
      <c r="D102" s="69" t="str">
        <f t="shared" si="6"/>
        <v/>
      </c>
      <c r="E102" s="69" t="str">
        <f t="shared" si="9"/>
        <v/>
      </c>
      <c r="F102" s="94" t="str">
        <f t="shared" si="8"/>
        <v/>
      </c>
      <c r="G102" s="69" t="str">
        <f t="shared" si="7"/>
        <v/>
      </c>
    </row>
    <row r="103" spans="3:7" x14ac:dyDescent="0.25">
      <c r="C103" s="93" t="str">
        <f t="shared" si="5"/>
        <v/>
      </c>
      <c r="D103" s="69" t="str">
        <f t="shared" si="6"/>
        <v/>
      </c>
      <c r="E103" s="69" t="str">
        <f t="shared" si="9"/>
        <v/>
      </c>
      <c r="F103" s="94" t="str">
        <f t="shared" si="8"/>
        <v/>
      </c>
      <c r="G103" s="69" t="str">
        <f t="shared" si="7"/>
        <v/>
      </c>
    </row>
    <row r="104" spans="3:7" x14ac:dyDescent="0.25">
      <c r="C104" s="93" t="str">
        <f t="shared" si="5"/>
        <v/>
      </c>
      <c r="D104" s="69" t="str">
        <f t="shared" si="6"/>
        <v/>
      </c>
      <c r="E104" s="69" t="str">
        <f t="shared" si="9"/>
        <v/>
      </c>
      <c r="F104" s="94" t="str">
        <f t="shared" si="8"/>
        <v/>
      </c>
      <c r="G104" s="69" t="str">
        <f t="shared" si="7"/>
        <v/>
      </c>
    </row>
    <row r="105" spans="3:7" x14ac:dyDescent="0.25">
      <c r="C105" s="93" t="str">
        <f t="shared" si="5"/>
        <v/>
      </c>
      <c r="D105" s="69" t="str">
        <f t="shared" si="6"/>
        <v/>
      </c>
      <c r="E105" s="69" t="str">
        <f t="shared" si="9"/>
        <v/>
      </c>
      <c r="F105" s="94" t="str">
        <f t="shared" si="8"/>
        <v/>
      </c>
      <c r="G105" s="69" t="str">
        <f t="shared" si="7"/>
        <v/>
      </c>
    </row>
    <row r="106" spans="3:7" x14ac:dyDescent="0.25">
      <c r="C106" s="93" t="str">
        <f t="shared" si="5"/>
        <v/>
      </c>
      <c r="D106" s="69" t="str">
        <f t="shared" si="6"/>
        <v/>
      </c>
      <c r="E106" s="69" t="str">
        <f t="shared" si="9"/>
        <v/>
      </c>
      <c r="F106" s="94" t="str">
        <f t="shared" si="8"/>
        <v/>
      </c>
      <c r="G106" s="69" t="str">
        <f t="shared" si="7"/>
        <v/>
      </c>
    </row>
    <row r="107" spans="3:7" x14ac:dyDescent="0.25">
      <c r="C107" s="93" t="str">
        <f t="shared" si="5"/>
        <v/>
      </c>
      <c r="D107" s="69" t="str">
        <f t="shared" si="6"/>
        <v/>
      </c>
      <c r="E107" s="69" t="str">
        <f t="shared" si="9"/>
        <v/>
      </c>
      <c r="F107" s="94" t="str">
        <f t="shared" si="8"/>
        <v/>
      </c>
      <c r="G107" s="69" t="str">
        <f t="shared" si="7"/>
        <v/>
      </c>
    </row>
    <row r="108" spans="3:7" x14ac:dyDescent="0.25">
      <c r="C108" s="93" t="str">
        <f t="shared" si="5"/>
        <v/>
      </c>
      <c r="D108" s="69" t="str">
        <f t="shared" si="6"/>
        <v/>
      </c>
      <c r="E108" s="69" t="str">
        <f t="shared" si="9"/>
        <v/>
      </c>
      <c r="F108" s="94" t="str">
        <f t="shared" si="8"/>
        <v/>
      </c>
      <c r="G108" s="69" t="str">
        <f t="shared" si="7"/>
        <v/>
      </c>
    </row>
    <row r="109" spans="3:7" x14ac:dyDescent="0.25">
      <c r="C109" s="93" t="str">
        <f t="shared" si="5"/>
        <v/>
      </c>
      <c r="D109" s="69" t="str">
        <f t="shared" si="6"/>
        <v/>
      </c>
      <c r="E109" s="69" t="str">
        <f t="shared" si="9"/>
        <v/>
      </c>
      <c r="F109" s="94" t="str">
        <f t="shared" si="8"/>
        <v/>
      </c>
      <c r="G109" s="69" t="str">
        <f t="shared" si="7"/>
        <v/>
      </c>
    </row>
    <row r="110" spans="3:7" x14ac:dyDescent="0.25">
      <c r="C110" s="93" t="str">
        <f t="shared" si="5"/>
        <v/>
      </c>
      <c r="D110" s="69" t="str">
        <f t="shared" si="6"/>
        <v/>
      </c>
      <c r="E110" s="69" t="str">
        <f t="shared" si="9"/>
        <v/>
      </c>
      <c r="F110" s="94" t="str">
        <f t="shared" si="8"/>
        <v/>
      </c>
      <c r="G110" s="69" t="str">
        <f t="shared" si="7"/>
        <v/>
      </c>
    </row>
    <row r="111" spans="3:7" x14ac:dyDescent="0.25">
      <c r="C111" s="93" t="str">
        <f t="shared" si="5"/>
        <v/>
      </c>
      <c r="D111" s="69" t="str">
        <f t="shared" si="6"/>
        <v/>
      </c>
      <c r="E111" s="69" t="str">
        <f t="shared" si="9"/>
        <v/>
      </c>
      <c r="F111" s="94" t="str">
        <f t="shared" si="8"/>
        <v/>
      </c>
      <c r="G111" s="69" t="str">
        <f t="shared" si="7"/>
        <v/>
      </c>
    </row>
    <row r="112" spans="3:7" x14ac:dyDescent="0.25">
      <c r="C112" s="93" t="str">
        <f t="shared" si="5"/>
        <v/>
      </c>
      <c r="D112" s="69" t="str">
        <f t="shared" si="6"/>
        <v/>
      </c>
      <c r="E112" s="69" t="str">
        <f t="shared" si="9"/>
        <v/>
      </c>
      <c r="F112" s="94" t="str">
        <f t="shared" si="8"/>
        <v/>
      </c>
      <c r="G112" s="69" t="str">
        <f t="shared" si="7"/>
        <v/>
      </c>
    </row>
    <row r="113" spans="3:7" x14ac:dyDescent="0.25">
      <c r="C113" s="93" t="str">
        <f t="shared" si="5"/>
        <v/>
      </c>
      <c r="D113" s="69" t="str">
        <f t="shared" si="6"/>
        <v/>
      </c>
      <c r="E113" s="69" t="str">
        <f t="shared" si="9"/>
        <v/>
      </c>
      <c r="F113" s="94" t="str">
        <f t="shared" si="8"/>
        <v/>
      </c>
      <c r="G113" s="69" t="str">
        <f t="shared" si="7"/>
        <v/>
      </c>
    </row>
    <row r="114" spans="3:7" x14ac:dyDescent="0.25">
      <c r="C114" s="93" t="str">
        <f t="shared" si="5"/>
        <v/>
      </c>
      <c r="D114" s="69" t="str">
        <f t="shared" si="6"/>
        <v/>
      </c>
      <c r="E114" s="69" t="str">
        <f t="shared" si="9"/>
        <v/>
      </c>
      <c r="F114" s="94" t="str">
        <f t="shared" si="8"/>
        <v/>
      </c>
      <c r="G114" s="69" t="str">
        <f t="shared" si="7"/>
        <v/>
      </c>
    </row>
    <row r="115" spans="3:7" x14ac:dyDescent="0.25">
      <c r="C115" s="93" t="str">
        <f t="shared" si="5"/>
        <v/>
      </c>
      <c r="D115" s="69" t="str">
        <f t="shared" si="6"/>
        <v/>
      </c>
      <c r="E115" s="69" t="str">
        <f t="shared" si="9"/>
        <v/>
      </c>
      <c r="F115" s="94" t="str">
        <f t="shared" si="8"/>
        <v/>
      </c>
      <c r="G115" s="69" t="str">
        <f t="shared" si="7"/>
        <v/>
      </c>
    </row>
    <row r="116" spans="3:7" x14ac:dyDescent="0.25">
      <c r="C116" s="93" t="str">
        <f t="shared" si="5"/>
        <v/>
      </c>
      <c r="D116" s="69" t="str">
        <f t="shared" si="6"/>
        <v/>
      </c>
      <c r="E116" s="69" t="str">
        <f t="shared" si="9"/>
        <v/>
      </c>
      <c r="F116" s="94" t="str">
        <f t="shared" si="8"/>
        <v/>
      </c>
      <c r="G116" s="69" t="str">
        <f t="shared" si="7"/>
        <v/>
      </c>
    </row>
    <row r="117" spans="3:7" x14ac:dyDescent="0.25">
      <c r="C117" s="93" t="str">
        <f t="shared" si="5"/>
        <v/>
      </c>
      <c r="D117" s="69" t="str">
        <f t="shared" si="6"/>
        <v/>
      </c>
      <c r="E117" s="69" t="str">
        <f t="shared" si="9"/>
        <v/>
      </c>
      <c r="F117" s="94" t="str">
        <f t="shared" si="8"/>
        <v/>
      </c>
      <c r="G117" s="69" t="str">
        <f t="shared" si="7"/>
        <v/>
      </c>
    </row>
    <row r="118" spans="3:7" x14ac:dyDescent="0.25">
      <c r="C118" s="93" t="str">
        <f t="shared" si="5"/>
        <v/>
      </c>
      <c r="D118" s="69" t="str">
        <f t="shared" si="6"/>
        <v/>
      </c>
      <c r="E118" s="69" t="str">
        <f t="shared" si="9"/>
        <v/>
      </c>
      <c r="F118" s="94" t="str">
        <f t="shared" si="8"/>
        <v/>
      </c>
      <c r="G118" s="69" t="str">
        <f t="shared" si="7"/>
        <v/>
      </c>
    </row>
    <row r="119" spans="3:7" x14ac:dyDescent="0.25">
      <c r="C119" s="93" t="str">
        <f t="shared" si="5"/>
        <v/>
      </c>
      <c r="D119" s="69" t="str">
        <f t="shared" si="6"/>
        <v/>
      </c>
      <c r="E119" s="69" t="str">
        <f t="shared" si="9"/>
        <v/>
      </c>
      <c r="F119" s="94" t="str">
        <f t="shared" si="8"/>
        <v/>
      </c>
      <c r="G119" s="69" t="str">
        <f t="shared" si="7"/>
        <v/>
      </c>
    </row>
    <row r="120" spans="3:7" x14ac:dyDescent="0.25">
      <c r="C120" s="93" t="str">
        <f t="shared" si="5"/>
        <v/>
      </c>
      <c r="D120" s="69" t="str">
        <f t="shared" si="6"/>
        <v/>
      </c>
      <c r="E120" s="69" t="str">
        <f t="shared" si="9"/>
        <v/>
      </c>
      <c r="F120" s="94" t="str">
        <f t="shared" si="8"/>
        <v/>
      </c>
      <c r="G120" s="69" t="str">
        <f t="shared" si="7"/>
        <v/>
      </c>
    </row>
    <row r="121" spans="3:7" x14ac:dyDescent="0.25">
      <c r="C121" s="93" t="str">
        <f t="shared" si="5"/>
        <v/>
      </c>
      <c r="D121" s="69" t="str">
        <f t="shared" si="6"/>
        <v/>
      </c>
      <c r="E121" s="69" t="str">
        <f t="shared" si="9"/>
        <v/>
      </c>
      <c r="F121" s="94" t="str">
        <f t="shared" si="8"/>
        <v/>
      </c>
      <c r="G121" s="69" t="str">
        <f t="shared" si="7"/>
        <v/>
      </c>
    </row>
    <row r="122" spans="3:7" x14ac:dyDescent="0.25">
      <c r="C122" s="93"/>
      <c r="D122" s="69"/>
      <c r="E122" s="69"/>
      <c r="F122" s="94"/>
      <c r="G122" s="69"/>
    </row>
    <row r="123" spans="3:7" x14ac:dyDescent="0.25">
      <c r="C123" s="93"/>
      <c r="D123" s="69"/>
      <c r="E123" s="69"/>
      <c r="F123" s="94"/>
      <c r="G123" s="69"/>
    </row>
    <row r="124" spans="3:7" x14ac:dyDescent="0.25">
      <c r="C124" s="93"/>
      <c r="D124" s="69"/>
      <c r="E124" s="69"/>
      <c r="F124" s="94"/>
      <c r="G124" s="69"/>
    </row>
    <row r="125" spans="3:7" x14ac:dyDescent="0.25">
      <c r="C125" s="93"/>
      <c r="D125" s="69"/>
      <c r="E125" s="69"/>
      <c r="F125" s="94"/>
      <c r="G125" s="69"/>
    </row>
    <row r="126" spans="3:7" x14ac:dyDescent="0.25">
      <c r="C126" s="93"/>
      <c r="D126" s="69"/>
      <c r="E126" s="69"/>
      <c r="F126" s="94"/>
      <c r="G126" s="69"/>
    </row>
    <row r="127" spans="3:7" x14ac:dyDescent="0.25">
      <c r="C127" s="93"/>
      <c r="D127" s="69"/>
      <c r="E127" s="69"/>
      <c r="F127" s="94"/>
      <c r="G127" s="69"/>
    </row>
    <row r="128" spans="3:7" x14ac:dyDescent="0.25">
      <c r="C128" s="93"/>
      <c r="D128" s="69"/>
      <c r="E128" s="69"/>
      <c r="F128" s="94"/>
      <c r="G128" s="69"/>
    </row>
    <row r="129" spans="3:7" x14ac:dyDescent="0.25">
      <c r="C129" s="93"/>
      <c r="D129" s="69"/>
      <c r="E129" s="69"/>
      <c r="F129" s="94"/>
      <c r="G129" s="69"/>
    </row>
    <row r="130" spans="3:7" x14ac:dyDescent="0.25">
      <c r="C130" s="93"/>
      <c r="D130" s="69"/>
      <c r="E130" s="69"/>
      <c r="F130" s="94"/>
      <c r="G130" s="69"/>
    </row>
    <row r="131" spans="3:7" x14ac:dyDescent="0.25">
      <c r="C131" s="93"/>
      <c r="D131" s="69"/>
      <c r="E131" s="69"/>
      <c r="F131" s="94"/>
      <c r="G131" s="69"/>
    </row>
    <row r="132" spans="3:7" x14ac:dyDescent="0.25">
      <c r="C132" s="93"/>
      <c r="D132" s="69"/>
      <c r="E132" s="69"/>
      <c r="F132" s="94"/>
      <c r="G132" s="69"/>
    </row>
    <row r="133" spans="3:7" x14ac:dyDescent="0.25">
      <c r="C133" s="93"/>
      <c r="D133" s="69"/>
      <c r="E133" s="69"/>
      <c r="F133" s="94"/>
      <c r="G133" s="69"/>
    </row>
    <row r="134" spans="3:7" x14ac:dyDescent="0.25">
      <c r="C134" s="93"/>
      <c r="D134" s="69"/>
      <c r="E134" s="69"/>
      <c r="F134" s="94"/>
      <c r="G134" s="69"/>
    </row>
    <row r="135" spans="3:7" x14ac:dyDescent="0.25">
      <c r="C135" s="93"/>
      <c r="D135" s="69"/>
      <c r="E135" s="69"/>
      <c r="F135" s="94"/>
      <c r="G135" s="69"/>
    </row>
    <row r="136" spans="3:7" x14ac:dyDescent="0.25">
      <c r="C136" s="93"/>
      <c r="D136" s="69"/>
      <c r="E136" s="69"/>
      <c r="F136" s="94"/>
      <c r="G136" s="69"/>
    </row>
    <row r="137" spans="3:7" x14ac:dyDescent="0.25">
      <c r="C137" s="93"/>
      <c r="D137" s="69"/>
      <c r="E137" s="69"/>
      <c r="F137" s="94"/>
      <c r="G137" s="69"/>
    </row>
    <row r="138" spans="3:7" x14ac:dyDescent="0.25">
      <c r="C138" s="93"/>
      <c r="D138" s="69"/>
      <c r="E138" s="69"/>
      <c r="F138" s="94"/>
      <c r="G138" s="69"/>
    </row>
    <row r="139" spans="3:7" x14ac:dyDescent="0.25">
      <c r="C139" s="93"/>
      <c r="D139" s="69"/>
      <c r="E139" s="69"/>
      <c r="F139" s="94"/>
      <c r="G139" s="69"/>
    </row>
    <row r="140" spans="3:7" x14ac:dyDescent="0.25">
      <c r="C140" s="93"/>
      <c r="D140" s="69"/>
      <c r="E140" s="69"/>
      <c r="F140" s="94"/>
      <c r="G140" s="69"/>
    </row>
    <row r="141" spans="3:7" x14ac:dyDescent="0.25">
      <c r="C141" s="93"/>
      <c r="D141" s="69"/>
      <c r="E141" s="69"/>
      <c r="F141" s="94"/>
      <c r="G141" s="69"/>
    </row>
    <row r="142" spans="3:7" x14ac:dyDescent="0.25">
      <c r="C142" s="93"/>
      <c r="D142" s="69"/>
      <c r="E142" s="69"/>
      <c r="F142" s="94"/>
      <c r="G142" s="69"/>
    </row>
    <row r="143" spans="3:7" x14ac:dyDescent="0.25">
      <c r="C143" s="93"/>
      <c r="D143" s="69"/>
      <c r="E143" s="69"/>
      <c r="F143" s="94"/>
      <c r="G143" s="69"/>
    </row>
    <row r="144" spans="3:7" x14ac:dyDescent="0.25">
      <c r="C144" s="93"/>
      <c r="D144" s="69"/>
      <c r="E144" s="69"/>
      <c r="F144" s="94"/>
      <c r="G144" s="69"/>
    </row>
    <row r="145" spans="3:7" x14ac:dyDescent="0.25">
      <c r="C145" s="93"/>
      <c r="D145" s="69"/>
      <c r="E145" s="69"/>
      <c r="F145" s="94"/>
      <c r="G145" s="69"/>
    </row>
    <row r="146" spans="3:7" x14ac:dyDescent="0.25">
      <c r="C146" s="93"/>
      <c r="D146" s="69"/>
      <c r="E146" s="69"/>
      <c r="F146" s="94"/>
      <c r="G146" s="69"/>
    </row>
    <row r="147" spans="3:7" x14ac:dyDescent="0.25">
      <c r="C147" s="93"/>
      <c r="D147" s="69"/>
      <c r="E147" s="69"/>
      <c r="F147" s="94"/>
      <c r="G147" s="69"/>
    </row>
    <row r="148" spans="3:7" x14ac:dyDescent="0.25">
      <c r="C148" s="93"/>
      <c r="D148" s="69"/>
      <c r="E148" s="69"/>
      <c r="F148" s="94"/>
      <c r="G148" s="69"/>
    </row>
    <row r="149" spans="3:7" x14ac:dyDescent="0.25">
      <c r="C149" s="93"/>
      <c r="D149" s="69"/>
      <c r="E149" s="69"/>
      <c r="F149" s="94"/>
      <c r="G149" s="69"/>
    </row>
    <row r="150" spans="3:7" x14ac:dyDescent="0.25">
      <c r="C150" s="93"/>
      <c r="D150" s="69"/>
      <c r="E150" s="69"/>
      <c r="F150" s="94"/>
      <c r="G150" s="69"/>
    </row>
    <row r="151" spans="3:7" x14ac:dyDescent="0.25">
      <c r="C151" s="93"/>
      <c r="D151" s="69"/>
      <c r="E151" s="69"/>
      <c r="F151" s="94"/>
      <c r="G151" s="69"/>
    </row>
    <row r="152" spans="3:7" x14ac:dyDescent="0.25">
      <c r="C152" s="93"/>
      <c r="D152" s="69"/>
      <c r="E152" s="69"/>
      <c r="F152" s="94"/>
      <c r="G152" s="69"/>
    </row>
    <row r="153" spans="3:7" x14ac:dyDescent="0.25">
      <c r="C153" s="93"/>
      <c r="D153" s="69"/>
      <c r="E153" s="69"/>
      <c r="F153" s="94"/>
      <c r="G153" s="69"/>
    </row>
    <row r="154" spans="3:7" x14ac:dyDescent="0.25">
      <c r="C154" s="93"/>
      <c r="D154" s="69"/>
      <c r="E154" s="69"/>
      <c r="F154" s="94"/>
      <c r="G154" s="69"/>
    </row>
    <row r="155" spans="3:7" x14ac:dyDescent="0.25">
      <c r="C155" s="93"/>
      <c r="D155" s="69"/>
      <c r="E155" s="69"/>
      <c r="F155" s="94"/>
      <c r="G155" s="69"/>
    </row>
    <row r="156" spans="3:7" x14ac:dyDescent="0.25">
      <c r="C156" s="93"/>
      <c r="D156" s="69"/>
      <c r="E156" s="69"/>
      <c r="F156" s="94"/>
      <c r="G156" s="69"/>
    </row>
    <row r="157" spans="3:7" x14ac:dyDescent="0.25">
      <c r="C157" s="93"/>
      <c r="D157" s="69"/>
      <c r="E157" s="69"/>
      <c r="F157" s="94"/>
      <c r="G157" s="69"/>
    </row>
    <row r="158" spans="3:7" x14ac:dyDescent="0.25">
      <c r="C158" s="93"/>
      <c r="D158" s="69"/>
      <c r="E158" s="69"/>
      <c r="F158" s="94"/>
      <c r="G158" s="69"/>
    </row>
    <row r="159" spans="3:7" x14ac:dyDescent="0.25">
      <c r="C159" s="93"/>
      <c r="D159" s="69"/>
      <c r="E159" s="69"/>
      <c r="F159" s="94"/>
      <c r="G159" s="69"/>
    </row>
    <row r="160" spans="3:7" x14ac:dyDescent="0.25">
      <c r="C160" s="93"/>
      <c r="D160" s="69"/>
      <c r="E160" s="69"/>
      <c r="F160" s="94"/>
      <c r="G160" s="69"/>
    </row>
    <row r="161" spans="3:7" x14ac:dyDescent="0.25">
      <c r="C161" s="93"/>
      <c r="D161" s="69"/>
      <c r="E161" s="69"/>
      <c r="F161" s="94"/>
      <c r="G161" s="69"/>
    </row>
    <row r="162" spans="3:7" x14ac:dyDescent="0.25">
      <c r="C162" s="93"/>
      <c r="D162" s="69"/>
      <c r="E162" s="69"/>
      <c r="F162" s="94"/>
      <c r="G162" s="69"/>
    </row>
    <row r="163" spans="3:7" x14ac:dyDescent="0.25">
      <c r="C163" s="93"/>
      <c r="D163" s="69"/>
      <c r="E163" s="69"/>
      <c r="F163" s="94"/>
      <c r="G163" s="69"/>
    </row>
    <row r="164" spans="3:7" x14ac:dyDescent="0.25">
      <c r="C164" s="93"/>
      <c r="D164" s="69"/>
      <c r="E164" s="69"/>
      <c r="F164" s="94"/>
      <c r="G164" s="69"/>
    </row>
    <row r="165" spans="3:7" x14ac:dyDescent="0.25">
      <c r="C165" s="93"/>
      <c r="D165" s="69"/>
      <c r="E165" s="69"/>
      <c r="F165" s="94"/>
      <c r="G165" s="69"/>
    </row>
    <row r="166" spans="3:7" x14ac:dyDescent="0.25">
      <c r="C166" s="93"/>
      <c r="D166" s="69"/>
      <c r="E166" s="69"/>
      <c r="F166" s="94"/>
      <c r="G166" s="69"/>
    </row>
    <row r="167" spans="3:7" x14ac:dyDescent="0.25">
      <c r="C167" s="93"/>
      <c r="D167" s="69"/>
      <c r="E167" s="69"/>
      <c r="F167" s="94"/>
      <c r="G167" s="69"/>
    </row>
    <row r="168" spans="3:7" x14ac:dyDescent="0.25">
      <c r="C168" s="93"/>
      <c r="D168" s="69"/>
      <c r="E168" s="69"/>
      <c r="F168" s="94"/>
      <c r="G168" s="69"/>
    </row>
    <row r="169" spans="3:7" x14ac:dyDescent="0.25">
      <c r="C169" s="93"/>
      <c r="D169" s="69"/>
      <c r="E169" s="69"/>
      <c r="F169" s="94"/>
      <c r="G169" s="69"/>
    </row>
    <row r="170" spans="3:7" x14ac:dyDescent="0.25">
      <c r="C170" s="93"/>
      <c r="D170" s="69"/>
      <c r="E170" s="69"/>
      <c r="F170" s="94"/>
      <c r="G170" s="69"/>
    </row>
    <row r="171" spans="3:7" x14ac:dyDescent="0.25">
      <c r="C171" s="93"/>
      <c r="D171" s="69"/>
      <c r="E171" s="69"/>
      <c r="F171" s="94"/>
      <c r="G171" s="69"/>
    </row>
    <row r="172" spans="3:7" x14ac:dyDescent="0.25">
      <c r="C172" s="93"/>
      <c r="D172" s="69"/>
      <c r="E172" s="69"/>
      <c r="F172" s="94"/>
      <c r="G172" s="69"/>
    </row>
    <row r="173" spans="3:7" x14ac:dyDescent="0.25">
      <c r="C173" s="93"/>
      <c r="D173" s="69"/>
      <c r="E173" s="69"/>
      <c r="F173" s="94"/>
      <c r="G173" s="69"/>
    </row>
    <row r="174" spans="3:7" x14ac:dyDescent="0.25">
      <c r="C174" s="93"/>
      <c r="D174" s="69"/>
      <c r="E174" s="69"/>
      <c r="F174" s="94"/>
      <c r="G174" s="69"/>
    </row>
    <row r="175" spans="3:7" x14ac:dyDescent="0.25">
      <c r="C175" s="93"/>
      <c r="D175" s="69"/>
      <c r="E175" s="69"/>
      <c r="F175" s="94"/>
      <c r="G175" s="69"/>
    </row>
    <row r="176" spans="3:7" x14ac:dyDescent="0.25">
      <c r="C176" s="93"/>
      <c r="D176" s="69"/>
      <c r="E176" s="69"/>
      <c r="F176" s="94"/>
      <c r="G176" s="69"/>
    </row>
    <row r="177" spans="3:7" x14ac:dyDescent="0.25">
      <c r="C177" s="93"/>
      <c r="D177" s="69"/>
      <c r="E177" s="69"/>
      <c r="F177" s="94"/>
      <c r="G177" s="69"/>
    </row>
    <row r="178" spans="3:7" x14ac:dyDescent="0.25">
      <c r="C178" s="93"/>
      <c r="D178" s="69"/>
      <c r="E178" s="69"/>
      <c r="F178" s="94"/>
      <c r="G178" s="69"/>
    </row>
    <row r="179" spans="3:7" x14ac:dyDescent="0.25">
      <c r="C179" s="93"/>
      <c r="D179" s="69"/>
      <c r="E179" s="69"/>
      <c r="F179" s="94"/>
      <c r="G179" s="69"/>
    </row>
    <row r="180" spans="3:7" x14ac:dyDescent="0.25">
      <c r="C180" s="93"/>
      <c r="D180" s="69"/>
      <c r="E180" s="69"/>
      <c r="F180" s="94"/>
      <c r="G180" s="69"/>
    </row>
    <row r="181" spans="3:7" x14ac:dyDescent="0.25">
      <c r="C181" s="93"/>
      <c r="D181" s="69"/>
      <c r="E181" s="69"/>
      <c r="F181" s="94"/>
      <c r="G181" s="69"/>
    </row>
    <row r="182" spans="3:7" x14ac:dyDescent="0.25">
      <c r="C182" s="93"/>
      <c r="D182" s="69"/>
      <c r="E182" s="69"/>
      <c r="F182" s="94"/>
      <c r="G182" s="69"/>
    </row>
    <row r="183" spans="3:7" x14ac:dyDescent="0.25">
      <c r="C183" s="93"/>
      <c r="D183" s="69"/>
      <c r="E183" s="69"/>
      <c r="F183" s="94"/>
      <c r="G183" s="69"/>
    </row>
    <row r="184" spans="3:7" x14ac:dyDescent="0.25">
      <c r="C184" s="93"/>
      <c r="D184" s="69"/>
      <c r="E184" s="69"/>
      <c r="F184" s="94"/>
      <c r="G184" s="69"/>
    </row>
    <row r="185" spans="3:7" x14ac:dyDescent="0.25">
      <c r="C185" s="93"/>
      <c r="D185" s="69"/>
      <c r="E185" s="69"/>
      <c r="F185" s="94"/>
      <c r="G185" s="69"/>
    </row>
    <row r="186" spans="3:7" x14ac:dyDescent="0.25">
      <c r="C186" s="93"/>
      <c r="D186" s="69"/>
      <c r="E186" s="69"/>
      <c r="F186" s="94"/>
      <c r="G186" s="69"/>
    </row>
    <row r="187" spans="3:7" x14ac:dyDescent="0.25">
      <c r="C187" s="93"/>
      <c r="D187" s="69"/>
      <c r="E187" s="69"/>
      <c r="F187" s="94"/>
      <c r="G187" s="69"/>
    </row>
    <row r="188" spans="3:7" x14ac:dyDescent="0.25">
      <c r="C188" s="93"/>
      <c r="D188" s="69"/>
      <c r="E188" s="69"/>
      <c r="F188" s="94"/>
      <c r="G188" s="69"/>
    </row>
    <row r="189" spans="3:7" x14ac:dyDescent="0.25">
      <c r="C189" s="93"/>
      <c r="D189" s="69"/>
      <c r="E189" s="69"/>
      <c r="F189" s="94"/>
      <c r="G189" s="69"/>
    </row>
    <row r="190" spans="3:7" x14ac:dyDescent="0.25">
      <c r="C190" s="93"/>
      <c r="D190" s="69"/>
      <c r="E190" s="69"/>
      <c r="F190" s="94"/>
      <c r="G190" s="69"/>
    </row>
    <row r="191" spans="3:7" x14ac:dyDescent="0.25">
      <c r="C191" s="93"/>
      <c r="D191" s="69"/>
      <c r="E191" s="69"/>
      <c r="F191" s="94"/>
      <c r="G191" s="69"/>
    </row>
    <row r="192" spans="3:7" x14ac:dyDescent="0.25">
      <c r="C192" s="93"/>
      <c r="D192" s="69"/>
      <c r="E192" s="69"/>
      <c r="F192" s="94"/>
      <c r="G192" s="69"/>
    </row>
    <row r="193" spans="3:7" x14ac:dyDescent="0.25">
      <c r="C193" s="93"/>
      <c r="D193" s="69"/>
      <c r="E193" s="69"/>
      <c r="F193" s="94"/>
      <c r="G193" s="69"/>
    </row>
    <row r="194" spans="3:7" x14ac:dyDescent="0.25">
      <c r="C194" s="93"/>
      <c r="D194" s="69"/>
      <c r="E194" s="69"/>
      <c r="F194" s="94"/>
      <c r="G194" s="69"/>
    </row>
    <row r="195" spans="3:7" x14ac:dyDescent="0.25">
      <c r="C195" s="93"/>
      <c r="D195" s="69"/>
      <c r="E195" s="69"/>
      <c r="F195" s="94"/>
      <c r="G195" s="69"/>
    </row>
    <row r="196" spans="3:7" x14ac:dyDescent="0.25">
      <c r="C196" s="93"/>
      <c r="D196" s="69"/>
      <c r="E196" s="69"/>
      <c r="F196" s="94"/>
      <c r="G196" s="69"/>
    </row>
    <row r="197" spans="3:7" x14ac:dyDescent="0.25">
      <c r="C197" s="93"/>
      <c r="D197" s="69"/>
      <c r="E197" s="69"/>
      <c r="F197" s="94"/>
      <c r="G197" s="69"/>
    </row>
    <row r="198" spans="3:7" x14ac:dyDescent="0.25">
      <c r="C198" s="93"/>
      <c r="D198" s="69"/>
      <c r="E198" s="69"/>
      <c r="F198" s="94"/>
      <c r="G198" s="69"/>
    </row>
    <row r="199" spans="3:7" x14ac:dyDescent="0.25">
      <c r="C199" s="93"/>
      <c r="D199" s="69"/>
      <c r="E199" s="69"/>
      <c r="F199" s="94"/>
      <c r="G199" s="69"/>
    </row>
    <row r="200" spans="3:7" x14ac:dyDescent="0.25">
      <c r="C200" s="93"/>
      <c r="D200" s="69"/>
      <c r="E200" s="69"/>
      <c r="F200" s="94"/>
      <c r="G200" s="69"/>
    </row>
    <row r="201" spans="3:7" x14ac:dyDescent="0.25">
      <c r="C201" s="93"/>
      <c r="D201" s="69"/>
      <c r="E201" s="69"/>
      <c r="F201" s="94"/>
      <c r="G201" s="69"/>
    </row>
    <row r="202" spans="3:7" x14ac:dyDescent="0.25">
      <c r="C202" s="93"/>
      <c r="D202" s="69"/>
      <c r="E202" s="69"/>
      <c r="F202" s="94"/>
      <c r="G202" s="69"/>
    </row>
    <row r="203" spans="3:7" x14ac:dyDescent="0.25">
      <c r="C203" s="93"/>
      <c r="D203" s="69"/>
      <c r="E203" s="69"/>
      <c r="F203" s="94"/>
      <c r="G203" s="69"/>
    </row>
    <row r="204" spans="3:7" x14ac:dyDescent="0.25">
      <c r="C204" s="93"/>
      <c r="D204" s="69"/>
      <c r="E204" s="69"/>
      <c r="F204" s="94"/>
      <c r="G204" s="69"/>
    </row>
    <row r="205" spans="3:7" x14ac:dyDescent="0.25">
      <c r="C205" s="93"/>
      <c r="D205" s="69"/>
      <c r="E205" s="69"/>
      <c r="F205" s="94"/>
      <c r="G205" s="69"/>
    </row>
    <row r="206" spans="3:7" x14ac:dyDescent="0.25">
      <c r="C206" s="93"/>
      <c r="D206" s="69"/>
      <c r="E206" s="69"/>
      <c r="F206" s="94"/>
      <c r="G206" s="69"/>
    </row>
    <row r="207" spans="3:7" x14ac:dyDescent="0.25">
      <c r="C207" s="93"/>
      <c r="D207" s="69"/>
      <c r="E207" s="69"/>
      <c r="F207" s="94"/>
      <c r="G207" s="69"/>
    </row>
    <row r="208" spans="3:7" x14ac:dyDescent="0.25">
      <c r="C208" s="93"/>
      <c r="D208" s="69"/>
      <c r="E208" s="69"/>
      <c r="F208" s="94"/>
      <c r="G208" s="69"/>
    </row>
    <row r="209" spans="3:7" x14ac:dyDescent="0.25">
      <c r="C209" s="93"/>
      <c r="D209" s="69"/>
      <c r="E209" s="69"/>
      <c r="F209" s="94"/>
      <c r="G209" s="69"/>
    </row>
    <row r="210" spans="3:7" x14ac:dyDescent="0.25">
      <c r="C210" s="93"/>
      <c r="D210" s="69"/>
      <c r="E210" s="69"/>
      <c r="F210" s="94"/>
      <c r="G210" s="69"/>
    </row>
    <row r="211" spans="3:7" x14ac:dyDescent="0.25">
      <c r="C211" s="93"/>
      <c r="D211" s="69"/>
      <c r="E211" s="69"/>
      <c r="F211" s="94"/>
      <c r="G211" s="69"/>
    </row>
    <row r="212" spans="3:7" x14ac:dyDescent="0.25">
      <c r="C212" s="93"/>
      <c r="D212" s="69"/>
      <c r="E212" s="69"/>
      <c r="F212" s="94"/>
      <c r="G212" s="69"/>
    </row>
    <row r="213" spans="3:7" x14ac:dyDescent="0.25">
      <c r="C213" s="93"/>
      <c r="D213" s="69"/>
      <c r="E213" s="69"/>
      <c r="F213" s="94"/>
      <c r="G213" s="69"/>
    </row>
    <row r="214" spans="3:7" x14ac:dyDescent="0.25">
      <c r="C214" s="93"/>
      <c r="D214" s="69"/>
      <c r="E214" s="69"/>
      <c r="F214" s="94"/>
      <c r="G214" s="69"/>
    </row>
    <row r="215" spans="3:7" x14ac:dyDescent="0.25">
      <c r="C215" s="93"/>
      <c r="D215" s="69"/>
      <c r="E215" s="69"/>
      <c r="F215" s="94"/>
      <c r="G215" s="69"/>
    </row>
    <row r="216" spans="3:7" x14ac:dyDescent="0.25">
      <c r="C216" s="93"/>
      <c r="D216" s="69"/>
      <c r="E216" s="69"/>
      <c r="F216" s="94"/>
      <c r="G216" s="69"/>
    </row>
    <row r="217" spans="3:7" x14ac:dyDescent="0.25">
      <c r="C217" s="93"/>
      <c r="D217" s="69"/>
      <c r="E217" s="69"/>
      <c r="F217" s="94"/>
      <c r="G217" s="69"/>
    </row>
    <row r="218" spans="3:7" x14ac:dyDescent="0.25">
      <c r="C218" s="93"/>
      <c r="D218" s="69"/>
      <c r="E218" s="69"/>
      <c r="F218" s="94"/>
      <c r="G218" s="69"/>
    </row>
    <row r="219" spans="3:7" x14ac:dyDescent="0.25">
      <c r="C219" s="93"/>
      <c r="D219" s="69"/>
      <c r="E219" s="69"/>
      <c r="F219" s="94"/>
      <c r="G219" s="69"/>
    </row>
    <row r="220" spans="3:7" x14ac:dyDescent="0.25">
      <c r="C220" s="93"/>
      <c r="D220" s="69"/>
      <c r="E220" s="69"/>
      <c r="F220" s="94"/>
      <c r="G220" s="69"/>
    </row>
    <row r="221" spans="3:7" x14ac:dyDescent="0.25">
      <c r="C221" s="93"/>
      <c r="D221" s="69"/>
      <c r="E221" s="69"/>
      <c r="F221" s="94"/>
      <c r="G221" s="69"/>
    </row>
    <row r="222" spans="3:7" x14ac:dyDescent="0.25">
      <c r="C222" s="93"/>
      <c r="D222" s="69"/>
      <c r="E222" s="69"/>
      <c r="F222" s="94"/>
      <c r="G222" s="69"/>
    </row>
    <row r="223" spans="3:7" x14ac:dyDescent="0.25">
      <c r="C223" s="93"/>
      <c r="D223" s="69"/>
      <c r="E223" s="69"/>
      <c r="F223" s="94"/>
      <c r="G223" s="69"/>
    </row>
    <row r="224" spans="3:7" x14ac:dyDescent="0.25">
      <c r="C224" s="93"/>
      <c r="D224" s="69"/>
      <c r="E224" s="69"/>
      <c r="F224" s="94"/>
      <c r="G224" s="69"/>
    </row>
    <row r="225" spans="3:7" x14ac:dyDescent="0.25">
      <c r="C225" s="93"/>
      <c r="D225" s="69"/>
      <c r="E225" s="69"/>
      <c r="F225" s="94"/>
      <c r="G225" s="69"/>
    </row>
    <row r="226" spans="3:7" x14ac:dyDescent="0.25">
      <c r="C226" s="93"/>
      <c r="D226" s="69"/>
      <c r="E226" s="69"/>
      <c r="F226" s="94"/>
      <c r="G226" s="69"/>
    </row>
    <row r="227" spans="3:7" x14ac:dyDescent="0.25">
      <c r="C227" s="93"/>
      <c r="D227" s="69"/>
      <c r="E227" s="69"/>
      <c r="F227" s="94"/>
      <c r="G227" s="69"/>
    </row>
    <row r="228" spans="3:7" x14ac:dyDescent="0.25">
      <c r="C228" s="93"/>
      <c r="D228" s="69"/>
      <c r="E228" s="69"/>
      <c r="F228" s="94"/>
      <c r="G228" s="69"/>
    </row>
    <row r="229" spans="3:7" x14ac:dyDescent="0.25">
      <c r="C229" s="93"/>
      <c r="D229" s="69"/>
      <c r="E229" s="69"/>
      <c r="F229" s="94"/>
      <c r="G229" s="69"/>
    </row>
    <row r="230" spans="3:7" x14ac:dyDescent="0.25">
      <c r="C230" s="93"/>
      <c r="D230" s="69"/>
      <c r="E230" s="69"/>
      <c r="F230" s="94"/>
      <c r="G230" s="69"/>
    </row>
    <row r="231" spans="3:7" x14ac:dyDescent="0.25">
      <c r="C231" s="93"/>
      <c r="D231" s="69"/>
      <c r="E231" s="69"/>
      <c r="F231" s="94"/>
      <c r="G231" s="69"/>
    </row>
    <row r="232" spans="3:7" x14ac:dyDescent="0.25">
      <c r="C232" s="93"/>
      <c r="D232" s="69"/>
      <c r="E232" s="69"/>
      <c r="F232" s="94"/>
      <c r="G232" s="69"/>
    </row>
    <row r="233" spans="3:7" x14ac:dyDescent="0.25">
      <c r="C233" s="93"/>
      <c r="D233" s="69"/>
      <c r="E233" s="69"/>
      <c r="F233" s="94"/>
      <c r="G233" s="69"/>
    </row>
    <row r="234" spans="3:7" x14ac:dyDescent="0.25">
      <c r="C234" s="93"/>
      <c r="D234" s="69"/>
      <c r="E234" s="69"/>
      <c r="F234" s="94"/>
      <c r="G234" s="69"/>
    </row>
    <row r="235" spans="3:7" x14ac:dyDescent="0.25">
      <c r="C235" s="93"/>
      <c r="D235" s="69"/>
      <c r="E235" s="69"/>
      <c r="F235" s="94"/>
      <c r="G235" s="69"/>
    </row>
    <row r="236" spans="3:7" x14ac:dyDescent="0.25">
      <c r="C236" s="93"/>
      <c r="D236" s="69"/>
      <c r="E236" s="69"/>
      <c r="F236" s="94"/>
      <c r="G236" s="69"/>
    </row>
    <row r="237" spans="3:7" x14ac:dyDescent="0.25">
      <c r="C237" s="93"/>
      <c r="D237" s="69"/>
      <c r="E237" s="69"/>
      <c r="F237" s="94"/>
      <c r="G237" s="69"/>
    </row>
    <row r="238" spans="3:7" x14ac:dyDescent="0.25">
      <c r="C238" s="93"/>
      <c r="D238" s="69"/>
      <c r="E238" s="69"/>
      <c r="F238" s="94"/>
      <c r="G238" s="69"/>
    </row>
    <row r="239" spans="3:7" x14ac:dyDescent="0.25">
      <c r="C239" s="93"/>
      <c r="D239" s="69"/>
      <c r="E239" s="69"/>
      <c r="F239" s="94"/>
      <c r="G239" s="69"/>
    </row>
    <row r="240" spans="3:7" x14ac:dyDescent="0.25">
      <c r="C240" s="93"/>
      <c r="D240" s="69"/>
      <c r="E240" s="69"/>
      <c r="F240" s="94"/>
      <c r="G240" s="69"/>
    </row>
    <row r="241" spans="3:7" x14ac:dyDescent="0.25">
      <c r="C241" s="93"/>
      <c r="D241" s="69"/>
      <c r="E241" s="69"/>
      <c r="F241" s="94"/>
      <c r="G241" s="69"/>
    </row>
    <row r="242" spans="3:7" x14ac:dyDescent="0.25">
      <c r="C242" s="93"/>
      <c r="D242" s="69"/>
      <c r="E242" s="69"/>
      <c r="F242" s="94"/>
      <c r="G242" s="69"/>
    </row>
    <row r="243" spans="3:7" x14ac:dyDescent="0.25">
      <c r="C243" s="93"/>
      <c r="D243" s="69"/>
      <c r="E243" s="69"/>
      <c r="F243" s="94"/>
      <c r="G243" s="69"/>
    </row>
    <row r="244" spans="3:7" x14ac:dyDescent="0.25">
      <c r="C244" s="93"/>
      <c r="D244" s="69"/>
      <c r="E244" s="69"/>
      <c r="F244" s="94"/>
      <c r="G244" s="69"/>
    </row>
    <row r="245" spans="3:7" x14ac:dyDescent="0.25">
      <c r="C245" s="93"/>
      <c r="D245" s="69"/>
      <c r="E245" s="69"/>
      <c r="F245" s="94"/>
      <c r="G245" s="69"/>
    </row>
    <row r="246" spans="3:7" x14ac:dyDescent="0.25">
      <c r="C246" s="93"/>
      <c r="D246" s="69"/>
      <c r="E246" s="69"/>
      <c r="F246" s="94"/>
      <c r="G246" s="69"/>
    </row>
    <row r="247" spans="3:7" x14ac:dyDescent="0.25">
      <c r="C247" s="93"/>
      <c r="D247" s="69"/>
      <c r="E247" s="69"/>
      <c r="F247" s="94"/>
      <c r="G247" s="69"/>
    </row>
    <row r="248" spans="3:7" x14ac:dyDescent="0.25">
      <c r="C248" s="93"/>
      <c r="D248" s="69"/>
      <c r="E248" s="69"/>
      <c r="F248" s="94"/>
      <c r="G248" s="69"/>
    </row>
    <row r="249" spans="3:7" x14ac:dyDescent="0.25">
      <c r="C249" s="93"/>
      <c r="D249" s="69"/>
      <c r="E249" s="69"/>
      <c r="F249" s="94"/>
      <c r="G249" s="69"/>
    </row>
    <row r="250" spans="3:7" x14ac:dyDescent="0.25">
      <c r="C250" s="93"/>
      <c r="D250" s="69"/>
      <c r="E250" s="69"/>
      <c r="F250" s="94"/>
      <c r="G250" s="69"/>
    </row>
    <row r="251" spans="3:7" x14ac:dyDescent="0.25">
      <c r="C251" s="93"/>
      <c r="D251" s="69"/>
      <c r="E251" s="69"/>
      <c r="F251" s="94"/>
      <c r="G251" s="69"/>
    </row>
    <row r="252" spans="3:7" x14ac:dyDescent="0.25">
      <c r="C252" s="93"/>
      <c r="D252" s="69"/>
      <c r="E252" s="69"/>
      <c r="F252" s="94"/>
      <c r="G252" s="69"/>
    </row>
    <row r="253" spans="3:7" x14ac:dyDescent="0.25">
      <c r="C253" s="93"/>
      <c r="D253" s="69"/>
      <c r="E253" s="69"/>
      <c r="F253" s="94"/>
      <c r="G253" s="69"/>
    </row>
    <row r="254" spans="3:7" x14ac:dyDescent="0.25">
      <c r="C254" s="93"/>
      <c r="D254" s="69"/>
      <c r="E254" s="69"/>
      <c r="F254" s="94"/>
      <c r="G254" s="69"/>
    </row>
    <row r="255" spans="3:7" x14ac:dyDescent="0.25">
      <c r="C255" s="93"/>
      <c r="D255" s="69"/>
      <c r="E255" s="69"/>
      <c r="F255" s="94"/>
      <c r="G255" s="69"/>
    </row>
    <row r="256" spans="3:7" x14ac:dyDescent="0.25">
      <c r="C256" s="93"/>
      <c r="D256" s="69"/>
      <c r="E256" s="69"/>
      <c r="F256" s="94"/>
      <c r="G256" s="69"/>
    </row>
    <row r="257" spans="3:7" x14ac:dyDescent="0.25">
      <c r="C257" s="93"/>
      <c r="D257" s="69"/>
      <c r="E257" s="69"/>
      <c r="F257" s="94"/>
      <c r="G257" s="69"/>
    </row>
    <row r="258" spans="3:7" x14ac:dyDescent="0.25">
      <c r="C258" s="93"/>
      <c r="D258" s="69"/>
      <c r="E258" s="69"/>
      <c r="F258" s="94"/>
      <c r="G258" s="69"/>
    </row>
    <row r="259" spans="3:7" x14ac:dyDescent="0.25">
      <c r="C259" s="93"/>
      <c r="D259" s="69"/>
      <c r="E259" s="69"/>
      <c r="F259" s="94"/>
      <c r="G259" s="69"/>
    </row>
    <row r="260" spans="3:7" x14ac:dyDescent="0.25">
      <c r="C260" s="93"/>
      <c r="D260" s="69"/>
      <c r="E260" s="69"/>
      <c r="F260" s="94"/>
      <c r="G260" s="69"/>
    </row>
    <row r="261" spans="3:7" x14ac:dyDescent="0.25">
      <c r="C261" s="93"/>
      <c r="D261" s="69"/>
      <c r="E261" s="69"/>
      <c r="F261" s="94"/>
      <c r="G261" s="69"/>
    </row>
    <row r="262" spans="3:7" x14ac:dyDescent="0.25">
      <c r="C262" s="93"/>
      <c r="D262" s="69"/>
      <c r="E262" s="69"/>
      <c r="F262" s="94"/>
      <c r="G262" s="69"/>
    </row>
    <row r="263" spans="3:7" x14ac:dyDescent="0.25">
      <c r="C263" s="93"/>
      <c r="D263" s="69"/>
      <c r="E263" s="69"/>
      <c r="F263" s="94"/>
      <c r="G263" s="69"/>
    </row>
    <row r="264" spans="3:7" x14ac:dyDescent="0.25">
      <c r="C264" s="93"/>
      <c r="D264" s="69"/>
      <c r="E264" s="69"/>
      <c r="F264" s="94"/>
      <c r="G264" s="69"/>
    </row>
    <row r="265" spans="3:7" x14ac:dyDescent="0.25">
      <c r="C265" s="93"/>
      <c r="D265" s="69"/>
      <c r="E265" s="69"/>
      <c r="F265" s="94"/>
      <c r="G265" s="69"/>
    </row>
    <row r="266" spans="3:7" x14ac:dyDescent="0.25">
      <c r="C266" s="93"/>
      <c r="D266" s="69"/>
      <c r="E266" s="69"/>
      <c r="F266" s="94"/>
      <c r="G266" s="69"/>
    </row>
    <row r="267" spans="3:7" x14ac:dyDescent="0.25">
      <c r="C267" s="93"/>
      <c r="D267" s="69"/>
      <c r="E267" s="69"/>
      <c r="F267" s="94"/>
      <c r="G267" s="69"/>
    </row>
    <row r="268" spans="3:7" x14ac:dyDescent="0.25">
      <c r="C268" s="93"/>
      <c r="D268" s="69"/>
      <c r="E268" s="69"/>
      <c r="F268" s="94"/>
      <c r="G268" s="69"/>
    </row>
    <row r="269" spans="3:7" x14ac:dyDescent="0.25">
      <c r="C269" s="93"/>
      <c r="D269" s="69"/>
      <c r="E269" s="69"/>
      <c r="F269" s="94"/>
      <c r="G269" s="69"/>
    </row>
    <row r="270" spans="3:7" x14ac:dyDescent="0.25">
      <c r="C270" s="93"/>
      <c r="D270" s="69"/>
      <c r="E270" s="69"/>
      <c r="F270" s="94"/>
      <c r="G270" s="69"/>
    </row>
    <row r="271" spans="3:7" x14ac:dyDescent="0.25">
      <c r="C271" s="93"/>
      <c r="D271" s="69"/>
      <c r="E271" s="69"/>
      <c r="F271" s="94"/>
      <c r="G271" s="69"/>
    </row>
    <row r="272" spans="3:7" x14ac:dyDescent="0.25">
      <c r="C272" s="93"/>
      <c r="D272" s="69"/>
      <c r="E272" s="69"/>
      <c r="F272" s="94"/>
      <c r="G272" s="69"/>
    </row>
    <row r="273" spans="3:7" x14ac:dyDescent="0.25">
      <c r="C273" s="93"/>
      <c r="D273" s="69"/>
      <c r="E273" s="69"/>
      <c r="F273" s="94"/>
      <c r="G273" s="69"/>
    </row>
    <row r="274" spans="3:7" x14ac:dyDescent="0.25">
      <c r="C274" s="93"/>
      <c r="D274" s="69"/>
      <c r="E274" s="69"/>
      <c r="F274" s="94"/>
      <c r="G274" s="69"/>
    </row>
    <row r="275" spans="3:7" x14ac:dyDescent="0.25">
      <c r="C275" s="93"/>
      <c r="D275" s="69"/>
      <c r="E275" s="69"/>
      <c r="F275" s="94"/>
      <c r="G275" s="69"/>
    </row>
    <row r="276" spans="3:7" x14ac:dyDescent="0.25">
      <c r="C276" s="93"/>
      <c r="D276" s="69"/>
      <c r="E276" s="69"/>
      <c r="F276" s="94"/>
      <c r="G276" s="69"/>
    </row>
    <row r="277" spans="3:7" x14ac:dyDescent="0.25">
      <c r="C277" s="93"/>
      <c r="D277" s="69"/>
      <c r="E277" s="69"/>
      <c r="F277" s="94"/>
      <c r="G277" s="69"/>
    </row>
    <row r="278" spans="3:7" x14ac:dyDescent="0.25">
      <c r="C278" s="93"/>
      <c r="D278" s="69"/>
      <c r="E278" s="69"/>
      <c r="F278" s="94"/>
      <c r="G278" s="69"/>
    </row>
    <row r="279" spans="3:7" x14ac:dyDescent="0.25">
      <c r="C279" s="93"/>
      <c r="D279" s="69"/>
      <c r="E279" s="69"/>
      <c r="F279" s="94"/>
      <c r="G279" s="69"/>
    </row>
    <row r="280" spans="3:7" x14ac:dyDescent="0.25">
      <c r="C280" s="93"/>
      <c r="D280" s="69"/>
      <c r="E280" s="69"/>
      <c r="F280" s="94"/>
      <c r="G280" s="69"/>
    </row>
    <row r="281" spans="3:7" x14ac:dyDescent="0.25">
      <c r="C281" s="93"/>
      <c r="D281" s="69"/>
      <c r="E281" s="69"/>
      <c r="F281" s="94"/>
      <c r="G281" s="69"/>
    </row>
    <row r="282" spans="3:7" x14ac:dyDescent="0.25">
      <c r="C282" s="93"/>
      <c r="D282" s="69"/>
      <c r="E282" s="69"/>
      <c r="F282" s="94"/>
      <c r="G282" s="69"/>
    </row>
    <row r="283" spans="3:7" x14ac:dyDescent="0.25">
      <c r="C283" s="93"/>
      <c r="D283" s="69"/>
      <c r="E283" s="69"/>
      <c r="F283" s="94"/>
      <c r="G283" s="69"/>
    </row>
    <row r="284" spans="3:7" x14ac:dyDescent="0.25">
      <c r="C284" s="93"/>
      <c r="D284" s="69"/>
      <c r="E284" s="69"/>
      <c r="F284" s="94"/>
      <c r="G284" s="69"/>
    </row>
    <row r="285" spans="3:7" x14ac:dyDescent="0.25">
      <c r="C285" s="93"/>
      <c r="D285" s="69"/>
      <c r="E285" s="69"/>
      <c r="F285" s="94"/>
      <c r="G285" s="69"/>
    </row>
    <row r="286" spans="3:7" x14ac:dyDescent="0.25">
      <c r="C286" s="93"/>
      <c r="D286" s="69"/>
      <c r="E286" s="69"/>
      <c r="F286" s="94"/>
      <c r="G286" s="69"/>
    </row>
    <row r="287" spans="3:7" x14ac:dyDescent="0.25">
      <c r="C287" s="93"/>
      <c r="D287" s="69"/>
      <c r="E287" s="69"/>
      <c r="F287" s="94"/>
      <c r="G287" s="69"/>
    </row>
    <row r="288" spans="3:7" x14ac:dyDescent="0.25">
      <c r="C288" s="93"/>
      <c r="D288" s="69"/>
      <c r="E288" s="69"/>
      <c r="F288" s="94"/>
      <c r="G288" s="69"/>
    </row>
    <row r="289" spans="3:7" x14ac:dyDescent="0.25">
      <c r="C289" s="93"/>
      <c r="D289" s="69"/>
      <c r="E289" s="69"/>
      <c r="F289" s="94"/>
      <c r="G289" s="69"/>
    </row>
    <row r="290" spans="3:7" x14ac:dyDescent="0.25">
      <c r="C290" s="93"/>
      <c r="D290" s="69"/>
      <c r="E290" s="69"/>
      <c r="F290" s="94"/>
      <c r="G290" s="69"/>
    </row>
    <row r="291" spans="3:7" x14ac:dyDescent="0.25">
      <c r="C291" s="93"/>
      <c r="D291" s="69"/>
      <c r="E291" s="69"/>
      <c r="F291" s="94"/>
      <c r="G291" s="69"/>
    </row>
    <row r="292" spans="3:7" x14ac:dyDescent="0.25">
      <c r="C292" s="93"/>
      <c r="D292" s="69"/>
      <c r="E292" s="69"/>
      <c r="F292" s="94"/>
      <c r="G292" s="69"/>
    </row>
    <row r="293" spans="3:7" x14ac:dyDescent="0.25">
      <c r="C293" s="93"/>
      <c r="D293" s="69"/>
      <c r="E293" s="69"/>
      <c r="F293" s="94"/>
      <c r="G293" s="69"/>
    </row>
    <row r="294" spans="3:7" x14ac:dyDescent="0.25">
      <c r="C294" s="93"/>
      <c r="D294" s="69"/>
      <c r="E294" s="69"/>
      <c r="F294" s="94"/>
      <c r="G294" s="69"/>
    </row>
    <row r="295" spans="3:7" x14ac:dyDescent="0.25">
      <c r="C295" s="93"/>
      <c r="D295" s="69"/>
      <c r="E295" s="69"/>
      <c r="F295" s="94"/>
      <c r="G295" s="69"/>
    </row>
    <row r="296" spans="3:7" x14ac:dyDescent="0.25">
      <c r="C296" s="93"/>
      <c r="D296" s="69"/>
      <c r="E296" s="69"/>
      <c r="F296" s="94"/>
      <c r="G296" s="69"/>
    </row>
    <row r="297" spans="3:7" x14ac:dyDescent="0.25">
      <c r="C297" s="93"/>
      <c r="D297" s="69"/>
      <c r="E297" s="69"/>
      <c r="F297" s="94"/>
      <c r="G297" s="69"/>
    </row>
    <row r="298" spans="3:7" x14ac:dyDescent="0.25">
      <c r="C298" s="93"/>
      <c r="D298" s="69"/>
      <c r="E298" s="69"/>
      <c r="F298" s="94"/>
      <c r="G298" s="69"/>
    </row>
    <row r="299" spans="3:7" x14ac:dyDescent="0.25">
      <c r="C299" s="93"/>
      <c r="D299" s="69"/>
      <c r="E299" s="69"/>
      <c r="F299" s="94"/>
      <c r="G299" s="69"/>
    </row>
    <row r="300" spans="3:7" x14ac:dyDescent="0.25">
      <c r="C300" s="93"/>
      <c r="D300" s="69"/>
      <c r="E300" s="69"/>
      <c r="F300" s="94"/>
      <c r="G300" s="69"/>
    </row>
    <row r="301" spans="3:7" x14ac:dyDescent="0.25">
      <c r="C301" s="93"/>
      <c r="D301" s="69"/>
      <c r="E301" s="69"/>
      <c r="F301" s="94"/>
      <c r="G301" s="69"/>
    </row>
    <row r="302" spans="3:7" x14ac:dyDescent="0.25">
      <c r="C302" s="93"/>
      <c r="D302" s="69"/>
      <c r="E302" s="69"/>
      <c r="F302" s="94"/>
      <c r="G302" s="69"/>
    </row>
    <row r="303" spans="3:7" x14ac:dyDescent="0.25">
      <c r="C303" s="93"/>
      <c r="D303" s="69"/>
      <c r="E303" s="69"/>
      <c r="F303" s="94"/>
      <c r="G303" s="69"/>
    </row>
    <row r="304" spans="3:7" x14ac:dyDescent="0.25">
      <c r="C304" s="93"/>
      <c r="D304" s="69"/>
      <c r="E304" s="69"/>
      <c r="F304" s="94"/>
      <c r="G304" s="69"/>
    </row>
    <row r="305" spans="3:7" x14ac:dyDescent="0.25">
      <c r="C305" s="93"/>
      <c r="D305" s="69"/>
      <c r="E305" s="69"/>
      <c r="F305" s="94"/>
      <c r="G305" s="69"/>
    </row>
    <row r="306" spans="3:7" x14ac:dyDescent="0.25">
      <c r="C306" s="93"/>
      <c r="D306" s="69"/>
      <c r="E306" s="69"/>
      <c r="F306" s="94"/>
      <c r="G306" s="69"/>
    </row>
    <row r="307" spans="3:7" x14ac:dyDescent="0.25">
      <c r="C307" s="93"/>
      <c r="D307" s="69"/>
      <c r="E307" s="69"/>
      <c r="F307" s="94"/>
      <c r="G307" s="69"/>
    </row>
    <row r="308" spans="3:7" x14ac:dyDescent="0.25">
      <c r="C308" s="93"/>
      <c r="D308" s="69"/>
      <c r="E308" s="69"/>
      <c r="F308" s="94"/>
      <c r="G308" s="69"/>
    </row>
    <row r="309" spans="3:7" x14ac:dyDescent="0.25">
      <c r="C309" s="93"/>
      <c r="D309" s="69"/>
      <c r="E309" s="69"/>
      <c r="F309" s="94"/>
      <c r="G309" s="69"/>
    </row>
    <row r="310" spans="3:7" x14ac:dyDescent="0.25">
      <c r="C310" s="93"/>
      <c r="D310" s="69"/>
      <c r="E310" s="69"/>
      <c r="F310" s="94"/>
      <c r="G310" s="69"/>
    </row>
    <row r="311" spans="3:7" x14ac:dyDescent="0.25">
      <c r="C311" s="93"/>
      <c r="D311" s="69"/>
      <c r="E311" s="69"/>
      <c r="F311" s="94"/>
      <c r="G311" s="69"/>
    </row>
    <row r="312" spans="3:7" x14ac:dyDescent="0.25">
      <c r="C312" s="93"/>
      <c r="D312" s="69"/>
      <c r="E312" s="69"/>
      <c r="F312" s="94"/>
      <c r="G312" s="69"/>
    </row>
    <row r="313" spans="3:7" x14ac:dyDescent="0.25">
      <c r="C313" s="93"/>
      <c r="D313" s="69"/>
      <c r="E313" s="69"/>
      <c r="F313" s="94"/>
      <c r="G313" s="69"/>
    </row>
    <row r="314" spans="3:7" x14ac:dyDescent="0.25">
      <c r="C314" s="93"/>
      <c r="D314" s="69"/>
      <c r="E314" s="69"/>
      <c r="F314" s="94"/>
      <c r="G314" s="69"/>
    </row>
    <row r="315" spans="3:7" x14ac:dyDescent="0.25">
      <c r="C315" s="93"/>
      <c r="D315" s="69"/>
      <c r="E315" s="69"/>
      <c r="F315" s="94"/>
      <c r="G315" s="69"/>
    </row>
    <row r="316" spans="3:7" x14ac:dyDescent="0.25">
      <c r="C316" s="93"/>
      <c r="D316" s="69"/>
      <c r="E316" s="69"/>
      <c r="F316" s="94"/>
      <c r="G316" s="69"/>
    </row>
    <row r="317" spans="3:7" x14ac:dyDescent="0.25">
      <c r="C317" s="93"/>
      <c r="D317" s="69"/>
      <c r="E317" s="69"/>
      <c r="F317" s="94"/>
      <c r="G317" s="69"/>
    </row>
    <row r="318" spans="3:7" x14ac:dyDescent="0.25">
      <c r="C318" s="93"/>
      <c r="D318" s="69"/>
      <c r="E318" s="69"/>
      <c r="F318" s="94"/>
      <c r="G318" s="69"/>
    </row>
    <row r="319" spans="3:7" x14ac:dyDescent="0.25">
      <c r="C319" s="93"/>
      <c r="D319" s="69"/>
      <c r="E319" s="69"/>
      <c r="F319" s="94"/>
      <c r="G319" s="69"/>
    </row>
    <row r="320" spans="3:7" x14ac:dyDescent="0.25">
      <c r="C320" s="93"/>
      <c r="D320" s="69"/>
      <c r="E320" s="69"/>
      <c r="F320" s="94"/>
      <c r="G320" s="69"/>
    </row>
    <row r="321" spans="3:7" x14ac:dyDescent="0.25">
      <c r="C321" s="93"/>
      <c r="D321" s="69"/>
      <c r="E321" s="69"/>
      <c r="F321" s="94"/>
      <c r="G321" s="69"/>
    </row>
    <row r="322" spans="3:7" x14ac:dyDescent="0.25">
      <c r="C322" s="93"/>
      <c r="D322" s="69"/>
      <c r="E322" s="69"/>
      <c r="F322" s="94"/>
      <c r="G322" s="69"/>
    </row>
    <row r="323" spans="3:7" x14ac:dyDescent="0.25">
      <c r="C323" s="93"/>
      <c r="D323" s="69"/>
      <c r="E323" s="69"/>
      <c r="F323" s="94"/>
      <c r="G323" s="69"/>
    </row>
    <row r="324" spans="3:7" x14ac:dyDescent="0.25">
      <c r="C324" s="93"/>
      <c r="D324" s="69"/>
      <c r="E324" s="69"/>
      <c r="F324" s="94"/>
      <c r="G324" s="69"/>
    </row>
    <row r="325" spans="3:7" x14ac:dyDescent="0.25">
      <c r="C325" s="93"/>
      <c r="D325" s="69"/>
      <c r="E325" s="69"/>
      <c r="F325" s="94"/>
      <c r="G325" s="69"/>
    </row>
    <row r="326" spans="3:7" x14ac:dyDescent="0.25">
      <c r="C326" s="93"/>
      <c r="D326" s="69"/>
      <c r="E326" s="69"/>
      <c r="F326" s="94"/>
      <c r="G326" s="69"/>
    </row>
    <row r="327" spans="3:7" x14ac:dyDescent="0.25">
      <c r="C327" s="93"/>
      <c r="D327" s="69"/>
      <c r="E327" s="69"/>
      <c r="F327" s="94"/>
      <c r="G327" s="69"/>
    </row>
    <row r="328" spans="3:7" x14ac:dyDescent="0.25">
      <c r="C328" s="93"/>
      <c r="D328" s="69"/>
      <c r="E328" s="69"/>
      <c r="F328" s="94"/>
      <c r="G328" s="69"/>
    </row>
    <row r="329" spans="3:7" x14ac:dyDescent="0.25">
      <c r="C329" s="93"/>
      <c r="D329" s="69"/>
      <c r="E329" s="69"/>
      <c r="F329" s="94"/>
      <c r="G329" s="69"/>
    </row>
    <row r="330" spans="3:7" x14ac:dyDescent="0.25">
      <c r="C330" s="93"/>
      <c r="D330" s="69"/>
      <c r="E330" s="69"/>
      <c r="F330" s="94"/>
      <c r="G330" s="69"/>
    </row>
    <row r="331" spans="3:7" x14ac:dyDescent="0.25">
      <c r="C331" s="93"/>
      <c r="D331" s="69"/>
      <c r="E331" s="69"/>
      <c r="F331" s="94"/>
      <c r="G331" s="69"/>
    </row>
    <row r="332" spans="3:7" x14ac:dyDescent="0.25">
      <c r="C332" s="93"/>
      <c r="D332" s="69"/>
      <c r="E332" s="69"/>
      <c r="F332" s="94"/>
      <c r="G332" s="69"/>
    </row>
    <row r="333" spans="3:7" x14ac:dyDescent="0.25">
      <c r="C333" s="93"/>
      <c r="D333" s="69"/>
      <c r="E333" s="69"/>
      <c r="F333" s="94"/>
      <c r="G333" s="69"/>
    </row>
    <row r="334" spans="3:7" x14ac:dyDescent="0.25">
      <c r="C334" s="93"/>
      <c r="D334" s="69"/>
      <c r="E334" s="69"/>
      <c r="F334" s="94"/>
      <c r="G334" s="69"/>
    </row>
    <row r="335" spans="3:7" x14ac:dyDescent="0.25">
      <c r="C335" s="93"/>
      <c r="D335" s="69"/>
      <c r="E335" s="69"/>
      <c r="F335" s="94"/>
      <c r="G335" s="69"/>
    </row>
    <row r="336" spans="3:7" x14ac:dyDescent="0.25">
      <c r="C336" s="93"/>
      <c r="D336" s="69"/>
      <c r="E336" s="69"/>
      <c r="F336" s="94"/>
      <c r="G336" s="69"/>
    </row>
    <row r="337" spans="3:7" x14ac:dyDescent="0.25">
      <c r="C337" s="93"/>
      <c r="D337" s="69"/>
      <c r="E337" s="69"/>
      <c r="F337" s="94"/>
      <c r="G337" s="69"/>
    </row>
    <row r="338" spans="3:7" x14ac:dyDescent="0.25">
      <c r="C338" s="93"/>
      <c r="D338" s="69"/>
      <c r="E338" s="69"/>
      <c r="F338" s="94"/>
      <c r="G338" s="69"/>
    </row>
    <row r="339" spans="3:7" x14ac:dyDescent="0.25">
      <c r="C339" s="93"/>
      <c r="D339" s="69"/>
      <c r="E339" s="69"/>
      <c r="F339" s="94"/>
      <c r="G339" s="69"/>
    </row>
    <row r="340" spans="3:7" x14ac:dyDescent="0.25">
      <c r="C340" s="93"/>
      <c r="D340" s="69"/>
      <c r="E340" s="69"/>
      <c r="F340" s="94"/>
      <c r="G340" s="69"/>
    </row>
    <row r="341" spans="3:7" x14ac:dyDescent="0.25">
      <c r="C341" s="93"/>
      <c r="D341" s="69"/>
      <c r="E341" s="69"/>
      <c r="F341" s="94"/>
      <c r="G341" s="69"/>
    </row>
    <row r="342" spans="3:7" x14ac:dyDescent="0.25">
      <c r="C342" s="93"/>
      <c r="D342" s="69"/>
      <c r="E342" s="69"/>
      <c r="F342" s="94"/>
      <c r="G342" s="69"/>
    </row>
    <row r="343" spans="3:7" x14ac:dyDescent="0.25">
      <c r="C343" s="93"/>
      <c r="D343" s="69"/>
      <c r="E343" s="69"/>
      <c r="F343" s="94"/>
      <c r="G343" s="69"/>
    </row>
    <row r="344" spans="3:7" x14ac:dyDescent="0.25">
      <c r="C344" s="93"/>
      <c r="D344" s="69"/>
      <c r="E344" s="69"/>
      <c r="F344" s="94"/>
      <c r="G344" s="69"/>
    </row>
    <row r="345" spans="3:7" x14ac:dyDescent="0.25">
      <c r="C345" s="93"/>
      <c r="D345" s="69"/>
      <c r="E345" s="69"/>
      <c r="F345" s="94"/>
      <c r="G345" s="69"/>
    </row>
    <row r="346" spans="3:7" x14ac:dyDescent="0.25">
      <c r="C346" s="93"/>
      <c r="D346" s="69"/>
      <c r="E346" s="69"/>
      <c r="F346" s="94"/>
      <c r="G346" s="69"/>
    </row>
    <row r="347" spans="3:7" x14ac:dyDescent="0.25">
      <c r="C347" s="93"/>
      <c r="D347" s="69"/>
      <c r="E347" s="69"/>
      <c r="F347" s="94"/>
      <c r="G347" s="69"/>
    </row>
    <row r="348" spans="3:7" x14ac:dyDescent="0.25">
      <c r="C348" s="93"/>
      <c r="D348" s="69"/>
      <c r="E348" s="69"/>
      <c r="F348" s="94"/>
      <c r="G348" s="69"/>
    </row>
    <row r="349" spans="3:7" x14ac:dyDescent="0.25">
      <c r="C349" s="93"/>
      <c r="D349" s="69"/>
      <c r="E349" s="69"/>
      <c r="F349" s="94"/>
      <c r="G349" s="69"/>
    </row>
    <row r="350" spans="3:7" x14ac:dyDescent="0.25">
      <c r="C350" s="93"/>
      <c r="D350" s="69"/>
      <c r="E350" s="69"/>
      <c r="F350" s="94"/>
      <c r="G350" s="69"/>
    </row>
    <row r="351" spans="3:7" x14ac:dyDescent="0.25">
      <c r="C351" s="93"/>
      <c r="D351" s="69"/>
      <c r="E351" s="69"/>
      <c r="F351" s="94"/>
      <c r="G351" s="69"/>
    </row>
    <row r="352" spans="3:7" x14ac:dyDescent="0.25">
      <c r="C352" s="93"/>
      <c r="D352" s="69"/>
      <c r="E352" s="69"/>
      <c r="F352" s="94"/>
      <c r="G352" s="69"/>
    </row>
    <row r="353" spans="3:7" x14ac:dyDescent="0.25">
      <c r="C353" s="93"/>
      <c r="D353" s="69"/>
      <c r="E353" s="69"/>
      <c r="F353" s="94"/>
      <c r="G353" s="69"/>
    </row>
    <row r="354" spans="3:7" x14ac:dyDescent="0.25">
      <c r="C354" s="93"/>
      <c r="D354" s="69"/>
      <c r="E354" s="69"/>
      <c r="F354" s="94"/>
      <c r="G354" s="69"/>
    </row>
    <row r="355" spans="3:7" x14ac:dyDescent="0.25">
      <c r="C355" s="93"/>
      <c r="D355" s="69"/>
      <c r="E355" s="69"/>
      <c r="F355" s="94"/>
      <c r="G355" s="69"/>
    </row>
    <row r="356" spans="3:7" x14ac:dyDescent="0.25">
      <c r="C356" s="93"/>
      <c r="D356" s="69"/>
      <c r="E356" s="69"/>
      <c r="F356" s="94"/>
      <c r="G356" s="69"/>
    </row>
    <row r="357" spans="3:7" x14ac:dyDescent="0.25">
      <c r="C357" s="93"/>
      <c r="D357" s="69"/>
      <c r="E357" s="69"/>
      <c r="F357" s="94"/>
      <c r="G357" s="69"/>
    </row>
    <row r="358" spans="3:7" x14ac:dyDescent="0.25">
      <c r="C358" s="93"/>
      <c r="D358" s="69"/>
      <c r="E358" s="69"/>
      <c r="F358" s="94"/>
      <c r="G358" s="69"/>
    </row>
    <row r="359" spans="3:7" x14ac:dyDescent="0.25">
      <c r="C359" s="93"/>
      <c r="D359" s="69"/>
      <c r="E359" s="69"/>
      <c r="F359" s="94"/>
      <c r="G359" s="69"/>
    </row>
    <row r="360" spans="3:7" x14ac:dyDescent="0.25">
      <c r="C360" s="93"/>
      <c r="D360" s="69"/>
      <c r="E360" s="69"/>
      <c r="F360" s="94"/>
      <c r="G360" s="69"/>
    </row>
    <row r="361" spans="3:7" x14ac:dyDescent="0.25">
      <c r="C361" s="93"/>
      <c r="D361" s="69"/>
      <c r="E361" s="69"/>
      <c r="F361" s="94"/>
      <c r="G361" s="69"/>
    </row>
    <row r="362" spans="3:7" x14ac:dyDescent="0.25">
      <c r="C362" s="93"/>
      <c r="D362" s="69"/>
      <c r="E362" s="69"/>
      <c r="F362" s="94"/>
      <c r="G362" s="69"/>
    </row>
    <row r="363" spans="3:7" x14ac:dyDescent="0.25">
      <c r="C363" s="93"/>
      <c r="D363" s="69"/>
      <c r="E363" s="69"/>
      <c r="F363" s="94"/>
      <c r="G363" s="69"/>
    </row>
    <row r="364" spans="3:7" x14ac:dyDescent="0.25">
      <c r="C364" s="93"/>
      <c r="D364" s="69"/>
      <c r="E364" s="69"/>
      <c r="F364" s="94"/>
      <c r="G364" s="69"/>
    </row>
    <row r="365" spans="3:7" x14ac:dyDescent="0.25">
      <c r="C365" s="93"/>
      <c r="D365" s="69"/>
      <c r="E365" s="69"/>
      <c r="F365" s="94"/>
      <c r="G365" s="69"/>
    </row>
    <row r="366" spans="3:7" x14ac:dyDescent="0.25">
      <c r="C366" s="93"/>
      <c r="D366" s="69"/>
      <c r="E366" s="69"/>
      <c r="F366" s="94"/>
      <c r="G366" s="69"/>
    </row>
    <row r="367" spans="3:7" x14ac:dyDescent="0.25">
      <c r="C367" s="93"/>
      <c r="D367" s="69"/>
      <c r="E367" s="69"/>
      <c r="F367" s="94"/>
      <c r="G367" s="69"/>
    </row>
    <row r="368" spans="3:7" x14ac:dyDescent="0.25">
      <c r="C368" s="93"/>
      <c r="D368" s="69"/>
      <c r="E368" s="69"/>
      <c r="F368" s="94"/>
      <c r="G368" s="69"/>
    </row>
    <row r="369" spans="3:7" x14ac:dyDescent="0.25">
      <c r="C369" s="93"/>
      <c r="D369" s="69"/>
      <c r="E369" s="69"/>
      <c r="F369" s="94"/>
      <c r="G369" s="69"/>
    </row>
    <row r="370" spans="3:7" x14ac:dyDescent="0.25">
      <c r="C370" s="93"/>
      <c r="D370" s="69"/>
      <c r="E370" s="69"/>
      <c r="F370" s="94"/>
      <c r="G370" s="69"/>
    </row>
    <row r="371" spans="3:7" x14ac:dyDescent="0.25">
      <c r="C371" s="93"/>
      <c r="D371" s="69"/>
      <c r="E371" s="69"/>
      <c r="F371" s="94"/>
      <c r="G371" s="69"/>
    </row>
    <row r="372" spans="3:7" x14ac:dyDescent="0.25">
      <c r="C372" s="93"/>
      <c r="D372" s="69"/>
      <c r="E372" s="69"/>
      <c r="F372" s="94"/>
      <c r="G372" s="69"/>
    </row>
    <row r="373" spans="3:7" x14ac:dyDescent="0.25">
      <c r="C373" s="93"/>
      <c r="D373" s="69"/>
      <c r="E373" s="69"/>
      <c r="F373" s="94"/>
      <c r="G373" s="69"/>
    </row>
    <row r="374" spans="3:7" x14ac:dyDescent="0.25">
      <c r="C374" s="93"/>
      <c r="D374" s="69"/>
      <c r="E374" s="69"/>
      <c r="F374" s="94"/>
      <c r="G374" s="69"/>
    </row>
    <row r="375" spans="3:7" x14ac:dyDescent="0.25">
      <c r="C375" s="93"/>
      <c r="D375" s="69"/>
      <c r="E375" s="69"/>
      <c r="F375" s="94"/>
      <c r="G375" s="69"/>
    </row>
    <row r="376" spans="3:7" x14ac:dyDescent="0.25">
      <c r="C376" s="93"/>
      <c r="D376" s="69"/>
      <c r="E376" s="69"/>
      <c r="F376" s="94"/>
      <c r="G376" s="69"/>
    </row>
    <row r="377" spans="3:7" x14ac:dyDescent="0.25">
      <c r="C377" s="93"/>
      <c r="D377" s="69"/>
      <c r="E377" s="69"/>
      <c r="F377" s="94"/>
      <c r="G377" s="69"/>
    </row>
    <row r="378" spans="3:7" x14ac:dyDescent="0.25">
      <c r="C378" s="93"/>
      <c r="D378" s="69"/>
      <c r="E378" s="69"/>
      <c r="F378" s="94"/>
      <c r="G378" s="69"/>
    </row>
    <row r="379" spans="3:7" x14ac:dyDescent="0.25">
      <c r="C379" s="93"/>
      <c r="D379" s="69"/>
      <c r="E379" s="69"/>
      <c r="F379" s="94"/>
      <c r="G379" s="69"/>
    </row>
    <row r="380" spans="3:7" x14ac:dyDescent="0.25">
      <c r="C380" s="93"/>
      <c r="D380" s="69"/>
      <c r="E380" s="69"/>
      <c r="F380" s="94"/>
      <c r="G380" s="69"/>
    </row>
    <row r="381" spans="3:7" x14ac:dyDescent="0.25">
      <c r="C381" s="93"/>
      <c r="D381" s="69"/>
      <c r="E381" s="69"/>
      <c r="F381" s="94"/>
      <c r="G381" s="69"/>
    </row>
    <row r="382" spans="3:7" x14ac:dyDescent="0.25">
      <c r="C382" s="93"/>
      <c r="D382" s="69"/>
      <c r="E382" s="69"/>
      <c r="F382" s="94"/>
      <c r="G382" s="69"/>
    </row>
    <row r="383" spans="3:7" x14ac:dyDescent="0.25">
      <c r="C383" s="93"/>
      <c r="D383" s="69"/>
      <c r="E383" s="69"/>
      <c r="F383" s="94"/>
      <c r="G383" s="69"/>
    </row>
    <row r="384" spans="3:7" x14ac:dyDescent="0.25">
      <c r="C384" s="93"/>
      <c r="D384" s="69"/>
      <c r="E384" s="69"/>
      <c r="F384" s="94"/>
      <c r="G384" s="69"/>
    </row>
    <row r="385" spans="3:7" x14ac:dyDescent="0.25">
      <c r="C385" s="93"/>
      <c r="D385" s="69"/>
      <c r="E385" s="69"/>
      <c r="F385" s="94"/>
      <c r="G385" s="69"/>
    </row>
    <row r="386" spans="3:7" x14ac:dyDescent="0.25">
      <c r="C386" s="93"/>
      <c r="D386" s="69"/>
      <c r="E386" s="69"/>
      <c r="F386" s="94"/>
      <c r="G386" s="69"/>
    </row>
    <row r="387" spans="3:7" x14ac:dyDescent="0.25">
      <c r="C387" s="93"/>
      <c r="D387" s="69"/>
      <c r="E387" s="69"/>
      <c r="F387" s="94"/>
      <c r="G387" s="69"/>
    </row>
    <row r="388" spans="3:7" x14ac:dyDescent="0.25">
      <c r="C388" s="93"/>
      <c r="D388" s="69"/>
      <c r="E388" s="69"/>
      <c r="F388" s="94"/>
      <c r="G388" s="69"/>
    </row>
    <row r="389" spans="3:7" x14ac:dyDescent="0.25">
      <c r="C389" s="93"/>
      <c r="D389" s="69"/>
      <c r="E389" s="69"/>
      <c r="F389" s="94"/>
      <c r="G389" s="69"/>
    </row>
    <row r="390" spans="3:7" x14ac:dyDescent="0.25">
      <c r="C390" s="93"/>
      <c r="D390" s="69"/>
      <c r="E390" s="69"/>
      <c r="F390" s="94"/>
      <c r="G390" s="69"/>
    </row>
    <row r="391" spans="3:7" x14ac:dyDescent="0.25">
      <c r="C391" s="93"/>
      <c r="D391" s="69"/>
      <c r="E391" s="69"/>
      <c r="F391" s="94"/>
      <c r="G391" s="69"/>
    </row>
    <row r="392" spans="3:7" x14ac:dyDescent="0.25">
      <c r="C392" s="93"/>
      <c r="D392" s="69"/>
      <c r="E392" s="69"/>
      <c r="F392" s="94"/>
      <c r="G392" s="69"/>
    </row>
    <row r="393" spans="3:7" x14ac:dyDescent="0.25">
      <c r="C393" s="93"/>
      <c r="D393" s="69"/>
      <c r="E393" s="69"/>
      <c r="F393" s="94"/>
      <c r="G393" s="69"/>
    </row>
    <row r="394" spans="3:7" x14ac:dyDescent="0.25">
      <c r="C394" s="93"/>
      <c r="D394" s="69"/>
      <c r="E394" s="69"/>
      <c r="F394" s="94"/>
      <c r="G394" s="69"/>
    </row>
    <row r="395" spans="3:7" x14ac:dyDescent="0.25">
      <c r="C395" s="93"/>
      <c r="D395" s="69"/>
      <c r="E395" s="69"/>
      <c r="F395" s="94"/>
      <c r="G395" s="69"/>
    </row>
    <row r="396" spans="3:7" x14ac:dyDescent="0.25">
      <c r="C396" s="93"/>
      <c r="D396" s="69"/>
      <c r="E396" s="69"/>
      <c r="F396" s="94"/>
      <c r="G396" s="69"/>
    </row>
    <row r="397" spans="3:7" x14ac:dyDescent="0.25">
      <c r="C397" s="93"/>
      <c r="D397" s="69"/>
      <c r="E397" s="69"/>
      <c r="F397" s="94"/>
      <c r="G397" s="69"/>
    </row>
    <row r="398" spans="3:7" x14ac:dyDescent="0.25">
      <c r="C398" s="93"/>
      <c r="D398" s="69"/>
      <c r="E398" s="69"/>
      <c r="F398" s="94"/>
      <c r="G398" s="69"/>
    </row>
    <row r="399" spans="3:7" x14ac:dyDescent="0.25">
      <c r="C399" s="93"/>
      <c r="D399" s="69"/>
      <c r="E399" s="69"/>
      <c r="F399" s="94"/>
      <c r="G399" s="69"/>
    </row>
    <row r="400" spans="3:7" x14ac:dyDescent="0.25">
      <c r="C400" s="93"/>
      <c r="D400" s="69"/>
      <c r="E400" s="69"/>
      <c r="F400" s="94"/>
      <c r="G400" s="69"/>
    </row>
    <row r="401" spans="3:7" x14ac:dyDescent="0.25">
      <c r="C401" s="87"/>
      <c r="D401" s="98"/>
      <c r="E401" s="98"/>
      <c r="F401" s="98"/>
      <c r="G401" s="98"/>
    </row>
    <row r="402" spans="3:7" x14ac:dyDescent="0.25">
      <c r="C402" s="87"/>
      <c r="D402" s="98"/>
      <c r="E402" s="98"/>
      <c r="F402" s="98"/>
      <c r="G402" s="98"/>
    </row>
    <row r="403" spans="3:7" x14ac:dyDescent="0.25">
      <c r="C403" s="87"/>
      <c r="D403" s="98"/>
      <c r="E403" s="98"/>
      <c r="F403" s="98"/>
      <c r="G403" s="98"/>
    </row>
    <row r="404" spans="3:7" x14ac:dyDescent="0.25">
      <c r="C404" s="87"/>
      <c r="D404" s="98"/>
      <c r="E404" s="98"/>
      <c r="F404" s="98"/>
      <c r="G404" s="98"/>
    </row>
    <row r="405" spans="3:7" x14ac:dyDescent="0.25">
      <c r="C405" s="87"/>
      <c r="D405" s="98"/>
      <c r="E405" s="98"/>
      <c r="F405" s="98"/>
      <c r="G405" s="98"/>
    </row>
    <row r="406" spans="3:7" x14ac:dyDescent="0.25">
      <c r="C406" s="87"/>
      <c r="D406" s="98"/>
      <c r="E406" s="98"/>
      <c r="F406" s="98"/>
      <c r="G406" s="98"/>
    </row>
    <row r="407" spans="3:7" x14ac:dyDescent="0.25">
      <c r="C407" s="87"/>
      <c r="D407" s="98"/>
      <c r="E407" s="98"/>
      <c r="F407" s="98"/>
      <c r="G407" s="98"/>
    </row>
    <row r="408" spans="3:7" x14ac:dyDescent="0.25">
      <c r="C408" s="87"/>
      <c r="D408" s="98"/>
      <c r="E408" s="98"/>
      <c r="F408" s="98"/>
      <c r="G408" s="98"/>
    </row>
    <row r="409" spans="3:7" x14ac:dyDescent="0.25">
      <c r="C409" s="87"/>
      <c r="D409" s="98"/>
      <c r="E409" s="98"/>
      <c r="F409" s="98"/>
      <c r="G409" s="98"/>
    </row>
    <row r="410" spans="3:7" x14ac:dyDescent="0.25">
      <c r="C410" s="87"/>
      <c r="D410" s="98"/>
      <c r="E410" s="98"/>
      <c r="F410" s="98"/>
      <c r="G410" s="98"/>
    </row>
    <row r="411" spans="3:7" x14ac:dyDescent="0.25">
      <c r="C411" s="87"/>
      <c r="D411" s="98"/>
      <c r="E411" s="98"/>
      <c r="F411" s="98"/>
      <c r="G411" s="98"/>
    </row>
    <row r="412" spans="3:7" x14ac:dyDescent="0.25">
      <c r="C412" s="87"/>
      <c r="D412" s="98"/>
      <c r="E412" s="98"/>
      <c r="F412" s="98"/>
      <c r="G412" s="98"/>
    </row>
    <row r="413" spans="3:7" x14ac:dyDescent="0.25">
      <c r="C413" s="87"/>
      <c r="D413" s="98"/>
      <c r="E413" s="98"/>
      <c r="F413" s="98"/>
      <c r="G413" s="98"/>
    </row>
    <row r="414" spans="3:7" x14ac:dyDescent="0.25">
      <c r="C414" s="87"/>
      <c r="D414" s="98"/>
      <c r="E414" s="98"/>
      <c r="F414" s="98"/>
      <c r="G414" s="98"/>
    </row>
    <row r="415" spans="3:7" x14ac:dyDescent="0.25">
      <c r="C415" s="87"/>
      <c r="D415" s="98"/>
      <c r="E415" s="98"/>
      <c r="F415" s="98"/>
      <c r="G415" s="98"/>
    </row>
    <row r="416" spans="3:7" x14ac:dyDescent="0.25">
      <c r="C416" s="87"/>
      <c r="D416" s="98"/>
      <c r="E416" s="98"/>
      <c r="F416" s="98"/>
      <c r="G416" s="98"/>
    </row>
    <row r="417" spans="3:7" x14ac:dyDescent="0.25">
      <c r="C417" s="87"/>
      <c r="D417" s="98"/>
      <c r="E417" s="98"/>
      <c r="F417" s="98"/>
      <c r="G417" s="98"/>
    </row>
    <row r="418" spans="3:7" x14ac:dyDescent="0.25">
      <c r="C418" s="87"/>
      <c r="D418" s="98"/>
      <c r="E418" s="98"/>
      <c r="F418" s="98"/>
      <c r="G418" s="98"/>
    </row>
    <row r="419" spans="3:7" x14ac:dyDescent="0.25">
      <c r="C419" s="87"/>
      <c r="D419" s="98"/>
      <c r="E419" s="98"/>
      <c r="F419" s="98"/>
      <c r="G419" s="98"/>
    </row>
    <row r="420" spans="3:7" x14ac:dyDescent="0.25">
      <c r="C420" s="87"/>
      <c r="D420" s="98"/>
      <c r="E420" s="98"/>
      <c r="F420" s="98"/>
      <c r="G420" s="98"/>
    </row>
    <row r="421" spans="3:7" x14ac:dyDescent="0.25">
      <c r="C421" s="87"/>
      <c r="D421" s="98"/>
      <c r="E421" s="98"/>
      <c r="F421" s="98"/>
      <c r="G421" s="98"/>
    </row>
    <row r="422" spans="3:7" x14ac:dyDescent="0.25">
      <c r="C422" s="87"/>
      <c r="D422" s="98"/>
      <c r="E422" s="98"/>
      <c r="F422" s="98"/>
      <c r="G422" s="98"/>
    </row>
    <row r="423" spans="3:7" x14ac:dyDescent="0.25">
      <c r="C423" s="87"/>
      <c r="D423" s="98"/>
      <c r="E423" s="98"/>
      <c r="F423" s="98"/>
      <c r="G423" s="98"/>
    </row>
    <row r="424" spans="3:7" x14ac:dyDescent="0.25">
      <c r="C424" s="87"/>
      <c r="D424" s="98"/>
      <c r="E424" s="98"/>
      <c r="F424" s="98"/>
      <c r="G424" s="98"/>
    </row>
    <row r="425" spans="3:7" x14ac:dyDescent="0.25">
      <c r="C425" s="87"/>
      <c r="D425" s="98"/>
      <c r="E425" s="98"/>
      <c r="F425" s="98"/>
      <c r="G425" s="98"/>
    </row>
    <row r="426" spans="3:7" x14ac:dyDescent="0.25">
      <c r="C426" s="87"/>
      <c r="D426" s="98"/>
      <c r="E426" s="98"/>
      <c r="F426" s="98"/>
      <c r="G426" s="98"/>
    </row>
    <row r="427" spans="3:7" x14ac:dyDescent="0.25">
      <c r="C427" s="87"/>
      <c r="D427" s="98"/>
      <c r="E427" s="98"/>
      <c r="F427" s="98"/>
      <c r="G427" s="98"/>
    </row>
    <row r="428" spans="3:7" x14ac:dyDescent="0.25">
      <c r="C428" s="87"/>
      <c r="D428" s="98"/>
      <c r="E428" s="98"/>
      <c r="F428" s="98"/>
      <c r="G428" s="98"/>
    </row>
    <row r="429" spans="3:7" x14ac:dyDescent="0.25">
      <c r="C429" s="87"/>
      <c r="D429" s="98"/>
      <c r="E429" s="98"/>
      <c r="F429" s="98"/>
      <c r="G429" s="98"/>
    </row>
    <row r="430" spans="3:7" x14ac:dyDescent="0.25">
      <c r="C430" s="87"/>
      <c r="D430" s="98"/>
      <c r="E430" s="98"/>
      <c r="F430" s="98"/>
      <c r="G430" s="98"/>
    </row>
    <row r="431" spans="3:7" x14ac:dyDescent="0.25">
      <c r="C431" s="87"/>
      <c r="D431" s="98"/>
      <c r="E431" s="98"/>
      <c r="F431" s="98"/>
      <c r="G431" s="98"/>
    </row>
    <row r="432" spans="3:7" x14ac:dyDescent="0.25">
      <c r="C432" s="87"/>
      <c r="D432" s="98"/>
      <c r="E432" s="98"/>
      <c r="F432" s="98"/>
      <c r="G432" s="98"/>
    </row>
    <row r="433" spans="3:7" x14ac:dyDescent="0.25">
      <c r="C433" s="87"/>
      <c r="D433" s="98"/>
      <c r="E433" s="98"/>
      <c r="F433" s="98"/>
      <c r="G433" s="98"/>
    </row>
    <row r="434" spans="3:7" x14ac:dyDescent="0.25">
      <c r="C434" s="87"/>
      <c r="D434" s="98"/>
      <c r="E434" s="98"/>
      <c r="F434" s="98"/>
      <c r="G434" s="98"/>
    </row>
    <row r="435" spans="3:7" x14ac:dyDescent="0.25">
      <c r="C435" s="87"/>
      <c r="D435" s="98"/>
      <c r="E435" s="98"/>
      <c r="F435" s="98"/>
      <c r="G435" s="98"/>
    </row>
    <row r="436" spans="3:7" x14ac:dyDescent="0.25">
      <c r="C436" s="87"/>
      <c r="D436" s="98"/>
      <c r="E436" s="98"/>
      <c r="F436" s="98"/>
      <c r="G436" s="98"/>
    </row>
    <row r="437" spans="3:7" x14ac:dyDescent="0.25">
      <c r="C437" s="87"/>
      <c r="D437" s="98"/>
      <c r="E437" s="98"/>
      <c r="F437" s="98"/>
      <c r="G437" s="98"/>
    </row>
    <row r="438" spans="3:7" x14ac:dyDescent="0.25">
      <c r="C438" s="87"/>
      <c r="D438" s="98"/>
      <c r="E438" s="98"/>
      <c r="F438" s="98"/>
      <c r="G438" s="98"/>
    </row>
    <row r="439" spans="3:7" x14ac:dyDescent="0.25">
      <c r="C439" s="87"/>
      <c r="D439" s="98"/>
      <c r="E439" s="98"/>
      <c r="F439" s="98"/>
      <c r="G439" s="98"/>
    </row>
    <row r="440" spans="3:7" x14ac:dyDescent="0.25">
      <c r="C440" s="87"/>
      <c r="D440" s="98"/>
      <c r="E440" s="98"/>
      <c r="F440" s="98"/>
      <c r="G440" s="98"/>
    </row>
    <row r="441" spans="3:7" x14ac:dyDescent="0.25">
      <c r="C441" s="87"/>
      <c r="D441" s="98"/>
      <c r="E441" s="98"/>
      <c r="F441" s="98"/>
      <c r="G441" s="98"/>
    </row>
    <row r="442" spans="3:7" x14ac:dyDescent="0.25">
      <c r="C442" s="87"/>
      <c r="D442" s="98"/>
      <c r="E442" s="98"/>
      <c r="F442" s="98"/>
      <c r="G442" s="98"/>
    </row>
    <row r="443" spans="3:7" x14ac:dyDescent="0.25">
      <c r="C443" s="87"/>
      <c r="D443" s="98"/>
      <c r="E443" s="98"/>
      <c r="F443" s="98"/>
      <c r="G443" s="98"/>
    </row>
    <row r="444" spans="3:7" x14ac:dyDescent="0.25">
      <c r="C444" s="87"/>
      <c r="D444" s="98"/>
      <c r="E444" s="98"/>
      <c r="F444" s="98"/>
      <c r="G444" s="98"/>
    </row>
    <row r="445" spans="3:7" x14ac:dyDescent="0.25">
      <c r="C445" s="87"/>
      <c r="D445" s="98"/>
      <c r="E445" s="98"/>
      <c r="F445" s="98"/>
      <c r="G445" s="98"/>
    </row>
    <row r="446" spans="3:7" x14ac:dyDescent="0.25">
      <c r="C446" s="87"/>
      <c r="D446" s="98"/>
      <c r="E446" s="98"/>
      <c r="F446" s="98"/>
      <c r="G446" s="98"/>
    </row>
    <row r="447" spans="3:7" x14ac:dyDescent="0.25">
      <c r="C447" s="87"/>
      <c r="D447" s="98"/>
      <c r="E447" s="98"/>
      <c r="F447" s="98"/>
      <c r="G447" s="98"/>
    </row>
    <row r="448" spans="3:7" x14ac:dyDescent="0.25">
      <c r="C448" s="87"/>
      <c r="D448" s="98"/>
      <c r="E448" s="98"/>
      <c r="F448" s="98"/>
      <c r="G448" s="98"/>
    </row>
    <row r="449" spans="3:7" x14ac:dyDescent="0.25">
      <c r="C449" s="87"/>
      <c r="D449" s="98"/>
      <c r="E449" s="98"/>
      <c r="F449" s="98"/>
      <c r="G449" s="98"/>
    </row>
    <row r="450" spans="3:7" x14ac:dyDescent="0.25">
      <c r="C450" s="87"/>
      <c r="D450" s="98"/>
      <c r="E450" s="98"/>
      <c r="F450" s="98"/>
      <c r="G450" s="98"/>
    </row>
    <row r="451" spans="3:7" x14ac:dyDescent="0.25">
      <c r="C451" s="87"/>
      <c r="D451" s="98"/>
      <c r="E451" s="98"/>
      <c r="F451" s="98"/>
      <c r="G451" s="98"/>
    </row>
    <row r="452" spans="3:7" x14ac:dyDescent="0.25">
      <c r="C452" s="87"/>
      <c r="D452" s="98"/>
      <c r="E452" s="98"/>
      <c r="F452" s="98"/>
      <c r="G452" s="98"/>
    </row>
    <row r="453" spans="3:7" x14ac:dyDescent="0.25">
      <c r="C453" s="87"/>
      <c r="D453" s="98"/>
      <c r="E453" s="98"/>
      <c r="F453" s="98"/>
      <c r="G453" s="98"/>
    </row>
    <row r="454" spans="3:7" x14ac:dyDescent="0.25">
      <c r="C454" s="87"/>
      <c r="D454" s="98"/>
      <c r="E454" s="98"/>
      <c r="F454" s="98"/>
      <c r="G454" s="98"/>
    </row>
    <row r="455" spans="3:7" x14ac:dyDescent="0.25">
      <c r="C455" s="87"/>
      <c r="D455" s="98"/>
      <c r="E455" s="98"/>
      <c r="F455" s="98"/>
      <c r="G455" s="98"/>
    </row>
    <row r="456" spans="3:7" x14ac:dyDescent="0.25">
      <c r="C456" s="87"/>
      <c r="D456" s="98"/>
      <c r="E456" s="98"/>
      <c r="F456" s="98"/>
      <c r="G456" s="98"/>
    </row>
    <row r="457" spans="3:7" x14ac:dyDescent="0.25">
      <c r="C457" s="87"/>
      <c r="D457" s="98"/>
      <c r="E457" s="98"/>
      <c r="F457" s="98"/>
      <c r="G457" s="98"/>
    </row>
    <row r="458" spans="3:7" x14ac:dyDescent="0.25">
      <c r="C458" s="87"/>
      <c r="D458" s="98"/>
      <c r="E458" s="98"/>
      <c r="F458" s="98"/>
      <c r="G458" s="98"/>
    </row>
    <row r="459" spans="3:7" x14ac:dyDescent="0.25">
      <c r="C459" s="87"/>
      <c r="D459" s="98"/>
      <c r="E459" s="98"/>
      <c r="F459" s="98"/>
      <c r="G459" s="98"/>
    </row>
    <row r="460" spans="3:7" x14ac:dyDescent="0.25">
      <c r="C460" s="87"/>
      <c r="D460" s="98"/>
      <c r="E460" s="98"/>
      <c r="F460" s="98"/>
      <c r="G460" s="98"/>
    </row>
    <row r="461" spans="3:7" x14ac:dyDescent="0.25">
      <c r="C461" s="87"/>
      <c r="D461" s="98"/>
      <c r="E461" s="98"/>
      <c r="F461" s="98"/>
      <c r="G461" s="98"/>
    </row>
    <row r="462" spans="3:7" x14ac:dyDescent="0.25">
      <c r="C462" s="87"/>
      <c r="D462" s="98"/>
      <c r="E462" s="98"/>
      <c r="F462" s="98"/>
      <c r="G462" s="98"/>
    </row>
    <row r="463" spans="3:7" x14ac:dyDescent="0.25">
      <c r="C463" s="87"/>
      <c r="D463" s="98"/>
      <c r="E463" s="98"/>
      <c r="F463" s="98"/>
      <c r="G463" s="98"/>
    </row>
    <row r="464" spans="3:7" x14ac:dyDescent="0.25">
      <c r="C464" s="87"/>
      <c r="D464" s="98"/>
      <c r="E464" s="98"/>
      <c r="F464" s="98"/>
      <c r="G464" s="98"/>
    </row>
    <row r="465" spans="3:7" x14ac:dyDescent="0.25">
      <c r="C465" s="87"/>
      <c r="D465" s="98"/>
      <c r="E465" s="98"/>
      <c r="F465" s="98"/>
      <c r="G465" s="98"/>
    </row>
    <row r="466" spans="3:7" x14ac:dyDescent="0.25">
      <c r="C466" s="87"/>
      <c r="D466" s="98"/>
      <c r="E466" s="98"/>
      <c r="F466" s="98"/>
      <c r="G466" s="98"/>
    </row>
    <row r="467" spans="3:7" x14ac:dyDescent="0.25">
      <c r="C467" s="87"/>
      <c r="D467" s="98"/>
      <c r="E467" s="98"/>
      <c r="F467" s="98"/>
      <c r="G467" s="98"/>
    </row>
    <row r="468" spans="3:7" x14ac:dyDescent="0.25">
      <c r="C468" s="87"/>
      <c r="D468" s="98"/>
      <c r="E468" s="98"/>
      <c r="F468" s="98"/>
      <c r="G468" s="98"/>
    </row>
    <row r="469" spans="3:7" x14ac:dyDescent="0.25">
      <c r="C469" s="87"/>
      <c r="D469" s="98"/>
      <c r="E469" s="98"/>
      <c r="F469" s="98"/>
      <c r="G469" s="98"/>
    </row>
    <row r="470" spans="3:7" x14ac:dyDescent="0.25">
      <c r="C470" s="87"/>
      <c r="D470" s="98"/>
      <c r="E470" s="98"/>
      <c r="F470" s="98"/>
      <c r="G470" s="98"/>
    </row>
    <row r="471" spans="3:7" x14ac:dyDescent="0.25">
      <c r="C471" s="87"/>
      <c r="D471" s="98"/>
      <c r="E471" s="98"/>
      <c r="F471" s="98"/>
      <c r="G471" s="98"/>
    </row>
    <row r="472" spans="3:7" x14ac:dyDescent="0.25">
      <c r="C472" s="87"/>
      <c r="D472" s="98"/>
      <c r="E472" s="98"/>
      <c r="F472" s="98"/>
      <c r="G472" s="98"/>
    </row>
    <row r="473" spans="3:7" x14ac:dyDescent="0.25">
      <c r="C473" s="87"/>
      <c r="D473" s="98"/>
      <c r="E473" s="98"/>
      <c r="F473" s="98"/>
      <c r="G473" s="98"/>
    </row>
    <row r="474" spans="3:7" x14ac:dyDescent="0.25">
      <c r="C474" s="87"/>
      <c r="D474" s="98"/>
      <c r="E474" s="98"/>
      <c r="F474" s="98"/>
      <c r="G474" s="98"/>
    </row>
    <row r="475" spans="3:7" x14ac:dyDescent="0.25">
      <c r="C475" s="87"/>
      <c r="D475" s="98"/>
      <c r="E475" s="98"/>
      <c r="F475" s="98"/>
      <c r="G475" s="98"/>
    </row>
    <row r="476" spans="3:7" x14ac:dyDescent="0.25">
      <c r="C476" s="87"/>
      <c r="D476" s="98"/>
      <c r="E476" s="98"/>
      <c r="F476" s="98"/>
      <c r="G476" s="98"/>
    </row>
    <row r="477" spans="3:7" x14ac:dyDescent="0.25">
      <c r="C477" s="87"/>
      <c r="D477" s="98"/>
      <c r="E477" s="98"/>
      <c r="F477" s="98"/>
      <c r="G477" s="98"/>
    </row>
    <row r="478" spans="3:7" x14ac:dyDescent="0.25">
      <c r="C478" s="87"/>
      <c r="D478" s="98"/>
      <c r="E478" s="98"/>
      <c r="F478" s="98"/>
      <c r="G478" s="98"/>
    </row>
    <row r="479" spans="3:7" x14ac:dyDescent="0.25">
      <c r="C479" s="87"/>
      <c r="D479" s="98"/>
      <c r="E479" s="98"/>
      <c r="F479" s="98"/>
      <c r="G479" s="98"/>
    </row>
    <row r="480" spans="3:7" x14ac:dyDescent="0.25">
      <c r="C480" s="87"/>
      <c r="D480" s="98"/>
      <c r="E480" s="98"/>
      <c r="F480" s="98"/>
      <c r="G480" s="98"/>
    </row>
    <row r="481" spans="3:7" x14ac:dyDescent="0.25">
      <c r="C481" s="87"/>
      <c r="D481" s="98"/>
      <c r="E481" s="98"/>
      <c r="F481" s="98"/>
      <c r="G481" s="98"/>
    </row>
    <row r="482" spans="3:7" x14ac:dyDescent="0.25">
      <c r="C482" s="87"/>
      <c r="D482" s="98"/>
      <c r="E482" s="98"/>
      <c r="F482" s="98"/>
      <c r="G482" s="98"/>
    </row>
    <row r="483" spans="3:7" x14ac:dyDescent="0.25">
      <c r="C483" s="87"/>
      <c r="D483" s="98"/>
      <c r="E483" s="98"/>
      <c r="F483" s="98"/>
      <c r="G483" s="98"/>
    </row>
    <row r="484" spans="3:7" x14ac:dyDescent="0.25">
      <c r="C484" s="87"/>
      <c r="D484" s="98"/>
      <c r="E484" s="98"/>
      <c r="F484" s="98"/>
      <c r="G484" s="98"/>
    </row>
    <row r="485" spans="3:7" x14ac:dyDescent="0.25">
      <c r="C485" s="87"/>
      <c r="D485" s="98"/>
      <c r="E485" s="98"/>
      <c r="F485" s="98"/>
      <c r="G485" s="98"/>
    </row>
    <row r="486" spans="3:7" x14ac:dyDescent="0.25">
      <c r="C486" s="87"/>
      <c r="D486" s="98"/>
      <c r="E486" s="98"/>
      <c r="F486" s="98"/>
      <c r="G486" s="98"/>
    </row>
    <row r="487" spans="3:7" x14ac:dyDescent="0.25">
      <c r="C487" s="87"/>
      <c r="D487" s="98"/>
      <c r="E487" s="98"/>
      <c r="F487" s="98"/>
      <c r="G487" s="98"/>
    </row>
    <row r="488" spans="3:7" x14ac:dyDescent="0.25">
      <c r="C488" s="87"/>
      <c r="D488" s="98"/>
      <c r="E488" s="98"/>
      <c r="F488" s="98"/>
      <c r="G488" s="98"/>
    </row>
    <row r="489" spans="3:7" x14ac:dyDescent="0.25">
      <c r="C489" s="87"/>
      <c r="D489" s="98"/>
      <c r="E489" s="98"/>
      <c r="F489" s="98"/>
      <c r="G489" s="98"/>
    </row>
    <row r="490" spans="3:7" x14ac:dyDescent="0.25">
      <c r="C490" s="87"/>
      <c r="D490" s="98"/>
      <c r="E490" s="98"/>
      <c r="F490" s="98"/>
      <c r="G490" s="98"/>
    </row>
    <row r="491" spans="3:7" x14ac:dyDescent="0.25">
      <c r="C491" s="87"/>
      <c r="D491" s="98"/>
      <c r="E491" s="98"/>
      <c r="F491" s="98"/>
      <c r="G491" s="98"/>
    </row>
    <row r="492" spans="3:7" x14ac:dyDescent="0.25">
      <c r="C492" s="87"/>
      <c r="D492" s="98"/>
      <c r="E492" s="98"/>
      <c r="F492" s="98"/>
      <c r="G492" s="98"/>
    </row>
    <row r="493" spans="3:7" x14ac:dyDescent="0.25">
      <c r="C493" s="87"/>
      <c r="D493" s="98"/>
      <c r="E493" s="98"/>
      <c r="F493" s="98"/>
      <c r="G493" s="98"/>
    </row>
    <row r="494" spans="3:7" x14ac:dyDescent="0.25">
      <c r="C494" s="87"/>
      <c r="D494" s="98"/>
      <c r="E494" s="98"/>
      <c r="F494" s="98"/>
      <c r="G494" s="98"/>
    </row>
    <row r="495" spans="3:7" x14ac:dyDescent="0.25">
      <c r="C495" s="87"/>
      <c r="D495" s="98"/>
      <c r="E495" s="98"/>
      <c r="F495" s="98"/>
      <c r="G495" s="98"/>
    </row>
    <row r="496" spans="3:7" x14ac:dyDescent="0.25">
      <c r="C496" s="87"/>
      <c r="D496" s="98"/>
      <c r="E496" s="98"/>
      <c r="F496" s="98"/>
      <c r="G496" s="98"/>
    </row>
    <row r="497" spans="3:7" x14ac:dyDescent="0.25">
      <c r="C497" s="87"/>
      <c r="D497" s="98"/>
      <c r="E497" s="98"/>
      <c r="F497" s="98"/>
      <c r="G497" s="98"/>
    </row>
    <row r="498" spans="3:7" x14ac:dyDescent="0.25">
      <c r="C498" s="87"/>
      <c r="D498" s="98"/>
      <c r="E498" s="98"/>
      <c r="F498" s="98"/>
      <c r="G498" s="98"/>
    </row>
    <row r="499" spans="3:7" x14ac:dyDescent="0.25">
      <c r="C499" s="87"/>
      <c r="D499" s="98"/>
      <c r="E499" s="98"/>
      <c r="F499" s="98"/>
      <c r="G499" s="98"/>
    </row>
    <row r="500" spans="3:7" x14ac:dyDescent="0.25">
      <c r="C500" s="87"/>
      <c r="D500" s="98"/>
      <c r="E500" s="98"/>
      <c r="F500" s="98"/>
      <c r="G500" s="98"/>
    </row>
    <row r="501" spans="3:7" x14ac:dyDescent="0.25">
      <c r="C501" s="87"/>
      <c r="D501" s="98"/>
      <c r="E501" s="98"/>
      <c r="F501" s="98"/>
      <c r="G501" s="98"/>
    </row>
    <row r="502" spans="3:7" x14ac:dyDescent="0.25">
      <c r="C502" s="87"/>
      <c r="D502" s="98"/>
      <c r="E502" s="98"/>
      <c r="F502" s="98"/>
      <c r="G502" s="98"/>
    </row>
    <row r="503" spans="3:7" x14ac:dyDescent="0.25">
      <c r="C503" s="87"/>
      <c r="D503" s="98"/>
      <c r="E503" s="98"/>
      <c r="F503" s="98"/>
      <c r="G503" s="98"/>
    </row>
    <row r="504" spans="3:7" x14ac:dyDescent="0.25">
      <c r="C504" s="87"/>
      <c r="D504" s="98"/>
      <c r="E504" s="98"/>
      <c r="F504" s="98"/>
      <c r="G504" s="98"/>
    </row>
    <row r="505" spans="3:7" x14ac:dyDescent="0.25">
      <c r="C505" s="87"/>
      <c r="D505" s="98"/>
      <c r="E505" s="98"/>
      <c r="F505" s="98"/>
      <c r="G505" s="98"/>
    </row>
    <row r="506" spans="3:7" x14ac:dyDescent="0.25">
      <c r="C506" s="87"/>
      <c r="D506" s="98"/>
      <c r="E506" s="98"/>
      <c r="F506" s="98"/>
      <c r="G506" s="98"/>
    </row>
    <row r="507" spans="3:7" x14ac:dyDescent="0.25">
      <c r="C507" s="87"/>
      <c r="D507" s="98"/>
      <c r="E507" s="98"/>
      <c r="F507" s="98"/>
      <c r="G507" s="98"/>
    </row>
    <row r="508" spans="3:7" x14ac:dyDescent="0.25">
      <c r="C508" s="87"/>
      <c r="D508" s="98"/>
      <c r="E508" s="98"/>
      <c r="F508" s="98"/>
      <c r="G508" s="98"/>
    </row>
    <row r="509" spans="3:7" x14ac:dyDescent="0.25">
      <c r="C509" s="87"/>
      <c r="D509" s="98"/>
      <c r="E509" s="98"/>
      <c r="F509" s="98"/>
      <c r="G509" s="98"/>
    </row>
    <row r="510" spans="3:7" x14ac:dyDescent="0.25">
      <c r="C510" s="87"/>
      <c r="D510" s="98"/>
      <c r="E510" s="98"/>
      <c r="F510" s="98"/>
      <c r="G510" s="98"/>
    </row>
    <row r="511" spans="3:7" x14ac:dyDescent="0.25">
      <c r="C511" s="87"/>
      <c r="D511" s="98"/>
      <c r="E511" s="98"/>
      <c r="F511" s="98"/>
      <c r="G511" s="98"/>
    </row>
    <row r="512" spans="3:7" x14ac:dyDescent="0.25">
      <c r="C512" s="87"/>
      <c r="D512" s="98"/>
      <c r="E512" s="98"/>
      <c r="F512" s="98"/>
      <c r="G512" s="98"/>
    </row>
  </sheetData>
  <mergeCells count="2">
    <mergeCell ref="F3:G3"/>
    <mergeCell ref="N5:O5"/>
  </mergeCells>
  <conditionalFormatting sqref="C48:C400">
    <cfRule type="expression" dxfId="374" priority="1">
      <formula>C48&lt;&gt;""</formula>
    </cfRule>
  </conditionalFormatting>
  <conditionalFormatting sqref="C13:G13">
    <cfRule type="expression" dxfId="373" priority="2">
      <formula>$C$13=0</formula>
    </cfRule>
  </conditionalFormatting>
  <conditionalFormatting sqref="C401:G512">
    <cfRule type="expression" dxfId="372" priority="4">
      <formula>C401&lt;&gt;""</formula>
    </cfRule>
  </conditionalFormatting>
  <dataValidations count="1">
    <dataValidation type="list" allowBlank="1" showInputMessage="1" showErrorMessage="1" sqref="D6" xr:uid="{00000000-0002-0000-0100-000000000000}">
      <formula1>"Mensual, Bimensual, Trimestral, Cuatrimestral, Semestral, Anual"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baseColWidth="10" defaultRowHeight="15" x14ac:dyDescent="0.25"/>
  <cols>
    <col min="1" max="16384" width="11.42578125" style="13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6BB00"/>
  </sheetPr>
  <dimension ref="A3:K24"/>
  <sheetViews>
    <sheetView workbookViewId="0"/>
  </sheetViews>
  <sheetFormatPr baseColWidth="10" defaultRowHeight="15" x14ac:dyDescent="0.25"/>
  <cols>
    <col min="2" max="2" width="12.42578125" bestFit="1" customWidth="1"/>
    <col min="3" max="3" width="39" bestFit="1" customWidth="1"/>
    <col min="4" max="4" width="18.7109375" style="9" bestFit="1" customWidth="1"/>
    <col min="5" max="5" width="11.42578125" style="9"/>
    <col min="6" max="6" width="18.140625" style="9" customWidth="1"/>
    <col min="10" max="10" width="13" style="9" bestFit="1" customWidth="1"/>
  </cols>
  <sheetData>
    <row r="3" spans="1:11" x14ac:dyDescent="0.25">
      <c r="D3" s="101" t="s">
        <v>214</v>
      </c>
      <c r="E3" s="9" t="s">
        <v>220</v>
      </c>
    </row>
    <row r="4" spans="1:11" ht="15" customHeight="1" x14ac:dyDescent="0.25">
      <c r="A4" s="469" t="s">
        <v>217</v>
      </c>
      <c r="B4" s="121" t="s">
        <v>251</v>
      </c>
      <c r="C4" s="100" t="s">
        <v>247</v>
      </c>
      <c r="D4" s="56">
        <f>2600000-E4</f>
        <v>2350000</v>
      </c>
      <c r="E4" s="9">
        <v>250000</v>
      </c>
      <c r="F4" s="470">
        <f>+SUM(D4:D9)</f>
        <v>8460000</v>
      </c>
      <c r="G4" s="465">
        <f>+F4/$F$18</f>
        <v>0.37666963490650046</v>
      </c>
      <c r="J4" s="50">
        <v>7000000</v>
      </c>
      <c r="K4" t="s">
        <v>242</v>
      </c>
    </row>
    <row r="5" spans="1:11" ht="15" customHeight="1" x14ac:dyDescent="0.25">
      <c r="A5" s="469"/>
      <c r="B5" s="121" t="s">
        <v>16</v>
      </c>
      <c r="C5" s="100" t="s">
        <v>249</v>
      </c>
      <c r="D5" s="56">
        <v>3000000</v>
      </c>
      <c r="F5" s="470"/>
      <c r="G5" s="466"/>
      <c r="J5" s="50"/>
    </row>
    <row r="6" spans="1:11" ht="15" customHeight="1" x14ac:dyDescent="0.25">
      <c r="A6" s="469"/>
      <c r="B6" s="121" t="s">
        <v>16</v>
      </c>
      <c r="C6" s="100" t="s">
        <v>254</v>
      </c>
      <c r="D6" s="56">
        <v>650000</v>
      </c>
      <c r="F6" s="470"/>
      <c r="G6" s="466"/>
      <c r="H6" s="105"/>
      <c r="J6" s="50">
        <v>960000</v>
      </c>
      <c r="K6" t="s">
        <v>243</v>
      </c>
    </row>
    <row r="7" spans="1:11" ht="15" customHeight="1" thickBot="1" x14ac:dyDescent="0.3">
      <c r="A7" s="469"/>
      <c r="B7" s="121" t="s">
        <v>252</v>
      </c>
      <c r="C7" s="100" t="s">
        <v>248</v>
      </c>
      <c r="D7" s="117">
        <v>960000</v>
      </c>
      <c r="F7" s="470"/>
      <c r="G7" s="466"/>
      <c r="J7" s="122">
        <v>600000</v>
      </c>
    </row>
    <row r="8" spans="1:11" ht="15" customHeight="1" thickTop="1" x14ac:dyDescent="0.25">
      <c r="A8" s="469"/>
      <c r="B8" s="121" t="s">
        <v>251</v>
      </c>
      <c r="C8" s="100" t="s">
        <v>216</v>
      </c>
      <c r="D8" s="102">
        <v>800000</v>
      </c>
      <c r="F8" s="470"/>
      <c r="G8" s="466"/>
      <c r="J8" s="50"/>
    </row>
    <row r="9" spans="1:11" ht="15" customHeight="1" x14ac:dyDescent="0.25">
      <c r="A9" s="469"/>
      <c r="B9" s="121" t="s">
        <v>253</v>
      </c>
      <c r="C9" s="100" t="s">
        <v>250</v>
      </c>
      <c r="D9" s="102">
        <v>700000</v>
      </c>
      <c r="F9" s="470"/>
      <c r="G9" s="467"/>
      <c r="J9" s="9">
        <f>+SUM(J4:J7)</f>
        <v>8560000</v>
      </c>
    </row>
    <row r="10" spans="1:11" ht="15" customHeight="1" x14ac:dyDescent="0.25">
      <c r="A10" s="469" t="s">
        <v>219</v>
      </c>
      <c r="B10" s="121"/>
      <c r="C10" s="100" t="s">
        <v>2</v>
      </c>
      <c r="D10" s="56">
        <v>2500000</v>
      </c>
      <c r="F10" s="470">
        <f>+SUM(D10:D13)</f>
        <v>12500000</v>
      </c>
      <c r="G10" s="465">
        <f>+F10/$F$18</f>
        <v>0.5565449688334817</v>
      </c>
      <c r="J10" s="10">
        <v>1000000</v>
      </c>
      <c r="K10" t="s">
        <v>244</v>
      </c>
    </row>
    <row r="11" spans="1:11" ht="15" customHeight="1" x14ac:dyDescent="0.25">
      <c r="A11" s="469"/>
      <c r="B11" s="121"/>
      <c r="C11" s="100" t="s">
        <v>218</v>
      </c>
      <c r="D11" s="117">
        <f>10000000-D10-D13</f>
        <v>5900000</v>
      </c>
      <c r="F11" s="470"/>
      <c r="G11" s="466"/>
      <c r="J11" s="10">
        <v>1000000</v>
      </c>
      <c r="K11" t="s">
        <v>245</v>
      </c>
    </row>
    <row r="12" spans="1:11" ht="15" customHeight="1" x14ac:dyDescent="0.25">
      <c r="A12" s="469"/>
      <c r="B12" s="121"/>
      <c r="C12" s="100" t="s">
        <v>215</v>
      </c>
      <c r="D12" s="117">
        <v>2500000</v>
      </c>
      <c r="F12" s="470"/>
      <c r="G12" s="466"/>
      <c r="J12" s="10">
        <v>500000</v>
      </c>
      <c r="K12" t="s">
        <v>246</v>
      </c>
    </row>
    <row r="13" spans="1:11" ht="15" customHeight="1" x14ac:dyDescent="0.25">
      <c r="A13" s="469"/>
      <c r="B13" s="121"/>
      <c r="C13" s="100" t="s">
        <v>225</v>
      </c>
      <c r="D13" s="56">
        <f>1000000+600000</f>
        <v>1600000</v>
      </c>
      <c r="F13" s="470"/>
      <c r="G13" s="467"/>
      <c r="J13" s="9">
        <f>+SUM(J10:J12)</f>
        <v>2500000</v>
      </c>
    </row>
    <row r="14" spans="1:11" ht="15" customHeight="1" x14ac:dyDescent="0.25">
      <c r="A14" s="469" t="s">
        <v>221</v>
      </c>
      <c r="B14" s="121"/>
      <c r="C14" s="100" t="s">
        <v>222</v>
      </c>
      <c r="D14" s="56"/>
      <c r="F14" s="470">
        <f>+SUM(D14:D17)</f>
        <v>1500000</v>
      </c>
      <c r="G14" s="468">
        <f>+F14/$F$18</f>
        <v>6.678539626001781E-2</v>
      </c>
    </row>
    <row r="15" spans="1:11" ht="15" customHeight="1" x14ac:dyDescent="0.25">
      <c r="A15" s="469"/>
      <c r="B15" s="121"/>
      <c r="C15" s="100" t="s">
        <v>226</v>
      </c>
      <c r="D15" s="56"/>
      <c r="F15" s="470"/>
      <c r="G15" s="468"/>
      <c r="J15" s="9">
        <f>+J9+J13</f>
        <v>11060000</v>
      </c>
    </row>
    <row r="16" spans="1:11" ht="15" customHeight="1" x14ac:dyDescent="0.25">
      <c r="A16" s="469"/>
      <c r="B16" s="121"/>
      <c r="C16" s="100" t="s">
        <v>227</v>
      </c>
      <c r="D16" s="56"/>
      <c r="F16" s="470"/>
      <c r="G16" s="468"/>
    </row>
    <row r="17" spans="1:7" ht="15" customHeight="1" x14ac:dyDescent="0.25">
      <c r="A17" s="469"/>
      <c r="B17" s="121"/>
      <c r="C17" s="100" t="s">
        <v>223</v>
      </c>
      <c r="D17" s="56">
        <v>1500000</v>
      </c>
      <c r="F17" s="470"/>
      <c r="G17" s="468"/>
    </row>
    <row r="18" spans="1:7" ht="21" x14ac:dyDescent="0.25">
      <c r="A18" s="103"/>
      <c r="B18" s="103"/>
      <c r="D18" s="50"/>
      <c r="F18" s="104">
        <f>+SUM(F4:F17)</f>
        <v>22460000</v>
      </c>
      <c r="G18" s="104">
        <f>+SUM(G4:G17)</f>
        <v>1</v>
      </c>
    </row>
    <row r="21" spans="1:7" x14ac:dyDescent="0.25">
      <c r="A21" s="469" t="s">
        <v>221</v>
      </c>
      <c r="B21" s="121"/>
      <c r="C21" s="100" t="s">
        <v>224</v>
      </c>
      <c r="D21" s="56">
        <v>600000</v>
      </c>
    </row>
    <row r="22" spans="1:7" x14ac:dyDescent="0.25">
      <c r="A22" s="469"/>
      <c r="B22" s="121"/>
      <c r="C22" s="100"/>
      <c r="D22" s="56"/>
    </row>
    <row r="23" spans="1:7" x14ac:dyDescent="0.25">
      <c r="A23" s="469"/>
      <c r="B23" s="121"/>
      <c r="C23" s="100"/>
      <c r="D23" s="56"/>
    </row>
    <row r="24" spans="1:7" x14ac:dyDescent="0.25">
      <c r="A24" s="469"/>
      <c r="B24" s="121"/>
      <c r="C24" s="100"/>
      <c r="D24" s="56"/>
    </row>
  </sheetData>
  <mergeCells count="10">
    <mergeCell ref="G4:G9"/>
    <mergeCell ref="G10:G13"/>
    <mergeCell ref="G14:G17"/>
    <mergeCell ref="A21:A24"/>
    <mergeCell ref="A4:A9"/>
    <mergeCell ref="A10:A13"/>
    <mergeCell ref="F4:F9"/>
    <mergeCell ref="F10:F13"/>
    <mergeCell ref="A14:A17"/>
    <mergeCell ref="F14:F17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K30"/>
  <sheetViews>
    <sheetView workbookViewId="0"/>
  </sheetViews>
  <sheetFormatPr baseColWidth="10" defaultRowHeight="15" outlineLevelRow="1" x14ac:dyDescent="0.25"/>
  <cols>
    <col min="1" max="1" width="12.5703125" style="1" bestFit="1" customWidth="1"/>
    <col min="2" max="2" width="17.140625" style="1" bestFit="1" customWidth="1"/>
    <col min="3" max="3" width="20.85546875" style="1" bestFit="1" customWidth="1"/>
    <col min="4" max="4" width="14.42578125" style="1" customWidth="1"/>
    <col min="5" max="5" width="16.85546875" style="9" bestFit="1" customWidth="1"/>
    <col min="6" max="6" width="15.7109375" style="1" bestFit="1" customWidth="1"/>
    <col min="7" max="8" width="17.28515625" style="1" bestFit="1" customWidth="1"/>
    <col min="9" max="9" width="12" style="1" bestFit="1" customWidth="1"/>
    <col min="10" max="16384" width="11.42578125" style="1"/>
  </cols>
  <sheetData>
    <row r="1" spans="1:11" x14ac:dyDescent="0.25">
      <c r="G1" s="30">
        <v>20</v>
      </c>
      <c r="H1" s="31">
        <v>10</v>
      </c>
    </row>
    <row r="2" spans="1:11" x14ac:dyDescent="0.25">
      <c r="E2" s="28" t="s">
        <v>3</v>
      </c>
      <c r="F2" s="29" t="s">
        <v>6</v>
      </c>
      <c r="G2" s="44" t="s">
        <v>4</v>
      </c>
      <c r="H2" s="45" t="s">
        <v>5</v>
      </c>
    </row>
    <row r="3" spans="1:11" x14ac:dyDescent="0.25">
      <c r="G3" s="26">
        <f>+E4-H3</f>
        <v>8750000</v>
      </c>
      <c r="H3" s="27">
        <f>+H4*H1</f>
        <v>10000000</v>
      </c>
    </row>
    <row r="4" spans="1:11" x14ac:dyDescent="0.25">
      <c r="A4" s="39" t="s">
        <v>0</v>
      </c>
      <c r="B4" s="39"/>
      <c r="C4" s="39"/>
      <c r="D4" s="39"/>
      <c r="E4" s="40">
        <f>+E6/C6</f>
        <v>18750000</v>
      </c>
      <c r="F4" s="39">
        <f>+E4/30</f>
        <v>625000</v>
      </c>
      <c r="G4" s="41">
        <f>+G3/$G$1</f>
        <v>437500</v>
      </c>
      <c r="H4" s="42">
        <v>1000000</v>
      </c>
      <c r="I4" s="4"/>
      <c r="J4" s="4"/>
      <c r="K4" s="4"/>
    </row>
    <row r="5" spans="1:11" x14ac:dyDescent="0.25">
      <c r="A5" s="32" t="s">
        <v>58</v>
      </c>
      <c r="B5" s="32" t="s">
        <v>59</v>
      </c>
      <c r="C5" s="34">
        <v>0.6</v>
      </c>
      <c r="D5" s="32"/>
      <c r="E5" s="33">
        <f>+$E$4*C5</f>
        <v>11250000</v>
      </c>
      <c r="F5" s="32">
        <f>+E5/30</f>
        <v>375000</v>
      </c>
      <c r="G5" s="26">
        <f>+G4*$C$5</f>
        <v>262500</v>
      </c>
      <c r="H5" s="27">
        <f>+H4*$C$5</f>
        <v>600000</v>
      </c>
    </row>
    <row r="6" spans="1:11" x14ac:dyDescent="0.25">
      <c r="A6" s="35" t="s">
        <v>1</v>
      </c>
      <c r="B6" s="35"/>
      <c r="C6" s="36">
        <v>0.4</v>
      </c>
      <c r="D6" s="35"/>
      <c r="E6" s="37">
        <f>+SUM(E7:E1048576)-E26</f>
        <v>7500000</v>
      </c>
      <c r="F6" s="35">
        <f>+E6/30</f>
        <v>250000</v>
      </c>
      <c r="G6" s="38">
        <f>+G4*$C$6</f>
        <v>175000</v>
      </c>
      <c r="H6" s="43">
        <f>+H4*$C$6</f>
        <v>400000</v>
      </c>
      <c r="I6" s="4"/>
      <c r="J6" s="4"/>
      <c r="K6" s="4"/>
    </row>
    <row r="7" spans="1:11" outlineLevel="1" x14ac:dyDescent="0.25">
      <c r="A7" s="6" t="s">
        <v>2</v>
      </c>
      <c r="B7" s="7"/>
      <c r="C7" s="7"/>
      <c r="D7" s="7"/>
      <c r="E7" s="24">
        <v>2500000</v>
      </c>
      <c r="F7" s="7"/>
      <c r="G7" s="7"/>
      <c r="H7" s="7"/>
      <c r="I7" s="7"/>
      <c r="J7" s="7"/>
      <c r="K7" s="7"/>
    </row>
    <row r="8" spans="1:11" outlineLevel="1" x14ac:dyDescent="0.25">
      <c r="A8" s="471" t="s">
        <v>10</v>
      </c>
      <c r="B8" s="3" t="s">
        <v>7</v>
      </c>
      <c r="C8" s="3"/>
      <c r="D8" s="3"/>
      <c r="E8" s="473">
        <v>1500000</v>
      </c>
    </row>
    <row r="9" spans="1:11" outlineLevel="1" x14ac:dyDescent="0.25">
      <c r="A9" s="471"/>
      <c r="B9" s="3" t="s">
        <v>8</v>
      </c>
      <c r="C9" s="3"/>
      <c r="D9" s="3"/>
      <c r="E9" s="473"/>
    </row>
    <row r="10" spans="1:11" outlineLevel="1" x14ac:dyDescent="0.25">
      <c r="A10" s="471"/>
      <c r="B10" s="3" t="s">
        <v>9</v>
      </c>
      <c r="C10" s="3"/>
      <c r="D10" s="3"/>
      <c r="E10" s="473"/>
      <c r="I10" s="1" t="s">
        <v>60</v>
      </c>
      <c r="J10" s="1" t="s">
        <v>61</v>
      </c>
      <c r="K10" s="1" t="s">
        <v>62</v>
      </c>
    </row>
    <row r="11" spans="1:11" outlineLevel="1" x14ac:dyDescent="0.25">
      <c r="A11" s="23" t="s">
        <v>56</v>
      </c>
      <c r="B11" s="3" t="s">
        <v>57</v>
      </c>
      <c r="C11" s="3"/>
      <c r="D11" s="3" t="s">
        <v>64</v>
      </c>
      <c r="E11" s="25">
        <f>1000000+600000+900000</f>
        <v>2500000</v>
      </c>
      <c r="I11" s="25">
        <f>1000000*6</f>
        <v>6000000</v>
      </c>
      <c r="J11" s="9">
        <f>+E4/I11</f>
        <v>3.125</v>
      </c>
      <c r="K11" s="9">
        <f>+I11/E4*30</f>
        <v>9.6</v>
      </c>
    </row>
    <row r="12" spans="1:11" outlineLevel="1" x14ac:dyDescent="0.25">
      <c r="A12" s="23" t="s">
        <v>11</v>
      </c>
      <c r="B12" s="3"/>
      <c r="C12" s="3"/>
      <c r="D12" s="3"/>
      <c r="E12" s="25">
        <v>1000000</v>
      </c>
    </row>
    <row r="13" spans="1:11" outlineLevel="1" x14ac:dyDescent="0.25">
      <c r="A13" s="23"/>
      <c r="B13" s="3"/>
      <c r="C13" s="3"/>
      <c r="D13" s="3"/>
      <c r="E13" s="25"/>
    </row>
    <row r="14" spans="1:11" outlineLevel="1" x14ac:dyDescent="0.25">
      <c r="A14" s="472" t="s">
        <v>11</v>
      </c>
      <c r="B14" s="5" t="s">
        <v>14</v>
      </c>
      <c r="C14" s="5" t="s">
        <v>12</v>
      </c>
      <c r="D14" s="5">
        <v>5300000</v>
      </c>
    </row>
    <row r="15" spans="1:11" x14ac:dyDescent="0.25">
      <c r="A15" s="472"/>
      <c r="B15" s="5" t="s">
        <v>14</v>
      </c>
      <c r="C15" s="5" t="s">
        <v>13</v>
      </c>
      <c r="D15" s="21">
        <v>1500000</v>
      </c>
      <c r="I15" s="1">
        <f>+I11/K11</f>
        <v>625000</v>
      </c>
    </row>
    <row r="16" spans="1:11" x14ac:dyDescent="0.25">
      <c r="A16" s="472"/>
      <c r="B16" s="5" t="s">
        <v>14</v>
      </c>
      <c r="C16" s="5" t="s">
        <v>15</v>
      </c>
      <c r="D16" s="21">
        <v>1500000</v>
      </c>
    </row>
    <row r="17" spans="1:7" x14ac:dyDescent="0.25">
      <c r="A17" s="472"/>
      <c r="B17" s="5" t="s">
        <v>16</v>
      </c>
      <c r="C17" s="5" t="s">
        <v>15</v>
      </c>
      <c r="D17" s="5">
        <v>4000000</v>
      </c>
    </row>
    <row r="18" spans="1:7" x14ac:dyDescent="0.25">
      <c r="A18" s="472"/>
      <c r="B18" s="5" t="s">
        <v>16</v>
      </c>
      <c r="C18" s="5" t="s">
        <v>17</v>
      </c>
      <c r="D18" s="5">
        <v>3000000</v>
      </c>
    </row>
    <row r="19" spans="1:7" x14ac:dyDescent="0.25">
      <c r="A19" s="472"/>
      <c r="B19" s="5" t="s">
        <v>18</v>
      </c>
      <c r="C19" s="5" t="s">
        <v>15</v>
      </c>
      <c r="D19" s="27">
        <v>500000</v>
      </c>
      <c r="G19" s="1">
        <f>+E4*12</f>
        <v>225000000</v>
      </c>
    </row>
    <row r="20" spans="1:7" x14ac:dyDescent="0.25">
      <c r="A20" s="472"/>
      <c r="B20" s="5" t="s">
        <v>19</v>
      </c>
      <c r="C20" s="5"/>
      <c r="D20" s="5">
        <v>3800000</v>
      </c>
    </row>
    <row r="21" spans="1:7" x14ac:dyDescent="0.25">
      <c r="A21" s="472"/>
      <c r="B21" s="5" t="s">
        <v>20</v>
      </c>
      <c r="C21" s="5"/>
      <c r="D21" s="5">
        <v>2000000</v>
      </c>
      <c r="G21" s="1">
        <f>+G19*0.3</f>
        <v>67500000</v>
      </c>
    </row>
    <row r="22" spans="1:7" x14ac:dyDescent="0.25">
      <c r="D22" s="2">
        <f>+SUM(D14:D21)</f>
        <v>21600000</v>
      </c>
    </row>
    <row r="23" spans="1:7" x14ac:dyDescent="0.25">
      <c r="C23" s="1" t="s">
        <v>63</v>
      </c>
      <c r="D23" s="27">
        <v>500000</v>
      </c>
    </row>
    <row r="26" spans="1:7" x14ac:dyDescent="0.25">
      <c r="A26" s="23" t="s">
        <v>10</v>
      </c>
      <c r="B26" s="3" t="s">
        <v>65</v>
      </c>
      <c r="C26" s="3"/>
      <c r="D26" s="3"/>
      <c r="E26" s="3">
        <v>16000000</v>
      </c>
    </row>
    <row r="28" spans="1:7" x14ac:dyDescent="0.25">
      <c r="D28" s="1">
        <f>+E5+E26</f>
        <v>27250000</v>
      </c>
    </row>
    <row r="30" spans="1:7" x14ac:dyDescent="0.25">
      <c r="D30" s="22">
        <f>+E11/D28</f>
        <v>9.1743119266055051E-2</v>
      </c>
    </row>
  </sheetData>
  <mergeCells count="3">
    <mergeCell ref="A8:A10"/>
    <mergeCell ref="A14:A21"/>
    <mergeCell ref="E8:E1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4:Z671"/>
  <sheetViews>
    <sheetView workbookViewId="0">
      <selection activeCell="A4" sqref="A4"/>
    </sheetView>
  </sheetViews>
  <sheetFormatPr baseColWidth="10" defaultRowHeight="15" outlineLevelCol="1" x14ac:dyDescent="0.25"/>
  <cols>
    <col min="2" max="2" width="38" hidden="1" customWidth="1" outlineLevel="1"/>
    <col min="3" max="3" width="11.28515625" style="47" bestFit="1" customWidth="1" collapsed="1"/>
    <col min="4" max="4" width="11.28515625" style="47" bestFit="1" customWidth="1"/>
    <col min="5" max="5" width="16.28515625" style="128" bestFit="1" customWidth="1"/>
    <col min="6" max="7" width="16.28515625" style="128" customWidth="1"/>
    <col min="8" max="8" width="18.85546875" style="128" bestFit="1" customWidth="1"/>
    <col min="9" max="9" width="20.140625" style="128" customWidth="1"/>
    <col min="10" max="10" width="50.28515625" style="128" customWidth="1"/>
    <col min="11" max="11" width="7" style="128" customWidth="1"/>
    <col min="12" max="12" width="15.28515625" style="128" customWidth="1"/>
    <col min="13" max="13" width="18.7109375" style="124" bestFit="1" customWidth="1"/>
    <col min="14" max="14" width="64.28515625" style="124" bestFit="1" customWidth="1"/>
    <col min="15" max="15" width="19.42578125" customWidth="1" outlineLevel="1"/>
    <col min="16" max="16" width="18.42578125" customWidth="1" outlineLevel="1"/>
    <col min="17" max="17" width="12.42578125" customWidth="1" outlineLevel="1"/>
    <col min="18" max="18" width="14.28515625" customWidth="1" outlineLevel="1"/>
    <col min="19" max="19" width="11" customWidth="1" outlineLevel="1"/>
    <col min="20" max="20" width="11.42578125" customWidth="1" outlineLevel="1"/>
    <col min="24" max="24" width="4.5703125" bestFit="1" customWidth="1"/>
    <col min="25" max="25" width="12" hidden="1" customWidth="1" outlineLevel="1"/>
    <col min="26" max="26" width="15.42578125" bestFit="1" customWidth="1" collapsed="1"/>
  </cols>
  <sheetData>
    <row r="4" spans="2:26" x14ac:dyDescent="0.25">
      <c r="B4" s="149" t="s">
        <v>258</v>
      </c>
      <c r="C4" s="150" t="s">
        <v>255</v>
      </c>
      <c r="D4" s="150" t="s">
        <v>316</v>
      </c>
      <c r="E4" s="151" t="s">
        <v>350</v>
      </c>
      <c r="F4" s="151" t="s">
        <v>625</v>
      </c>
      <c r="G4" s="151" t="s">
        <v>448</v>
      </c>
      <c r="H4" s="151" t="s">
        <v>356</v>
      </c>
      <c r="I4" s="151" t="s">
        <v>395</v>
      </c>
      <c r="J4" s="151" t="s">
        <v>351</v>
      </c>
      <c r="K4" s="151" t="s">
        <v>352</v>
      </c>
      <c r="L4" s="151" t="s">
        <v>359</v>
      </c>
      <c r="M4" s="152" t="s">
        <v>256</v>
      </c>
      <c r="N4" s="152" t="s">
        <v>361</v>
      </c>
      <c r="O4" s="152" t="s">
        <v>298</v>
      </c>
      <c r="P4" s="153" t="s">
        <v>299</v>
      </c>
    </row>
    <row r="5" spans="2:26" x14ac:dyDescent="0.25">
      <c r="B5" s="162" t="s">
        <v>257</v>
      </c>
      <c r="C5" s="130">
        <v>43730</v>
      </c>
      <c r="D5" s="160">
        <f>+DAY(Ventas[[#This Row],[FECHA]])</f>
        <v>22</v>
      </c>
      <c r="E5" s="129" t="str">
        <f t="shared" ref="E5:E15" si="0">+TEXT(C5,"dddd")</f>
        <v>domingo</v>
      </c>
      <c r="F5" s="129" t="s">
        <v>624</v>
      </c>
      <c r="G5" s="185">
        <v>0</v>
      </c>
      <c r="H5" s="129"/>
      <c r="I5" s="185"/>
      <c r="J5" s="129"/>
      <c r="K5" s="185"/>
      <c r="L5" s="192"/>
      <c r="M5" s="195">
        <v>572000</v>
      </c>
      <c r="N5" s="127"/>
      <c r="O5" s="127"/>
      <c r="P5" s="148"/>
      <c r="X5" s="184" t="s">
        <v>339</v>
      </c>
      <c r="Y5" s="184" t="s">
        <v>256</v>
      </c>
      <c r="Z5" s="184" t="s">
        <v>340</v>
      </c>
    </row>
    <row r="6" spans="2:26" s="125" customFormat="1" x14ac:dyDescent="0.25">
      <c r="B6" s="161" t="s">
        <v>271</v>
      </c>
      <c r="C6" s="129">
        <v>43731</v>
      </c>
      <c r="D6" s="160">
        <f>+DAY(Ventas[[#This Row],[FECHA]])</f>
        <v>23</v>
      </c>
      <c r="E6" s="129" t="str">
        <f t="shared" si="0"/>
        <v>lunes</v>
      </c>
      <c r="F6" s="129" t="s">
        <v>626</v>
      </c>
      <c r="G6" s="185">
        <v>1</v>
      </c>
      <c r="H6" s="129" t="s">
        <v>357</v>
      </c>
      <c r="I6" s="185">
        <v>1</v>
      </c>
      <c r="J6" s="129" t="s">
        <v>353</v>
      </c>
      <c r="K6" s="185">
        <v>1</v>
      </c>
      <c r="L6" s="127">
        <v>12000</v>
      </c>
      <c r="M6" s="195">
        <f>+Ventas[[#This Row],[Precio item]]*Ventas[[#This Row],[Q]]</f>
        <v>12000</v>
      </c>
      <c r="N6" s="127"/>
      <c r="O6" s="127"/>
      <c r="P6" s="148"/>
      <c r="W6" s="182" t="s">
        <v>332</v>
      </c>
      <c r="X6" s="185">
        <f t="shared" ref="X6:X12" si="1">+COUNTIF($E$5:$E$322,W6)</f>
        <v>46</v>
      </c>
      <c r="Y6" s="186">
        <f t="shared" ref="Y6:Y12" si="2">+SUMIF($E$6:$E$322,W6,$M$6:$M$322)</f>
        <v>1550710</v>
      </c>
      <c r="Z6" s="186">
        <f>+Y6/X6</f>
        <v>33711.086956521736</v>
      </c>
    </row>
    <row r="7" spans="2:26" x14ac:dyDescent="0.25">
      <c r="B7" s="161"/>
      <c r="C7" s="129">
        <v>43731</v>
      </c>
      <c r="D7" s="160">
        <f>+DAY(Ventas[[#This Row],[FECHA]])</f>
        <v>23</v>
      </c>
      <c r="E7" s="129" t="str">
        <f t="shared" si="0"/>
        <v>lunes</v>
      </c>
      <c r="F7" s="129" t="s">
        <v>626</v>
      </c>
      <c r="G7" s="185">
        <v>1</v>
      </c>
      <c r="H7" s="129" t="s">
        <v>357</v>
      </c>
      <c r="I7" s="185">
        <v>1</v>
      </c>
      <c r="J7" s="129" t="s">
        <v>354</v>
      </c>
      <c r="K7" s="185">
        <v>1</v>
      </c>
      <c r="L7" s="127">
        <v>2000</v>
      </c>
      <c r="M7" s="195">
        <f>+Ventas[[#This Row],[Precio item]]*Ventas[[#This Row],[Q]]</f>
        <v>2000</v>
      </c>
      <c r="N7" s="127"/>
      <c r="O7" s="127"/>
      <c r="P7" s="148"/>
      <c r="W7" s="183" t="s">
        <v>333</v>
      </c>
      <c r="X7" s="185">
        <f t="shared" si="1"/>
        <v>26</v>
      </c>
      <c r="Y7" s="186">
        <f t="shared" si="2"/>
        <v>1058100</v>
      </c>
      <c r="Z7" s="186">
        <f t="shared" ref="Z7:Z12" si="3">+Y7/X7</f>
        <v>40696.153846153844</v>
      </c>
    </row>
    <row r="8" spans="2:26" x14ac:dyDescent="0.25">
      <c r="B8" s="161"/>
      <c r="C8" s="129">
        <v>43731</v>
      </c>
      <c r="D8" s="160">
        <f>+DAY(Ventas[[#This Row],[FECHA]])</f>
        <v>23</v>
      </c>
      <c r="E8" s="129" t="str">
        <f t="shared" si="0"/>
        <v>lunes</v>
      </c>
      <c r="F8" s="129" t="s">
        <v>626</v>
      </c>
      <c r="G8" s="185">
        <v>1</v>
      </c>
      <c r="H8" s="129" t="s">
        <v>357</v>
      </c>
      <c r="I8" s="185">
        <v>1</v>
      </c>
      <c r="J8" s="129" t="s">
        <v>355</v>
      </c>
      <c r="K8" s="185">
        <v>1</v>
      </c>
      <c r="L8" s="127">
        <v>2000</v>
      </c>
      <c r="M8" s="195">
        <f>+Ventas[[#This Row],[Precio item]]*Ventas[[#This Row],[Q]]</f>
        <v>2000</v>
      </c>
      <c r="N8" s="127"/>
      <c r="O8" s="127"/>
      <c r="P8" s="148"/>
      <c r="R8" s="127">
        <v>600000</v>
      </c>
      <c r="W8" s="182" t="s">
        <v>334</v>
      </c>
      <c r="X8" s="185">
        <f t="shared" si="1"/>
        <v>28</v>
      </c>
      <c r="Y8" s="186">
        <f t="shared" si="2"/>
        <v>791500</v>
      </c>
      <c r="Z8" s="186">
        <f t="shared" si="3"/>
        <v>28267.857142857141</v>
      </c>
    </row>
    <row r="9" spans="2:26" x14ac:dyDescent="0.25">
      <c r="B9" s="161"/>
      <c r="C9" s="129">
        <v>43731</v>
      </c>
      <c r="D9" s="160">
        <f>+DAY(Ventas[[#This Row],[FECHA]])</f>
        <v>23</v>
      </c>
      <c r="E9" s="129" t="str">
        <f t="shared" si="0"/>
        <v>lunes</v>
      </c>
      <c r="F9" s="129" t="s">
        <v>626</v>
      </c>
      <c r="G9" s="185">
        <v>1</v>
      </c>
      <c r="H9" s="129" t="s">
        <v>357</v>
      </c>
      <c r="I9" s="185">
        <v>2</v>
      </c>
      <c r="J9" s="129" t="s">
        <v>358</v>
      </c>
      <c r="K9" s="185">
        <v>1</v>
      </c>
      <c r="L9" s="127">
        <v>6000</v>
      </c>
      <c r="M9" s="195">
        <f>+Ventas[[#This Row],[Precio item]]*Ventas[[#This Row],[Q]]</f>
        <v>6000</v>
      </c>
      <c r="N9" s="127"/>
      <c r="O9" s="127"/>
      <c r="P9" s="148"/>
      <c r="W9" s="183" t="s">
        <v>335</v>
      </c>
      <c r="X9" s="185">
        <f t="shared" si="1"/>
        <v>19</v>
      </c>
      <c r="Y9" s="186">
        <f t="shared" si="2"/>
        <v>638500</v>
      </c>
      <c r="Z9" s="186">
        <f t="shared" si="3"/>
        <v>33605.26315789474</v>
      </c>
    </row>
    <row r="10" spans="2:26" x14ac:dyDescent="0.25">
      <c r="B10" s="161"/>
      <c r="C10" s="129">
        <v>43731</v>
      </c>
      <c r="D10" s="160">
        <f>+DAY(Ventas[[#This Row],[FECHA]])</f>
        <v>23</v>
      </c>
      <c r="E10" s="129" t="str">
        <f t="shared" si="0"/>
        <v>lunes</v>
      </c>
      <c r="F10" s="129" t="s">
        <v>626</v>
      </c>
      <c r="G10" s="185">
        <v>1</v>
      </c>
      <c r="H10" s="129" t="s">
        <v>357</v>
      </c>
      <c r="I10" s="185">
        <v>3</v>
      </c>
      <c r="J10" s="129" t="s">
        <v>353</v>
      </c>
      <c r="K10" s="185">
        <v>2</v>
      </c>
      <c r="L10" s="127">
        <v>12000</v>
      </c>
      <c r="M10" s="195">
        <f>+Ventas[[#This Row],[Precio item]]*Ventas[[#This Row],[Q]]</f>
        <v>24000</v>
      </c>
      <c r="N10" s="127"/>
      <c r="O10" s="127"/>
      <c r="P10" s="148"/>
      <c r="W10" s="182" t="s">
        <v>336</v>
      </c>
      <c r="X10" s="185">
        <f t="shared" si="1"/>
        <v>22</v>
      </c>
      <c r="Y10" s="186">
        <f t="shared" si="2"/>
        <v>1269400</v>
      </c>
      <c r="Z10" s="186">
        <f t="shared" si="3"/>
        <v>57700</v>
      </c>
    </row>
    <row r="11" spans="2:26" x14ac:dyDescent="0.25">
      <c r="B11" s="161"/>
      <c r="C11" s="129">
        <v>43731</v>
      </c>
      <c r="D11" s="160">
        <f>+DAY(Ventas[[#This Row],[FECHA]])</f>
        <v>23</v>
      </c>
      <c r="E11" s="129" t="str">
        <f t="shared" si="0"/>
        <v>lunes</v>
      </c>
      <c r="F11" s="129" t="s">
        <v>626</v>
      </c>
      <c r="G11" s="185">
        <v>1</v>
      </c>
      <c r="H11" s="129" t="s">
        <v>357</v>
      </c>
      <c r="I11" s="185">
        <v>3</v>
      </c>
      <c r="J11" s="129" t="s">
        <v>368</v>
      </c>
      <c r="K11" s="185">
        <v>2</v>
      </c>
      <c r="L11" s="192">
        <v>2000</v>
      </c>
      <c r="M11" s="195">
        <f>+Ventas[[#This Row],[Precio item]]*Ventas[[#This Row],[Q]]</f>
        <v>4000</v>
      </c>
      <c r="N11" s="127"/>
      <c r="O11" s="127"/>
      <c r="P11" s="148"/>
      <c r="W11" s="183" t="s">
        <v>337</v>
      </c>
      <c r="X11" s="185">
        <f t="shared" si="1"/>
        <v>70</v>
      </c>
      <c r="Y11" s="186">
        <f t="shared" si="2"/>
        <v>2826300</v>
      </c>
      <c r="Z11" s="186">
        <f t="shared" si="3"/>
        <v>40375.714285714283</v>
      </c>
    </row>
    <row r="12" spans="2:26" x14ac:dyDescent="0.25">
      <c r="B12" s="161"/>
      <c r="C12" s="129">
        <v>43731</v>
      </c>
      <c r="D12" s="160">
        <f>+DAY(Ventas[[#This Row],[FECHA]])</f>
        <v>23</v>
      </c>
      <c r="E12" s="129" t="str">
        <f t="shared" si="0"/>
        <v>lunes</v>
      </c>
      <c r="F12" s="129" t="s">
        <v>626</v>
      </c>
      <c r="G12" s="185">
        <v>1</v>
      </c>
      <c r="H12" s="129" t="s">
        <v>357</v>
      </c>
      <c r="I12" s="185">
        <v>4</v>
      </c>
      <c r="J12" s="129" t="s">
        <v>353</v>
      </c>
      <c r="K12" s="185">
        <v>1</v>
      </c>
      <c r="L12" s="192">
        <v>10000</v>
      </c>
      <c r="M12" s="195">
        <f>+Ventas[[#This Row],[Precio item]]*Ventas[[#This Row],[Q]]</f>
        <v>10000</v>
      </c>
      <c r="N12" s="127" t="s">
        <v>362</v>
      </c>
      <c r="O12" s="127"/>
      <c r="P12" s="148"/>
      <c r="W12" s="182" t="s">
        <v>338</v>
      </c>
      <c r="X12" s="185">
        <f t="shared" si="1"/>
        <v>107</v>
      </c>
      <c r="Y12" s="186">
        <f t="shared" si="2"/>
        <v>3287100</v>
      </c>
      <c r="Z12" s="186">
        <f t="shared" si="3"/>
        <v>30720.560747663552</v>
      </c>
    </row>
    <row r="13" spans="2:26" x14ac:dyDescent="0.25">
      <c r="B13" s="161"/>
      <c r="C13" s="129">
        <v>43731</v>
      </c>
      <c r="D13" s="160">
        <f>+DAY(Ventas[[#This Row],[FECHA]])</f>
        <v>23</v>
      </c>
      <c r="E13" s="129" t="str">
        <f t="shared" si="0"/>
        <v>lunes</v>
      </c>
      <c r="F13" s="129" t="s">
        <v>626</v>
      </c>
      <c r="G13" s="185">
        <v>1</v>
      </c>
      <c r="H13" s="129" t="s">
        <v>357</v>
      </c>
      <c r="I13" s="185">
        <v>5</v>
      </c>
      <c r="J13" s="129" t="s">
        <v>353</v>
      </c>
      <c r="K13" s="185">
        <v>2</v>
      </c>
      <c r="L13" s="192">
        <v>10000</v>
      </c>
      <c r="M13" s="195">
        <f>+Ventas[[#This Row],[Precio item]]*Ventas[[#This Row],[Q]]</f>
        <v>20000</v>
      </c>
      <c r="N13" s="127" t="s">
        <v>363</v>
      </c>
      <c r="O13" s="127"/>
      <c r="P13" s="148"/>
    </row>
    <row r="14" spans="2:26" x14ac:dyDescent="0.25">
      <c r="B14" s="161"/>
      <c r="C14" s="129">
        <v>43731</v>
      </c>
      <c r="D14" s="160">
        <f>+DAY(Ventas[[#This Row],[FECHA]])</f>
        <v>23</v>
      </c>
      <c r="E14" s="129" t="str">
        <f t="shared" si="0"/>
        <v>lunes</v>
      </c>
      <c r="F14" s="129" t="s">
        <v>626</v>
      </c>
      <c r="G14" s="185">
        <v>1</v>
      </c>
      <c r="H14" s="129" t="s">
        <v>357</v>
      </c>
      <c r="I14" s="185">
        <v>6</v>
      </c>
      <c r="J14" s="129" t="s">
        <v>353</v>
      </c>
      <c r="K14" s="185">
        <v>4</v>
      </c>
      <c r="L14" s="192">
        <v>10000</v>
      </c>
      <c r="M14" s="195">
        <f>+Ventas[[#This Row],[Precio item]]*Ventas[[#This Row],[Q]]</f>
        <v>40000</v>
      </c>
      <c r="N14" s="127"/>
      <c r="O14" s="127"/>
      <c r="P14" s="148"/>
    </row>
    <row r="15" spans="2:26" x14ac:dyDescent="0.25">
      <c r="B15" s="161"/>
      <c r="C15" s="129">
        <v>43731</v>
      </c>
      <c r="D15" s="160">
        <f>+DAY(Ventas[[#This Row],[FECHA]])</f>
        <v>23</v>
      </c>
      <c r="E15" s="129" t="str">
        <f t="shared" si="0"/>
        <v>lunes</v>
      </c>
      <c r="F15" s="129" t="s">
        <v>626</v>
      </c>
      <c r="G15" s="185">
        <v>1</v>
      </c>
      <c r="H15" s="129" t="s">
        <v>357</v>
      </c>
      <c r="I15" s="185">
        <v>7</v>
      </c>
      <c r="J15" s="129" t="s">
        <v>364</v>
      </c>
      <c r="K15" s="185">
        <v>1</v>
      </c>
      <c r="L15" s="192">
        <v>22000</v>
      </c>
      <c r="M15" s="195">
        <f>+Ventas[[#This Row],[Precio item]]*Ventas[[#This Row],[Q]]</f>
        <v>22000</v>
      </c>
      <c r="N15" s="127"/>
      <c r="O15" s="127"/>
      <c r="P15" s="148"/>
      <c r="Q15" t="s">
        <v>300</v>
      </c>
      <c r="S15" t="s">
        <v>295</v>
      </c>
    </row>
    <row r="16" spans="2:26" x14ac:dyDescent="0.25">
      <c r="B16" s="163"/>
      <c r="C16" s="129">
        <v>43732</v>
      </c>
      <c r="D16" s="160">
        <f>+DAY(Ventas[[#This Row],[FECHA]])</f>
        <v>24</v>
      </c>
      <c r="E16" s="129" t="str">
        <f t="shared" ref="E16:E28" si="4">+TEXT(C16,"dddd")</f>
        <v>martes</v>
      </c>
      <c r="F16" s="129" t="s">
        <v>626</v>
      </c>
      <c r="G16" s="185">
        <v>1</v>
      </c>
      <c r="H16" s="129" t="s">
        <v>357</v>
      </c>
      <c r="I16" s="185">
        <v>1</v>
      </c>
      <c r="J16" s="129" t="s">
        <v>365</v>
      </c>
      <c r="K16" s="185">
        <v>1</v>
      </c>
      <c r="L16" s="192">
        <v>15000</v>
      </c>
      <c r="M16" s="195">
        <f>+Ventas[[#This Row],[Precio item]]*Ventas[[#This Row],[Q]]</f>
        <v>15000</v>
      </c>
      <c r="N16" s="127"/>
      <c r="O16" s="127"/>
      <c r="P16" s="148"/>
    </row>
    <row r="17" spans="2:16" x14ac:dyDescent="0.25">
      <c r="B17" s="163"/>
      <c r="C17" s="129">
        <v>43732</v>
      </c>
      <c r="D17" s="160">
        <f>+DAY(Ventas[[#This Row],[FECHA]])</f>
        <v>24</v>
      </c>
      <c r="E17" s="129" t="str">
        <f t="shared" si="4"/>
        <v>martes</v>
      </c>
      <c r="F17" s="129" t="s">
        <v>626</v>
      </c>
      <c r="G17" s="185">
        <v>1</v>
      </c>
      <c r="H17" s="129" t="s">
        <v>357</v>
      </c>
      <c r="I17" s="185">
        <v>2</v>
      </c>
      <c r="J17" s="129" t="s">
        <v>366</v>
      </c>
      <c r="K17" s="185">
        <v>2</v>
      </c>
      <c r="L17" s="192">
        <v>22000</v>
      </c>
      <c r="M17" s="195">
        <f>+Ventas[[#This Row],[Precio item]]*Ventas[[#This Row],[Q]]</f>
        <v>44000</v>
      </c>
      <c r="N17" s="127"/>
      <c r="O17" s="127"/>
      <c r="P17" s="148"/>
    </row>
    <row r="18" spans="2:16" x14ac:dyDescent="0.25">
      <c r="B18" s="163"/>
      <c r="C18" s="129">
        <v>43732</v>
      </c>
      <c r="D18" s="160">
        <f>+DAY(Ventas[[#This Row],[FECHA]])</f>
        <v>24</v>
      </c>
      <c r="E18" s="129" t="str">
        <f t="shared" si="4"/>
        <v>martes</v>
      </c>
      <c r="F18" s="129" t="s">
        <v>626</v>
      </c>
      <c r="G18" s="185">
        <v>1</v>
      </c>
      <c r="H18" s="129" t="s">
        <v>357</v>
      </c>
      <c r="I18" s="185">
        <v>2</v>
      </c>
      <c r="J18" s="129" t="s">
        <v>358</v>
      </c>
      <c r="K18" s="185">
        <v>3</v>
      </c>
      <c r="L18" s="192">
        <v>4000</v>
      </c>
      <c r="M18" s="195">
        <f>+Ventas[[#This Row],[Precio item]]*Ventas[[#This Row],[Q]]</f>
        <v>12000</v>
      </c>
      <c r="N18" s="127"/>
      <c r="O18" s="127"/>
      <c r="P18" s="148"/>
    </row>
    <row r="19" spans="2:16" x14ac:dyDescent="0.25">
      <c r="B19" s="163"/>
      <c r="C19" s="129">
        <v>43732</v>
      </c>
      <c r="D19" s="160">
        <f>+DAY(Ventas[[#This Row],[FECHA]])</f>
        <v>24</v>
      </c>
      <c r="E19" s="129" t="str">
        <f t="shared" si="4"/>
        <v>martes</v>
      </c>
      <c r="F19" s="129" t="s">
        <v>626</v>
      </c>
      <c r="G19" s="185">
        <v>1</v>
      </c>
      <c r="H19" s="129" t="s">
        <v>357</v>
      </c>
      <c r="I19" s="185">
        <v>2</v>
      </c>
      <c r="J19" s="129" t="s">
        <v>367</v>
      </c>
      <c r="K19" s="185">
        <v>1</v>
      </c>
      <c r="L19" s="192">
        <v>4000</v>
      </c>
      <c r="M19" s="195">
        <f>+Ventas[[#This Row],[Precio item]]*Ventas[[#This Row],[Q]]</f>
        <v>4000</v>
      </c>
      <c r="N19" s="127"/>
      <c r="O19" s="127"/>
      <c r="P19" s="148"/>
    </row>
    <row r="20" spans="2:16" x14ac:dyDescent="0.25">
      <c r="B20" s="163"/>
      <c r="C20" s="129">
        <v>43732</v>
      </c>
      <c r="D20" s="160">
        <f>+DAY(Ventas[[#This Row],[FECHA]])</f>
        <v>24</v>
      </c>
      <c r="E20" s="129" t="str">
        <f t="shared" si="4"/>
        <v>martes</v>
      </c>
      <c r="F20" s="129" t="s">
        <v>626</v>
      </c>
      <c r="G20" s="185">
        <v>1</v>
      </c>
      <c r="H20" s="129" t="s">
        <v>357</v>
      </c>
      <c r="I20" s="185">
        <v>3</v>
      </c>
      <c r="J20" s="129" t="s">
        <v>366</v>
      </c>
      <c r="K20" s="185">
        <v>1</v>
      </c>
      <c r="L20" s="192">
        <v>25000</v>
      </c>
      <c r="M20" s="195">
        <f>+Ventas[[#This Row],[Precio item]]*Ventas[[#This Row],[Q]]</f>
        <v>25000</v>
      </c>
      <c r="N20" s="127"/>
      <c r="O20" s="127"/>
      <c r="P20" s="148"/>
    </row>
    <row r="21" spans="2:16" x14ac:dyDescent="0.25">
      <c r="B21" s="163"/>
      <c r="C21" s="129">
        <v>43732</v>
      </c>
      <c r="D21" s="160">
        <f>+DAY(Ventas[[#This Row],[FECHA]])</f>
        <v>24</v>
      </c>
      <c r="E21" s="129" t="str">
        <f t="shared" si="4"/>
        <v>martes</v>
      </c>
      <c r="F21" s="129" t="s">
        <v>626</v>
      </c>
      <c r="G21" s="185">
        <v>1</v>
      </c>
      <c r="H21" s="129" t="s">
        <v>357</v>
      </c>
      <c r="I21" s="185">
        <v>3</v>
      </c>
      <c r="J21" s="129" t="s">
        <v>368</v>
      </c>
      <c r="K21" s="185">
        <v>1</v>
      </c>
      <c r="L21" s="192">
        <v>2000</v>
      </c>
      <c r="M21" s="195">
        <f>+Ventas[[#This Row],[Precio item]]*Ventas[[#This Row],[Q]]</f>
        <v>2000</v>
      </c>
      <c r="N21" s="127"/>
      <c r="O21" s="127"/>
      <c r="P21" s="148"/>
    </row>
    <row r="22" spans="2:16" x14ac:dyDescent="0.25">
      <c r="B22" s="163"/>
      <c r="C22" s="129">
        <v>43732</v>
      </c>
      <c r="D22" s="160">
        <f>+DAY(Ventas[[#This Row],[FECHA]])</f>
        <v>24</v>
      </c>
      <c r="E22" s="129" t="str">
        <f t="shared" si="4"/>
        <v>martes</v>
      </c>
      <c r="F22" s="129" t="s">
        <v>626</v>
      </c>
      <c r="G22" s="185">
        <v>1</v>
      </c>
      <c r="H22" s="129" t="s">
        <v>357</v>
      </c>
      <c r="I22" s="185">
        <v>4</v>
      </c>
      <c r="J22" s="129" t="s">
        <v>366</v>
      </c>
      <c r="K22" s="185">
        <v>1</v>
      </c>
      <c r="L22" s="192">
        <v>25000</v>
      </c>
      <c r="M22" s="195">
        <f>+Ventas[[#This Row],[Precio item]]*Ventas[[#This Row],[Q]]</f>
        <v>25000</v>
      </c>
      <c r="N22" s="127"/>
      <c r="O22" s="127"/>
      <c r="P22" s="148"/>
    </row>
    <row r="23" spans="2:16" x14ac:dyDescent="0.25">
      <c r="B23" s="163"/>
      <c r="C23" s="129">
        <v>43732</v>
      </c>
      <c r="D23" s="160">
        <f>+DAY(Ventas[[#This Row],[FECHA]])</f>
        <v>24</v>
      </c>
      <c r="E23" s="129" t="str">
        <f t="shared" si="4"/>
        <v>martes</v>
      </c>
      <c r="F23" s="129" t="s">
        <v>626</v>
      </c>
      <c r="G23" s="185">
        <v>1</v>
      </c>
      <c r="H23" s="129" t="s">
        <v>357</v>
      </c>
      <c r="I23" s="185">
        <v>4</v>
      </c>
      <c r="J23" s="129" t="s">
        <v>369</v>
      </c>
      <c r="K23" s="185">
        <v>3</v>
      </c>
      <c r="L23" s="192">
        <v>3000</v>
      </c>
      <c r="M23" s="195">
        <f>+Ventas[[#This Row],[Precio item]]*Ventas[[#This Row],[Q]]</f>
        <v>9000</v>
      </c>
      <c r="N23" s="134" t="s">
        <v>370</v>
      </c>
      <c r="O23" s="127"/>
      <c r="P23" s="148"/>
    </row>
    <row r="24" spans="2:16" x14ac:dyDescent="0.25">
      <c r="B24" s="163"/>
      <c r="C24" s="129">
        <v>43732</v>
      </c>
      <c r="D24" s="160">
        <f>+DAY(Ventas[[#This Row],[FECHA]])</f>
        <v>24</v>
      </c>
      <c r="E24" s="129" t="str">
        <f t="shared" si="4"/>
        <v>martes</v>
      </c>
      <c r="F24" s="129" t="s">
        <v>626</v>
      </c>
      <c r="G24" s="185">
        <v>1</v>
      </c>
      <c r="H24" s="129" t="s">
        <v>357</v>
      </c>
      <c r="I24" s="185">
        <v>5</v>
      </c>
      <c r="J24" s="129" t="s">
        <v>371</v>
      </c>
      <c r="K24" s="185">
        <v>1</v>
      </c>
      <c r="L24" s="192">
        <v>15000</v>
      </c>
      <c r="M24" s="195">
        <f>+Ventas[[#This Row],[Precio item]]*Ventas[[#This Row],[Q]]</f>
        <v>15000</v>
      </c>
      <c r="N24" s="127"/>
      <c r="O24" s="127"/>
      <c r="P24" s="148"/>
    </row>
    <row r="25" spans="2:16" x14ac:dyDescent="0.25">
      <c r="B25" s="163"/>
      <c r="C25" s="129">
        <v>43732</v>
      </c>
      <c r="D25" s="160">
        <f>+DAY(Ventas[[#This Row],[FECHA]])</f>
        <v>24</v>
      </c>
      <c r="E25" s="129" t="str">
        <f t="shared" si="4"/>
        <v>martes</v>
      </c>
      <c r="F25" s="129" t="s">
        <v>626</v>
      </c>
      <c r="G25" s="185">
        <v>1</v>
      </c>
      <c r="H25" s="129" t="s">
        <v>357</v>
      </c>
      <c r="I25" s="185">
        <v>6</v>
      </c>
      <c r="J25" s="129" t="s">
        <v>353</v>
      </c>
      <c r="K25" s="185">
        <v>2</v>
      </c>
      <c r="L25" s="192">
        <v>10000</v>
      </c>
      <c r="M25" s="195">
        <f>+Ventas[[#This Row],[Precio item]]*Ventas[[#This Row],[Q]]</f>
        <v>20000</v>
      </c>
      <c r="N25" s="127"/>
      <c r="O25" s="127"/>
      <c r="P25" s="148"/>
    </row>
    <row r="26" spans="2:16" x14ac:dyDescent="0.25">
      <c r="B26" s="163"/>
      <c r="C26" s="129">
        <v>43732</v>
      </c>
      <c r="D26" s="160">
        <f>+DAY(Ventas[[#This Row],[FECHA]])</f>
        <v>24</v>
      </c>
      <c r="E26" s="129" t="str">
        <f t="shared" si="4"/>
        <v>martes</v>
      </c>
      <c r="F26" s="129" t="s">
        <v>626</v>
      </c>
      <c r="G26" s="185">
        <v>1</v>
      </c>
      <c r="H26" s="129" t="s">
        <v>357</v>
      </c>
      <c r="I26" s="185">
        <v>7</v>
      </c>
      <c r="J26" s="129" t="s">
        <v>366</v>
      </c>
      <c r="K26" s="185">
        <v>2</v>
      </c>
      <c r="L26" s="192">
        <v>25000</v>
      </c>
      <c r="M26" s="195">
        <f>+Ventas[[#This Row],[Precio item]]*Ventas[[#This Row],[Q]]</f>
        <v>50000</v>
      </c>
      <c r="N26" s="127"/>
      <c r="O26" s="127"/>
      <c r="P26" s="148"/>
    </row>
    <row r="27" spans="2:16" x14ac:dyDescent="0.25">
      <c r="B27" s="163"/>
      <c r="C27" s="129">
        <v>43732</v>
      </c>
      <c r="D27" s="160">
        <f>+DAY(Ventas[[#This Row],[FECHA]])</f>
        <v>24</v>
      </c>
      <c r="E27" s="129" t="str">
        <f t="shared" si="4"/>
        <v>martes</v>
      </c>
      <c r="F27" s="129" t="s">
        <v>626</v>
      </c>
      <c r="G27" s="185">
        <v>1</v>
      </c>
      <c r="H27" s="129" t="s">
        <v>357</v>
      </c>
      <c r="I27" s="185">
        <v>7</v>
      </c>
      <c r="J27" s="129" t="s">
        <v>368</v>
      </c>
      <c r="K27" s="185">
        <v>3</v>
      </c>
      <c r="L27" s="192">
        <v>2000</v>
      </c>
      <c r="M27" s="195">
        <f>+Ventas[[#This Row],[Precio item]]*Ventas[[#This Row],[Q]]</f>
        <v>6000</v>
      </c>
      <c r="N27" s="127"/>
      <c r="O27" s="127"/>
      <c r="P27" s="148"/>
    </row>
    <row r="28" spans="2:16" x14ac:dyDescent="0.25">
      <c r="B28" s="163"/>
      <c r="C28" s="129">
        <v>43732</v>
      </c>
      <c r="D28" s="160">
        <f>+DAY(Ventas[[#This Row],[FECHA]])</f>
        <v>24</v>
      </c>
      <c r="E28" s="129" t="str">
        <f t="shared" si="4"/>
        <v>martes</v>
      </c>
      <c r="F28" s="129" t="s">
        <v>626</v>
      </c>
      <c r="G28" s="185">
        <v>1</v>
      </c>
      <c r="H28" s="129" t="s">
        <v>357</v>
      </c>
      <c r="I28" s="185">
        <v>8</v>
      </c>
      <c r="J28" s="129" t="s">
        <v>353</v>
      </c>
      <c r="K28" s="185">
        <v>1</v>
      </c>
      <c r="L28" s="192">
        <v>10000</v>
      </c>
      <c r="M28" s="195">
        <f>+Ventas[[#This Row],[Precio item]]*Ventas[[#This Row],[Q]]</f>
        <v>10000</v>
      </c>
      <c r="N28" s="127"/>
      <c r="O28" s="127"/>
      <c r="P28" s="148"/>
    </row>
    <row r="29" spans="2:16" x14ac:dyDescent="0.25">
      <c r="B29" s="163"/>
      <c r="C29" s="129">
        <v>43732</v>
      </c>
      <c r="D29" s="160">
        <f>+DAY(Ventas[[#This Row],[FECHA]])</f>
        <v>24</v>
      </c>
      <c r="E29" s="129" t="str">
        <f t="shared" ref="E29:E39" si="5">+TEXT(C29,"dddd")</f>
        <v>martes</v>
      </c>
      <c r="F29" s="129" t="s">
        <v>626</v>
      </c>
      <c r="G29" s="185">
        <v>1</v>
      </c>
      <c r="H29" s="129" t="s">
        <v>357</v>
      </c>
      <c r="I29" s="185">
        <v>9</v>
      </c>
      <c r="J29" s="129" t="s">
        <v>353</v>
      </c>
      <c r="K29" s="185">
        <v>2</v>
      </c>
      <c r="L29" s="192">
        <v>10000</v>
      </c>
      <c r="M29" s="195">
        <f>+Ventas[[#This Row],[Precio item]]*Ventas[[#This Row],[Q]]</f>
        <v>20000</v>
      </c>
      <c r="N29" s="127"/>
      <c r="O29" s="127"/>
      <c r="P29" s="148"/>
    </row>
    <row r="30" spans="2:16" x14ac:dyDescent="0.25">
      <c r="B30" s="163"/>
      <c r="C30" s="129">
        <v>43732</v>
      </c>
      <c r="D30" s="160">
        <f>+DAY(Ventas[[#This Row],[FECHA]])</f>
        <v>24</v>
      </c>
      <c r="E30" s="129" t="str">
        <f t="shared" si="5"/>
        <v>martes</v>
      </c>
      <c r="F30" s="129" t="s">
        <v>626</v>
      </c>
      <c r="G30" s="185">
        <v>1</v>
      </c>
      <c r="H30" s="129" t="s">
        <v>357</v>
      </c>
      <c r="I30" s="185">
        <v>9</v>
      </c>
      <c r="J30" s="129" t="s">
        <v>7</v>
      </c>
      <c r="K30" s="185">
        <v>1</v>
      </c>
      <c r="L30" s="192">
        <v>2000</v>
      </c>
      <c r="M30" s="195">
        <f>+Ventas[[#This Row],[Precio item]]*Ventas[[#This Row],[Q]]</f>
        <v>2000</v>
      </c>
      <c r="N30" s="127"/>
      <c r="O30" s="127"/>
      <c r="P30" s="148"/>
    </row>
    <row r="31" spans="2:16" x14ac:dyDescent="0.25">
      <c r="B31" s="163"/>
      <c r="C31" s="129">
        <v>43732</v>
      </c>
      <c r="D31" s="160">
        <f>+DAY(Ventas[[#This Row],[FECHA]])</f>
        <v>24</v>
      </c>
      <c r="E31" s="129" t="str">
        <f t="shared" si="5"/>
        <v>martes</v>
      </c>
      <c r="F31" s="129" t="s">
        <v>626</v>
      </c>
      <c r="G31" s="185">
        <v>1</v>
      </c>
      <c r="H31" s="129" t="s">
        <v>357</v>
      </c>
      <c r="I31" s="185">
        <v>10</v>
      </c>
      <c r="J31" s="129" t="s">
        <v>369</v>
      </c>
      <c r="K31" s="185">
        <v>9</v>
      </c>
      <c r="L31" s="192">
        <v>3000</v>
      </c>
      <c r="M31" s="195">
        <f>+Ventas[[#This Row],[Precio item]]*Ventas[[#This Row],[Q]]</f>
        <v>27000</v>
      </c>
      <c r="N31" s="127"/>
      <c r="O31" s="127"/>
      <c r="P31" s="148"/>
    </row>
    <row r="32" spans="2:16" x14ac:dyDescent="0.25">
      <c r="B32" s="163"/>
      <c r="C32" s="129">
        <v>43732</v>
      </c>
      <c r="D32" s="160">
        <f>+DAY(Ventas[[#This Row],[FECHA]])</f>
        <v>24</v>
      </c>
      <c r="E32" s="129" t="str">
        <f t="shared" si="5"/>
        <v>martes</v>
      </c>
      <c r="F32" s="129" t="s">
        <v>626</v>
      </c>
      <c r="G32" s="185">
        <v>1</v>
      </c>
      <c r="H32" s="129" t="s">
        <v>357</v>
      </c>
      <c r="I32" s="185">
        <v>11</v>
      </c>
      <c r="J32" s="129" t="s">
        <v>373</v>
      </c>
      <c r="K32" s="185">
        <v>2</v>
      </c>
      <c r="L32" s="192">
        <v>15000</v>
      </c>
      <c r="M32" s="195">
        <f>+Ventas[[#This Row],[Precio item]]*Ventas[[#This Row],[Q]]</f>
        <v>30000</v>
      </c>
      <c r="N32" s="127" t="s">
        <v>372</v>
      </c>
      <c r="O32" s="127"/>
      <c r="P32" s="148"/>
    </row>
    <row r="33" spans="2:16" x14ac:dyDescent="0.25">
      <c r="B33" s="163"/>
      <c r="C33" s="129">
        <v>43732</v>
      </c>
      <c r="D33" s="160">
        <f>+DAY(Ventas[[#This Row],[FECHA]])</f>
        <v>24</v>
      </c>
      <c r="E33" s="129" t="str">
        <f t="shared" si="5"/>
        <v>martes</v>
      </c>
      <c r="F33" s="129" t="s">
        <v>626</v>
      </c>
      <c r="G33" s="185">
        <v>1</v>
      </c>
      <c r="H33" s="129" t="s">
        <v>357</v>
      </c>
      <c r="I33" s="185">
        <v>11</v>
      </c>
      <c r="J33" s="129" t="s">
        <v>369</v>
      </c>
      <c r="K33" s="185">
        <v>2</v>
      </c>
      <c r="L33" s="192">
        <v>3000</v>
      </c>
      <c r="M33" s="195">
        <f>+Ventas[[#This Row],[Precio item]]*Ventas[[#This Row],[Q]]</f>
        <v>6000</v>
      </c>
      <c r="N33" s="127"/>
      <c r="O33" s="127"/>
      <c r="P33" s="148"/>
    </row>
    <row r="34" spans="2:16" x14ac:dyDescent="0.25">
      <c r="B34" s="163"/>
      <c r="C34" s="129">
        <v>43732</v>
      </c>
      <c r="D34" s="160">
        <f>+DAY(Ventas[[#This Row],[FECHA]])</f>
        <v>24</v>
      </c>
      <c r="E34" s="129" t="str">
        <f t="shared" si="5"/>
        <v>martes</v>
      </c>
      <c r="F34" s="129" t="s">
        <v>626</v>
      </c>
      <c r="G34" s="185">
        <v>1</v>
      </c>
      <c r="H34" s="129" t="s">
        <v>357</v>
      </c>
      <c r="I34" s="185">
        <v>11</v>
      </c>
      <c r="J34" s="129" t="s">
        <v>367</v>
      </c>
      <c r="K34" s="185">
        <v>1</v>
      </c>
      <c r="L34" s="192">
        <v>4000</v>
      </c>
      <c r="M34" s="195">
        <f>+Ventas[[#This Row],[Precio item]]*Ventas[[#This Row],[Q]]</f>
        <v>4000</v>
      </c>
      <c r="N34" s="127"/>
      <c r="O34" s="127"/>
      <c r="P34" s="148"/>
    </row>
    <row r="35" spans="2:16" x14ac:dyDescent="0.25">
      <c r="B35" s="163"/>
      <c r="C35" s="129">
        <v>43732</v>
      </c>
      <c r="D35" s="160">
        <f>+DAY(Ventas[[#This Row],[FECHA]])</f>
        <v>24</v>
      </c>
      <c r="E35" s="129" t="str">
        <f t="shared" si="5"/>
        <v>martes</v>
      </c>
      <c r="F35" s="129" t="s">
        <v>626</v>
      </c>
      <c r="G35" s="185">
        <v>1</v>
      </c>
      <c r="H35" s="129" t="s">
        <v>357</v>
      </c>
      <c r="I35" s="185">
        <v>12</v>
      </c>
      <c r="J35" s="129" t="s">
        <v>353</v>
      </c>
      <c r="K35" s="185">
        <v>2</v>
      </c>
      <c r="L35" s="192">
        <v>10000</v>
      </c>
      <c r="M35" s="195">
        <f>+Ventas[[#This Row],[Precio item]]*Ventas[[#This Row],[Q]]</f>
        <v>20000</v>
      </c>
      <c r="N35" s="127"/>
      <c r="O35" s="127"/>
      <c r="P35" s="148"/>
    </row>
    <row r="36" spans="2:16" x14ac:dyDescent="0.25">
      <c r="B36" s="163"/>
      <c r="C36" s="129">
        <v>43732</v>
      </c>
      <c r="D36" s="160">
        <f>+DAY(Ventas[[#This Row],[FECHA]])</f>
        <v>24</v>
      </c>
      <c r="E36" s="129" t="str">
        <f t="shared" si="5"/>
        <v>martes</v>
      </c>
      <c r="F36" s="129" t="s">
        <v>626</v>
      </c>
      <c r="G36" s="185">
        <v>1</v>
      </c>
      <c r="H36" s="129" t="s">
        <v>357</v>
      </c>
      <c r="I36" s="185">
        <v>13</v>
      </c>
      <c r="J36" s="129" t="s">
        <v>369</v>
      </c>
      <c r="K36" s="185">
        <v>11</v>
      </c>
      <c r="L36" s="192">
        <v>3000</v>
      </c>
      <c r="M36" s="195">
        <f>+Ventas[[#This Row],[Precio item]]*Ventas[[#This Row],[Q]]</f>
        <v>33000</v>
      </c>
      <c r="N36" s="127"/>
      <c r="O36" s="127"/>
      <c r="P36" s="148"/>
    </row>
    <row r="37" spans="2:16" x14ac:dyDescent="0.25">
      <c r="B37" s="163"/>
      <c r="C37" s="129">
        <v>43732</v>
      </c>
      <c r="D37" s="160">
        <f>+DAY(Ventas[[#This Row],[FECHA]])</f>
        <v>24</v>
      </c>
      <c r="E37" s="129" t="str">
        <f t="shared" si="5"/>
        <v>martes</v>
      </c>
      <c r="F37" s="129" t="s">
        <v>626</v>
      </c>
      <c r="G37" s="185">
        <v>1</v>
      </c>
      <c r="H37" s="129" t="s">
        <v>357</v>
      </c>
      <c r="I37" s="185">
        <v>13</v>
      </c>
      <c r="J37" s="129" t="s">
        <v>7</v>
      </c>
      <c r="K37" s="185">
        <v>1</v>
      </c>
      <c r="L37" s="192">
        <v>2000</v>
      </c>
      <c r="M37" s="195">
        <f>+Ventas[[#This Row],[Precio item]]*Ventas[[#This Row],[Q]]</f>
        <v>2000</v>
      </c>
      <c r="N37" s="127"/>
      <c r="O37" s="127"/>
      <c r="P37" s="148"/>
    </row>
    <row r="38" spans="2:16" x14ac:dyDescent="0.25">
      <c r="B38" s="163"/>
      <c r="C38" s="129">
        <v>43732</v>
      </c>
      <c r="D38" s="160">
        <f>+DAY(Ventas[[#This Row],[FECHA]])</f>
        <v>24</v>
      </c>
      <c r="E38" s="129" t="str">
        <f t="shared" si="5"/>
        <v>martes</v>
      </c>
      <c r="F38" s="129" t="s">
        <v>626</v>
      </c>
      <c r="G38" s="185">
        <v>1</v>
      </c>
      <c r="H38" s="129" t="s">
        <v>357</v>
      </c>
      <c r="I38" s="185">
        <v>14</v>
      </c>
      <c r="J38" s="129" t="s">
        <v>358</v>
      </c>
      <c r="K38" s="185">
        <v>2</v>
      </c>
      <c r="L38" s="192">
        <v>6000</v>
      </c>
      <c r="M38" s="195">
        <f>+Ventas[[#This Row],[Precio item]]*Ventas[[#This Row],[Q]]</f>
        <v>12000</v>
      </c>
      <c r="N38" s="127" t="s">
        <v>374</v>
      </c>
      <c r="O38" s="127"/>
      <c r="P38" s="148"/>
    </row>
    <row r="39" spans="2:16" x14ac:dyDescent="0.25">
      <c r="B39" s="163" t="s">
        <v>292</v>
      </c>
      <c r="C39" s="129">
        <v>43733</v>
      </c>
      <c r="D39" s="160">
        <f>+DAY(Ventas[[#This Row],[FECHA]])</f>
        <v>25</v>
      </c>
      <c r="E39" s="129" t="str">
        <f t="shared" si="5"/>
        <v>miércoles</v>
      </c>
      <c r="F39" s="129" t="s">
        <v>626</v>
      </c>
      <c r="G39" s="185">
        <v>1</v>
      </c>
      <c r="H39" s="129" t="s">
        <v>357</v>
      </c>
      <c r="I39" s="185">
        <v>1</v>
      </c>
      <c r="J39" s="129" t="s">
        <v>375</v>
      </c>
      <c r="K39" s="185">
        <v>1</v>
      </c>
      <c r="L39" s="192">
        <v>25000</v>
      </c>
      <c r="M39" s="195">
        <f>+Ventas[[#This Row],[Precio item]]*Ventas[[#This Row],[Q]]</f>
        <v>25000</v>
      </c>
      <c r="N39" s="134" t="s">
        <v>376</v>
      </c>
      <c r="O39" s="127"/>
      <c r="P39" s="148"/>
    </row>
    <row r="40" spans="2:16" x14ac:dyDescent="0.25">
      <c r="B40" s="163"/>
      <c r="C40" s="129">
        <v>43733</v>
      </c>
      <c r="D40" s="160">
        <f>+DAY(Ventas[[#This Row],[FECHA]])</f>
        <v>25</v>
      </c>
      <c r="E40" s="129" t="str">
        <f t="shared" ref="E40:E54" si="6">+TEXT(C40,"dddd")</f>
        <v>miércoles</v>
      </c>
      <c r="F40" s="129" t="s">
        <v>626</v>
      </c>
      <c r="G40" s="185">
        <v>1</v>
      </c>
      <c r="H40" s="129" t="s">
        <v>357</v>
      </c>
      <c r="I40" s="185">
        <v>2</v>
      </c>
      <c r="J40" s="129" t="s">
        <v>353</v>
      </c>
      <c r="K40" s="185">
        <v>2</v>
      </c>
      <c r="L40" s="192">
        <v>10000</v>
      </c>
      <c r="M40" s="195">
        <f>+Ventas[[#This Row],[Precio item]]*Ventas[[#This Row],[Q]]</f>
        <v>20000</v>
      </c>
      <c r="N40" s="127"/>
      <c r="O40" s="127"/>
      <c r="P40" s="148"/>
    </row>
    <row r="41" spans="2:16" x14ac:dyDescent="0.25">
      <c r="B41" s="163"/>
      <c r="C41" s="129">
        <v>43733</v>
      </c>
      <c r="D41" s="160">
        <f>+DAY(Ventas[[#This Row],[FECHA]])</f>
        <v>25</v>
      </c>
      <c r="E41" s="129" t="str">
        <f t="shared" si="6"/>
        <v>miércoles</v>
      </c>
      <c r="F41" s="129" t="s">
        <v>626</v>
      </c>
      <c r="G41" s="185">
        <v>1</v>
      </c>
      <c r="H41" s="129" t="s">
        <v>357</v>
      </c>
      <c r="I41" s="185">
        <v>3</v>
      </c>
      <c r="J41" s="129" t="s">
        <v>353</v>
      </c>
      <c r="K41" s="185">
        <v>1</v>
      </c>
      <c r="L41" s="192">
        <v>10000</v>
      </c>
      <c r="M41" s="195">
        <f>+Ventas[[#This Row],[Precio item]]*Ventas[[#This Row],[Q]]</f>
        <v>10000</v>
      </c>
      <c r="N41" s="127"/>
      <c r="O41" s="127"/>
      <c r="P41" s="148"/>
    </row>
    <row r="42" spans="2:16" x14ac:dyDescent="0.25">
      <c r="B42" s="163"/>
      <c r="C42" s="129">
        <v>43733</v>
      </c>
      <c r="D42" s="160">
        <f>+DAY(Ventas[[#This Row],[FECHA]])</f>
        <v>25</v>
      </c>
      <c r="E42" s="129" t="str">
        <f t="shared" si="6"/>
        <v>miércoles</v>
      </c>
      <c r="F42" s="129" t="s">
        <v>626</v>
      </c>
      <c r="G42" s="185">
        <v>1</v>
      </c>
      <c r="H42" s="196" t="s">
        <v>357</v>
      </c>
      <c r="I42" s="185">
        <v>4</v>
      </c>
      <c r="J42" s="129" t="s">
        <v>358</v>
      </c>
      <c r="K42" s="185">
        <v>1</v>
      </c>
      <c r="L42" s="192">
        <v>5000</v>
      </c>
      <c r="M42" s="195">
        <f>+Ventas[[#This Row],[Precio item]]*Ventas[[#This Row],[Q]]</f>
        <v>5000</v>
      </c>
      <c r="N42" s="127"/>
      <c r="O42" s="127"/>
      <c r="P42" s="148"/>
    </row>
    <row r="43" spans="2:16" x14ac:dyDescent="0.25">
      <c r="B43" s="163"/>
      <c r="C43" s="129">
        <v>43733</v>
      </c>
      <c r="D43" s="160">
        <f>+DAY(Ventas[[#This Row],[FECHA]])</f>
        <v>25</v>
      </c>
      <c r="E43" s="129" t="str">
        <f t="shared" si="6"/>
        <v>miércoles</v>
      </c>
      <c r="F43" s="129" t="s">
        <v>626</v>
      </c>
      <c r="G43" s="185">
        <v>1</v>
      </c>
      <c r="H43" s="196" t="s">
        <v>357</v>
      </c>
      <c r="I43" s="185">
        <v>5</v>
      </c>
      <c r="J43" s="129" t="s">
        <v>375</v>
      </c>
      <c r="K43" s="185">
        <v>1</v>
      </c>
      <c r="L43" s="192">
        <v>20000</v>
      </c>
      <c r="M43" s="195">
        <f>+Ventas[[#This Row],[Precio item]]*Ventas[[#This Row],[Q]]</f>
        <v>20000</v>
      </c>
      <c r="N43" s="127"/>
      <c r="O43" s="127"/>
      <c r="P43" s="148"/>
    </row>
    <row r="44" spans="2:16" x14ac:dyDescent="0.25">
      <c r="B44" s="163"/>
      <c r="C44" s="129">
        <v>43733</v>
      </c>
      <c r="D44" s="160">
        <f>+DAY(Ventas[[#This Row],[FECHA]])</f>
        <v>25</v>
      </c>
      <c r="E44" s="129" t="str">
        <f t="shared" si="6"/>
        <v>miércoles</v>
      </c>
      <c r="F44" s="129" t="s">
        <v>626</v>
      </c>
      <c r="G44" s="185">
        <v>1</v>
      </c>
      <c r="H44" s="196" t="s">
        <v>357</v>
      </c>
      <c r="I44" s="185">
        <v>5</v>
      </c>
      <c r="J44" s="129" t="s">
        <v>358</v>
      </c>
      <c r="K44" s="185">
        <v>2</v>
      </c>
      <c r="L44" s="192">
        <v>4000</v>
      </c>
      <c r="M44" s="195">
        <f>+Ventas[[#This Row],[Precio item]]*Ventas[[#This Row],[Q]]</f>
        <v>8000</v>
      </c>
      <c r="N44" s="127"/>
      <c r="O44" s="127"/>
      <c r="P44" s="148"/>
    </row>
    <row r="45" spans="2:16" x14ac:dyDescent="0.25">
      <c r="B45" s="163"/>
      <c r="C45" s="129">
        <v>43733</v>
      </c>
      <c r="D45" s="160">
        <f>+DAY(Ventas[[#This Row],[FECHA]])</f>
        <v>25</v>
      </c>
      <c r="E45" s="129" t="str">
        <f t="shared" si="6"/>
        <v>miércoles</v>
      </c>
      <c r="F45" s="129" t="s">
        <v>626</v>
      </c>
      <c r="G45" s="185">
        <v>1</v>
      </c>
      <c r="H45" s="196" t="s">
        <v>357</v>
      </c>
      <c r="I45" s="185">
        <v>5</v>
      </c>
      <c r="J45" s="129" t="s">
        <v>355</v>
      </c>
      <c r="K45" s="185">
        <v>2</v>
      </c>
      <c r="L45" s="192">
        <v>2000</v>
      </c>
      <c r="M45" s="195">
        <f>+Ventas[[#This Row],[Precio item]]*Ventas[[#This Row],[Q]]</f>
        <v>4000</v>
      </c>
      <c r="N45" s="127"/>
      <c r="O45" s="127"/>
      <c r="P45" s="148"/>
    </row>
    <row r="46" spans="2:16" x14ac:dyDescent="0.25">
      <c r="B46" s="163"/>
      <c r="C46" s="129">
        <v>43733</v>
      </c>
      <c r="D46" s="160">
        <f>+DAY(Ventas[[#This Row],[FECHA]])</f>
        <v>25</v>
      </c>
      <c r="E46" s="129" t="str">
        <f t="shared" si="6"/>
        <v>miércoles</v>
      </c>
      <c r="F46" s="129" t="s">
        <v>626</v>
      </c>
      <c r="G46" s="185">
        <v>1</v>
      </c>
      <c r="H46" s="196" t="s">
        <v>357</v>
      </c>
      <c r="I46" s="185">
        <v>6</v>
      </c>
      <c r="J46" s="129" t="s">
        <v>371</v>
      </c>
      <c r="K46" s="185">
        <v>1</v>
      </c>
      <c r="L46" s="192">
        <v>15000</v>
      </c>
      <c r="M46" s="195">
        <f>+Ventas[[#This Row],[Precio item]]*Ventas[[#This Row],[Q]]</f>
        <v>15000</v>
      </c>
      <c r="N46" s="127"/>
      <c r="O46" s="127"/>
      <c r="P46" s="148"/>
    </row>
    <row r="47" spans="2:16" x14ac:dyDescent="0.25">
      <c r="B47" s="163"/>
      <c r="C47" s="129">
        <v>43733</v>
      </c>
      <c r="D47" s="160">
        <f>+DAY(Ventas[[#This Row],[FECHA]])</f>
        <v>25</v>
      </c>
      <c r="E47" s="129" t="str">
        <f t="shared" si="6"/>
        <v>miércoles</v>
      </c>
      <c r="F47" s="129" t="s">
        <v>626</v>
      </c>
      <c r="G47" s="185">
        <v>1</v>
      </c>
      <c r="H47" s="196" t="s">
        <v>357</v>
      </c>
      <c r="I47" s="185">
        <v>6</v>
      </c>
      <c r="J47" s="129" t="s">
        <v>368</v>
      </c>
      <c r="K47" s="185">
        <v>1</v>
      </c>
      <c r="L47" s="192">
        <v>2000</v>
      </c>
      <c r="M47" s="195">
        <f>+Ventas[[#This Row],[Precio item]]*Ventas[[#This Row],[Q]]</f>
        <v>2000</v>
      </c>
      <c r="N47" s="127"/>
      <c r="O47" s="127"/>
      <c r="P47" s="148"/>
    </row>
    <row r="48" spans="2:16" x14ac:dyDescent="0.25">
      <c r="B48" s="163"/>
      <c r="C48" s="129">
        <v>43733</v>
      </c>
      <c r="D48" s="160">
        <f>+DAY(Ventas[[#This Row],[FECHA]])</f>
        <v>25</v>
      </c>
      <c r="E48" s="129" t="str">
        <f t="shared" si="6"/>
        <v>miércoles</v>
      </c>
      <c r="F48" s="129" t="s">
        <v>626</v>
      </c>
      <c r="G48" s="185">
        <v>1</v>
      </c>
      <c r="H48" s="196" t="s">
        <v>357</v>
      </c>
      <c r="I48" s="185">
        <v>7</v>
      </c>
      <c r="J48" s="129" t="s">
        <v>375</v>
      </c>
      <c r="K48" s="185">
        <v>1</v>
      </c>
      <c r="L48" s="192">
        <v>80000</v>
      </c>
      <c r="M48" s="195">
        <f>+Ventas[[#This Row],[Precio item]]*Ventas[[#This Row],[Q]]</f>
        <v>80000</v>
      </c>
      <c r="N48" s="127"/>
      <c r="O48" s="127"/>
      <c r="P48" s="148"/>
    </row>
    <row r="49" spans="2:16" x14ac:dyDescent="0.25">
      <c r="B49" s="163"/>
      <c r="C49" s="129">
        <v>43733</v>
      </c>
      <c r="D49" s="160">
        <f>+DAY(Ventas[[#This Row],[FECHA]])</f>
        <v>25</v>
      </c>
      <c r="E49" s="129" t="str">
        <f t="shared" si="6"/>
        <v>miércoles</v>
      </c>
      <c r="F49" s="129" t="s">
        <v>626</v>
      </c>
      <c r="G49" s="185">
        <v>1</v>
      </c>
      <c r="H49" s="196" t="s">
        <v>357</v>
      </c>
      <c r="I49" s="185">
        <v>7</v>
      </c>
      <c r="J49" s="129" t="s">
        <v>377</v>
      </c>
      <c r="K49" s="185">
        <v>1</v>
      </c>
      <c r="L49" s="192">
        <v>25000</v>
      </c>
      <c r="M49" s="195">
        <f>+Ventas[[#This Row],[Precio item]]*Ventas[[#This Row],[Q]]</f>
        <v>25000</v>
      </c>
      <c r="N49" s="127"/>
      <c r="O49" s="127"/>
      <c r="P49" s="148"/>
    </row>
    <row r="50" spans="2:16" x14ac:dyDescent="0.25">
      <c r="B50" s="163"/>
      <c r="C50" s="129">
        <v>43733</v>
      </c>
      <c r="D50" s="160">
        <f>+DAY(Ventas[[#This Row],[FECHA]])</f>
        <v>25</v>
      </c>
      <c r="E50" s="129" t="str">
        <f t="shared" si="6"/>
        <v>miércoles</v>
      </c>
      <c r="F50" s="129" t="s">
        <v>626</v>
      </c>
      <c r="G50" s="185">
        <v>1</v>
      </c>
      <c r="H50" s="196" t="s">
        <v>357</v>
      </c>
      <c r="I50" s="185">
        <v>7</v>
      </c>
      <c r="J50" s="129" t="s">
        <v>358</v>
      </c>
      <c r="K50" s="185">
        <v>1</v>
      </c>
      <c r="L50" s="192">
        <v>5000</v>
      </c>
      <c r="M50" s="195">
        <f>+Ventas[[#This Row],[Precio item]]*Ventas[[#This Row],[Q]]</f>
        <v>5000</v>
      </c>
      <c r="N50" s="127"/>
      <c r="O50" s="127"/>
      <c r="P50" s="148"/>
    </row>
    <row r="51" spans="2:16" x14ac:dyDescent="0.25">
      <c r="B51" s="163"/>
      <c r="C51" s="129">
        <v>43733</v>
      </c>
      <c r="D51" s="160">
        <f>+DAY(Ventas[[#This Row],[FECHA]])</f>
        <v>25</v>
      </c>
      <c r="E51" s="129" t="str">
        <f t="shared" si="6"/>
        <v>miércoles</v>
      </c>
      <c r="F51" s="129" t="s">
        <v>626</v>
      </c>
      <c r="G51" s="185">
        <v>1</v>
      </c>
      <c r="H51" s="196" t="s">
        <v>357</v>
      </c>
      <c r="I51" s="185">
        <v>7</v>
      </c>
      <c r="J51" s="129" t="s">
        <v>355</v>
      </c>
      <c r="K51" s="185">
        <v>1</v>
      </c>
      <c r="L51" s="192">
        <v>2000</v>
      </c>
      <c r="M51" s="195">
        <f>+Ventas[[#This Row],[Precio item]]*Ventas[[#This Row],[Q]]</f>
        <v>2000</v>
      </c>
      <c r="N51" s="127"/>
      <c r="O51" s="127"/>
      <c r="P51" s="148"/>
    </row>
    <row r="52" spans="2:16" x14ac:dyDescent="0.25">
      <c r="B52" s="163"/>
      <c r="C52" s="129">
        <v>43733</v>
      </c>
      <c r="D52" s="160">
        <f>+DAY(Ventas[[#This Row],[FECHA]])</f>
        <v>25</v>
      </c>
      <c r="E52" s="129" t="str">
        <f t="shared" si="6"/>
        <v>miércoles</v>
      </c>
      <c r="F52" s="129" t="s">
        <v>626</v>
      </c>
      <c r="G52" s="185">
        <v>1</v>
      </c>
      <c r="H52" s="196" t="s">
        <v>357</v>
      </c>
      <c r="I52" s="185">
        <v>7</v>
      </c>
      <c r="J52" s="129" t="s">
        <v>378</v>
      </c>
      <c r="K52" s="185">
        <v>2</v>
      </c>
      <c r="L52" s="192">
        <v>2000</v>
      </c>
      <c r="M52" s="195">
        <f>+Ventas[[#This Row],[Precio item]]*Ventas[[#This Row],[Q]]</f>
        <v>4000</v>
      </c>
      <c r="N52" s="127"/>
      <c r="O52" s="127"/>
      <c r="P52" s="148"/>
    </row>
    <row r="53" spans="2:16" x14ac:dyDescent="0.25">
      <c r="B53" s="163"/>
      <c r="C53" s="129">
        <v>43733</v>
      </c>
      <c r="D53" s="160">
        <f>+DAY(Ventas[[#This Row],[FECHA]])</f>
        <v>25</v>
      </c>
      <c r="E53" s="129" t="str">
        <f t="shared" si="6"/>
        <v>miércoles</v>
      </c>
      <c r="F53" s="129" t="s">
        <v>626</v>
      </c>
      <c r="G53" s="185">
        <v>1</v>
      </c>
      <c r="H53" s="196" t="s">
        <v>357</v>
      </c>
      <c r="I53" s="185">
        <v>8</v>
      </c>
      <c r="J53" s="129" t="s">
        <v>353</v>
      </c>
      <c r="K53" s="185">
        <v>2</v>
      </c>
      <c r="L53" s="192">
        <v>10000</v>
      </c>
      <c r="M53" s="195">
        <f>+Ventas[[#This Row],[Precio item]]*Ventas[[#This Row],[Q]]</f>
        <v>20000</v>
      </c>
      <c r="N53" s="127"/>
      <c r="O53" s="127"/>
      <c r="P53" s="148"/>
    </row>
    <row r="54" spans="2:16" x14ac:dyDescent="0.25">
      <c r="B54" s="163"/>
      <c r="C54" s="129">
        <v>43733</v>
      </c>
      <c r="D54" s="160">
        <f>+DAY(Ventas[[#This Row],[FECHA]])</f>
        <v>25</v>
      </c>
      <c r="E54" s="129" t="str">
        <f t="shared" si="6"/>
        <v>miércoles</v>
      </c>
      <c r="F54" s="129" t="s">
        <v>626</v>
      </c>
      <c r="G54" s="185">
        <v>1</v>
      </c>
      <c r="H54" s="196" t="s">
        <v>357</v>
      </c>
      <c r="I54" s="185">
        <v>9</v>
      </c>
      <c r="J54" s="129" t="s">
        <v>366</v>
      </c>
      <c r="K54" s="185">
        <v>1</v>
      </c>
      <c r="L54" s="192">
        <v>25000</v>
      </c>
      <c r="M54" s="195">
        <f>+Ventas[[#This Row],[Precio item]]*Ventas[[#This Row],[Q]]</f>
        <v>25000</v>
      </c>
      <c r="N54" s="127"/>
      <c r="O54" s="127"/>
      <c r="P54" s="148"/>
    </row>
    <row r="55" spans="2:16" x14ac:dyDescent="0.25">
      <c r="B55" s="163"/>
      <c r="C55" s="129">
        <v>43733</v>
      </c>
      <c r="D55" s="160">
        <f>+DAY(Ventas[[#This Row],[FECHA]])</f>
        <v>25</v>
      </c>
      <c r="E55" s="129" t="str">
        <f t="shared" ref="E55:E64" si="7">+TEXT(C55,"dddd")</f>
        <v>miércoles</v>
      </c>
      <c r="F55" s="129" t="s">
        <v>626</v>
      </c>
      <c r="G55" s="185">
        <v>1</v>
      </c>
      <c r="H55" s="196" t="s">
        <v>357</v>
      </c>
      <c r="I55" s="185">
        <v>9</v>
      </c>
      <c r="J55" s="129" t="s">
        <v>353</v>
      </c>
      <c r="K55" s="185">
        <v>1</v>
      </c>
      <c r="L55" s="192">
        <v>8000</v>
      </c>
      <c r="M55" s="195">
        <f>+Ventas[[#This Row],[Precio item]]*Ventas[[#This Row],[Q]]</f>
        <v>8000</v>
      </c>
      <c r="N55" s="135" t="s">
        <v>380</v>
      </c>
      <c r="O55" s="127"/>
      <c r="P55" s="148"/>
    </row>
    <row r="56" spans="2:16" x14ac:dyDescent="0.25">
      <c r="B56" s="163"/>
      <c r="C56" s="129">
        <v>43733</v>
      </c>
      <c r="D56" s="160">
        <f>+DAY(Ventas[[#This Row],[FECHA]])</f>
        <v>25</v>
      </c>
      <c r="E56" s="129" t="str">
        <f t="shared" si="7"/>
        <v>miércoles</v>
      </c>
      <c r="F56" s="129" t="s">
        <v>626</v>
      </c>
      <c r="G56" s="185">
        <v>1</v>
      </c>
      <c r="H56" s="196" t="s">
        <v>357</v>
      </c>
      <c r="I56" s="185">
        <v>10</v>
      </c>
      <c r="J56" s="129" t="s">
        <v>353</v>
      </c>
      <c r="K56" s="185">
        <v>3</v>
      </c>
      <c r="L56" s="192">
        <v>10000</v>
      </c>
      <c r="M56" s="195">
        <f>+Ventas[[#This Row],[Precio item]]*Ventas[[#This Row],[Q]]</f>
        <v>30000</v>
      </c>
      <c r="N56" s="127"/>
      <c r="O56" s="127"/>
      <c r="P56" s="148"/>
    </row>
    <row r="57" spans="2:16" x14ac:dyDescent="0.25">
      <c r="B57" s="163"/>
      <c r="C57" s="129">
        <v>43733</v>
      </c>
      <c r="D57" s="160">
        <f>+DAY(Ventas[[#This Row],[FECHA]])</f>
        <v>25</v>
      </c>
      <c r="E57" s="129" t="str">
        <f t="shared" si="7"/>
        <v>miércoles</v>
      </c>
      <c r="F57" s="129" t="s">
        <v>626</v>
      </c>
      <c r="G57" s="185">
        <v>1</v>
      </c>
      <c r="H57" s="196" t="s">
        <v>357</v>
      </c>
      <c r="I57" s="185">
        <v>11</v>
      </c>
      <c r="J57" s="129" t="s">
        <v>366</v>
      </c>
      <c r="K57" s="185">
        <v>1</v>
      </c>
      <c r="L57" s="192">
        <v>24000</v>
      </c>
      <c r="M57" s="195">
        <f>+Ventas[[#This Row],[Precio item]]*Ventas[[#This Row],[Q]]</f>
        <v>24000</v>
      </c>
      <c r="N57" s="127"/>
      <c r="O57" s="127"/>
      <c r="P57" s="148"/>
    </row>
    <row r="58" spans="2:16" x14ac:dyDescent="0.25">
      <c r="B58" s="163"/>
      <c r="C58" s="129">
        <v>43733</v>
      </c>
      <c r="D58" s="160">
        <f>+DAY(Ventas[[#This Row],[FECHA]])</f>
        <v>25</v>
      </c>
      <c r="E58" s="129" t="str">
        <f t="shared" si="7"/>
        <v>miércoles</v>
      </c>
      <c r="F58" s="129" t="s">
        <v>626</v>
      </c>
      <c r="G58" s="185">
        <v>1</v>
      </c>
      <c r="H58" s="196" t="s">
        <v>357</v>
      </c>
      <c r="I58" s="185">
        <v>11</v>
      </c>
      <c r="J58" s="129" t="s">
        <v>360</v>
      </c>
      <c r="K58" s="185">
        <v>1</v>
      </c>
      <c r="L58" s="192">
        <v>2000</v>
      </c>
      <c r="M58" s="195">
        <f>+Ventas[[#This Row],[Precio item]]*Ventas[[#This Row],[Q]]</f>
        <v>2000</v>
      </c>
      <c r="N58" s="127"/>
      <c r="O58" s="127"/>
      <c r="P58" s="148"/>
    </row>
    <row r="59" spans="2:16" x14ac:dyDescent="0.25">
      <c r="B59" s="163"/>
      <c r="C59" s="129">
        <v>43733</v>
      </c>
      <c r="D59" s="160">
        <f>+DAY(Ventas[[#This Row],[FECHA]])</f>
        <v>25</v>
      </c>
      <c r="E59" s="129" t="str">
        <f t="shared" si="7"/>
        <v>miércoles</v>
      </c>
      <c r="F59" s="129" t="s">
        <v>626</v>
      </c>
      <c r="G59" s="185">
        <v>1</v>
      </c>
      <c r="H59" s="196" t="s">
        <v>357</v>
      </c>
      <c r="I59" s="185">
        <v>12</v>
      </c>
      <c r="J59" s="129" t="s">
        <v>353</v>
      </c>
      <c r="K59" s="185">
        <v>4</v>
      </c>
      <c r="L59" s="192">
        <v>10000</v>
      </c>
      <c r="M59" s="195">
        <f>+Ventas[[#This Row],[Precio item]]*Ventas[[#This Row],[Q]]</f>
        <v>40000</v>
      </c>
      <c r="N59" s="127"/>
      <c r="O59" s="127"/>
      <c r="P59" s="148"/>
    </row>
    <row r="60" spans="2:16" x14ac:dyDescent="0.25">
      <c r="B60" s="163"/>
      <c r="C60" s="129">
        <v>43733</v>
      </c>
      <c r="D60" s="160">
        <f>+DAY(Ventas[[#This Row],[FECHA]])</f>
        <v>25</v>
      </c>
      <c r="E60" s="129" t="str">
        <f t="shared" si="7"/>
        <v>miércoles</v>
      </c>
      <c r="F60" s="129" t="s">
        <v>626</v>
      </c>
      <c r="G60" s="185">
        <v>1</v>
      </c>
      <c r="H60" s="196" t="s">
        <v>357</v>
      </c>
      <c r="I60" s="185">
        <v>13</v>
      </c>
      <c r="J60" s="129" t="s">
        <v>371</v>
      </c>
      <c r="K60" s="185">
        <v>1</v>
      </c>
      <c r="L60" s="192">
        <v>15000</v>
      </c>
      <c r="M60" s="195">
        <f>+Ventas[[#This Row],[Precio item]]*Ventas[[#This Row],[Q]]</f>
        <v>15000</v>
      </c>
      <c r="N60" s="127"/>
      <c r="O60" s="127"/>
      <c r="P60" s="148"/>
    </row>
    <row r="61" spans="2:16" x14ac:dyDescent="0.25">
      <c r="B61" s="163"/>
      <c r="C61" s="129">
        <v>43733</v>
      </c>
      <c r="D61" s="160">
        <f>+DAY(Ventas[[#This Row],[FECHA]])</f>
        <v>25</v>
      </c>
      <c r="E61" s="129" t="str">
        <f t="shared" si="7"/>
        <v>miércoles</v>
      </c>
      <c r="F61" s="129" t="s">
        <v>626</v>
      </c>
      <c r="G61" s="185">
        <v>1</v>
      </c>
      <c r="H61" s="196" t="s">
        <v>357</v>
      </c>
      <c r="I61" s="185">
        <v>14</v>
      </c>
      <c r="J61" s="129" t="s">
        <v>353</v>
      </c>
      <c r="K61" s="185">
        <v>1</v>
      </c>
      <c r="L61" s="192">
        <v>10000</v>
      </c>
      <c r="M61" s="195">
        <f>+Ventas[[#This Row],[Precio item]]*Ventas[[#This Row],[Q]]</f>
        <v>10000</v>
      </c>
      <c r="N61" s="127"/>
      <c r="O61" s="127"/>
      <c r="P61" s="148"/>
    </row>
    <row r="62" spans="2:16" x14ac:dyDescent="0.25">
      <c r="B62" s="163"/>
      <c r="C62" s="129">
        <v>43733</v>
      </c>
      <c r="D62" s="160">
        <f>+DAY(Ventas[[#This Row],[FECHA]])</f>
        <v>25</v>
      </c>
      <c r="E62" s="129" t="str">
        <f t="shared" si="7"/>
        <v>miércoles</v>
      </c>
      <c r="F62" s="129" t="s">
        <v>626</v>
      </c>
      <c r="G62" s="185">
        <v>1</v>
      </c>
      <c r="H62" s="196" t="s">
        <v>357</v>
      </c>
      <c r="I62" s="185">
        <v>15</v>
      </c>
      <c r="J62" s="129" t="s">
        <v>353</v>
      </c>
      <c r="K62" s="185">
        <v>1</v>
      </c>
      <c r="L62" s="192">
        <v>10000</v>
      </c>
      <c r="M62" s="195">
        <f>+Ventas[[#This Row],[Precio item]]*Ventas[[#This Row],[Q]]</f>
        <v>10000</v>
      </c>
      <c r="N62" s="127"/>
      <c r="O62" s="127"/>
      <c r="P62" s="148"/>
    </row>
    <row r="63" spans="2:16" x14ac:dyDescent="0.25">
      <c r="B63" s="163"/>
      <c r="C63" s="129">
        <v>43733</v>
      </c>
      <c r="D63" s="160">
        <f>+DAY(Ventas[[#This Row],[FECHA]])</f>
        <v>25</v>
      </c>
      <c r="E63" s="129" t="str">
        <f t="shared" si="7"/>
        <v>miércoles</v>
      </c>
      <c r="F63" s="129" t="s">
        <v>626</v>
      </c>
      <c r="G63" s="185">
        <v>1</v>
      </c>
      <c r="H63" s="196" t="s">
        <v>357</v>
      </c>
      <c r="I63" s="185">
        <v>16</v>
      </c>
      <c r="J63" s="129" t="s">
        <v>379</v>
      </c>
      <c r="K63" s="185">
        <v>1</v>
      </c>
      <c r="L63" s="192">
        <v>4500</v>
      </c>
      <c r="M63" s="195">
        <f>+Ventas[[#This Row],[Precio item]]*Ventas[[#This Row],[Q]]</f>
        <v>4500</v>
      </c>
      <c r="N63" s="127"/>
      <c r="O63" s="127"/>
      <c r="P63" s="148"/>
    </row>
    <row r="64" spans="2:16" x14ac:dyDescent="0.25">
      <c r="B64" s="163"/>
      <c r="C64" s="129">
        <v>43733</v>
      </c>
      <c r="D64" s="160">
        <f>+DAY(Ventas[[#This Row],[FECHA]])</f>
        <v>25</v>
      </c>
      <c r="E64" s="129" t="str">
        <f t="shared" si="7"/>
        <v>miércoles</v>
      </c>
      <c r="F64" s="129" t="s">
        <v>626</v>
      </c>
      <c r="G64" s="185">
        <v>1</v>
      </c>
      <c r="H64" s="196" t="s">
        <v>357</v>
      </c>
      <c r="I64" s="185">
        <v>17</v>
      </c>
      <c r="J64" s="129" t="s">
        <v>358</v>
      </c>
      <c r="K64" s="185">
        <v>1</v>
      </c>
      <c r="L64" s="192">
        <v>6000</v>
      </c>
      <c r="M64" s="195">
        <f>+Ventas[[#This Row],[Precio item]]*Ventas[[#This Row],[Q]]</f>
        <v>6000</v>
      </c>
      <c r="N64" s="127"/>
      <c r="O64" s="127"/>
      <c r="P64" s="148"/>
    </row>
    <row r="65" spans="2:16" x14ac:dyDescent="0.25">
      <c r="B65" s="163" t="s">
        <v>272</v>
      </c>
      <c r="C65" s="129">
        <v>43734</v>
      </c>
      <c r="D65" s="160">
        <f>+DAY(Ventas[[#This Row],[FECHA]])</f>
        <v>26</v>
      </c>
      <c r="E65" s="129" t="str">
        <f>+TEXT(C65,"dddd")</f>
        <v>jueves</v>
      </c>
      <c r="F65" s="129" t="s">
        <v>626</v>
      </c>
      <c r="G65" s="185">
        <v>1</v>
      </c>
      <c r="H65" s="196" t="s">
        <v>357</v>
      </c>
      <c r="I65" s="185">
        <v>1</v>
      </c>
      <c r="J65" s="129" t="s">
        <v>366</v>
      </c>
      <c r="K65" s="185">
        <v>1</v>
      </c>
      <c r="L65" s="192">
        <v>25000</v>
      </c>
      <c r="M65" s="195">
        <f>+Ventas[[#This Row],[Precio item]]*Ventas[[#This Row],[Q]]</f>
        <v>25000</v>
      </c>
      <c r="N65" s="127"/>
      <c r="O65" s="127"/>
      <c r="P65" s="148"/>
    </row>
    <row r="66" spans="2:16" x14ac:dyDescent="0.25">
      <c r="B66" s="163"/>
      <c r="C66" s="129">
        <v>43734</v>
      </c>
      <c r="D66" s="160">
        <f>+DAY(Ventas[[#This Row],[FECHA]])</f>
        <v>26</v>
      </c>
      <c r="E66" s="129" t="str">
        <f t="shared" ref="E66:E78" si="8">+TEXT(C66,"dddd")</f>
        <v>jueves</v>
      </c>
      <c r="F66" s="129" t="s">
        <v>626</v>
      </c>
      <c r="G66" s="185">
        <v>1</v>
      </c>
      <c r="H66" s="196" t="s">
        <v>357</v>
      </c>
      <c r="I66" s="185">
        <v>1</v>
      </c>
      <c r="J66" s="129" t="s">
        <v>368</v>
      </c>
      <c r="K66" s="185">
        <v>1</v>
      </c>
      <c r="L66" s="192">
        <v>2000</v>
      </c>
      <c r="M66" s="195">
        <f>+Ventas[[#This Row],[Precio item]]*Ventas[[#This Row],[Q]]</f>
        <v>2000</v>
      </c>
      <c r="N66" s="127"/>
      <c r="O66" s="127"/>
      <c r="P66" s="148"/>
    </row>
    <row r="67" spans="2:16" x14ac:dyDescent="0.25">
      <c r="B67" s="163"/>
      <c r="C67" s="129">
        <v>43734</v>
      </c>
      <c r="D67" s="160">
        <f>+DAY(Ventas[[#This Row],[FECHA]])</f>
        <v>26</v>
      </c>
      <c r="E67" s="129" t="str">
        <f t="shared" si="8"/>
        <v>jueves</v>
      </c>
      <c r="F67" s="129" t="s">
        <v>626</v>
      </c>
      <c r="G67" s="185">
        <v>1</v>
      </c>
      <c r="H67" s="196" t="s">
        <v>357</v>
      </c>
      <c r="I67" s="185">
        <v>2</v>
      </c>
      <c r="J67" s="129" t="s">
        <v>353</v>
      </c>
      <c r="K67" s="185">
        <v>2</v>
      </c>
      <c r="L67" s="192">
        <v>10000</v>
      </c>
      <c r="M67" s="195">
        <f>+Ventas[[#This Row],[Precio item]]*Ventas[[#This Row],[Q]]</f>
        <v>20000</v>
      </c>
      <c r="N67" s="127"/>
      <c r="O67" s="127"/>
      <c r="P67" s="148"/>
    </row>
    <row r="68" spans="2:16" x14ac:dyDescent="0.25">
      <c r="B68" s="163"/>
      <c r="C68" s="129">
        <v>43734</v>
      </c>
      <c r="D68" s="160">
        <f>+DAY(Ventas[[#This Row],[FECHA]])</f>
        <v>26</v>
      </c>
      <c r="E68" s="129" t="str">
        <f t="shared" si="8"/>
        <v>jueves</v>
      </c>
      <c r="F68" s="129" t="s">
        <v>626</v>
      </c>
      <c r="G68" s="185">
        <v>1</v>
      </c>
      <c r="H68" s="196" t="s">
        <v>357</v>
      </c>
      <c r="I68" s="185">
        <v>3</v>
      </c>
      <c r="J68" s="129" t="s">
        <v>353</v>
      </c>
      <c r="K68" s="185">
        <v>8</v>
      </c>
      <c r="L68" s="192">
        <v>9000</v>
      </c>
      <c r="M68" s="195">
        <f>+Ventas[[#This Row],[Precio item]]*Ventas[[#This Row],[Q]]</f>
        <v>72000</v>
      </c>
      <c r="N68" s="127"/>
      <c r="O68" s="127"/>
      <c r="P68" s="148"/>
    </row>
    <row r="69" spans="2:16" x14ac:dyDescent="0.25">
      <c r="B69" s="163"/>
      <c r="C69" s="129">
        <v>43734</v>
      </c>
      <c r="D69" s="160">
        <f>+DAY(Ventas[[#This Row],[FECHA]])</f>
        <v>26</v>
      </c>
      <c r="E69" s="129" t="str">
        <f t="shared" si="8"/>
        <v>jueves</v>
      </c>
      <c r="F69" s="129" t="s">
        <v>626</v>
      </c>
      <c r="G69" s="185">
        <v>1</v>
      </c>
      <c r="H69" s="196" t="s">
        <v>357</v>
      </c>
      <c r="I69" s="185">
        <v>3</v>
      </c>
      <c r="J69" s="129" t="s">
        <v>358</v>
      </c>
      <c r="K69" s="185">
        <v>2</v>
      </c>
      <c r="L69" s="192">
        <v>4000</v>
      </c>
      <c r="M69" s="195">
        <f>+Ventas[[#This Row],[Precio item]]*Ventas[[#This Row],[Q]]</f>
        <v>8000</v>
      </c>
      <c r="N69" s="127"/>
      <c r="O69" s="127"/>
      <c r="P69" s="148"/>
    </row>
    <row r="70" spans="2:16" x14ac:dyDescent="0.25">
      <c r="B70" s="163"/>
      <c r="C70" s="129">
        <v>43734</v>
      </c>
      <c r="D70" s="160">
        <f>+DAY(Ventas[[#This Row],[FECHA]])</f>
        <v>26</v>
      </c>
      <c r="E70" s="129" t="str">
        <f t="shared" si="8"/>
        <v>jueves</v>
      </c>
      <c r="F70" s="129" t="s">
        <v>626</v>
      </c>
      <c r="G70" s="185">
        <v>1</v>
      </c>
      <c r="H70" s="196" t="s">
        <v>357</v>
      </c>
      <c r="I70" s="185">
        <v>4</v>
      </c>
      <c r="J70" s="129" t="s">
        <v>353</v>
      </c>
      <c r="K70" s="185">
        <v>2</v>
      </c>
      <c r="L70" s="192">
        <v>10000</v>
      </c>
      <c r="M70" s="195">
        <f>+Ventas[[#This Row],[Precio item]]*Ventas[[#This Row],[Q]]</f>
        <v>20000</v>
      </c>
      <c r="N70" s="127"/>
      <c r="O70" s="127"/>
      <c r="P70" s="148"/>
    </row>
    <row r="71" spans="2:16" x14ac:dyDescent="0.25">
      <c r="B71" s="163"/>
      <c r="C71" s="129">
        <v>43734</v>
      </c>
      <c r="D71" s="160">
        <f>+DAY(Ventas[[#This Row],[FECHA]])</f>
        <v>26</v>
      </c>
      <c r="E71" s="129" t="str">
        <f t="shared" si="8"/>
        <v>jueves</v>
      </c>
      <c r="F71" s="129" t="s">
        <v>626</v>
      </c>
      <c r="G71" s="185">
        <v>1</v>
      </c>
      <c r="H71" s="196" t="s">
        <v>357</v>
      </c>
      <c r="I71" s="185">
        <v>5</v>
      </c>
      <c r="J71" s="129" t="s">
        <v>375</v>
      </c>
      <c r="K71" s="185">
        <v>1</v>
      </c>
      <c r="L71" s="192">
        <v>20000</v>
      </c>
      <c r="M71" s="195">
        <f>+Ventas[[#This Row],[Precio item]]*Ventas[[#This Row],[Q]]</f>
        <v>20000</v>
      </c>
      <c r="N71" s="127"/>
      <c r="O71" s="127"/>
      <c r="P71" s="148"/>
    </row>
    <row r="72" spans="2:16" x14ac:dyDescent="0.25">
      <c r="B72" s="163"/>
      <c r="C72" s="129">
        <v>43734</v>
      </c>
      <c r="D72" s="160">
        <f>+DAY(Ventas[[#This Row],[FECHA]])</f>
        <v>26</v>
      </c>
      <c r="E72" s="129" t="str">
        <f t="shared" si="8"/>
        <v>jueves</v>
      </c>
      <c r="F72" s="129" t="s">
        <v>626</v>
      </c>
      <c r="G72" s="185">
        <v>1</v>
      </c>
      <c r="H72" s="196" t="s">
        <v>357</v>
      </c>
      <c r="I72" s="185">
        <v>5</v>
      </c>
      <c r="J72" s="129" t="s">
        <v>369</v>
      </c>
      <c r="K72" s="185">
        <v>1</v>
      </c>
      <c r="L72" s="192">
        <v>3000</v>
      </c>
      <c r="M72" s="195">
        <f>+Ventas[[#This Row],[Precio item]]*Ventas[[#This Row],[Q]]</f>
        <v>3000</v>
      </c>
      <c r="N72" s="127"/>
      <c r="O72" s="127"/>
      <c r="P72" s="148"/>
    </row>
    <row r="73" spans="2:16" x14ac:dyDescent="0.25">
      <c r="B73" s="163"/>
      <c r="C73" s="129">
        <v>43734</v>
      </c>
      <c r="D73" s="160">
        <f>+DAY(Ventas[[#This Row],[FECHA]])</f>
        <v>26</v>
      </c>
      <c r="E73" s="129" t="str">
        <f t="shared" si="8"/>
        <v>jueves</v>
      </c>
      <c r="F73" s="129" t="s">
        <v>626</v>
      </c>
      <c r="G73" s="185">
        <v>1</v>
      </c>
      <c r="H73" s="196" t="s">
        <v>357</v>
      </c>
      <c r="I73" s="185">
        <v>6</v>
      </c>
      <c r="J73" s="129" t="s">
        <v>353</v>
      </c>
      <c r="K73" s="185">
        <v>1</v>
      </c>
      <c r="L73" s="192">
        <v>10000</v>
      </c>
      <c r="M73" s="195">
        <f>+Ventas[[#This Row],[Precio item]]*Ventas[[#This Row],[Q]]</f>
        <v>10000</v>
      </c>
      <c r="N73" s="127"/>
      <c r="O73" s="127"/>
      <c r="P73" s="148"/>
    </row>
    <row r="74" spans="2:16" x14ac:dyDescent="0.25">
      <c r="B74" s="163"/>
      <c r="C74" s="129">
        <v>43734</v>
      </c>
      <c r="D74" s="160">
        <f>+DAY(Ventas[[#This Row],[FECHA]])</f>
        <v>26</v>
      </c>
      <c r="E74" s="129" t="str">
        <f t="shared" si="8"/>
        <v>jueves</v>
      </c>
      <c r="F74" s="129" t="s">
        <v>626</v>
      </c>
      <c r="G74" s="185">
        <v>1</v>
      </c>
      <c r="H74" s="196" t="s">
        <v>357</v>
      </c>
      <c r="I74" s="185">
        <v>6</v>
      </c>
      <c r="J74" s="129" t="s">
        <v>369</v>
      </c>
      <c r="K74" s="185">
        <v>1</v>
      </c>
      <c r="L74" s="192">
        <v>3000</v>
      </c>
      <c r="M74" s="195">
        <f>+Ventas[[#This Row],[Precio item]]*Ventas[[#This Row],[Q]]</f>
        <v>3000</v>
      </c>
      <c r="N74" s="127"/>
      <c r="O74" s="127"/>
      <c r="P74" s="148"/>
    </row>
    <row r="75" spans="2:16" x14ac:dyDescent="0.25">
      <c r="B75" s="163"/>
      <c r="C75" s="129">
        <v>43734</v>
      </c>
      <c r="D75" s="160">
        <f>+DAY(Ventas[[#This Row],[FECHA]])</f>
        <v>26</v>
      </c>
      <c r="E75" s="129" t="str">
        <f t="shared" si="8"/>
        <v>jueves</v>
      </c>
      <c r="F75" s="129" t="s">
        <v>626</v>
      </c>
      <c r="G75" s="185">
        <v>1</v>
      </c>
      <c r="H75" s="196" t="s">
        <v>357</v>
      </c>
      <c r="I75" s="185">
        <v>7</v>
      </c>
      <c r="J75" s="129" t="s">
        <v>381</v>
      </c>
      <c r="K75" s="185">
        <v>1</v>
      </c>
      <c r="L75" s="192">
        <v>70000</v>
      </c>
      <c r="M75" s="195">
        <f>+Ventas[[#This Row],[Precio item]]*Ventas[[#This Row],[Q]]</f>
        <v>70000</v>
      </c>
      <c r="N75" s="127"/>
      <c r="O75" s="127"/>
      <c r="P75" s="148"/>
    </row>
    <row r="76" spans="2:16" x14ac:dyDescent="0.25">
      <c r="B76" s="163"/>
      <c r="C76" s="129">
        <v>43734</v>
      </c>
      <c r="D76" s="160">
        <f>+DAY(Ventas[[#This Row],[FECHA]])</f>
        <v>26</v>
      </c>
      <c r="E76" s="129" t="str">
        <f t="shared" si="8"/>
        <v>jueves</v>
      </c>
      <c r="F76" s="129" t="s">
        <v>626</v>
      </c>
      <c r="G76" s="185">
        <v>1</v>
      </c>
      <c r="H76" s="196" t="s">
        <v>357</v>
      </c>
      <c r="I76" s="185">
        <v>8</v>
      </c>
      <c r="J76" s="129" t="s">
        <v>371</v>
      </c>
      <c r="K76" s="185">
        <v>1</v>
      </c>
      <c r="L76" s="192">
        <v>15000</v>
      </c>
      <c r="M76" s="195">
        <f>+Ventas[[#This Row],[Precio item]]*Ventas[[#This Row],[Q]]</f>
        <v>15000</v>
      </c>
      <c r="N76" s="127"/>
      <c r="O76" s="127"/>
      <c r="P76" s="148"/>
    </row>
    <row r="77" spans="2:16" x14ac:dyDescent="0.25">
      <c r="B77" s="163"/>
      <c r="C77" s="129">
        <v>43734</v>
      </c>
      <c r="D77" s="160">
        <f>+DAY(Ventas[[#This Row],[FECHA]])</f>
        <v>26</v>
      </c>
      <c r="E77" s="129" t="str">
        <f t="shared" si="8"/>
        <v>jueves</v>
      </c>
      <c r="F77" s="129" t="s">
        <v>626</v>
      </c>
      <c r="G77" s="185">
        <v>1</v>
      </c>
      <c r="H77" s="196" t="s">
        <v>357</v>
      </c>
      <c r="I77" s="185">
        <v>8</v>
      </c>
      <c r="J77" s="129" t="s">
        <v>382</v>
      </c>
      <c r="K77" s="185">
        <v>1</v>
      </c>
      <c r="L77" s="192">
        <v>2000</v>
      </c>
      <c r="M77" s="195">
        <f>+Ventas[[#This Row],[Precio item]]*Ventas[[#This Row],[Q]]</f>
        <v>2000</v>
      </c>
      <c r="N77" s="127"/>
      <c r="O77" s="127"/>
      <c r="P77" s="148"/>
    </row>
    <row r="78" spans="2:16" x14ac:dyDescent="0.25">
      <c r="B78" s="163"/>
      <c r="C78" s="129">
        <v>43734</v>
      </c>
      <c r="D78" s="160">
        <f>+DAY(Ventas[[#This Row],[FECHA]])</f>
        <v>26</v>
      </c>
      <c r="E78" s="129" t="str">
        <f t="shared" si="8"/>
        <v>jueves</v>
      </c>
      <c r="F78" s="129" t="s">
        <v>626</v>
      </c>
      <c r="G78" s="185">
        <v>1</v>
      </c>
      <c r="H78" s="196" t="s">
        <v>357</v>
      </c>
      <c r="I78" s="185">
        <v>9</v>
      </c>
      <c r="J78" s="129" t="s">
        <v>371</v>
      </c>
      <c r="K78" s="185">
        <v>1</v>
      </c>
      <c r="L78" s="192">
        <v>12000</v>
      </c>
      <c r="M78" s="195">
        <f>+Ventas[[#This Row],[Precio item]]*Ventas[[#This Row],[Q]]</f>
        <v>12000</v>
      </c>
      <c r="N78" s="127" t="s">
        <v>383</v>
      </c>
      <c r="O78" s="127"/>
      <c r="P78" s="148"/>
    </row>
    <row r="79" spans="2:16" x14ac:dyDescent="0.25">
      <c r="B79" s="163"/>
      <c r="C79" s="129">
        <v>43734</v>
      </c>
      <c r="D79" s="160">
        <f>+DAY(Ventas[[#This Row],[FECHA]])</f>
        <v>26</v>
      </c>
      <c r="E79" s="129" t="str">
        <f>+TEXT(C79,"dddd")</f>
        <v>jueves</v>
      </c>
      <c r="F79" s="129" t="s">
        <v>626</v>
      </c>
      <c r="G79" s="185">
        <v>1</v>
      </c>
      <c r="H79" s="196" t="s">
        <v>357</v>
      </c>
      <c r="I79" s="185">
        <v>10</v>
      </c>
      <c r="J79" s="129" t="s">
        <v>366</v>
      </c>
      <c r="K79" s="185">
        <v>1</v>
      </c>
      <c r="L79" s="192">
        <v>25000</v>
      </c>
      <c r="M79" s="195">
        <f>+Ventas[[#This Row],[Precio item]]*Ventas[[#This Row],[Q]]</f>
        <v>25000</v>
      </c>
      <c r="N79" s="127"/>
      <c r="O79" s="127"/>
      <c r="P79" s="148"/>
    </row>
    <row r="80" spans="2:16" x14ac:dyDescent="0.25">
      <c r="B80" s="163"/>
      <c r="C80" s="129">
        <v>43734</v>
      </c>
      <c r="D80" s="160">
        <f>+DAY(Ventas[[#This Row],[FECHA]])</f>
        <v>26</v>
      </c>
      <c r="E80" s="129" t="str">
        <f>+TEXT(C80,"dddd")</f>
        <v>jueves</v>
      </c>
      <c r="F80" s="129" t="s">
        <v>626</v>
      </c>
      <c r="G80" s="185">
        <v>1</v>
      </c>
      <c r="H80" s="196" t="s">
        <v>357</v>
      </c>
      <c r="I80" s="185">
        <v>10</v>
      </c>
      <c r="J80" s="129" t="s">
        <v>355</v>
      </c>
      <c r="K80" s="185">
        <v>1</v>
      </c>
      <c r="L80" s="192">
        <v>2000</v>
      </c>
      <c r="M80" s="195">
        <f>+Ventas[[#This Row],[Precio item]]*Ventas[[#This Row],[Q]]</f>
        <v>2000</v>
      </c>
      <c r="N80" s="127"/>
      <c r="O80" s="127"/>
      <c r="P80" s="148"/>
    </row>
    <row r="81" spans="2:16" x14ac:dyDescent="0.25">
      <c r="B81" s="163"/>
      <c r="C81" s="129">
        <v>43734</v>
      </c>
      <c r="D81" s="160">
        <f>+DAY(Ventas[[#This Row],[FECHA]])</f>
        <v>26</v>
      </c>
      <c r="E81" s="129" t="str">
        <f>+TEXT(C81,"dddd")</f>
        <v>jueves</v>
      </c>
      <c r="F81" s="129" t="s">
        <v>626</v>
      </c>
      <c r="G81" s="185">
        <v>1</v>
      </c>
      <c r="H81" s="196" t="s">
        <v>357</v>
      </c>
      <c r="I81" s="185">
        <v>10</v>
      </c>
      <c r="J81" s="129" t="s">
        <v>358</v>
      </c>
      <c r="K81" s="185">
        <v>1</v>
      </c>
      <c r="L81" s="192">
        <v>6000</v>
      </c>
      <c r="M81" s="195">
        <f>+Ventas[[#This Row],[Precio item]]*Ventas[[#This Row],[Q]]</f>
        <v>6000</v>
      </c>
      <c r="N81" s="127"/>
      <c r="O81" s="127"/>
      <c r="P81" s="148"/>
    </row>
    <row r="82" spans="2:16" x14ac:dyDescent="0.25">
      <c r="B82" s="163" t="s">
        <v>270</v>
      </c>
      <c r="C82" s="129">
        <v>43735</v>
      </c>
      <c r="D82" s="160">
        <f>+DAY(Ventas[[#This Row],[FECHA]])</f>
        <v>27</v>
      </c>
      <c r="E82" s="129" t="str">
        <f>+TEXT(C82,"dddd")</f>
        <v>viernes</v>
      </c>
      <c r="F82" s="129" t="s">
        <v>624</v>
      </c>
      <c r="G82" s="185">
        <v>1</v>
      </c>
      <c r="H82" s="196" t="s">
        <v>357</v>
      </c>
      <c r="I82" s="185">
        <v>1</v>
      </c>
      <c r="J82" s="129" t="s">
        <v>384</v>
      </c>
      <c r="K82" s="185">
        <v>2</v>
      </c>
      <c r="L82" s="192">
        <v>12500</v>
      </c>
      <c r="M82" s="195">
        <f>+Ventas[[#This Row],[Precio item]]*Ventas[[#This Row],[Q]]</f>
        <v>25000</v>
      </c>
      <c r="N82" s="127"/>
      <c r="O82" s="127"/>
      <c r="P82" s="148"/>
    </row>
    <row r="83" spans="2:16" x14ac:dyDescent="0.25">
      <c r="B83" s="163"/>
      <c r="C83" s="129">
        <v>43735</v>
      </c>
      <c r="D83" s="160">
        <f>+DAY(Ventas[[#This Row],[FECHA]])</f>
        <v>27</v>
      </c>
      <c r="E83" s="129" t="str">
        <f t="shared" ref="E83:E101" si="9">+TEXT(C83,"dddd")</f>
        <v>viernes</v>
      </c>
      <c r="F83" s="129" t="s">
        <v>624</v>
      </c>
      <c r="G83" s="185">
        <v>1</v>
      </c>
      <c r="H83" s="196" t="s">
        <v>357</v>
      </c>
      <c r="I83" s="185">
        <v>2</v>
      </c>
      <c r="J83" s="129" t="s">
        <v>365</v>
      </c>
      <c r="K83" s="185">
        <v>2</v>
      </c>
      <c r="L83" s="192">
        <v>15000</v>
      </c>
      <c r="M83" s="195">
        <f>+Ventas[[#This Row],[Precio item]]*Ventas[[#This Row],[Q]]</f>
        <v>30000</v>
      </c>
      <c r="N83" s="127"/>
      <c r="O83" s="127"/>
      <c r="P83" s="148"/>
    </row>
    <row r="84" spans="2:16" x14ac:dyDescent="0.25">
      <c r="B84" s="163"/>
      <c r="C84" s="129">
        <v>43735</v>
      </c>
      <c r="D84" s="160">
        <f>+DAY(Ventas[[#This Row],[FECHA]])</f>
        <v>27</v>
      </c>
      <c r="E84" s="129" t="str">
        <f t="shared" si="9"/>
        <v>viernes</v>
      </c>
      <c r="F84" s="129" t="s">
        <v>624</v>
      </c>
      <c r="G84" s="185">
        <v>1</v>
      </c>
      <c r="H84" s="196" t="s">
        <v>357</v>
      </c>
      <c r="I84" s="185">
        <v>2</v>
      </c>
      <c r="J84" s="129" t="s">
        <v>369</v>
      </c>
      <c r="K84" s="185">
        <v>2</v>
      </c>
      <c r="L84" s="192">
        <v>3500</v>
      </c>
      <c r="M84" s="195">
        <f>+Ventas[[#This Row],[Precio item]]*Ventas[[#This Row],[Q]]</f>
        <v>7000</v>
      </c>
      <c r="N84" s="127"/>
      <c r="O84" s="127"/>
      <c r="P84" s="148"/>
    </row>
    <row r="85" spans="2:16" x14ac:dyDescent="0.25">
      <c r="B85" s="163"/>
      <c r="C85" s="129">
        <v>43735</v>
      </c>
      <c r="D85" s="160">
        <f>+DAY(Ventas[[#This Row],[FECHA]])</f>
        <v>27</v>
      </c>
      <c r="E85" s="129" t="str">
        <f t="shared" si="9"/>
        <v>viernes</v>
      </c>
      <c r="F85" s="129" t="s">
        <v>624</v>
      </c>
      <c r="G85" s="185">
        <v>1</v>
      </c>
      <c r="H85" s="196" t="s">
        <v>357</v>
      </c>
      <c r="I85" s="185">
        <v>3</v>
      </c>
      <c r="J85" s="129" t="s">
        <v>358</v>
      </c>
      <c r="K85" s="185">
        <v>1</v>
      </c>
      <c r="L85" s="192">
        <v>5000</v>
      </c>
      <c r="M85" s="195">
        <f>+Ventas[[#This Row],[Precio item]]*Ventas[[#This Row],[Q]]</f>
        <v>5000</v>
      </c>
      <c r="N85" s="127"/>
      <c r="O85" s="127"/>
      <c r="P85" s="148"/>
    </row>
    <row r="86" spans="2:16" x14ac:dyDescent="0.25">
      <c r="B86" s="163"/>
      <c r="C86" s="129">
        <v>43735</v>
      </c>
      <c r="D86" s="160">
        <f>+DAY(Ventas[[#This Row],[FECHA]])</f>
        <v>27</v>
      </c>
      <c r="E86" s="129" t="str">
        <f t="shared" si="9"/>
        <v>viernes</v>
      </c>
      <c r="F86" s="129" t="s">
        <v>624</v>
      </c>
      <c r="G86" s="185">
        <v>1</v>
      </c>
      <c r="H86" s="196" t="s">
        <v>357</v>
      </c>
      <c r="I86" s="185">
        <v>4</v>
      </c>
      <c r="J86" s="129" t="s">
        <v>353</v>
      </c>
      <c r="K86" s="185">
        <v>3</v>
      </c>
      <c r="L86" s="192">
        <v>10000</v>
      </c>
      <c r="M86" s="195">
        <f>+Ventas[[#This Row],[Precio item]]*Ventas[[#This Row],[Q]]</f>
        <v>30000</v>
      </c>
      <c r="N86" s="127"/>
      <c r="O86" s="127"/>
      <c r="P86" s="148"/>
    </row>
    <row r="87" spans="2:16" x14ac:dyDescent="0.25">
      <c r="B87" s="163"/>
      <c r="C87" s="129">
        <v>43735</v>
      </c>
      <c r="D87" s="160">
        <f>+DAY(Ventas[[#This Row],[FECHA]])</f>
        <v>27</v>
      </c>
      <c r="E87" s="129" t="str">
        <f t="shared" si="9"/>
        <v>viernes</v>
      </c>
      <c r="F87" s="129" t="s">
        <v>624</v>
      </c>
      <c r="G87" s="185">
        <v>1</v>
      </c>
      <c r="H87" s="196" t="s">
        <v>357</v>
      </c>
      <c r="I87" s="185">
        <v>4</v>
      </c>
      <c r="J87" s="129" t="s">
        <v>385</v>
      </c>
      <c r="K87" s="185">
        <v>2</v>
      </c>
      <c r="L87" s="192">
        <v>2500</v>
      </c>
      <c r="M87" s="195">
        <f>+Ventas[[#This Row],[Precio item]]*Ventas[[#This Row],[Q]]</f>
        <v>5000</v>
      </c>
      <c r="N87" s="127"/>
      <c r="O87" s="127"/>
      <c r="P87" s="148"/>
    </row>
    <row r="88" spans="2:16" x14ac:dyDescent="0.25">
      <c r="B88" s="163"/>
      <c r="C88" s="129">
        <v>43735</v>
      </c>
      <c r="D88" s="160">
        <f>+DAY(Ventas[[#This Row],[FECHA]])</f>
        <v>27</v>
      </c>
      <c r="E88" s="129" t="str">
        <f t="shared" si="9"/>
        <v>viernes</v>
      </c>
      <c r="F88" s="129" t="s">
        <v>624</v>
      </c>
      <c r="G88" s="185">
        <v>1</v>
      </c>
      <c r="H88" s="196" t="s">
        <v>357</v>
      </c>
      <c r="I88" s="185">
        <v>5</v>
      </c>
      <c r="J88" s="129" t="s">
        <v>353</v>
      </c>
      <c r="K88" s="185">
        <v>3</v>
      </c>
      <c r="L88" s="192">
        <v>10000</v>
      </c>
      <c r="M88" s="195">
        <f>+Ventas[[#This Row],[Precio item]]*Ventas[[#This Row],[Q]]</f>
        <v>30000</v>
      </c>
      <c r="N88" s="127"/>
      <c r="O88" s="127"/>
      <c r="P88" s="148"/>
    </row>
    <row r="89" spans="2:16" x14ac:dyDescent="0.25">
      <c r="B89" s="163"/>
      <c r="C89" s="129">
        <v>43735</v>
      </c>
      <c r="D89" s="160">
        <f>+DAY(Ventas[[#This Row],[FECHA]])</f>
        <v>27</v>
      </c>
      <c r="E89" s="129" t="str">
        <f t="shared" si="9"/>
        <v>viernes</v>
      </c>
      <c r="F89" s="129" t="s">
        <v>624</v>
      </c>
      <c r="G89" s="185">
        <v>1</v>
      </c>
      <c r="H89" s="196" t="s">
        <v>357</v>
      </c>
      <c r="I89" s="185">
        <v>6</v>
      </c>
      <c r="J89" s="129" t="s">
        <v>353</v>
      </c>
      <c r="K89" s="185">
        <v>1</v>
      </c>
      <c r="L89" s="192">
        <v>10000</v>
      </c>
      <c r="M89" s="195">
        <f>+Ventas[[#This Row],[Precio item]]*Ventas[[#This Row],[Q]]</f>
        <v>10000</v>
      </c>
      <c r="N89" s="127"/>
      <c r="O89" s="127"/>
      <c r="P89" s="148"/>
    </row>
    <row r="90" spans="2:16" x14ac:dyDescent="0.25">
      <c r="B90" s="163"/>
      <c r="C90" s="129">
        <v>43735</v>
      </c>
      <c r="D90" s="160">
        <f>+DAY(Ventas[[#This Row],[FECHA]])</f>
        <v>27</v>
      </c>
      <c r="E90" s="129" t="str">
        <f t="shared" si="9"/>
        <v>viernes</v>
      </c>
      <c r="F90" s="129" t="s">
        <v>624</v>
      </c>
      <c r="G90" s="185">
        <v>1</v>
      </c>
      <c r="H90" s="196" t="s">
        <v>357</v>
      </c>
      <c r="I90" s="185">
        <v>7</v>
      </c>
      <c r="J90" s="129" t="s">
        <v>353</v>
      </c>
      <c r="K90" s="185">
        <v>3</v>
      </c>
      <c r="L90" s="192">
        <v>10000</v>
      </c>
      <c r="M90" s="195">
        <f>+Ventas[[#This Row],[Precio item]]*Ventas[[#This Row],[Q]]</f>
        <v>30000</v>
      </c>
      <c r="N90" s="127"/>
      <c r="O90" s="127"/>
      <c r="P90" s="148"/>
    </row>
    <row r="91" spans="2:16" x14ac:dyDescent="0.25">
      <c r="B91" s="163"/>
      <c r="C91" s="129">
        <v>43735</v>
      </c>
      <c r="D91" s="160">
        <f>+DAY(Ventas[[#This Row],[FECHA]])</f>
        <v>27</v>
      </c>
      <c r="E91" s="129" t="str">
        <f t="shared" si="9"/>
        <v>viernes</v>
      </c>
      <c r="F91" s="129" t="s">
        <v>624</v>
      </c>
      <c r="G91" s="185">
        <v>1</v>
      </c>
      <c r="H91" s="196" t="s">
        <v>357</v>
      </c>
      <c r="I91" s="185">
        <v>8</v>
      </c>
      <c r="J91" s="129" t="s">
        <v>353</v>
      </c>
      <c r="K91" s="185">
        <v>1</v>
      </c>
      <c r="L91" s="192">
        <v>10000</v>
      </c>
      <c r="M91" s="195">
        <f>+Ventas[[#This Row],[Precio item]]*Ventas[[#This Row],[Q]]</f>
        <v>10000</v>
      </c>
      <c r="N91" s="127"/>
      <c r="O91" s="127"/>
      <c r="P91" s="148"/>
    </row>
    <row r="92" spans="2:16" x14ac:dyDescent="0.25">
      <c r="B92" s="163"/>
      <c r="C92" s="129">
        <v>43735</v>
      </c>
      <c r="D92" s="160">
        <f>+DAY(Ventas[[#This Row],[FECHA]])</f>
        <v>27</v>
      </c>
      <c r="E92" s="129" t="str">
        <f t="shared" si="9"/>
        <v>viernes</v>
      </c>
      <c r="F92" s="129" t="s">
        <v>624</v>
      </c>
      <c r="G92" s="185">
        <v>1</v>
      </c>
      <c r="H92" s="196" t="s">
        <v>357</v>
      </c>
      <c r="I92" s="185">
        <v>9</v>
      </c>
      <c r="J92" s="129" t="s">
        <v>375</v>
      </c>
      <c r="K92" s="185">
        <v>1</v>
      </c>
      <c r="L92" s="192">
        <v>45000</v>
      </c>
      <c r="M92" s="195">
        <f>+Ventas[[#This Row],[Precio item]]*Ventas[[#This Row],[Q]]</f>
        <v>45000</v>
      </c>
      <c r="N92" s="127"/>
      <c r="O92" s="127"/>
      <c r="P92" s="148"/>
    </row>
    <row r="93" spans="2:16" x14ac:dyDescent="0.25">
      <c r="B93" s="163"/>
      <c r="C93" s="129">
        <v>43735</v>
      </c>
      <c r="D93" s="160">
        <f>+DAY(Ventas[[#This Row],[FECHA]])</f>
        <v>27</v>
      </c>
      <c r="E93" s="129" t="str">
        <f t="shared" si="9"/>
        <v>viernes</v>
      </c>
      <c r="F93" s="129" t="s">
        <v>624</v>
      </c>
      <c r="G93" s="185">
        <v>1</v>
      </c>
      <c r="H93" s="196" t="s">
        <v>357</v>
      </c>
      <c r="I93" s="185">
        <v>9</v>
      </c>
      <c r="J93" s="129" t="s">
        <v>369</v>
      </c>
      <c r="K93" s="185">
        <v>3</v>
      </c>
      <c r="L93" s="192">
        <v>3000</v>
      </c>
      <c r="M93" s="195">
        <f>+Ventas[[#This Row],[Precio item]]*Ventas[[#This Row],[Q]]</f>
        <v>9000</v>
      </c>
      <c r="N93" s="127"/>
      <c r="O93" s="127"/>
      <c r="P93" s="148"/>
    </row>
    <row r="94" spans="2:16" x14ac:dyDescent="0.25">
      <c r="B94" s="163"/>
      <c r="C94" s="129">
        <v>43735</v>
      </c>
      <c r="D94" s="160">
        <f>+DAY(Ventas[[#This Row],[FECHA]])</f>
        <v>27</v>
      </c>
      <c r="E94" s="129" t="str">
        <f t="shared" si="9"/>
        <v>viernes</v>
      </c>
      <c r="F94" s="129" t="s">
        <v>624</v>
      </c>
      <c r="G94" s="185">
        <v>1</v>
      </c>
      <c r="H94" s="196" t="s">
        <v>357</v>
      </c>
      <c r="I94" s="185">
        <v>9</v>
      </c>
      <c r="J94" s="129" t="s">
        <v>360</v>
      </c>
      <c r="K94" s="185">
        <v>1</v>
      </c>
      <c r="L94" s="192">
        <v>2000</v>
      </c>
      <c r="M94" s="195">
        <f>+Ventas[[#This Row],[Precio item]]*Ventas[[#This Row],[Q]]</f>
        <v>2000</v>
      </c>
      <c r="N94" s="127"/>
      <c r="O94" s="127"/>
      <c r="P94" s="148"/>
    </row>
    <row r="95" spans="2:16" x14ac:dyDescent="0.25">
      <c r="B95" s="163"/>
      <c r="C95" s="129">
        <v>43735</v>
      </c>
      <c r="D95" s="160">
        <f>+DAY(Ventas[[#This Row],[FECHA]])</f>
        <v>27</v>
      </c>
      <c r="E95" s="129" t="str">
        <f t="shared" si="9"/>
        <v>viernes</v>
      </c>
      <c r="F95" s="129" t="s">
        <v>624</v>
      </c>
      <c r="G95" s="185">
        <v>1</v>
      </c>
      <c r="H95" s="196" t="s">
        <v>357</v>
      </c>
      <c r="I95" s="185">
        <v>10</v>
      </c>
      <c r="J95" s="129" t="s">
        <v>353</v>
      </c>
      <c r="K95" s="185">
        <v>4</v>
      </c>
      <c r="L95" s="192">
        <v>10000</v>
      </c>
      <c r="M95" s="195">
        <f>+Ventas[[#This Row],[Precio item]]*Ventas[[#This Row],[Q]]</f>
        <v>40000</v>
      </c>
      <c r="N95" s="127"/>
      <c r="O95" s="127"/>
      <c r="P95" s="148"/>
    </row>
    <row r="96" spans="2:16" x14ac:dyDescent="0.25">
      <c r="B96" s="163"/>
      <c r="C96" s="129">
        <v>43735</v>
      </c>
      <c r="D96" s="160">
        <f>+DAY(Ventas[[#This Row],[FECHA]])</f>
        <v>27</v>
      </c>
      <c r="E96" s="129" t="str">
        <f t="shared" si="9"/>
        <v>viernes</v>
      </c>
      <c r="F96" s="129" t="s">
        <v>624</v>
      </c>
      <c r="G96" s="185">
        <v>1</v>
      </c>
      <c r="H96" s="196" t="s">
        <v>357</v>
      </c>
      <c r="I96" s="185">
        <v>11</v>
      </c>
      <c r="J96" s="129" t="s">
        <v>353</v>
      </c>
      <c r="K96" s="185">
        <v>2</v>
      </c>
      <c r="L96" s="192">
        <v>10000</v>
      </c>
      <c r="M96" s="195">
        <f>+Ventas[[#This Row],[Precio item]]*Ventas[[#This Row],[Q]]</f>
        <v>20000</v>
      </c>
      <c r="N96" s="127"/>
      <c r="O96" s="127"/>
      <c r="P96" s="148"/>
    </row>
    <row r="97" spans="2:16" x14ac:dyDescent="0.25">
      <c r="B97" s="163"/>
      <c r="C97" s="129">
        <v>43735</v>
      </c>
      <c r="D97" s="160">
        <f>+DAY(Ventas[[#This Row],[FECHA]])</f>
        <v>27</v>
      </c>
      <c r="E97" s="129" t="str">
        <f t="shared" si="9"/>
        <v>viernes</v>
      </c>
      <c r="F97" s="129" t="s">
        <v>624</v>
      </c>
      <c r="G97" s="185">
        <v>1</v>
      </c>
      <c r="H97" s="196" t="s">
        <v>357</v>
      </c>
      <c r="I97" s="185">
        <v>12</v>
      </c>
      <c r="J97" s="129" t="s">
        <v>375</v>
      </c>
      <c r="K97" s="185">
        <v>1</v>
      </c>
      <c r="L97" s="192">
        <v>60000</v>
      </c>
      <c r="M97" s="195">
        <f>+Ventas[[#This Row],[Precio item]]*Ventas[[#This Row],[Q]]</f>
        <v>60000</v>
      </c>
      <c r="N97" s="127"/>
      <c r="O97" s="127"/>
      <c r="P97" s="148"/>
    </row>
    <row r="98" spans="2:16" x14ac:dyDescent="0.25">
      <c r="B98" s="163"/>
      <c r="C98" s="129">
        <v>43735</v>
      </c>
      <c r="D98" s="160">
        <f>+DAY(Ventas[[#This Row],[FECHA]])</f>
        <v>27</v>
      </c>
      <c r="E98" s="129" t="str">
        <f t="shared" si="9"/>
        <v>viernes</v>
      </c>
      <c r="F98" s="129" t="s">
        <v>624</v>
      </c>
      <c r="G98" s="185">
        <v>1</v>
      </c>
      <c r="H98" s="196" t="s">
        <v>357</v>
      </c>
      <c r="I98" s="185">
        <v>12</v>
      </c>
      <c r="J98" s="129" t="s">
        <v>367</v>
      </c>
      <c r="K98" s="185">
        <v>1</v>
      </c>
      <c r="L98" s="192">
        <v>5000</v>
      </c>
      <c r="M98" s="195">
        <f>+Ventas[[#This Row],[Precio item]]*Ventas[[#This Row],[Q]]</f>
        <v>5000</v>
      </c>
      <c r="N98" s="127"/>
      <c r="O98" s="127"/>
      <c r="P98" s="148"/>
    </row>
    <row r="99" spans="2:16" x14ac:dyDescent="0.25">
      <c r="B99" s="163"/>
      <c r="C99" s="129">
        <v>43735</v>
      </c>
      <c r="D99" s="160">
        <f>+DAY(Ventas[[#This Row],[FECHA]])</f>
        <v>27</v>
      </c>
      <c r="E99" s="129" t="str">
        <f t="shared" si="9"/>
        <v>viernes</v>
      </c>
      <c r="F99" s="129" t="s">
        <v>624</v>
      </c>
      <c r="G99" s="185">
        <v>1</v>
      </c>
      <c r="H99" s="196" t="s">
        <v>357</v>
      </c>
      <c r="I99" s="185">
        <v>13</v>
      </c>
      <c r="J99" s="129" t="s">
        <v>353</v>
      </c>
      <c r="K99" s="185">
        <v>1</v>
      </c>
      <c r="L99" s="192">
        <v>10000</v>
      </c>
      <c r="M99" s="195">
        <f>+Ventas[[#This Row],[Precio item]]*Ventas[[#This Row],[Q]]</f>
        <v>10000</v>
      </c>
      <c r="N99" s="127"/>
      <c r="O99" s="127"/>
      <c r="P99" s="148"/>
    </row>
    <row r="100" spans="2:16" x14ac:dyDescent="0.25">
      <c r="B100" s="163"/>
      <c r="C100" s="129">
        <v>43735</v>
      </c>
      <c r="D100" s="160">
        <f>+DAY(Ventas[[#This Row],[FECHA]])</f>
        <v>27</v>
      </c>
      <c r="E100" s="129" t="str">
        <f t="shared" si="9"/>
        <v>viernes</v>
      </c>
      <c r="F100" s="129" t="s">
        <v>624</v>
      </c>
      <c r="G100" s="185">
        <v>1</v>
      </c>
      <c r="H100" s="196" t="s">
        <v>357</v>
      </c>
      <c r="I100" s="185">
        <v>14</v>
      </c>
      <c r="J100" s="129" t="s">
        <v>353</v>
      </c>
      <c r="K100" s="185">
        <v>2</v>
      </c>
      <c r="L100" s="192">
        <v>20000</v>
      </c>
      <c r="M100" s="195">
        <f>+Ventas[[#This Row],[Precio item]]*Ventas[[#This Row],[Q]]</f>
        <v>40000</v>
      </c>
      <c r="N100" s="127"/>
      <c r="O100" s="127"/>
      <c r="P100" s="148"/>
    </row>
    <row r="101" spans="2:16" x14ac:dyDescent="0.25">
      <c r="B101" s="163"/>
      <c r="C101" s="129">
        <v>43735</v>
      </c>
      <c r="D101" s="160">
        <f>+DAY(Ventas[[#This Row],[FECHA]])</f>
        <v>27</v>
      </c>
      <c r="E101" s="129" t="str">
        <f t="shared" si="9"/>
        <v>viernes</v>
      </c>
      <c r="F101" s="129" t="s">
        <v>624</v>
      </c>
      <c r="G101" s="185">
        <v>1</v>
      </c>
      <c r="H101" s="196" t="s">
        <v>357</v>
      </c>
      <c r="I101" s="185">
        <v>15</v>
      </c>
      <c r="J101" s="129" t="s">
        <v>358</v>
      </c>
      <c r="K101" s="185">
        <v>2</v>
      </c>
      <c r="L101" s="192">
        <v>4000</v>
      </c>
      <c r="M101" s="195">
        <f>+Ventas[[#This Row],[Precio item]]*Ventas[[#This Row],[Q]]</f>
        <v>8000</v>
      </c>
      <c r="N101" s="127"/>
      <c r="O101" s="127"/>
      <c r="P101" s="148"/>
    </row>
    <row r="102" spans="2:16" x14ac:dyDescent="0.25">
      <c r="B102" s="163" t="s">
        <v>287</v>
      </c>
      <c r="C102" s="129">
        <v>43736</v>
      </c>
      <c r="D102" s="160">
        <v>28</v>
      </c>
      <c r="E102" s="129" t="str">
        <f>+TEXT(C102,"dddd")</f>
        <v>sábado</v>
      </c>
      <c r="F102" s="129" t="s">
        <v>624</v>
      </c>
      <c r="G102" s="185">
        <v>1</v>
      </c>
      <c r="H102" s="129" t="s">
        <v>386</v>
      </c>
      <c r="I102" s="185">
        <v>1</v>
      </c>
      <c r="J102" s="129" t="s">
        <v>375</v>
      </c>
      <c r="K102" s="185">
        <v>1</v>
      </c>
      <c r="L102" s="192">
        <v>30000</v>
      </c>
      <c r="M102" s="195">
        <f>+Ventas[[#This Row],[Precio item]]*Ventas[[#This Row],[Q]]</f>
        <v>30000</v>
      </c>
      <c r="N102" s="127"/>
      <c r="O102" s="127"/>
      <c r="P102" s="148"/>
    </row>
    <row r="103" spans="2:16" x14ac:dyDescent="0.25">
      <c r="B103" s="163"/>
      <c r="C103" s="129">
        <v>43736</v>
      </c>
      <c r="D103" s="160">
        <v>28</v>
      </c>
      <c r="E103" s="129" t="str">
        <f t="shared" ref="E103:E108" si="10">+TEXT(C103,"dddd")</f>
        <v>sábado</v>
      </c>
      <c r="F103" s="129" t="s">
        <v>624</v>
      </c>
      <c r="G103" s="185">
        <v>1</v>
      </c>
      <c r="H103" s="129" t="s">
        <v>386</v>
      </c>
      <c r="I103" s="185">
        <v>1</v>
      </c>
      <c r="J103" s="129" t="s">
        <v>387</v>
      </c>
      <c r="K103" s="185">
        <v>3</v>
      </c>
      <c r="L103" s="192">
        <v>3000</v>
      </c>
      <c r="M103" s="195">
        <f>+Ventas[[#This Row],[Precio item]]*Ventas[[#This Row],[Q]]</f>
        <v>9000</v>
      </c>
      <c r="N103" s="127"/>
      <c r="O103" s="127"/>
      <c r="P103" s="148"/>
    </row>
    <row r="104" spans="2:16" x14ac:dyDescent="0.25">
      <c r="B104" s="163"/>
      <c r="C104" s="129">
        <v>43736</v>
      </c>
      <c r="D104" s="160">
        <v>28</v>
      </c>
      <c r="E104" s="129" t="str">
        <f t="shared" si="10"/>
        <v>sábado</v>
      </c>
      <c r="F104" s="129" t="s">
        <v>624</v>
      </c>
      <c r="G104" s="185">
        <v>1</v>
      </c>
      <c r="H104" s="129" t="s">
        <v>391</v>
      </c>
      <c r="I104" s="185">
        <v>2</v>
      </c>
      <c r="J104" s="129" t="s">
        <v>388</v>
      </c>
      <c r="K104" s="185">
        <v>1</v>
      </c>
      <c r="L104" s="192">
        <v>8000</v>
      </c>
      <c r="M104" s="195">
        <f>+Ventas[[#This Row],[Precio item]]*Ventas[[#This Row],[Q]]</f>
        <v>8000</v>
      </c>
      <c r="N104" s="127"/>
      <c r="O104" s="127"/>
      <c r="P104" s="148"/>
    </row>
    <row r="105" spans="2:16" x14ac:dyDescent="0.25">
      <c r="B105" s="163"/>
      <c r="C105" s="129">
        <v>43736</v>
      </c>
      <c r="D105" s="160">
        <v>28</v>
      </c>
      <c r="E105" s="129" t="str">
        <f t="shared" si="10"/>
        <v>sábado</v>
      </c>
      <c r="F105" s="129" t="s">
        <v>624</v>
      </c>
      <c r="G105" s="185">
        <v>1</v>
      </c>
      <c r="H105" s="129" t="s">
        <v>391</v>
      </c>
      <c r="I105" s="185">
        <v>2</v>
      </c>
      <c r="J105" s="129" t="s">
        <v>389</v>
      </c>
      <c r="K105" s="185">
        <v>1</v>
      </c>
      <c r="L105" s="192">
        <v>12000</v>
      </c>
      <c r="M105" s="195">
        <f>+Ventas[[#This Row],[Precio item]]*Ventas[[#This Row],[Q]]</f>
        <v>12000</v>
      </c>
      <c r="N105" s="127" t="s">
        <v>390</v>
      </c>
      <c r="O105" s="127"/>
      <c r="P105" s="148"/>
    </row>
    <row r="106" spans="2:16" x14ac:dyDescent="0.25">
      <c r="B106" s="163"/>
      <c r="C106" s="129">
        <v>43736</v>
      </c>
      <c r="D106" s="160">
        <v>28</v>
      </c>
      <c r="E106" s="129" t="str">
        <f t="shared" si="10"/>
        <v>sábado</v>
      </c>
      <c r="F106" s="129" t="s">
        <v>624</v>
      </c>
      <c r="G106" s="185">
        <v>1</v>
      </c>
      <c r="H106" s="129" t="s">
        <v>391</v>
      </c>
      <c r="I106" s="185">
        <v>2</v>
      </c>
      <c r="J106" s="129" t="s">
        <v>368</v>
      </c>
      <c r="K106" s="185">
        <v>1</v>
      </c>
      <c r="L106" s="192">
        <v>2000</v>
      </c>
      <c r="M106" s="195">
        <f>+Ventas[[#This Row],[Precio item]]*Ventas[[#This Row],[Q]]</f>
        <v>2000</v>
      </c>
      <c r="N106" s="127"/>
      <c r="O106" s="127"/>
      <c r="P106" s="148"/>
    </row>
    <row r="107" spans="2:16" x14ac:dyDescent="0.25">
      <c r="B107" s="163"/>
      <c r="C107" s="129">
        <v>43736</v>
      </c>
      <c r="D107" s="160">
        <v>28</v>
      </c>
      <c r="E107" s="129" t="str">
        <f t="shared" si="10"/>
        <v>sábado</v>
      </c>
      <c r="F107" s="129" t="s">
        <v>624</v>
      </c>
      <c r="G107" s="185">
        <v>1</v>
      </c>
      <c r="H107" s="129" t="s">
        <v>386</v>
      </c>
      <c r="I107" s="185">
        <v>3</v>
      </c>
      <c r="J107" s="129" t="s">
        <v>392</v>
      </c>
      <c r="K107" s="185">
        <v>1</v>
      </c>
      <c r="L107" s="192">
        <v>2500</v>
      </c>
      <c r="M107" s="195">
        <f>+Ventas[[#This Row],[Precio item]]*Ventas[[#This Row],[Q]]</f>
        <v>2500</v>
      </c>
      <c r="N107" s="127"/>
      <c r="O107" s="127"/>
      <c r="P107" s="148"/>
    </row>
    <row r="108" spans="2:16" x14ac:dyDescent="0.25">
      <c r="B108" s="163"/>
      <c r="C108" s="129">
        <v>43736</v>
      </c>
      <c r="D108" s="160">
        <v>28</v>
      </c>
      <c r="E108" s="129" t="str">
        <f t="shared" si="10"/>
        <v>sábado</v>
      </c>
      <c r="F108" s="129" t="s">
        <v>624</v>
      </c>
      <c r="G108" s="185">
        <v>1</v>
      </c>
      <c r="H108" s="129" t="s">
        <v>386</v>
      </c>
      <c r="I108" s="185">
        <v>3</v>
      </c>
      <c r="J108" s="129" t="s">
        <v>358</v>
      </c>
      <c r="K108" s="185">
        <v>1</v>
      </c>
      <c r="L108" s="192">
        <v>6000</v>
      </c>
      <c r="M108" s="195">
        <f>+Ventas[[#This Row],[Precio item]]*Ventas[[#This Row],[Q]]</f>
        <v>6000</v>
      </c>
      <c r="N108" s="127" t="s">
        <v>393</v>
      </c>
      <c r="O108" s="127"/>
      <c r="P108" s="148"/>
    </row>
    <row r="109" spans="2:16" x14ac:dyDescent="0.25">
      <c r="B109" s="163"/>
      <c r="C109" s="129">
        <v>43736</v>
      </c>
      <c r="D109" s="160">
        <v>28</v>
      </c>
      <c r="E109" s="129" t="str">
        <f t="shared" ref="E109:E140" si="11">+TEXT(C109,"dddd")</f>
        <v>sábado</v>
      </c>
      <c r="F109" s="129" t="s">
        <v>624</v>
      </c>
      <c r="G109" s="185">
        <v>1</v>
      </c>
      <c r="H109" s="129" t="s">
        <v>386</v>
      </c>
      <c r="I109" s="185">
        <v>3</v>
      </c>
      <c r="J109" s="129" t="s">
        <v>375</v>
      </c>
      <c r="K109" s="185">
        <v>1</v>
      </c>
      <c r="L109" s="192">
        <v>10000</v>
      </c>
      <c r="M109" s="195">
        <f>+Ventas[[#This Row],[Precio item]]*Ventas[[#This Row],[Q]]</f>
        <v>10000</v>
      </c>
      <c r="N109" s="127"/>
      <c r="O109" s="127"/>
      <c r="P109" s="148"/>
    </row>
    <row r="110" spans="2:16" x14ac:dyDescent="0.25">
      <c r="B110" s="163"/>
      <c r="C110" s="129">
        <v>43736</v>
      </c>
      <c r="D110" s="160">
        <v>28</v>
      </c>
      <c r="E110" s="129" t="str">
        <f t="shared" si="11"/>
        <v>sábado</v>
      </c>
      <c r="F110" s="129" t="s">
        <v>624</v>
      </c>
      <c r="G110" s="185">
        <v>1</v>
      </c>
      <c r="H110" s="129" t="s">
        <v>391</v>
      </c>
      <c r="I110" s="185">
        <v>4</v>
      </c>
      <c r="J110" s="129" t="s">
        <v>358</v>
      </c>
      <c r="K110" s="185">
        <v>2</v>
      </c>
      <c r="L110" s="192">
        <v>3000</v>
      </c>
      <c r="M110" s="195">
        <f>+Ventas[[#This Row],[Precio item]]*Ventas[[#This Row],[Q]]</f>
        <v>6000</v>
      </c>
      <c r="N110" s="127" t="s">
        <v>374</v>
      </c>
      <c r="O110" s="127"/>
      <c r="P110" s="148"/>
    </row>
    <row r="111" spans="2:16" x14ac:dyDescent="0.25">
      <c r="B111" s="163"/>
      <c r="C111" s="129">
        <v>43736</v>
      </c>
      <c r="D111" s="160">
        <v>28</v>
      </c>
      <c r="E111" s="129" t="str">
        <f t="shared" si="11"/>
        <v>sábado</v>
      </c>
      <c r="F111" s="129" t="s">
        <v>624</v>
      </c>
      <c r="G111" s="185">
        <v>1</v>
      </c>
      <c r="H111" s="129" t="s">
        <v>391</v>
      </c>
      <c r="I111" s="185">
        <v>4</v>
      </c>
      <c r="J111" s="129" t="s">
        <v>467</v>
      </c>
      <c r="K111" s="185">
        <v>2</v>
      </c>
      <c r="L111" s="192">
        <v>1000</v>
      </c>
      <c r="M111" s="195">
        <f>+Ventas[[#This Row],[Precio item]]*Ventas[[#This Row],[Q]]</f>
        <v>2000</v>
      </c>
      <c r="N111" s="127"/>
      <c r="O111" s="127"/>
      <c r="P111" s="148"/>
    </row>
    <row r="112" spans="2:16" x14ac:dyDescent="0.25">
      <c r="B112" s="163"/>
      <c r="C112" s="129">
        <v>43736</v>
      </c>
      <c r="D112" s="160">
        <v>28</v>
      </c>
      <c r="E112" s="129" t="str">
        <f t="shared" si="11"/>
        <v>sábado</v>
      </c>
      <c r="F112" s="129" t="s">
        <v>624</v>
      </c>
      <c r="G112" s="185">
        <v>1</v>
      </c>
      <c r="H112" s="129" t="s">
        <v>391</v>
      </c>
      <c r="I112" s="185">
        <v>5</v>
      </c>
      <c r="J112" s="129" t="s">
        <v>371</v>
      </c>
      <c r="K112" s="185">
        <v>1</v>
      </c>
      <c r="L112" s="192">
        <v>15000</v>
      </c>
      <c r="M112" s="195">
        <f>+Ventas[[#This Row],[Precio item]]*Ventas[[#This Row],[Q]]</f>
        <v>15000</v>
      </c>
      <c r="N112" s="127"/>
      <c r="O112" s="127"/>
      <c r="P112" s="148"/>
    </row>
    <row r="113" spans="2:16" x14ac:dyDescent="0.25">
      <c r="B113" s="163"/>
      <c r="C113" s="129">
        <v>43736</v>
      </c>
      <c r="D113" s="160">
        <v>28</v>
      </c>
      <c r="E113" s="129" t="str">
        <f t="shared" si="11"/>
        <v>sábado</v>
      </c>
      <c r="F113" s="129" t="s">
        <v>624</v>
      </c>
      <c r="G113" s="185">
        <v>1</v>
      </c>
      <c r="H113" s="129" t="s">
        <v>391</v>
      </c>
      <c r="I113" s="185">
        <v>6</v>
      </c>
      <c r="J113" s="129" t="s">
        <v>375</v>
      </c>
      <c r="K113" s="185">
        <v>1</v>
      </c>
      <c r="L113" s="192">
        <v>40000</v>
      </c>
      <c r="M113" s="195">
        <f>+Ventas[[#This Row],[Precio item]]*Ventas[[#This Row],[Q]]</f>
        <v>40000</v>
      </c>
      <c r="N113" s="127"/>
      <c r="O113" s="127"/>
      <c r="P113" s="148"/>
    </row>
    <row r="114" spans="2:16" x14ac:dyDescent="0.25">
      <c r="B114" s="163"/>
      <c r="C114" s="129">
        <v>43736</v>
      </c>
      <c r="D114" s="160">
        <v>28</v>
      </c>
      <c r="E114" s="129" t="str">
        <f t="shared" si="11"/>
        <v>sábado</v>
      </c>
      <c r="F114" s="129" t="s">
        <v>624</v>
      </c>
      <c r="G114" s="185">
        <v>1</v>
      </c>
      <c r="H114" s="129" t="s">
        <v>391</v>
      </c>
      <c r="I114" s="185">
        <v>7</v>
      </c>
      <c r="J114" s="129" t="s">
        <v>366</v>
      </c>
      <c r="K114" s="185">
        <v>1</v>
      </c>
      <c r="L114" s="192">
        <v>25000</v>
      </c>
      <c r="M114" s="195">
        <f>+Ventas[[#This Row],[Precio item]]*Ventas[[#This Row],[Q]]</f>
        <v>25000</v>
      </c>
      <c r="N114" s="127"/>
      <c r="O114" s="127"/>
      <c r="P114" s="148"/>
    </row>
    <row r="115" spans="2:16" x14ac:dyDescent="0.25">
      <c r="B115" s="163"/>
      <c r="C115" s="129">
        <v>43736</v>
      </c>
      <c r="D115" s="160">
        <v>28</v>
      </c>
      <c r="E115" s="129" t="str">
        <f t="shared" si="11"/>
        <v>sábado</v>
      </c>
      <c r="F115" s="129" t="s">
        <v>624</v>
      </c>
      <c r="G115" s="185">
        <v>1</v>
      </c>
      <c r="H115" s="129" t="s">
        <v>391</v>
      </c>
      <c r="I115" s="185">
        <v>7</v>
      </c>
      <c r="J115" s="129" t="s">
        <v>387</v>
      </c>
      <c r="K115" s="185">
        <v>1</v>
      </c>
      <c r="L115" s="192">
        <v>3000</v>
      </c>
      <c r="M115" s="195">
        <f>+Ventas[[#This Row],[Precio item]]*Ventas[[#This Row],[Q]]</f>
        <v>3000</v>
      </c>
      <c r="N115" s="127"/>
      <c r="O115" s="127"/>
      <c r="P115" s="148"/>
    </row>
    <row r="116" spans="2:16" x14ac:dyDescent="0.25">
      <c r="B116" s="163"/>
      <c r="C116" s="129">
        <v>43736</v>
      </c>
      <c r="D116" s="160">
        <v>28</v>
      </c>
      <c r="E116" s="129" t="str">
        <f t="shared" si="11"/>
        <v>sábado</v>
      </c>
      <c r="F116" s="129" t="s">
        <v>624</v>
      </c>
      <c r="G116" s="185">
        <v>1</v>
      </c>
      <c r="H116" s="129" t="s">
        <v>386</v>
      </c>
      <c r="I116" s="185">
        <v>8</v>
      </c>
      <c r="J116" s="129" t="s">
        <v>375</v>
      </c>
      <c r="K116" s="185">
        <v>1</v>
      </c>
      <c r="L116" s="192">
        <v>25000</v>
      </c>
      <c r="M116" s="195">
        <f>+Ventas[[#This Row],[Precio item]]*Ventas[[#This Row],[Q]]</f>
        <v>25000</v>
      </c>
      <c r="N116" s="127"/>
      <c r="O116" s="127"/>
      <c r="P116" s="148"/>
    </row>
    <row r="117" spans="2:16" x14ac:dyDescent="0.25">
      <c r="B117" s="163"/>
      <c r="C117" s="129">
        <v>43736</v>
      </c>
      <c r="D117" s="160">
        <v>28</v>
      </c>
      <c r="E117" s="129" t="str">
        <f t="shared" si="11"/>
        <v>sábado</v>
      </c>
      <c r="F117" s="129" t="s">
        <v>624</v>
      </c>
      <c r="G117" s="185">
        <v>1</v>
      </c>
      <c r="H117" s="129" t="s">
        <v>391</v>
      </c>
      <c r="I117" s="185">
        <v>9</v>
      </c>
      <c r="J117" s="129" t="s">
        <v>375</v>
      </c>
      <c r="K117" s="185">
        <v>1</v>
      </c>
      <c r="L117" s="192">
        <v>25000</v>
      </c>
      <c r="M117" s="195">
        <f>+Ventas[[#This Row],[Precio item]]*Ventas[[#This Row],[Q]]</f>
        <v>25000</v>
      </c>
      <c r="N117" s="127"/>
      <c r="O117" s="127"/>
      <c r="P117" s="148"/>
    </row>
    <row r="118" spans="2:16" x14ac:dyDescent="0.25">
      <c r="B118" s="163"/>
      <c r="C118" s="129">
        <v>43736</v>
      </c>
      <c r="D118" s="160">
        <v>28</v>
      </c>
      <c r="E118" s="129" t="str">
        <f t="shared" si="11"/>
        <v>sábado</v>
      </c>
      <c r="F118" s="129" t="s">
        <v>624</v>
      </c>
      <c r="G118" s="185">
        <v>1</v>
      </c>
      <c r="H118" s="129" t="s">
        <v>386</v>
      </c>
      <c r="I118" s="197">
        <v>11</v>
      </c>
      <c r="J118" s="129" t="s">
        <v>353</v>
      </c>
      <c r="K118" s="185">
        <v>1</v>
      </c>
      <c r="L118" s="192">
        <v>10000</v>
      </c>
      <c r="M118" s="195">
        <f>+Ventas[[#This Row],[Precio item]]*Ventas[[#This Row],[Q]]</f>
        <v>10000</v>
      </c>
      <c r="N118" s="127"/>
      <c r="O118" s="127"/>
      <c r="P118" s="148"/>
    </row>
    <row r="119" spans="2:16" x14ac:dyDescent="0.25">
      <c r="B119" s="163"/>
      <c r="C119" s="129">
        <v>43736</v>
      </c>
      <c r="D119" s="160">
        <v>28</v>
      </c>
      <c r="E119" s="129" t="str">
        <f t="shared" si="11"/>
        <v>sábado</v>
      </c>
      <c r="F119" s="129" t="s">
        <v>624</v>
      </c>
      <c r="G119" s="185">
        <v>1</v>
      </c>
      <c r="H119" s="129" t="s">
        <v>386</v>
      </c>
      <c r="I119" s="197">
        <v>11</v>
      </c>
      <c r="J119" s="129" t="s">
        <v>387</v>
      </c>
      <c r="K119" s="185">
        <v>1</v>
      </c>
      <c r="L119" s="192">
        <v>3000</v>
      </c>
      <c r="M119" s="195">
        <f>+Ventas[[#This Row],[Precio item]]*Ventas[[#This Row],[Q]]</f>
        <v>3000</v>
      </c>
      <c r="N119" s="127"/>
      <c r="O119" s="127"/>
      <c r="P119" s="148"/>
    </row>
    <row r="120" spans="2:16" x14ac:dyDescent="0.25">
      <c r="B120" s="163"/>
      <c r="C120" s="129">
        <v>43736</v>
      </c>
      <c r="D120" s="160">
        <v>28</v>
      </c>
      <c r="E120" s="129" t="str">
        <f t="shared" si="11"/>
        <v>sábado</v>
      </c>
      <c r="F120" s="129" t="s">
        <v>624</v>
      </c>
      <c r="G120" s="185">
        <v>1</v>
      </c>
      <c r="H120" s="129" t="s">
        <v>386</v>
      </c>
      <c r="I120" s="185">
        <v>12</v>
      </c>
      <c r="J120" s="129" t="s">
        <v>375</v>
      </c>
      <c r="K120" s="185">
        <v>1</v>
      </c>
      <c r="L120" s="192">
        <v>30000</v>
      </c>
      <c r="M120" s="195">
        <f>+Ventas[[#This Row],[Precio item]]*Ventas[[#This Row],[Q]]</f>
        <v>30000</v>
      </c>
      <c r="N120" s="127"/>
      <c r="O120" s="127"/>
      <c r="P120" s="148"/>
    </row>
    <row r="121" spans="2:16" x14ac:dyDescent="0.25">
      <c r="B121" s="163"/>
      <c r="C121" s="129">
        <v>43736</v>
      </c>
      <c r="D121" s="160">
        <v>28</v>
      </c>
      <c r="E121" s="129" t="str">
        <f t="shared" si="11"/>
        <v>sábado</v>
      </c>
      <c r="F121" s="129" t="s">
        <v>624</v>
      </c>
      <c r="G121" s="185">
        <v>1</v>
      </c>
      <c r="H121" s="129" t="s">
        <v>386</v>
      </c>
      <c r="I121" s="185">
        <v>12</v>
      </c>
      <c r="J121" s="129" t="s">
        <v>394</v>
      </c>
      <c r="K121" s="185">
        <v>2</v>
      </c>
      <c r="L121" s="192">
        <v>2000</v>
      </c>
      <c r="M121" s="195">
        <f>+Ventas[[#This Row],[Precio item]]*Ventas[[#This Row],[Q]]</f>
        <v>4000</v>
      </c>
      <c r="N121" s="127"/>
      <c r="O121" s="127"/>
      <c r="P121" s="148"/>
    </row>
    <row r="122" spans="2:16" x14ac:dyDescent="0.25">
      <c r="B122" s="163"/>
      <c r="C122" s="129">
        <v>43736</v>
      </c>
      <c r="D122" s="160">
        <v>28</v>
      </c>
      <c r="E122" s="129" t="str">
        <f t="shared" si="11"/>
        <v>sábado</v>
      </c>
      <c r="F122" s="129" t="s">
        <v>624</v>
      </c>
      <c r="G122" s="185">
        <v>1</v>
      </c>
      <c r="H122" s="129" t="s">
        <v>386</v>
      </c>
      <c r="I122" s="185">
        <v>13</v>
      </c>
      <c r="J122" s="129" t="s">
        <v>387</v>
      </c>
      <c r="K122" s="185">
        <v>1</v>
      </c>
      <c r="L122" s="192">
        <v>3000</v>
      </c>
      <c r="M122" s="195">
        <f>+Ventas[[#This Row],[Precio item]]*Ventas[[#This Row],[Q]]</f>
        <v>3000</v>
      </c>
      <c r="N122" s="127"/>
      <c r="O122" s="127"/>
      <c r="P122" s="148"/>
    </row>
    <row r="123" spans="2:16" x14ac:dyDescent="0.25">
      <c r="B123" s="163"/>
      <c r="C123" s="129">
        <v>43736</v>
      </c>
      <c r="D123" s="160">
        <v>28</v>
      </c>
      <c r="E123" s="129" t="str">
        <f t="shared" si="11"/>
        <v>sábado</v>
      </c>
      <c r="F123" s="129" t="s">
        <v>624</v>
      </c>
      <c r="G123" s="185">
        <v>1</v>
      </c>
      <c r="H123" s="129" t="s">
        <v>386</v>
      </c>
      <c r="I123" s="185">
        <v>13</v>
      </c>
      <c r="J123" s="129" t="s">
        <v>355</v>
      </c>
      <c r="K123" s="185">
        <v>1</v>
      </c>
      <c r="L123" s="192">
        <v>2000</v>
      </c>
      <c r="M123" s="195">
        <f>+Ventas[[#This Row],[Precio item]]*Ventas[[#This Row],[Q]]</f>
        <v>2000</v>
      </c>
      <c r="N123" s="127"/>
      <c r="O123" s="127"/>
      <c r="P123" s="148"/>
    </row>
    <row r="124" spans="2:16" x14ac:dyDescent="0.25">
      <c r="B124" s="163"/>
      <c r="C124" s="129">
        <v>43736</v>
      </c>
      <c r="D124" s="160">
        <v>28</v>
      </c>
      <c r="E124" s="129" t="str">
        <f t="shared" si="11"/>
        <v>sábado</v>
      </c>
      <c r="F124" s="129" t="s">
        <v>624</v>
      </c>
      <c r="G124" s="185">
        <v>1</v>
      </c>
      <c r="H124" s="129" t="s">
        <v>386</v>
      </c>
      <c r="I124" s="185">
        <v>13</v>
      </c>
      <c r="J124" s="129" t="s">
        <v>396</v>
      </c>
      <c r="K124" s="185">
        <v>1</v>
      </c>
      <c r="L124" s="192">
        <v>26000</v>
      </c>
      <c r="M124" s="195">
        <f>+Ventas[[#This Row],[Precio item]]*Ventas[[#This Row],[Q]]</f>
        <v>26000</v>
      </c>
      <c r="N124" s="127" t="s">
        <v>397</v>
      </c>
      <c r="O124" s="127"/>
      <c r="P124" s="148"/>
    </row>
    <row r="125" spans="2:16" x14ac:dyDescent="0.25">
      <c r="B125" s="163"/>
      <c r="C125" s="129">
        <v>43736</v>
      </c>
      <c r="D125" s="160">
        <v>28</v>
      </c>
      <c r="E125" s="129" t="str">
        <f t="shared" si="11"/>
        <v>sábado</v>
      </c>
      <c r="F125" s="129" t="s">
        <v>624</v>
      </c>
      <c r="G125" s="185">
        <v>1</v>
      </c>
      <c r="H125" s="129" t="s">
        <v>391</v>
      </c>
      <c r="I125" s="185">
        <v>14</v>
      </c>
      <c r="J125" s="129" t="s">
        <v>398</v>
      </c>
      <c r="K125" s="185">
        <v>1</v>
      </c>
      <c r="L125" s="192">
        <v>24000</v>
      </c>
      <c r="M125" s="195">
        <f>+Ventas[[#This Row],[Precio item]]*Ventas[[#This Row],[Q]]</f>
        <v>24000</v>
      </c>
      <c r="N125" s="127"/>
      <c r="O125" s="127"/>
      <c r="P125" s="148"/>
    </row>
    <row r="126" spans="2:16" x14ac:dyDescent="0.25">
      <c r="B126" s="163"/>
      <c r="C126" s="129">
        <v>43736</v>
      </c>
      <c r="D126" s="160">
        <v>28</v>
      </c>
      <c r="E126" s="129" t="str">
        <f t="shared" si="11"/>
        <v>sábado</v>
      </c>
      <c r="F126" s="129" t="s">
        <v>624</v>
      </c>
      <c r="G126" s="185">
        <v>1</v>
      </c>
      <c r="H126" s="129" t="s">
        <v>391</v>
      </c>
      <c r="I126" s="185">
        <v>14</v>
      </c>
      <c r="J126" s="129" t="s">
        <v>366</v>
      </c>
      <c r="K126" s="185">
        <v>1</v>
      </c>
      <c r="L126" s="192">
        <v>25000</v>
      </c>
      <c r="M126" s="195">
        <f>+Ventas[[#This Row],[Precio item]]*Ventas[[#This Row],[Q]]</f>
        <v>25000</v>
      </c>
      <c r="N126" s="127"/>
      <c r="O126" s="127"/>
      <c r="P126" s="148"/>
    </row>
    <row r="127" spans="2:16" x14ac:dyDescent="0.25">
      <c r="B127" s="163"/>
      <c r="C127" s="129">
        <v>43736</v>
      </c>
      <c r="D127" s="160">
        <v>28</v>
      </c>
      <c r="E127" s="129" t="str">
        <f t="shared" si="11"/>
        <v>sábado</v>
      </c>
      <c r="F127" s="129" t="s">
        <v>624</v>
      </c>
      <c r="G127" s="185">
        <v>1</v>
      </c>
      <c r="H127" s="129" t="s">
        <v>391</v>
      </c>
      <c r="I127" s="185">
        <v>14</v>
      </c>
      <c r="J127" s="129" t="s">
        <v>399</v>
      </c>
      <c r="K127" s="185">
        <v>4</v>
      </c>
      <c r="L127" s="192">
        <v>3500</v>
      </c>
      <c r="M127" s="195">
        <f>+Ventas[[#This Row],[Precio item]]*Ventas[[#This Row],[Q]]</f>
        <v>14000</v>
      </c>
      <c r="N127" s="127" t="s">
        <v>400</v>
      </c>
      <c r="O127" s="127"/>
      <c r="P127" s="148"/>
    </row>
    <row r="128" spans="2:16" x14ac:dyDescent="0.25">
      <c r="B128" s="163"/>
      <c r="C128" s="129">
        <v>43736</v>
      </c>
      <c r="D128" s="160">
        <v>28</v>
      </c>
      <c r="E128" s="129" t="str">
        <f t="shared" si="11"/>
        <v>sábado</v>
      </c>
      <c r="F128" s="129" t="s">
        <v>624</v>
      </c>
      <c r="G128" s="185">
        <v>1</v>
      </c>
      <c r="H128" s="196" t="s">
        <v>391</v>
      </c>
      <c r="I128" s="198">
        <v>14</v>
      </c>
      <c r="J128" s="196" t="s">
        <v>401</v>
      </c>
      <c r="K128" s="198">
        <v>1</v>
      </c>
      <c r="L128" s="134">
        <v>-5000</v>
      </c>
      <c r="M128" s="195">
        <f>+Ventas[[#This Row],[Precio item]]*Ventas[[#This Row],[Q]]</f>
        <v>-5000</v>
      </c>
      <c r="N128" s="127"/>
      <c r="O128" s="127"/>
      <c r="P128" s="148"/>
    </row>
    <row r="129" spans="2:16" x14ac:dyDescent="0.25">
      <c r="B129" s="163"/>
      <c r="C129" s="129">
        <v>43736</v>
      </c>
      <c r="D129" s="160">
        <v>28</v>
      </c>
      <c r="E129" s="129" t="str">
        <f t="shared" si="11"/>
        <v>sábado</v>
      </c>
      <c r="F129" s="129" t="s">
        <v>624</v>
      </c>
      <c r="G129" s="185">
        <v>1</v>
      </c>
      <c r="H129" s="129" t="s">
        <v>391</v>
      </c>
      <c r="I129" s="185">
        <v>15</v>
      </c>
      <c r="J129" s="129" t="s">
        <v>358</v>
      </c>
      <c r="K129" s="185">
        <v>1</v>
      </c>
      <c r="L129" s="192">
        <v>6000</v>
      </c>
      <c r="M129" s="195">
        <f>+Ventas[[#This Row],[Precio item]]*Ventas[[#This Row],[Q]]</f>
        <v>6000</v>
      </c>
      <c r="N129" s="127" t="s">
        <v>402</v>
      </c>
      <c r="O129" s="127"/>
      <c r="P129" s="148"/>
    </row>
    <row r="130" spans="2:16" x14ac:dyDescent="0.25">
      <c r="B130" s="163"/>
      <c r="C130" s="129">
        <v>43736</v>
      </c>
      <c r="D130" s="160">
        <v>28</v>
      </c>
      <c r="E130" s="129" t="str">
        <f t="shared" si="11"/>
        <v>sábado</v>
      </c>
      <c r="F130" s="129" t="s">
        <v>624</v>
      </c>
      <c r="G130" s="185">
        <v>1</v>
      </c>
      <c r="H130" s="129" t="s">
        <v>391</v>
      </c>
      <c r="I130" s="185">
        <v>15</v>
      </c>
      <c r="J130" s="129" t="s">
        <v>403</v>
      </c>
      <c r="K130" s="185">
        <v>1</v>
      </c>
      <c r="L130" s="192">
        <v>5000</v>
      </c>
      <c r="M130" s="195">
        <f>+Ventas[[#This Row],[Precio item]]*Ventas[[#This Row],[Q]]</f>
        <v>5000</v>
      </c>
      <c r="N130" s="127"/>
      <c r="O130" s="127"/>
      <c r="P130" s="148"/>
    </row>
    <row r="131" spans="2:16" x14ac:dyDescent="0.25">
      <c r="B131" s="163"/>
      <c r="C131" s="129">
        <v>43736</v>
      </c>
      <c r="D131" s="160">
        <v>28</v>
      </c>
      <c r="E131" s="129" t="str">
        <f t="shared" si="11"/>
        <v>sábado</v>
      </c>
      <c r="F131" s="129" t="s">
        <v>624</v>
      </c>
      <c r="G131" s="185">
        <v>1</v>
      </c>
      <c r="H131" s="129" t="s">
        <v>386</v>
      </c>
      <c r="I131" s="185">
        <v>16</v>
      </c>
      <c r="J131" s="129" t="s">
        <v>388</v>
      </c>
      <c r="K131" s="185">
        <v>4</v>
      </c>
      <c r="L131" s="192">
        <v>8000</v>
      </c>
      <c r="M131" s="195">
        <f>+Ventas[[#This Row],[Precio item]]*Ventas[[#This Row],[Q]]</f>
        <v>32000</v>
      </c>
      <c r="N131" s="127"/>
      <c r="O131" s="127"/>
      <c r="P131" s="148"/>
    </row>
    <row r="132" spans="2:16" x14ac:dyDescent="0.25">
      <c r="B132" s="163"/>
      <c r="C132" s="129">
        <v>43736</v>
      </c>
      <c r="D132" s="160">
        <v>28</v>
      </c>
      <c r="E132" s="129" t="str">
        <f t="shared" si="11"/>
        <v>sábado</v>
      </c>
      <c r="F132" s="129" t="s">
        <v>624</v>
      </c>
      <c r="G132" s="185">
        <v>1</v>
      </c>
      <c r="H132" s="129" t="s">
        <v>386</v>
      </c>
      <c r="I132" s="185">
        <v>16</v>
      </c>
      <c r="J132" s="129" t="s">
        <v>404</v>
      </c>
      <c r="K132" s="185">
        <v>2</v>
      </c>
      <c r="L132" s="192">
        <v>2500</v>
      </c>
      <c r="M132" s="195">
        <f>+Ventas[[#This Row],[Precio item]]*Ventas[[#This Row],[Q]]</f>
        <v>5000</v>
      </c>
      <c r="N132" s="127"/>
      <c r="O132" s="127"/>
      <c r="P132" s="148"/>
    </row>
    <row r="133" spans="2:16" x14ac:dyDescent="0.25">
      <c r="B133" s="163"/>
      <c r="C133" s="129">
        <v>43736</v>
      </c>
      <c r="D133" s="160">
        <v>28</v>
      </c>
      <c r="E133" s="129" t="str">
        <f t="shared" si="11"/>
        <v>sábado</v>
      </c>
      <c r="F133" s="129" t="s">
        <v>624</v>
      </c>
      <c r="G133" s="185">
        <v>1</v>
      </c>
      <c r="H133" s="129" t="s">
        <v>386</v>
      </c>
      <c r="I133" s="185">
        <v>16</v>
      </c>
      <c r="J133" s="129" t="s">
        <v>358</v>
      </c>
      <c r="K133" s="185">
        <v>1</v>
      </c>
      <c r="L133" s="192">
        <v>6000</v>
      </c>
      <c r="M133" s="195">
        <f>+Ventas[[#This Row],[Precio item]]*Ventas[[#This Row],[Q]]</f>
        <v>6000</v>
      </c>
      <c r="N133" s="127" t="s">
        <v>393</v>
      </c>
      <c r="O133" s="127"/>
      <c r="P133" s="148"/>
    </row>
    <row r="134" spans="2:16" x14ac:dyDescent="0.25">
      <c r="B134" s="163"/>
      <c r="C134" s="129">
        <v>43736</v>
      </c>
      <c r="D134" s="160">
        <v>28</v>
      </c>
      <c r="E134" s="129" t="str">
        <f t="shared" si="11"/>
        <v>sábado</v>
      </c>
      <c r="F134" s="129" t="s">
        <v>624</v>
      </c>
      <c r="G134" s="185">
        <v>1</v>
      </c>
      <c r="H134" s="129" t="s">
        <v>386</v>
      </c>
      <c r="I134" s="185">
        <v>16</v>
      </c>
      <c r="J134" s="129" t="s">
        <v>355</v>
      </c>
      <c r="K134" s="185">
        <v>1</v>
      </c>
      <c r="L134" s="192">
        <v>2000</v>
      </c>
      <c r="M134" s="195">
        <f>+Ventas[[#This Row],[Precio item]]*Ventas[[#This Row],[Q]]</f>
        <v>2000</v>
      </c>
      <c r="N134" s="127"/>
      <c r="O134" s="127"/>
      <c r="P134" s="148"/>
    </row>
    <row r="135" spans="2:16" x14ac:dyDescent="0.25">
      <c r="B135" s="163"/>
      <c r="C135" s="129">
        <v>43736</v>
      </c>
      <c r="D135" s="160">
        <v>28</v>
      </c>
      <c r="E135" s="129" t="str">
        <f t="shared" si="11"/>
        <v>sábado</v>
      </c>
      <c r="F135" s="129" t="s">
        <v>624</v>
      </c>
      <c r="G135" s="185">
        <v>1</v>
      </c>
      <c r="H135" s="129" t="s">
        <v>386</v>
      </c>
      <c r="I135" s="185">
        <v>17</v>
      </c>
      <c r="J135" s="129" t="s">
        <v>353</v>
      </c>
      <c r="K135" s="185">
        <v>1</v>
      </c>
      <c r="L135" s="192">
        <v>10000</v>
      </c>
      <c r="M135" s="195">
        <f>+Ventas[[#This Row],[Precio item]]*Ventas[[#This Row],[Q]]</f>
        <v>10000</v>
      </c>
      <c r="N135" s="127"/>
      <c r="O135" s="127"/>
      <c r="P135" s="148"/>
    </row>
    <row r="136" spans="2:16" x14ac:dyDescent="0.25">
      <c r="B136" s="163"/>
      <c r="C136" s="129">
        <v>43736</v>
      </c>
      <c r="D136" s="160">
        <v>28</v>
      </c>
      <c r="E136" s="129" t="str">
        <f t="shared" si="11"/>
        <v>sábado</v>
      </c>
      <c r="F136" s="129" t="s">
        <v>624</v>
      </c>
      <c r="G136" s="185">
        <v>1</v>
      </c>
      <c r="H136" s="129" t="s">
        <v>386</v>
      </c>
      <c r="I136" s="185">
        <v>18</v>
      </c>
      <c r="J136" s="129" t="s">
        <v>381</v>
      </c>
      <c r="K136" s="185">
        <v>1</v>
      </c>
      <c r="L136" s="192">
        <v>100000</v>
      </c>
      <c r="M136" s="195">
        <f>+Ventas[[#This Row],[Precio item]]*Ventas[[#This Row],[Q]]</f>
        <v>100000</v>
      </c>
      <c r="N136" s="127"/>
      <c r="O136" s="127"/>
      <c r="P136" s="148"/>
    </row>
    <row r="137" spans="2:16" x14ac:dyDescent="0.25">
      <c r="B137" s="163"/>
      <c r="C137" s="129">
        <v>43736</v>
      </c>
      <c r="D137" s="160">
        <v>28</v>
      </c>
      <c r="E137" s="129" t="str">
        <f t="shared" si="11"/>
        <v>sábado</v>
      </c>
      <c r="F137" s="129" t="s">
        <v>624</v>
      </c>
      <c r="G137" s="185">
        <v>1</v>
      </c>
      <c r="H137" s="129" t="s">
        <v>386</v>
      </c>
      <c r="I137" s="185">
        <v>19</v>
      </c>
      <c r="J137" s="129" t="s">
        <v>358</v>
      </c>
      <c r="K137" s="185">
        <v>1</v>
      </c>
      <c r="L137" s="192">
        <v>6000</v>
      </c>
      <c r="M137" s="195">
        <f>+Ventas[[#This Row],[Precio item]]*Ventas[[#This Row],[Q]]</f>
        <v>6000</v>
      </c>
      <c r="N137" s="127" t="s">
        <v>393</v>
      </c>
      <c r="O137" s="127"/>
      <c r="P137" s="148"/>
    </row>
    <row r="138" spans="2:16" x14ac:dyDescent="0.25">
      <c r="B138" s="163"/>
      <c r="C138" s="129">
        <v>43736</v>
      </c>
      <c r="D138" s="160">
        <v>28</v>
      </c>
      <c r="E138" s="129" t="str">
        <f t="shared" si="11"/>
        <v>sábado</v>
      </c>
      <c r="F138" s="129" t="s">
        <v>624</v>
      </c>
      <c r="G138" s="185">
        <v>1</v>
      </c>
      <c r="H138" s="129" t="s">
        <v>386</v>
      </c>
      <c r="I138" s="185">
        <v>19</v>
      </c>
      <c r="J138" s="129" t="s">
        <v>375</v>
      </c>
      <c r="K138" s="185">
        <v>1</v>
      </c>
      <c r="L138" s="192">
        <v>40000</v>
      </c>
      <c r="M138" s="195">
        <f>+Ventas[[#This Row],[Precio item]]*Ventas[[#This Row],[Q]]</f>
        <v>40000</v>
      </c>
      <c r="N138" s="127"/>
      <c r="O138" s="127"/>
      <c r="P138" s="148"/>
    </row>
    <row r="139" spans="2:16" x14ac:dyDescent="0.25">
      <c r="B139" s="163"/>
      <c r="C139" s="129">
        <v>43736</v>
      </c>
      <c r="D139" s="160">
        <v>28</v>
      </c>
      <c r="E139" s="129" t="str">
        <f t="shared" si="11"/>
        <v>sábado</v>
      </c>
      <c r="F139" s="129" t="s">
        <v>624</v>
      </c>
      <c r="G139" s="185">
        <v>1</v>
      </c>
      <c r="H139" s="129" t="s">
        <v>386</v>
      </c>
      <c r="I139" s="185">
        <v>19</v>
      </c>
      <c r="J139" s="129" t="s">
        <v>405</v>
      </c>
      <c r="K139" s="185">
        <v>1</v>
      </c>
      <c r="L139" s="192">
        <v>5000</v>
      </c>
      <c r="M139" s="195">
        <f>+Ventas[[#This Row],[Precio item]]*Ventas[[#This Row],[Q]]</f>
        <v>5000</v>
      </c>
      <c r="N139" s="127"/>
      <c r="O139" s="127"/>
      <c r="P139" s="148"/>
    </row>
    <row r="140" spans="2:16" x14ac:dyDescent="0.25">
      <c r="B140" s="163"/>
      <c r="C140" s="129">
        <v>43736</v>
      </c>
      <c r="D140" s="160">
        <v>28</v>
      </c>
      <c r="E140" s="129" t="str">
        <f t="shared" si="11"/>
        <v>sábado</v>
      </c>
      <c r="F140" s="129" t="s">
        <v>624</v>
      </c>
      <c r="G140" s="185">
        <v>1</v>
      </c>
      <c r="H140" s="129" t="s">
        <v>386</v>
      </c>
      <c r="I140" s="185">
        <v>20</v>
      </c>
      <c r="J140" s="129" t="s">
        <v>375</v>
      </c>
      <c r="K140" s="185">
        <v>1</v>
      </c>
      <c r="L140" s="192">
        <v>20000</v>
      </c>
      <c r="M140" s="195">
        <f>+Ventas[[#This Row],[Precio item]]*Ventas[[#This Row],[Q]]</f>
        <v>20000</v>
      </c>
      <c r="N140" s="127"/>
      <c r="O140" s="127"/>
      <c r="P140" s="148"/>
    </row>
    <row r="141" spans="2:16" x14ac:dyDescent="0.25">
      <c r="B141" s="163"/>
      <c r="C141" s="129">
        <v>43736</v>
      </c>
      <c r="D141" s="160">
        <v>28</v>
      </c>
      <c r="E141" s="129" t="str">
        <f t="shared" ref="E141:E170" si="12">+TEXT(C141,"dddd")</f>
        <v>sábado</v>
      </c>
      <c r="F141" s="129" t="s">
        <v>624</v>
      </c>
      <c r="G141" s="185">
        <v>1</v>
      </c>
      <c r="H141" s="129" t="s">
        <v>386</v>
      </c>
      <c r="I141" s="185">
        <v>20</v>
      </c>
      <c r="J141" s="129" t="s">
        <v>406</v>
      </c>
      <c r="K141" s="185">
        <v>1</v>
      </c>
      <c r="L141" s="192">
        <v>1500</v>
      </c>
      <c r="M141" s="195">
        <f>+Ventas[[#This Row],[Precio item]]*Ventas[[#This Row],[Q]]</f>
        <v>1500</v>
      </c>
      <c r="N141" s="127"/>
      <c r="O141" s="127"/>
      <c r="P141" s="148"/>
    </row>
    <row r="142" spans="2:16" x14ac:dyDescent="0.25">
      <c r="B142" s="163"/>
      <c r="C142" s="129">
        <v>43736</v>
      </c>
      <c r="D142" s="160">
        <v>28</v>
      </c>
      <c r="E142" s="129" t="str">
        <f t="shared" si="12"/>
        <v>sábado</v>
      </c>
      <c r="F142" s="129" t="s">
        <v>624</v>
      </c>
      <c r="G142" s="185">
        <v>1</v>
      </c>
      <c r="H142" s="129" t="s">
        <v>386</v>
      </c>
      <c r="I142" s="185">
        <v>20</v>
      </c>
      <c r="J142" s="129" t="s">
        <v>407</v>
      </c>
      <c r="K142" s="185">
        <v>1</v>
      </c>
      <c r="L142" s="192">
        <v>3000</v>
      </c>
      <c r="M142" s="195">
        <f>+Ventas[[#This Row],[Precio item]]*Ventas[[#This Row],[Q]]</f>
        <v>3000</v>
      </c>
      <c r="N142" s="127"/>
      <c r="O142" s="127"/>
      <c r="P142" s="148"/>
    </row>
    <row r="143" spans="2:16" x14ac:dyDescent="0.25">
      <c r="B143" s="163"/>
      <c r="C143" s="129">
        <v>43736</v>
      </c>
      <c r="D143" s="160">
        <v>28</v>
      </c>
      <c r="E143" s="129" t="str">
        <f t="shared" si="12"/>
        <v>sábado</v>
      </c>
      <c r="F143" s="129" t="s">
        <v>624</v>
      </c>
      <c r="G143" s="185">
        <v>1</v>
      </c>
      <c r="H143" s="129" t="s">
        <v>391</v>
      </c>
      <c r="I143" s="185">
        <v>21</v>
      </c>
      <c r="J143" s="129" t="s">
        <v>353</v>
      </c>
      <c r="K143" s="185">
        <v>2</v>
      </c>
      <c r="L143" s="192">
        <v>12000</v>
      </c>
      <c r="M143" s="195">
        <f>+Ventas[[#This Row],[Precio item]]*Ventas[[#This Row],[Q]]</f>
        <v>24000</v>
      </c>
      <c r="N143" s="127"/>
      <c r="O143" s="127"/>
      <c r="P143" s="148"/>
    </row>
    <row r="144" spans="2:16" x14ac:dyDescent="0.25">
      <c r="B144" s="163"/>
      <c r="C144" s="129">
        <v>43736</v>
      </c>
      <c r="D144" s="160">
        <v>28</v>
      </c>
      <c r="E144" s="129" t="str">
        <f t="shared" si="12"/>
        <v>sábado</v>
      </c>
      <c r="F144" s="129" t="s">
        <v>624</v>
      </c>
      <c r="G144" s="185">
        <v>1</v>
      </c>
      <c r="H144" s="129" t="s">
        <v>391</v>
      </c>
      <c r="I144" s="185">
        <v>21</v>
      </c>
      <c r="J144" s="129" t="s">
        <v>408</v>
      </c>
      <c r="K144" s="185">
        <v>1</v>
      </c>
      <c r="L144" s="192">
        <v>7000</v>
      </c>
      <c r="M144" s="195">
        <f>+Ventas[[#This Row],[Precio item]]*Ventas[[#This Row],[Q]]</f>
        <v>7000</v>
      </c>
      <c r="N144" s="127"/>
      <c r="O144" s="127"/>
      <c r="P144" s="148"/>
    </row>
    <row r="145" spans="2:16" x14ac:dyDescent="0.25">
      <c r="B145" s="163"/>
      <c r="C145" s="129">
        <v>43736</v>
      </c>
      <c r="D145" s="160">
        <v>28</v>
      </c>
      <c r="E145" s="129" t="str">
        <f t="shared" si="12"/>
        <v>sábado</v>
      </c>
      <c r="F145" s="129" t="s">
        <v>624</v>
      </c>
      <c r="G145" s="185">
        <v>1</v>
      </c>
      <c r="H145" s="129" t="s">
        <v>386</v>
      </c>
      <c r="I145" s="185">
        <v>22</v>
      </c>
      <c r="J145" s="129" t="s">
        <v>375</v>
      </c>
      <c r="K145" s="185">
        <v>1</v>
      </c>
      <c r="L145" s="192">
        <v>20000</v>
      </c>
      <c r="M145" s="195">
        <f>+Ventas[[#This Row],[Precio item]]*Ventas[[#This Row],[Q]]</f>
        <v>20000</v>
      </c>
      <c r="N145" s="127"/>
      <c r="O145" s="127"/>
      <c r="P145" s="148"/>
    </row>
    <row r="146" spans="2:16" x14ac:dyDescent="0.25">
      <c r="B146" s="163"/>
      <c r="C146" s="129">
        <v>43736</v>
      </c>
      <c r="D146" s="160">
        <v>28</v>
      </c>
      <c r="E146" s="129" t="str">
        <f t="shared" si="12"/>
        <v>sábado</v>
      </c>
      <c r="F146" s="129" t="s">
        <v>624</v>
      </c>
      <c r="G146" s="185">
        <v>1</v>
      </c>
      <c r="H146" s="129" t="s">
        <v>386</v>
      </c>
      <c r="I146" s="185">
        <v>22</v>
      </c>
      <c r="J146" s="129" t="s">
        <v>368</v>
      </c>
      <c r="K146" s="185">
        <v>1</v>
      </c>
      <c r="L146" s="192">
        <v>2000</v>
      </c>
      <c r="M146" s="195">
        <f>+Ventas[[#This Row],[Precio item]]*Ventas[[#This Row],[Q]]</f>
        <v>2000</v>
      </c>
      <c r="N146" s="127"/>
      <c r="O146" s="127"/>
      <c r="P146" s="148"/>
    </row>
    <row r="147" spans="2:16" x14ac:dyDescent="0.25">
      <c r="B147" s="163"/>
      <c r="C147" s="129">
        <v>43736</v>
      </c>
      <c r="D147" s="160">
        <v>28</v>
      </c>
      <c r="E147" s="129" t="str">
        <f t="shared" si="12"/>
        <v>sábado</v>
      </c>
      <c r="F147" s="129" t="s">
        <v>624</v>
      </c>
      <c r="G147" s="185">
        <v>1</v>
      </c>
      <c r="H147" s="129" t="s">
        <v>391</v>
      </c>
      <c r="I147" s="185">
        <v>23</v>
      </c>
      <c r="J147" s="129" t="s">
        <v>409</v>
      </c>
      <c r="K147" s="185">
        <v>1</v>
      </c>
      <c r="L147" s="192">
        <v>30000</v>
      </c>
      <c r="M147" s="195">
        <f>+Ventas[[#This Row],[Precio item]]*Ventas[[#This Row],[Q]]</f>
        <v>30000</v>
      </c>
      <c r="N147" s="127"/>
      <c r="O147" s="127"/>
      <c r="P147" s="148"/>
    </row>
    <row r="148" spans="2:16" x14ac:dyDescent="0.25">
      <c r="B148" s="163"/>
      <c r="C148" s="129">
        <v>43736</v>
      </c>
      <c r="D148" s="160">
        <v>28</v>
      </c>
      <c r="E148" s="129" t="str">
        <f t="shared" si="12"/>
        <v>sábado</v>
      </c>
      <c r="F148" s="129" t="s">
        <v>624</v>
      </c>
      <c r="G148" s="185">
        <v>1</v>
      </c>
      <c r="H148" s="129" t="s">
        <v>391</v>
      </c>
      <c r="I148" s="185">
        <v>23</v>
      </c>
      <c r="J148" s="129" t="s">
        <v>399</v>
      </c>
      <c r="K148" s="185">
        <v>1</v>
      </c>
      <c r="L148" s="192">
        <v>3500</v>
      </c>
      <c r="M148" s="195">
        <f>+Ventas[[#This Row],[Precio item]]*Ventas[[#This Row],[Q]]</f>
        <v>3500</v>
      </c>
      <c r="N148" s="127"/>
      <c r="O148" s="127"/>
      <c r="P148" s="148"/>
    </row>
    <row r="149" spans="2:16" x14ac:dyDescent="0.25">
      <c r="B149" s="163"/>
      <c r="C149" s="129">
        <v>43736</v>
      </c>
      <c r="D149" s="160">
        <v>28</v>
      </c>
      <c r="E149" s="129" t="str">
        <f t="shared" si="12"/>
        <v>sábado</v>
      </c>
      <c r="F149" s="129" t="s">
        <v>624</v>
      </c>
      <c r="G149" s="185">
        <v>1</v>
      </c>
      <c r="H149" s="129" t="s">
        <v>386</v>
      </c>
      <c r="I149" s="185">
        <v>24</v>
      </c>
      <c r="J149" s="129" t="s">
        <v>410</v>
      </c>
      <c r="K149" s="185">
        <v>2</v>
      </c>
      <c r="L149" s="192">
        <v>4000</v>
      </c>
      <c r="M149" s="195">
        <f>+Ventas[[#This Row],[Precio item]]*Ventas[[#This Row],[Q]]</f>
        <v>8000</v>
      </c>
      <c r="N149" s="127"/>
      <c r="O149" s="127"/>
      <c r="P149" s="148"/>
    </row>
    <row r="150" spans="2:16" x14ac:dyDescent="0.25">
      <c r="B150" s="163"/>
      <c r="C150" s="129">
        <v>43736</v>
      </c>
      <c r="D150" s="160">
        <v>28</v>
      </c>
      <c r="E150" s="129" t="str">
        <f t="shared" si="12"/>
        <v>sábado</v>
      </c>
      <c r="F150" s="129" t="s">
        <v>624</v>
      </c>
      <c r="G150" s="185">
        <v>1</v>
      </c>
      <c r="H150" s="129" t="s">
        <v>386</v>
      </c>
      <c r="I150" s="185">
        <v>24</v>
      </c>
      <c r="J150" s="129" t="s">
        <v>399</v>
      </c>
      <c r="K150" s="185">
        <v>1</v>
      </c>
      <c r="L150" s="192">
        <v>3500</v>
      </c>
      <c r="M150" s="195">
        <f>+Ventas[[#This Row],[Precio item]]*Ventas[[#This Row],[Q]]</f>
        <v>3500</v>
      </c>
      <c r="N150" s="127"/>
      <c r="O150" s="127"/>
      <c r="P150" s="148"/>
    </row>
    <row r="151" spans="2:16" x14ac:dyDescent="0.25">
      <c r="B151" s="163"/>
      <c r="C151" s="129">
        <v>43736</v>
      </c>
      <c r="D151" s="160">
        <v>28</v>
      </c>
      <c r="E151" s="129" t="str">
        <f t="shared" si="12"/>
        <v>sábado</v>
      </c>
      <c r="F151" s="129" t="s">
        <v>624</v>
      </c>
      <c r="G151" s="185">
        <v>1</v>
      </c>
      <c r="H151" s="129" t="s">
        <v>386</v>
      </c>
      <c r="I151" s="185">
        <v>24</v>
      </c>
      <c r="J151" s="129" t="s">
        <v>411</v>
      </c>
      <c r="K151" s="185">
        <v>1</v>
      </c>
      <c r="L151" s="192">
        <v>3500</v>
      </c>
      <c r="M151" s="195">
        <f>+Ventas[[#This Row],[Precio item]]*Ventas[[#This Row],[Q]]</f>
        <v>3500</v>
      </c>
      <c r="N151" s="127" t="s">
        <v>412</v>
      </c>
      <c r="O151" s="127"/>
      <c r="P151" s="148"/>
    </row>
    <row r="152" spans="2:16" x14ac:dyDescent="0.25">
      <c r="B152" s="163"/>
      <c r="C152" s="129">
        <v>43736</v>
      </c>
      <c r="D152" s="160">
        <v>28</v>
      </c>
      <c r="E152" s="129" t="str">
        <f t="shared" si="12"/>
        <v>sábado</v>
      </c>
      <c r="F152" s="129" t="s">
        <v>624</v>
      </c>
      <c r="G152" s="185">
        <v>1</v>
      </c>
      <c r="H152" s="129" t="s">
        <v>386</v>
      </c>
      <c r="I152" s="185">
        <v>25</v>
      </c>
      <c r="J152" s="129" t="s">
        <v>375</v>
      </c>
      <c r="K152" s="185">
        <v>2</v>
      </c>
      <c r="L152" s="192">
        <v>30000</v>
      </c>
      <c r="M152" s="195">
        <f>+Ventas[[#This Row],[Precio item]]*Ventas[[#This Row],[Q]]</f>
        <v>60000</v>
      </c>
      <c r="N152" s="127"/>
      <c r="O152" s="127"/>
      <c r="P152" s="148"/>
    </row>
    <row r="153" spans="2:16" x14ac:dyDescent="0.25">
      <c r="B153" s="163"/>
      <c r="C153" s="129">
        <v>43736</v>
      </c>
      <c r="D153" s="160">
        <v>28</v>
      </c>
      <c r="E153" s="129" t="str">
        <f t="shared" si="12"/>
        <v>sábado</v>
      </c>
      <c r="F153" s="129" t="s">
        <v>624</v>
      </c>
      <c r="G153" s="185">
        <v>1</v>
      </c>
      <c r="H153" s="129" t="s">
        <v>386</v>
      </c>
      <c r="I153" s="185">
        <v>25</v>
      </c>
      <c r="J153" s="129" t="s">
        <v>385</v>
      </c>
      <c r="K153" s="185">
        <v>3</v>
      </c>
      <c r="L153" s="192">
        <v>2500</v>
      </c>
      <c r="M153" s="195">
        <f>+Ventas[[#This Row],[Precio item]]*Ventas[[#This Row],[Q]]</f>
        <v>7500</v>
      </c>
      <c r="N153" s="127"/>
      <c r="O153" s="127"/>
      <c r="P153" s="148"/>
    </row>
    <row r="154" spans="2:16" x14ac:dyDescent="0.25">
      <c r="B154" s="163"/>
      <c r="C154" s="129">
        <v>43736</v>
      </c>
      <c r="D154" s="160">
        <v>28</v>
      </c>
      <c r="E154" s="129" t="str">
        <f t="shared" si="12"/>
        <v>sábado</v>
      </c>
      <c r="F154" s="129" t="s">
        <v>624</v>
      </c>
      <c r="G154" s="185">
        <v>1</v>
      </c>
      <c r="H154" s="196" t="s">
        <v>386</v>
      </c>
      <c r="I154" s="198">
        <v>25</v>
      </c>
      <c r="J154" s="196" t="s">
        <v>401</v>
      </c>
      <c r="K154" s="198">
        <v>1</v>
      </c>
      <c r="L154" s="134">
        <v>-3000</v>
      </c>
      <c r="M154" s="195">
        <f>+Ventas[[#This Row],[Precio item]]*Ventas[[#This Row],[Q]]</f>
        <v>-3000</v>
      </c>
      <c r="N154" s="127" t="s">
        <v>413</v>
      </c>
      <c r="O154" s="127"/>
      <c r="P154" s="148"/>
    </row>
    <row r="155" spans="2:16" x14ac:dyDescent="0.25">
      <c r="B155" s="163"/>
      <c r="C155" s="129">
        <v>43736</v>
      </c>
      <c r="D155" s="160">
        <v>28</v>
      </c>
      <c r="E155" s="129" t="str">
        <f t="shared" si="12"/>
        <v>sábado</v>
      </c>
      <c r="F155" s="129" t="s">
        <v>624</v>
      </c>
      <c r="G155" s="185">
        <v>1</v>
      </c>
      <c r="H155" s="129" t="s">
        <v>386</v>
      </c>
      <c r="I155" s="185">
        <v>26</v>
      </c>
      <c r="J155" s="129" t="s">
        <v>358</v>
      </c>
      <c r="K155" s="185">
        <v>1</v>
      </c>
      <c r="L155" s="192">
        <v>6000</v>
      </c>
      <c r="M155" s="195">
        <f>+Ventas[[#This Row],[Precio item]]*Ventas[[#This Row],[Q]]</f>
        <v>6000</v>
      </c>
      <c r="N155" s="127" t="s">
        <v>393</v>
      </c>
      <c r="O155" s="127"/>
      <c r="P155" s="148"/>
    </row>
    <row r="156" spans="2:16" x14ac:dyDescent="0.25">
      <c r="B156" s="163"/>
      <c r="C156" s="129">
        <v>43736</v>
      </c>
      <c r="D156" s="160">
        <v>28</v>
      </c>
      <c r="E156" s="129" t="str">
        <f t="shared" si="12"/>
        <v>sábado</v>
      </c>
      <c r="F156" s="129" t="s">
        <v>624</v>
      </c>
      <c r="G156" s="185">
        <v>1</v>
      </c>
      <c r="H156" s="129" t="s">
        <v>386</v>
      </c>
      <c r="I156" s="185">
        <v>26</v>
      </c>
      <c r="J156" s="129" t="s">
        <v>387</v>
      </c>
      <c r="K156" s="185">
        <v>2</v>
      </c>
      <c r="L156" s="192">
        <v>3000</v>
      </c>
      <c r="M156" s="195">
        <f>+Ventas[[#This Row],[Precio item]]*Ventas[[#This Row],[Q]]</f>
        <v>6000</v>
      </c>
      <c r="N156" s="127"/>
      <c r="O156" s="127"/>
      <c r="P156" s="148"/>
    </row>
    <row r="157" spans="2:16" x14ac:dyDescent="0.25">
      <c r="B157" s="163"/>
      <c r="C157" s="129">
        <v>43736</v>
      </c>
      <c r="D157" s="160">
        <v>28</v>
      </c>
      <c r="E157" s="129" t="str">
        <f t="shared" si="12"/>
        <v>sábado</v>
      </c>
      <c r="F157" s="129" t="s">
        <v>624</v>
      </c>
      <c r="G157" s="185">
        <v>1</v>
      </c>
      <c r="H157" s="129" t="s">
        <v>386</v>
      </c>
      <c r="I157" s="185">
        <v>26</v>
      </c>
      <c r="J157" s="129" t="s">
        <v>414</v>
      </c>
      <c r="K157" s="185">
        <v>1</v>
      </c>
      <c r="L157" s="192">
        <v>12000</v>
      </c>
      <c r="M157" s="195">
        <f>+Ventas[[#This Row],[Precio item]]*Ventas[[#This Row],[Q]]</f>
        <v>12000</v>
      </c>
      <c r="N157" s="127"/>
      <c r="O157" s="127"/>
      <c r="P157" s="148"/>
    </row>
    <row r="158" spans="2:16" x14ac:dyDescent="0.25">
      <c r="B158" s="163"/>
      <c r="C158" s="129">
        <v>43736</v>
      </c>
      <c r="D158" s="160">
        <v>28</v>
      </c>
      <c r="E158" s="129" t="str">
        <f t="shared" si="12"/>
        <v>sábado</v>
      </c>
      <c r="F158" s="129" t="s">
        <v>624</v>
      </c>
      <c r="G158" s="185">
        <v>1</v>
      </c>
      <c r="H158" s="129" t="s">
        <v>391</v>
      </c>
      <c r="I158" s="185">
        <v>27</v>
      </c>
      <c r="J158" s="129" t="s">
        <v>399</v>
      </c>
      <c r="K158" s="185">
        <v>4</v>
      </c>
      <c r="L158" s="192">
        <v>3500</v>
      </c>
      <c r="M158" s="195">
        <f>+Ventas[[#This Row],[Precio item]]*Ventas[[#This Row],[Q]]</f>
        <v>14000</v>
      </c>
      <c r="N158" s="127"/>
      <c r="O158" s="127"/>
      <c r="P158" s="148"/>
    </row>
    <row r="159" spans="2:16" x14ac:dyDescent="0.25">
      <c r="B159" s="163"/>
      <c r="C159" s="129">
        <v>43736</v>
      </c>
      <c r="D159" s="160">
        <v>28</v>
      </c>
      <c r="E159" s="129" t="str">
        <f t="shared" si="12"/>
        <v>sábado</v>
      </c>
      <c r="F159" s="129" t="s">
        <v>624</v>
      </c>
      <c r="G159" s="185">
        <v>1</v>
      </c>
      <c r="H159" s="129" t="s">
        <v>391</v>
      </c>
      <c r="I159" s="185">
        <v>27</v>
      </c>
      <c r="J159" s="129" t="s">
        <v>367</v>
      </c>
      <c r="K159" s="185">
        <v>1</v>
      </c>
      <c r="L159" s="192">
        <v>4000</v>
      </c>
      <c r="M159" s="195">
        <f>+Ventas[[#This Row],[Precio item]]*Ventas[[#This Row],[Q]]</f>
        <v>4000</v>
      </c>
      <c r="N159" s="127"/>
      <c r="O159" s="127"/>
      <c r="P159" s="148"/>
    </row>
    <row r="160" spans="2:16" x14ac:dyDescent="0.25">
      <c r="B160" s="163"/>
      <c r="C160" s="129">
        <v>43736</v>
      </c>
      <c r="D160" s="160">
        <v>28</v>
      </c>
      <c r="E160" s="129" t="str">
        <f t="shared" si="12"/>
        <v>sábado</v>
      </c>
      <c r="F160" s="129" t="s">
        <v>624</v>
      </c>
      <c r="G160" s="185">
        <v>1</v>
      </c>
      <c r="H160" s="129" t="s">
        <v>391</v>
      </c>
      <c r="I160" s="185">
        <v>27</v>
      </c>
      <c r="J160" s="129" t="s">
        <v>358</v>
      </c>
      <c r="K160" s="185">
        <v>2</v>
      </c>
      <c r="L160" s="192">
        <v>6000</v>
      </c>
      <c r="M160" s="195">
        <f>+Ventas[[#This Row],[Precio item]]*Ventas[[#This Row],[Q]]</f>
        <v>12000</v>
      </c>
      <c r="N160" s="127" t="s">
        <v>393</v>
      </c>
      <c r="O160" s="127"/>
      <c r="P160" s="148"/>
    </row>
    <row r="161" spans="2:16" x14ac:dyDescent="0.25">
      <c r="B161" s="163"/>
      <c r="C161" s="129">
        <v>43736</v>
      </c>
      <c r="D161" s="160">
        <v>28</v>
      </c>
      <c r="E161" s="129" t="str">
        <f t="shared" si="12"/>
        <v>sábado</v>
      </c>
      <c r="F161" s="129" t="s">
        <v>624</v>
      </c>
      <c r="G161" s="185">
        <v>1</v>
      </c>
      <c r="H161" s="129" t="s">
        <v>391</v>
      </c>
      <c r="I161" s="185">
        <v>27</v>
      </c>
      <c r="J161" s="129" t="s">
        <v>375</v>
      </c>
      <c r="K161" s="185">
        <v>1</v>
      </c>
      <c r="L161" s="192">
        <v>40000</v>
      </c>
      <c r="M161" s="195">
        <f>+Ventas[[#This Row],[Precio item]]*Ventas[[#This Row],[Q]]</f>
        <v>40000</v>
      </c>
      <c r="N161" s="127"/>
      <c r="O161" s="127"/>
      <c r="P161" s="148"/>
    </row>
    <row r="162" spans="2:16" x14ac:dyDescent="0.25">
      <c r="B162" s="163"/>
      <c r="C162" s="129">
        <v>43736</v>
      </c>
      <c r="D162" s="160">
        <v>28</v>
      </c>
      <c r="E162" s="129" t="str">
        <f t="shared" si="12"/>
        <v>sábado</v>
      </c>
      <c r="F162" s="129" t="s">
        <v>624</v>
      </c>
      <c r="G162" s="185">
        <v>1</v>
      </c>
      <c r="H162" s="129" t="s">
        <v>415</v>
      </c>
      <c r="I162" s="185">
        <v>28</v>
      </c>
      <c r="J162" s="129" t="s">
        <v>353</v>
      </c>
      <c r="K162" s="185">
        <v>2</v>
      </c>
      <c r="L162" s="192">
        <v>9250</v>
      </c>
      <c r="M162" s="195">
        <f>+Ventas[[#This Row],[Precio item]]*Ventas[[#This Row],[Q]]</f>
        <v>18500</v>
      </c>
      <c r="N162" s="127"/>
      <c r="O162" s="127"/>
      <c r="P162" s="148"/>
    </row>
    <row r="163" spans="2:16" x14ac:dyDescent="0.25">
      <c r="B163" s="163"/>
      <c r="C163" s="129">
        <v>43736</v>
      </c>
      <c r="D163" s="160">
        <v>28</v>
      </c>
      <c r="E163" s="129" t="str">
        <f t="shared" si="12"/>
        <v>sábado</v>
      </c>
      <c r="F163" s="129" t="s">
        <v>624</v>
      </c>
      <c r="G163" s="185">
        <v>1</v>
      </c>
      <c r="H163" s="129" t="s">
        <v>386</v>
      </c>
      <c r="I163" s="185">
        <v>29</v>
      </c>
      <c r="J163" s="129" t="s">
        <v>416</v>
      </c>
      <c r="K163" s="185">
        <v>1</v>
      </c>
      <c r="L163" s="192">
        <v>20000</v>
      </c>
      <c r="M163" s="195">
        <f>+Ventas[[#This Row],[Precio item]]*Ventas[[#This Row],[Q]]</f>
        <v>20000</v>
      </c>
      <c r="N163" s="127"/>
      <c r="O163" s="127"/>
      <c r="P163" s="148"/>
    </row>
    <row r="164" spans="2:16" x14ac:dyDescent="0.25">
      <c r="B164" s="163"/>
      <c r="C164" s="129">
        <v>43736</v>
      </c>
      <c r="D164" s="160">
        <v>28</v>
      </c>
      <c r="E164" s="129" t="str">
        <f t="shared" si="12"/>
        <v>sábado</v>
      </c>
      <c r="F164" s="129" t="s">
        <v>624</v>
      </c>
      <c r="G164" s="185">
        <v>1</v>
      </c>
      <c r="H164" s="129" t="s">
        <v>386</v>
      </c>
      <c r="I164" s="185">
        <v>29</v>
      </c>
      <c r="J164" s="129" t="s">
        <v>384</v>
      </c>
      <c r="K164" s="185">
        <v>1</v>
      </c>
      <c r="L164" s="192">
        <v>12000</v>
      </c>
      <c r="M164" s="195">
        <f>+Ventas[[#This Row],[Precio item]]*Ventas[[#This Row],[Q]]</f>
        <v>12000</v>
      </c>
      <c r="N164" s="127"/>
      <c r="O164" s="127"/>
      <c r="P164" s="148"/>
    </row>
    <row r="165" spans="2:16" x14ac:dyDescent="0.25">
      <c r="B165" s="163"/>
      <c r="C165" s="129">
        <v>43736</v>
      </c>
      <c r="D165" s="160">
        <v>28</v>
      </c>
      <c r="E165" s="129" t="str">
        <f t="shared" si="12"/>
        <v>sábado</v>
      </c>
      <c r="F165" s="129" t="s">
        <v>624</v>
      </c>
      <c r="G165" s="185">
        <v>1</v>
      </c>
      <c r="H165" s="129" t="s">
        <v>386</v>
      </c>
      <c r="I165" s="185">
        <v>29</v>
      </c>
      <c r="J165" s="129" t="s">
        <v>355</v>
      </c>
      <c r="K165" s="185">
        <v>1</v>
      </c>
      <c r="L165" s="192">
        <v>2000</v>
      </c>
      <c r="M165" s="195">
        <f>+Ventas[[#This Row],[Precio item]]*Ventas[[#This Row],[Q]]</f>
        <v>2000</v>
      </c>
      <c r="N165" s="127"/>
      <c r="O165" s="127"/>
      <c r="P165" s="148"/>
    </row>
    <row r="166" spans="2:16" x14ac:dyDescent="0.25">
      <c r="B166" s="163"/>
      <c r="C166" s="129">
        <v>43736</v>
      </c>
      <c r="D166" s="160">
        <v>28</v>
      </c>
      <c r="E166" s="129" t="str">
        <f t="shared" si="12"/>
        <v>sábado</v>
      </c>
      <c r="F166" s="129" t="s">
        <v>624</v>
      </c>
      <c r="G166" s="185">
        <v>1</v>
      </c>
      <c r="H166" s="129" t="s">
        <v>386</v>
      </c>
      <c r="I166" s="185">
        <v>10</v>
      </c>
      <c r="J166" s="129" t="s">
        <v>375</v>
      </c>
      <c r="K166" s="185">
        <v>1</v>
      </c>
      <c r="L166" s="192">
        <v>30000</v>
      </c>
      <c r="M166" s="195">
        <f>+Ventas[[#This Row],[Precio item]]*Ventas[[#This Row],[Q]]</f>
        <v>30000</v>
      </c>
      <c r="N166" s="127"/>
      <c r="O166" s="127"/>
      <c r="P166" s="148"/>
    </row>
    <row r="167" spans="2:16" x14ac:dyDescent="0.25">
      <c r="B167" s="163"/>
      <c r="C167" s="129">
        <v>43736</v>
      </c>
      <c r="D167" s="160">
        <v>28</v>
      </c>
      <c r="E167" s="129" t="str">
        <f t="shared" si="12"/>
        <v>sábado</v>
      </c>
      <c r="F167" s="129" t="s">
        <v>624</v>
      </c>
      <c r="G167" s="185">
        <v>1</v>
      </c>
      <c r="H167" s="129" t="s">
        <v>386</v>
      </c>
      <c r="I167" s="185">
        <v>10</v>
      </c>
      <c r="J167" s="129" t="s">
        <v>387</v>
      </c>
      <c r="K167" s="185">
        <v>1</v>
      </c>
      <c r="L167" s="192">
        <v>3000</v>
      </c>
      <c r="M167" s="195">
        <f>+Ventas[[#This Row],[Precio item]]*Ventas[[#This Row],[Q]]</f>
        <v>3000</v>
      </c>
      <c r="N167" s="127"/>
      <c r="O167" s="127"/>
      <c r="P167" s="148"/>
    </row>
    <row r="168" spans="2:16" x14ac:dyDescent="0.25">
      <c r="B168" s="163"/>
      <c r="C168" s="129">
        <v>43736</v>
      </c>
      <c r="D168" s="160">
        <v>28</v>
      </c>
      <c r="E168" s="129" t="str">
        <f t="shared" si="12"/>
        <v>sábado</v>
      </c>
      <c r="F168" s="129" t="s">
        <v>624</v>
      </c>
      <c r="G168" s="185">
        <v>1</v>
      </c>
      <c r="H168" s="129" t="s">
        <v>386</v>
      </c>
      <c r="I168" s="185">
        <v>10</v>
      </c>
      <c r="J168" s="129" t="s">
        <v>368</v>
      </c>
      <c r="K168" s="185">
        <v>1</v>
      </c>
      <c r="L168" s="192">
        <v>2000</v>
      </c>
      <c r="M168" s="195">
        <f>+Ventas[[#This Row],[Precio item]]*Ventas[[#This Row],[Q]]</f>
        <v>2000</v>
      </c>
      <c r="N168" s="127"/>
      <c r="O168" s="127"/>
      <c r="P168" s="148"/>
    </row>
    <row r="169" spans="2:16" x14ac:dyDescent="0.25">
      <c r="B169" s="163"/>
      <c r="C169" s="129">
        <v>43736</v>
      </c>
      <c r="D169" s="160">
        <v>28</v>
      </c>
      <c r="E169" s="129" t="str">
        <f t="shared" si="12"/>
        <v>sábado</v>
      </c>
      <c r="F169" s="129" t="s">
        <v>624</v>
      </c>
      <c r="G169" s="185">
        <v>1</v>
      </c>
      <c r="H169" s="129" t="s">
        <v>386</v>
      </c>
      <c r="I169" s="185">
        <v>10</v>
      </c>
      <c r="J169" s="129" t="s">
        <v>358</v>
      </c>
      <c r="K169" s="185">
        <v>1</v>
      </c>
      <c r="L169" s="192">
        <v>6000</v>
      </c>
      <c r="M169" s="195">
        <f>+Ventas[[#This Row],[Precio item]]*Ventas[[#This Row],[Q]]</f>
        <v>6000</v>
      </c>
      <c r="N169" s="127" t="s">
        <v>393</v>
      </c>
      <c r="O169" s="127"/>
      <c r="P169" s="148"/>
    </row>
    <row r="170" spans="2:16" x14ac:dyDescent="0.25">
      <c r="B170" s="163" t="s">
        <v>289</v>
      </c>
      <c r="C170" s="129">
        <v>43737</v>
      </c>
      <c r="D170" s="160">
        <f>+DAY(Ventas[[#This Row],[FECHA]])</f>
        <v>29</v>
      </c>
      <c r="E170" s="129" t="str">
        <f t="shared" si="12"/>
        <v>domingo</v>
      </c>
      <c r="F170" s="129" t="s">
        <v>624</v>
      </c>
      <c r="G170" s="185">
        <v>1</v>
      </c>
      <c r="H170" s="129" t="s">
        <v>417</v>
      </c>
      <c r="I170" s="185">
        <v>1</v>
      </c>
      <c r="J170" s="129" t="s">
        <v>375</v>
      </c>
      <c r="K170" s="185">
        <v>1</v>
      </c>
      <c r="L170" s="192">
        <v>40000</v>
      </c>
      <c r="M170" s="194">
        <f>+Ventas[[#This Row],[Precio item]]*Ventas[[#This Row],[Q]]</f>
        <v>40000</v>
      </c>
      <c r="N170" s="127"/>
      <c r="O170" s="127"/>
      <c r="P170" s="148"/>
    </row>
    <row r="171" spans="2:16" x14ac:dyDescent="0.25">
      <c r="B171" s="163"/>
      <c r="C171" s="129">
        <v>43737</v>
      </c>
      <c r="D171" s="160">
        <f>+DAY(Ventas[[#This Row],[FECHA]])</f>
        <v>29</v>
      </c>
      <c r="E171" s="129" t="str">
        <f t="shared" ref="E171:E207" si="13">+TEXT(C171,"dddd")</f>
        <v>domingo</v>
      </c>
      <c r="F171" s="129" t="s">
        <v>624</v>
      </c>
      <c r="G171" s="185">
        <v>1</v>
      </c>
      <c r="H171" s="129" t="s">
        <v>417</v>
      </c>
      <c r="I171" s="185">
        <v>1</v>
      </c>
      <c r="J171" s="129" t="s">
        <v>399</v>
      </c>
      <c r="K171" s="185">
        <v>2</v>
      </c>
      <c r="L171" s="192">
        <v>3000</v>
      </c>
      <c r="M171" s="194">
        <f>+Ventas[[#This Row],[Precio item]]*Ventas[[#This Row],[Q]]</f>
        <v>6000</v>
      </c>
      <c r="N171" s="127"/>
      <c r="O171" s="127"/>
      <c r="P171" s="148"/>
    </row>
    <row r="172" spans="2:16" x14ac:dyDescent="0.25">
      <c r="B172" s="163"/>
      <c r="C172" s="129">
        <v>43737</v>
      </c>
      <c r="D172" s="160">
        <f>+DAY(Ventas[[#This Row],[FECHA]])</f>
        <v>29</v>
      </c>
      <c r="E172" s="129" t="str">
        <f t="shared" si="13"/>
        <v>domingo</v>
      </c>
      <c r="F172" s="129" t="s">
        <v>624</v>
      </c>
      <c r="G172" s="185">
        <v>1</v>
      </c>
      <c r="H172" s="129" t="s">
        <v>417</v>
      </c>
      <c r="I172" s="185">
        <v>1</v>
      </c>
      <c r="J172" s="129" t="s">
        <v>368</v>
      </c>
      <c r="K172" s="185">
        <v>1</v>
      </c>
      <c r="L172" s="192">
        <v>2000</v>
      </c>
      <c r="M172" s="194">
        <f>+Ventas[[#This Row],[Precio item]]*Ventas[[#This Row],[Q]]</f>
        <v>2000</v>
      </c>
      <c r="N172" s="127"/>
      <c r="O172" s="127"/>
      <c r="P172" s="148"/>
    </row>
    <row r="173" spans="2:16" x14ac:dyDescent="0.25">
      <c r="B173" s="163"/>
      <c r="C173" s="129">
        <v>43737</v>
      </c>
      <c r="D173" s="160">
        <f>+DAY(Ventas[[#This Row],[FECHA]])</f>
        <v>29</v>
      </c>
      <c r="E173" s="129" t="str">
        <f t="shared" si="13"/>
        <v>domingo</v>
      </c>
      <c r="F173" s="129" t="s">
        <v>624</v>
      </c>
      <c r="G173" s="185">
        <v>1</v>
      </c>
      <c r="H173" s="129" t="s">
        <v>417</v>
      </c>
      <c r="I173" s="185">
        <v>2</v>
      </c>
      <c r="J173" s="129" t="s">
        <v>375</v>
      </c>
      <c r="K173" s="185">
        <v>1</v>
      </c>
      <c r="L173" s="192">
        <v>15000</v>
      </c>
      <c r="M173" s="194">
        <f>+Ventas[[#This Row],[Precio item]]*Ventas[[#This Row],[Q]]</f>
        <v>15000</v>
      </c>
      <c r="N173" s="127"/>
      <c r="O173" s="127"/>
      <c r="P173" s="148"/>
    </row>
    <row r="174" spans="2:16" x14ac:dyDescent="0.25">
      <c r="B174" s="163"/>
      <c r="C174" s="129">
        <v>43737</v>
      </c>
      <c r="D174" s="160">
        <f>+DAY(Ventas[[#This Row],[FECHA]])</f>
        <v>29</v>
      </c>
      <c r="E174" s="129" t="str">
        <f t="shared" si="13"/>
        <v>domingo</v>
      </c>
      <c r="F174" s="129" t="s">
        <v>624</v>
      </c>
      <c r="G174" s="185">
        <v>1</v>
      </c>
      <c r="H174" s="129" t="s">
        <v>417</v>
      </c>
      <c r="I174" s="185">
        <v>3</v>
      </c>
      <c r="J174" s="129" t="s">
        <v>375</v>
      </c>
      <c r="K174" s="185">
        <v>1</v>
      </c>
      <c r="L174" s="192">
        <v>40000</v>
      </c>
      <c r="M174" s="194">
        <f>+Ventas[[#This Row],[Precio item]]*Ventas[[#This Row],[Q]]</f>
        <v>40000</v>
      </c>
      <c r="N174" s="127"/>
      <c r="O174" s="127"/>
      <c r="P174" s="148"/>
    </row>
    <row r="175" spans="2:16" x14ac:dyDescent="0.25">
      <c r="B175" s="163"/>
      <c r="C175" s="129">
        <v>43737</v>
      </c>
      <c r="D175" s="160">
        <f>+DAY(Ventas[[#This Row],[FECHA]])</f>
        <v>29</v>
      </c>
      <c r="E175" s="129" t="str">
        <f t="shared" si="13"/>
        <v>domingo</v>
      </c>
      <c r="F175" s="129" t="s">
        <v>624</v>
      </c>
      <c r="G175" s="185">
        <v>1</v>
      </c>
      <c r="H175" s="129" t="s">
        <v>417</v>
      </c>
      <c r="I175" s="185">
        <v>3</v>
      </c>
      <c r="J175" s="129" t="s">
        <v>367</v>
      </c>
      <c r="K175" s="185">
        <v>1</v>
      </c>
      <c r="L175" s="192">
        <v>4000</v>
      </c>
      <c r="M175" s="194">
        <f>+Ventas[[#This Row],[Precio item]]*Ventas[[#This Row],[Q]]</f>
        <v>4000</v>
      </c>
      <c r="N175" s="127"/>
      <c r="O175" s="127"/>
      <c r="P175" s="148"/>
    </row>
    <row r="176" spans="2:16" x14ac:dyDescent="0.25">
      <c r="B176" s="163"/>
      <c r="C176" s="129">
        <v>43737</v>
      </c>
      <c r="D176" s="160">
        <f>+DAY(Ventas[[#This Row],[FECHA]])</f>
        <v>29</v>
      </c>
      <c r="E176" s="129" t="str">
        <f t="shared" si="13"/>
        <v>domingo</v>
      </c>
      <c r="F176" s="129" t="s">
        <v>624</v>
      </c>
      <c r="G176" s="185">
        <v>1</v>
      </c>
      <c r="H176" s="129" t="s">
        <v>417</v>
      </c>
      <c r="I176" s="185">
        <v>3</v>
      </c>
      <c r="J176" s="129" t="s">
        <v>399</v>
      </c>
      <c r="K176" s="185">
        <v>1</v>
      </c>
      <c r="L176" s="192">
        <v>3000</v>
      </c>
      <c r="M176" s="194">
        <f>+Ventas[[#This Row],[Precio item]]*Ventas[[#This Row],[Q]]</f>
        <v>3000</v>
      </c>
      <c r="N176" s="127"/>
      <c r="O176" s="127"/>
      <c r="P176" s="148"/>
    </row>
    <row r="177" spans="2:16" x14ac:dyDescent="0.25">
      <c r="B177" s="163"/>
      <c r="C177" s="129">
        <v>43737</v>
      </c>
      <c r="D177" s="160">
        <f>+DAY(Ventas[[#This Row],[FECHA]])</f>
        <v>29</v>
      </c>
      <c r="E177" s="129" t="str">
        <f t="shared" si="13"/>
        <v>domingo</v>
      </c>
      <c r="F177" s="129" t="s">
        <v>624</v>
      </c>
      <c r="G177" s="185">
        <v>1</v>
      </c>
      <c r="H177" s="129" t="s">
        <v>417</v>
      </c>
      <c r="I177" s="185">
        <v>4</v>
      </c>
      <c r="J177" s="185" t="s">
        <v>358</v>
      </c>
      <c r="K177" s="185">
        <v>1</v>
      </c>
      <c r="L177" s="192">
        <v>6000</v>
      </c>
      <c r="M177" s="194">
        <f>+Ventas[[#This Row],[Precio item]]*Ventas[[#This Row],[Q]]</f>
        <v>6000</v>
      </c>
      <c r="N177" s="127" t="s">
        <v>418</v>
      </c>
      <c r="O177" s="127"/>
      <c r="P177" s="148"/>
    </row>
    <row r="178" spans="2:16" x14ac:dyDescent="0.25">
      <c r="B178" s="163"/>
      <c r="C178" s="129">
        <v>43737</v>
      </c>
      <c r="D178" s="160">
        <f>+DAY(Ventas[[#This Row],[FECHA]])</f>
        <v>29</v>
      </c>
      <c r="E178" s="129" t="str">
        <f t="shared" si="13"/>
        <v>domingo</v>
      </c>
      <c r="F178" s="129" t="s">
        <v>624</v>
      </c>
      <c r="G178" s="185">
        <v>1</v>
      </c>
      <c r="H178" s="129" t="s">
        <v>417</v>
      </c>
      <c r="I178" s="185">
        <v>4</v>
      </c>
      <c r="J178" s="129" t="s">
        <v>419</v>
      </c>
      <c r="K178" s="185">
        <v>1</v>
      </c>
      <c r="L178" s="192">
        <v>2500</v>
      </c>
      <c r="M178" s="194">
        <f>+Ventas[[#This Row],[Precio item]]*Ventas[[#This Row],[Q]]</f>
        <v>2500</v>
      </c>
      <c r="N178" s="127"/>
      <c r="O178" s="127"/>
      <c r="P178" s="148"/>
    </row>
    <row r="179" spans="2:16" x14ac:dyDescent="0.25">
      <c r="B179" s="163"/>
      <c r="C179" s="129">
        <v>43737</v>
      </c>
      <c r="D179" s="160">
        <f>+DAY(Ventas[[#This Row],[FECHA]])</f>
        <v>29</v>
      </c>
      <c r="E179" s="129" t="str">
        <f t="shared" si="13"/>
        <v>domingo</v>
      </c>
      <c r="F179" s="129" t="s">
        <v>624</v>
      </c>
      <c r="G179" s="185">
        <v>1</v>
      </c>
      <c r="H179" s="129" t="s">
        <v>417</v>
      </c>
      <c r="I179" s="185">
        <v>4</v>
      </c>
      <c r="J179" s="129" t="s">
        <v>375</v>
      </c>
      <c r="K179" s="185">
        <v>1</v>
      </c>
      <c r="L179" s="192">
        <v>20000</v>
      </c>
      <c r="M179" s="194">
        <f>+Ventas[[#This Row],[Precio item]]*Ventas[[#This Row],[Q]]</f>
        <v>20000</v>
      </c>
      <c r="N179" s="127"/>
      <c r="O179" s="127"/>
      <c r="P179" s="148"/>
    </row>
    <row r="180" spans="2:16" x14ac:dyDescent="0.25">
      <c r="B180" s="163"/>
      <c r="C180" s="129">
        <v>43737</v>
      </c>
      <c r="D180" s="160">
        <f>+DAY(Ventas[[#This Row],[FECHA]])</f>
        <v>29</v>
      </c>
      <c r="E180" s="129" t="str">
        <f t="shared" si="13"/>
        <v>domingo</v>
      </c>
      <c r="F180" s="129" t="s">
        <v>624</v>
      </c>
      <c r="G180" s="185">
        <v>1</v>
      </c>
      <c r="H180" s="129" t="s">
        <v>417</v>
      </c>
      <c r="I180" s="185">
        <v>5</v>
      </c>
      <c r="J180" s="129" t="s">
        <v>353</v>
      </c>
      <c r="K180" s="185">
        <v>1</v>
      </c>
      <c r="L180" s="192">
        <v>10000</v>
      </c>
      <c r="M180" s="194">
        <f>+Ventas[[#This Row],[Precio item]]*Ventas[[#This Row],[Q]]</f>
        <v>10000</v>
      </c>
      <c r="N180" s="127"/>
      <c r="O180" s="127"/>
      <c r="P180" s="148"/>
    </row>
    <row r="181" spans="2:16" x14ac:dyDescent="0.25">
      <c r="B181" s="163"/>
      <c r="C181" s="129">
        <v>43737</v>
      </c>
      <c r="D181" s="160">
        <f>+DAY(Ventas[[#This Row],[FECHA]])</f>
        <v>29</v>
      </c>
      <c r="E181" s="129" t="str">
        <f t="shared" si="13"/>
        <v>domingo</v>
      </c>
      <c r="F181" s="129" t="s">
        <v>624</v>
      </c>
      <c r="G181" s="185">
        <v>1</v>
      </c>
      <c r="H181" s="129" t="s">
        <v>417</v>
      </c>
      <c r="I181" s="185">
        <v>6</v>
      </c>
      <c r="J181" s="129" t="s">
        <v>420</v>
      </c>
      <c r="K181" s="185">
        <v>1</v>
      </c>
      <c r="L181" s="192">
        <v>12000</v>
      </c>
      <c r="M181" s="194">
        <f>+Ventas[[#This Row],[Precio item]]*Ventas[[#This Row],[Q]]</f>
        <v>12000</v>
      </c>
      <c r="N181" s="127"/>
      <c r="O181" s="127"/>
      <c r="P181" s="148"/>
    </row>
    <row r="182" spans="2:16" x14ac:dyDescent="0.25">
      <c r="B182" s="163"/>
      <c r="C182" s="129">
        <v>43737</v>
      </c>
      <c r="D182" s="160">
        <f>+DAY(Ventas[[#This Row],[FECHA]])</f>
        <v>29</v>
      </c>
      <c r="E182" s="129" t="str">
        <f t="shared" si="13"/>
        <v>domingo</v>
      </c>
      <c r="F182" s="129" t="s">
        <v>624</v>
      </c>
      <c r="G182" s="185">
        <v>1</v>
      </c>
      <c r="H182" s="129" t="s">
        <v>417</v>
      </c>
      <c r="I182" s="185">
        <v>6</v>
      </c>
      <c r="J182" s="129" t="s">
        <v>422</v>
      </c>
      <c r="K182" s="185">
        <v>1</v>
      </c>
      <c r="L182" s="192">
        <v>20000</v>
      </c>
      <c r="M182" s="194">
        <f>+Ventas[[#This Row],[Precio item]]*Ventas[[#This Row],[Q]]</f>
        <v>20000</v>
      </c>
      <c r="N182" s="127" t="s">
        <v>421</v>
      </c>
      <c r="O182" s="127"/>
      <c r="P182" s="148"/>
    </row>
    <row r="183" spans="2:16" x14ac:dyDescent="0.25">
      <c r="B183" s="163"/>
      <c r="C183" s="129">
        <v>43737</v>
      </c>
      <c r="D183" s="160">
        <f>+DAY(Ventas[[#This Row],[FECHA]])</f>
        <v>29</v>
      </c>
      <c r="E183" s="129" t="str">
        <f t="shared" si="13"/>
        <v>domingo</v>
      </c>
      <c r="F183" s="129" t="s">
        <v>624</v>
      </c>
      <c r="G183" s="185">
        <v>1</v>
      </c>
      <c r="H183" s="129" t="s">
        <v>417</v>
      </c>
      <c r="I183" s="185">
        <v>6</v>
      </c>
      <c r="J183" s="129" t="s">
        <v>423</v>
      </c>
      <c r="K183" s="185">
        <v>1</v>
      </c>
      <c r="L183" s="192">
        <v>25000</v>
      </c>
      <c r="M183" s="194">
        <f>+Ventas[[#This Row],[Precio item]]*Ventas[[#This Row],[Q]]</f>
        <v>25000</v>
      </c>
      <c r="N183" s="127"/>
      <c r="O183" s="127"/>
      <c r="P183" s="148"/>
    </row>
    <row r="184" spans="2:16" x14ac:dyDescent="0.25">
      <c r="B184" s="163"/>
      <c r="C184" s="129">
        <v>43737</v>
      </c>
      <c r="D184" s="160">
        <f>+DAY(Ventas[[#This Row],[FECHA]])</f>
        <v>29</v>
      </c>
      <c r="E184" s="129" t="str">
        <f t="shared" si="13"/>
        <v>domingo</v>
      </c>
      <c r="F184" s="129" t="s">
        <v>624</v>
      </c>
      <c r="G184" s="185">
        <v>1</v>
      </c>
      <c r="H184" s="129" t="s">
        <v>417</v>
      </c>
      <c r="I184" s="185">
        <v>6</v>
      </c>
      <c r="J184" s="129" t="s">
        <v>424</v>
      </c>
      <c r="K184" s="185">
        <v>1</v>
      </c>
      <c r="L184" s="192">
        <v>30000</v>
      </c>
      <c r="M184" s="194">
        <f>+Ventas[[#This Row],[Precio item]]*Ventas[[#This Row],[Q]]</f>
        <v>30000</v>
      </c>
      <c r="N184" s="127"/>
      <c r="O184" s="127"/>
      <c r="P184" s="148"/>
    </row>
    <row r="185" spans="2:16" x14ac:dyDescent="0.25">
      <c r="B185" s="163"/>
      <c r="C185" s="129">
        <v>43737</v>
      </c>
      <c r="D185" s="160">
        <f>+DAY(Ventas[[#This Row],[FECHA]])</f>
        <v>29</v>
      </c>
      <c r="E185" s="129" t="str">
        <f t="shared" si="13"/>
        <v>domingo</v>
      </c>
      <c r="F185" s="129" t="s">
        <v>624</v>
      </c>
      <c r="G185" s="185">
        <v>1</v>
      </c>
      <c r="H185" s="129" t="s">
        <v>417</v>
      </c>
      <c r="I185" s="185">
        <v>6</v>
      </c>
      <c r="J185" s="129" t="s">
        <v>385</v>
      </c>
      <c r="K185" s="185">
        <v>1</v>
      </c>
      <c r="L185" s="192">
        <v>2500</v>
      </c>
      <c r="M185" s="194">
        <f>+Ventas[[#This Row],[Precio item]]*Ventas[[#This Row],[Q]]</f>
        <v>2500</v>
      </c>
      <c r="N185" s="127"/>
      <c r="O185" s="127"/>
      <c r="P185" s="148"/>
    </row>
    <row r="186" spans="2:16" x14ac:dyDescent="0.25">
      <c r="B186" s="163"/>
      <c r="C186" s="129">
        <v>43737</v>
      </c>
      <c r="D186" s="160">
        <f>+DAY(Ventas[[#This Row],[FECHA]])</f>
        <v>29</v>
      </c>
      <c r="E186" s="129" t="str">
        <f t="shared" si="13"/>
        <v>domingo</v>
      </c>
      <c r="F186" s="129" t="s">
        <v>624</v>
      </c>
      <c r="G186" s="185">
        <v>1</v>
      </c>
      <c r="H186" s="129" t="s">
        <v>417</v>
      </c>
      <c r="I186" s="185">
        <v>6</v>
      </c>
      <c r="J186" s="129" t="s">
        <v>387</v>
      </c>
      <c r="K186" s="185">
        <v>2</v>
      </c>
      <c r="L186" s="192">
        <v>3000</v>
      </c>
      <c r="M186" s="194">
        <f>+Ventas[[#This Row],[Precio item]]*Ventas[[#This Row],[Q]]</f>
        <v>6000</v>
      </c>
      <c r="N186" s="127"/>
      <c r="O186" s="127"/>
      <c r="P186" s="148"/>
    </row>
    <row r="187" spans="2:16" x14ac:dyDescent="0.25">
      <c r="B187" s="163"/>
      <c r="C187" s="129">
        <v>43737</v>
      </c>
      <c r="D187" s="160">
        <f>+DAY(Ventas[[#This Row],[FECHA]])</f>
        <v>29</v>
      </c>
      <c r="E187" s="129" t="str">
        <f t="shared" si="13"/>
        <v>domingo</v>
      </c>
      <c r="F187" s="129" t="s">
        <v>624</v>
      </c>
      <c r="G187" s="185">
        <v>1</v>
      </c>
      <c r="H187" s="129" t="s">
        <v>417</v>
      </c>
      <c r="I187" s="185">
        <v>6</v>
      </c>
      <c r="J187" s="129" t="s">
        <v>425</v>
      </c>
      <c r="K187" s="185">
        <v>2</v>
      </c>
      <c r="L187" s="192">
        <v>2000</v>
      </c>
      <c r="M187" s="194">
        <f>+Ventas[[#This Row],[Precio item]]*Ventas[[#This Row],[Q]]</f>
        <v>4000</v>
      </c>
      <c r="N187" s="127"/>
      <c r="O187" s="127"/>
      <c r="P187" s="148"/>
    </row>
    <row r="188" spans="2:16" x14ac:dyDescent="0.25">
      <c r="B188" s="163"/>
      <c r="C188" s="129">
        <v>43737</v>
      </c>
      <c r="D188" s="160">
        <f>+DAY(Ventas[[#This Row],[FECHA]])</f>
        <v>29</v>
      </c>
      <c r="E188" s="129" t="str">
        <f t="shared" si="13"/>
        <v>domingo</v>
      </c>
      <c r="F188" s="129" t="s">
        <v>624</v>
      </c>
      <c r="G188" s="185">
        <v>1</v>
      </c>
      <c r="H188" s="129" t="s">
        <v>417</v>
      </c>
      <c r="I188" s="185">
        <v>7</v>
      </c>
      <c r="J188" s="129" t="s">
        <v>426</v>
      </c>
      <c r="K188" s="185">
        <v>1</v>
      </c>
      <c r="L188" s="192">
        <v>40000</v>
      </c>
      <c r="M188" s="194">
        <f>+Ventas[[#This Row],[Precio item]]*Ventas[[#This Row],[Q]]</f>
        <v>40000</v>
      </c>
      <c r="N188" s="127"/>
      <c r="O188" s="127"/>
      <c r="P188" s="148"/>
    </row>
    <row r="189" spans="2:16" x14ac:dyDescent="0.25">
      <c r="B189" s="163"/>
      <c r="C189" s="129">
        <v>43737</v>
      </c>
      <c r="D189" s="160">
        <f>+DAY(Ventas[[#This Row],[FECHA]])</f>
        <v>29</v>
      </c>
      <c r="E189" s="129" t="str">
        <f t="shared" si="13"/>
        <v>domingo</v>
      </c>
      <c r="F189" s="129" t="s">
        <v>624</v>
      </c>
      <c r="G189" s="185">
        <v>1</v>
      </c>
      <c r="H189" s="129" t="s">
        <v>417</v>
      </c>
      <c r="I189" s="185">
        <v>7</v>
      </c>
      <c r="J189" s="129" t="s">
        <v>367</v>
      </c>
      <c r="K189" s="185">
        <v>1</v>
      </c>
      <c r="L189" s="192">
        <v>4000</v>
      </c>
      <c r="M189" s="194">
        <f>+Ventas[[#This Row],[Precio item]]*Ventas[[#This Row],[Q]]</f>
        <v>4000</v>
      </c>
      <c r="N189" s="127"/>
      <c r="O189" s="127"/>
      <c r="P189" s="148"/>
    </row>
    <row r="190" spans="2:16" x14ac:dyDescent="0.25">
      <c r="B190" s="163"/>
      <c r="C190" s="129">
        <v>43737</v>
      </c>
      <c r="D190" s="160">
        <f>+DAY(Ventas[[#This Row],[FECHA]])</f>
        <v>29</v>
      </c>
      <c r="E190" s="129" t="str">
        <f t="shared" si="13"/>
        <v>domingo</v>
      </c>
      <c r="F190" s="129" t="s">
        <v>624</v>
      </c>
      <c r="G190" s="185">
        <v>1</v>
      </c>
      <c r="H190" s="129" t="s">
        <v>417</v>
      </c>
      <c r="I190" s="185">
        <v>7</v>
      </c>
      <c r="J190" s="129" t="s">
        <v>355</v>
      </c>
      <c r="K190" s="185">
        <v>1</v>
      </c>
      <c r="L190" s="192">
        <v>2000</v>
      </c>
      <c r="M190" s="194">
        <f>+Ventas[[#This Row],[Precio item]]*Ventas[[#This Row],[Q]]</f>
        <v>2000</v>
      </c>
      <c r="N190" s="127"/>
      <c r="O190" s="127"/>
      <c r="P190" s="148"/>
    </row>
    <row r="191" spans="2:16" x14ac:dyDescent="0.25">
      <c r="B191" s="163"/>
      <c r="C191" s="129">
        <v>43737</v>
      </c>
      <c r="D191" s="160">
        <f>+DAY(Ventas[[#This Row],[FECHA]])</f>
        <v>29</v>
      </c>
      <c r="E191" s="129" t="str">
        <f t="shared" si="13"/>
        <v>domingo</v>
      </c>
      <c r="F191" s="129" t="s">
        <v>624</v>
      </c>
      <c r="G191" s="185">
        <v>1</v>
      </c>
      <c r="H191" s="129" t="s">
        <v>417</v>
      </c>
      <c r="I191" s="185">
        <v>7</v>
      </c>
      <c r="J191" s="129" t="s">
        <v>358</v>
      </c>
      <c r="K191" s="185">
        <v>1</v>
      </c>
      <c r="L191" s="192">
        <v>6000</v>
      </c>
      <c r="M191" s="194">
        <f>+Ventas[[#This Row],[Precio item]]*Ventas[[#This Row],[Q]]</f>
        <v>6000</v>
      </c>
      <c r="N191" s="127" t="s">
        <v>427</v>
      </c>
      <c r="O191" s="127"/>
      <c r="P191" s="148"/>
    </row>
    <row r="192" spans="2:16" x14ac:dyDescent="0.25">
      <c r="B192" s="163"/>
      <c r="C192" s="129">
        <v>43737</v>
      </c>
      <c r="D192" s="160">
        <f>+DAY(Ventas[[#This Row],[FECHA]])</f>
        <v>29</v>
      </c>
      <c r="E192" s="129" t="str">
        <f t="shared" si="13"/>
        <v>domingo</v>
      </c>
      <c r="F192" s="129" t="s">
        <v>624</v>
      </c>
      <c r="G192" s="185">
        <v>1</v>
      </c>
      <c r="H192" s="129" t="s">
        <v>417</v>
      </c>
      <c r="I192" s="185">
        <v>8</v>
      </c>
      <c r="J192" s="129" t="s">
        <v>353</v>
      </c>
      <c r="K192" s="185">
        <v>1</v>
      </c>
      <c r="L192" s="192">
        <v>12000</v>
      </c>
      <c r="M192" s="194">
        <f>+Ventas[[#This Row],[Precio item]]*Ventas[[#This Row],[Q]]</f>
        <v>12000</v>
      </c>
      <c r="N192" s="127"/>
      <c r="O192" s="127"/>
      <c r="P192" s="148"/>
    </row>
    <row r="193" spans="2:16" x14ac:dyDescent="0.25">
      <c r="B193" s="163"/>
      <c r="C193" s="129">
        <v>43737</v>
      </c>
      <c r="D193" s="160">
        <f>+DAY(Ventas[[#This Row],[FECHA]])</f>
        <v>29</v>
      </c>
      <c r="E193" s="129" t="str">
        <f t="shared" si="13"/>
        <v>domingo</v>
      </c>
      <c r="F193" s="129" t="s">
        <v>624</v>
      </c>
      <c r="G193" s="185">
        <v>1</v>
      </c>
      <c r="H193" s="129" t="s">
        <v>417</v>
      </c>
      <c r="I193" s="185">
        <v>9</v>
      </c>
      <c r="J193" s="129" t="s">
        <v>428</v>
      </c>
      <c r="K193" s="185">
        <v>1</v>
      </c>
      <c r="L193" s="192">
        <v>22000</v>
      </c>
      <c r="M193" s="194">
        <f>+Ventas[[#This Row],[Precio item]]*Ventas[[#This Row],[Q]]</f>
        <v>22000</v>
      </c>
      <c r="N193" s="127"/>
      <c r="O193" s="127"/>
      <c r="P193" s="148"/>
    </row>
    <row r="194" spans="2:16" x14ac:dyDescent="0.25">
      <c r="B194" s="163"/>
      <c r="C194" s="129">
        <v>43737</v>
      </c>
      <c r="D194" s="160">
        <f>+DAY(Ventas[[#This Row],[FECHA]])</f>
        <v>29</v>
      </c>
      <c r="E194" s="129" t="str">
        <f t="shared" si="13"/>
        <v>domingo</v>
      </c>
      <c r="F194" s="129" t="s">
        <v>624</v>
      </c>
      <c r="G194" s="185">
        <v>1</v>
      </c>
      <c r="H194" s="129" t="s">
        <v>417</v>
      </c>
      <c r="I194" s="185">
        <v>9</v>
      </c>
      <c r="J194" s="129" t="s">
        <v>384</v>
      </c>
      <c r="K194" s="185">
        <v>2</v>
      </c>
      <c r="L194" s="192">
        <v>12500</v>
      </c>
      <c r="M194" s="194">
        <f>+Ventas[[#This Row],[Precio item]]*Ventas[[#This Row],[Q]]</f>
        <v>25000</v>
      </c>
      <c r="N194" s="127"/>
      <c r="O194" s="127"/>
      <c r="P194" s="148"/>
    </row>
    <row r="195" spans="2:16" x14ac:dyDescent="0.25">
      <c r="B195" s="163"/>
      <c r="C195" s="129">
        <v>43737</v>
      </c>
      <c r="D195" s="160">
        <f>+DAY(Ventas[[#This Row],[FECHA]])</f>
        <v>29</v>
      </c>
      <c r="E195" s="129" t="str">
        <f t="shared" si="13"/>
        <v>domingo</v>
      </c>
      <c r="F195" s="129" t="s">
        <v>624</v>
      </c>
      <c r="G195" s="185">
        <v>1</v>
      </c>
      <c r="H195" s="129" t="s">
        <v>417</v>
      </c>
      <c r="I195" s="185">
        <v>9</v>
      </c>
      <c r="J195" s="129" t="s">
        <v>396</v>
      </c>
      <c r="K195" s="185">
        <v>1</v>
      </c>
      <c r="L195" s="192">
        <v>20000</v>
      </c>
      <c r="M195" s="194">
        <f>+Ventas[[#This Row],[Precio item]]*Ventas[[#This Row],[Q]]</f>
        <v>20000</v>
      </c>
      <c r="N195" s="127"/>
      <c r="O195" s="127"/>
      <c r="P195" s="148"/>
    </row>
    <row r="196" spans="2:16" x14ac:dyDescent="0.25">
      <c r="B196" s="163"/>
      <c r="C196" s="129">
        <v>43737</v>
      </c>
      <c r="D196" s="160">
        <f>+DAY(Ventas[[#This Row],[FECHA]])</f>
        <v>29</v>
      </c>
      <c r="E196" s="129" t="str">
        <f t="shared" si="13"/>
        <v>domingo</v>
      </c>
      <c r="F196" s="129" t="s">
        <v>624</v>
      </c>
      <c r="G196" s="185">
        <v>1</v>
      </c>
      <c r="H196" s="129" t="s">
        <v>417</v>
      </c>
      <c r="I196" s="185">
        <v>9</v>
      </c>
      <c r="J196" s="129" t="s">
        <v>358</v>
      </c>
      <c r="K196" s="185">
        <v>1</v>
      </c>
      <c r="L196" s="192">
        <v>6000</v>
      </c>
      <c r="M196" s="194">
        <f>+Ventas[[#This Row],[Precio item]]*Ventas[[#This Row],[Q]]</f>
        <v>6000</v>
      </c>
      <c r="N196" s="127" t="s">
        <v>393</v>
      </c>
      <c r="O196" s="127"/>
      <c r="P196" s="148"/>
    </row>
    <row r="197" spans="2:16" x14ac:dyDescent="0.25">
      <c r="B197" s="163"/>
      <c r="C197" s="129">
        <v>43737</v>
      </c>
      <c r="D197" s="160">
        <f>+DAY(Ventas[[#This Row],[FECHA]])</f>
        <v>29</v>
      </c>
      <c r="E197" s="129" t="str">
        <f t="shared" si="13"/>
        <v>domingo</v>
      </c>
      <c r="F197" s="129" t="s">
        <v>624</v>
      </c>
      <c r="G197" s="185">
        <v>1</v>
      </c>
      <c r="H197" s="129" t="s">
        <v>417</v>
      </c>
      <c r="I197" s="185">
        <v>9</v>
      </c>
      <c r="J197" s="129" t="s">
        <v>405</v>
      </c>
      <c r="K197" s="185">
        <v>1</v>
      </c>
      <c r="L197" s="192">
        <v>5000</v>
      </c>
      <c r="M197" s="194">
        <f>+Ventas[[#This Row],[Precio item]]*Ventas[[#This Row],[Q]]</f>
        <v>5000</v>
      </c>
      <c r="N197" s="127"/>
      <c r="O197" s="127"/>
      <c r="P197" s="148"/>
    </row>
    <row r="198" spans="2:16" x14ac:dyDescent="0.25">
      <c r="B198" s="163"/>
      <c r="C198" s="129">
        <v>43737</v>
      </c>
      <c r="D198" s="160">
        <f>+DAY(Ventas[[#This Row],[FECHA]])</f>
        <v>29</v>
      </c>
      <c r="E198" s="129" t="str">
        <f t="shared" si="13"/>
        <v>domingo</v>
      </c>
      <c r="F198" s="129" t="s">
        <v>624</v>
      </c>
      <c r="G198" s="185">
        <v>1</v>
      </c>
      <c r="H198" s="129" t="s">
        <v>417</v>
      </c>
      <c r="I198" s="185">
        <v>10</v>
      </c>
      <c r="J198" s="129" t="s">
        <v>388</v>
      </c>
      <c r="K198" s="185">
        <v>3</v>
      </c>
      <c r="L198" s="192">
        <v>8000</v>
      </c>
      <c r="M198" s="194">
        <f>+Ventas[[#This Row],[Precio item]]*Ventas[[#This Row],[Q]]</f>
        <v>24000</v>
      </c>
      <c r="N198" s="127"/>
      <c r="O198" s="127"/>
      <c r="P198" s="148"/>
    </row>
    <row r="199" spans="2:16" x14ac:dyDescent="0.25">
      <c r="B199" s="163"/>
      <c r="C199" s="129">
        <v>43737</v>
      </c>
      <c r="D199" s="160">
        <f>+DAY(Ventas[[#This Row],[FECHA]])</f>
        <v>29</v>
      </c>
      <c r="E199" s="129" t="str">
        <f t="shared" si="13"/>
        <v>domingo</v>
      </c>
      <c r="F199" s="129" t="s">
        <v>624</v>
      </c>
      <c r="G199" s="185">
        <v>1</v>
      </c>
      <c r="H199" s="129" t="s">
        <v>417</v>
      </c>
      <c r="I199" s="185">
        <v>10</v>
      </c>
      <c r="J199" s="129" t="s">
        <v>358</v>
      </c>
      <c r="K199" s="185">
        <v>1</v>
      </c>
      <c r="L199" s="192">
        <v>6000</v>
      </c>
      <c r="M199" s="194">
        <f>+Ventas[[#This Row],[Precio item]]*Ventas[[#This Row],[Q]]</f>
        <v>6000</v>
      </c>
      <c r="N199" s="127" t="s">
        <v>427</v>
      </c>
      <c r="O199" s="127"/>
      <c r="P199" s="148"/>
    </row>
    <row r="200" spans="2:16" x14ac:dyDescent="0.25">
      <c r="B200" s="163"/>
      <c r="C200" s="129">
        <v>43737</v>
      </c>
      <c r="D200" s="160">
        <f>+DAY(Ventas[[#This Row],[FECHA]])</f>
        <v>29</v>
      </c>
      <c r="E200" s="129" t="str">
        <f t="shared" si="13"/>
        <v>domingo</v>
      </c>
      <c r="F200" s="129" t="s">
        <v>624</v>
      </c>
      <c r="G200" s="185">
        <v>1</v>
      </c>
      <c r="H200" s="129" t="s">
        <v>417</v>
      </c>
      <c r="I200" s="185">
        <v>10</v>
      </c>
      <c r="J200" s="129" t="s">
        <v>367</v>
      </c>
      <c r="K200" s="185">
        <v>1</v>
      </c>
      <c r="L200" s="192">
        <v>4000</v>
      </c>
      <c r="M200" s="194">
        <f>+Ventas[[#This Row],[Precio item]]*Ventas[[#This Row],[Q]]</f>
        <v>4000</v>
      </c>
      <c r="N200" s="127"/>
      <c r="O200" s="127"/>
      <c r="P200" s="148"/>
    </row>
    <row r="201" spans="2:16" x14ac:dyDescent="0.25">
      <c r="B201" s="163"/>
      <c r="C201" s="129">
        <v>43737</v>
      </c>
      <c r="D201" s="160">
        <f>+DAY(Ventas[[#This Row],[FECHA]])</f>
        <v>29</v>
      </c>
      <c r="E201" s="129" t="str">
        <f t="shared" si="13"/>
        <v>domingo</v>
      </c>
      <c r="F201" s="129" t="s">
        <v>624</v>
      </c>
      <c r="G201" s="185">
        <v>1</v>
      </c>
      <c r="H201" s="129" t="s">
        <v>417</v>
      </c>
      <c r="I201" s="185">
        <v>11</v>
      </c>
      <c r="J201" s="129" t="s">
        <v>353</v>
      </c>
      <c r="K201" s="185">
        <v>1</v>
      </c>
      <c r="L201" s="192">
        <v>10000</v>
      </c>
      <c r="M201" s="194">
        <f>+Ventas[[#This Row],[Precio item]]*Ventas[[#This Row],[Q]]</f>
        <v>10000</v>
      </c>
      <c r="N201" s="127"/>
      <c r="O201" s="127"/>
      <c r="P201" s="148"/>
    </row>
    <row r="202" spans="2:16" x14ac:dyDescent="0.25">
      <c r="B202" s="163"/>
      <c r="C202" s="129">
        <v>43737</v>
      </c>
      <c r="D202" s="160">
        <f>+DAY(Ventas[[#This Row],[FECHA]])</f>
        <v>29</v>
      </c>
      <c r="E202" s="129" t="str">
        <f t="shared" si="13"/>
        <v>domingo</v>
      </c>
      <c r="F202" s="129" t="s">
        <v>624</v>
      </c>
      <c r="G202" s="185">
        <v>1</v>
      </c>
      <c r="H202" s="129" t="s">
        <v>417</v>
      </c>
      <c r="I202" s="185">
        <v>12</v>
      </c>
      <c r="J202" s="129" t="s">
        <v>375</v>
      </c>
      <c r="K202" s="185">
        <v>1</v>
      </c>
      <c r="L202" s="192">
        <v>20000</v>
      </c>
      <c r="M202" s="194">
        <f>+Ventas[[#This Row],[Precio item]]*Ventas[[#This Row],[Q]]</f>
        <v>20000</v>
      </c>
      <c r="N202" s="127"/>
      <c r="O202" s="127"/>
      <c r="P202" s="148"/>
    </row>
    <row r="203" spans="2:16" x14ac:dyDescent="0.25">
      <c r="B203" s="163"/>
      <c r="C203" s="129">
        <v>43737</v>
      </c>
      <c r="D203" s="160">
        <f>+DAY(Ventas[[#This Row],[FECHA]])</f>
        <v>29</v>
      </c>
      <c r="E203" s="129" t="str">
        <f t="shared" si="13"/>
        <v>domingo</v>
      </c>
      <c r="F203" s="129" t="s">
        <v>624</v>
      </c>
      <c r="G203" s="185">
        <v>1</v>
      </c>
      <c r="H203" s="129" t="s">
        <v>417</v>
      </c>
      <c r="I203" s="185">
        <v>13</v>
      </c>
      <c r="J203" s="129" t="s">
        <v>375</v>
      </c>
      <c r="K203" s="185">
        <v>1</v>
      </c>
      <c r="L203" s="192">
        <v>15000</v>
      </c>
      <c r="M203" s="194">
        <f>+Ventas[[#This Row],[Precio item]]*Ventas[[#This Row],[Q]]</f>
        <v>15000</v>
      </c>
      <c r="N203" s="127"/>
      <c r="O203" s="127"/>
      <c r="P203" s="148"/>
    </row>
    <row r="204" spans="2:16" x14ac:dyDescent="0.25">
      <c r="B204" s="163"/>
      <c r="C204" s="129">
        <v>43737</v>
      </c>
      <c r="D204" s="160">
        <f>+DAY(Ventas[[#This Row],[FECHA]])</f>
        <v>29</v>
      </c>
      <c r="E204" s="129" t="str">
        <f t="shared" si="13"/>
        <v>domingo</v>
      </c>
      <c r="F204" s="129" t="s">
        <v>624</v>
      </c>
      <c r="G204" s="185">
        <v>1</v>
      </c>
      <c r="H204" s="129" t="s">
        <v>417</v>
      </c>
      <c r="I204" s="185">
        <v>14</v>
      </c>
      <c r="J204" s="129" t="s">
        <v>358</v>
      </c>
      <c r="K204" s="185">
        <v>1</v>
      </c>
      <c r="L204" s="192">
        <v>3000</v>
      </c>
      <c r="M204" s="194">
        <f>+Ventas[[#This Row],[Precio item]]*Ventas[[#This Row],[Q]]</f>
        <v>3000</v>
      </c>
      <c r="N204" s="127"/>
      <c r="O204" s="127"/>
      <c r="P204" s="148"/>
    </row>
    <row r="205" spans="2:16" x14ac:dyDescent="0.25">
      <c r="B205" s="163"/>
      <c r="C205" s="129">
        <v>43737</v>
      </c>
      <c r="D205" s="160">
        <f>+DAY(Ventas[[#This Row],[FECHA]])</f>
        <v>29</v>
      </c>
      <c r="E205" s="129" t="str">
        <f t="shared" si="13"/>
        <v>domingo</v>
      </c>
      <c r="F205" s="129" t="s">
        <v>624</v>
      </c>
      <c r="G205" s="185">
        <v>1</v>
      </c>
      <c r="H205" s="129" t="s">
        <v>417</v>
      </c>
      <c r="I205" s="185">
        <v>15</v>
      </c>
      <c r="J205" s="129" t="s">
        <v>424</v>
      </c>
      <c r="K205" s="185">
        <v>1</v>
      </c>
      <c r="L205" s="192">
        <v>30000</v>
      </c>
      <c r="M205" s="194">
        <f>+Ventas[[#This Row],[Precio item]]*Ventas[[#This Row],[Q]]</f>
        <v>30000</v>
      </c>
      <c r="N205" s="127"/>
      <c r="O205" s="127"/>
      <c r="P205" s="148"/>
    </row>
    <row r="206" spans="2:16" x14ac:dyDescent="0.25">
      <c r="B206" s="163"/>
      <c r="C206" s="129">
        <v>43737</v>
      </c>
      <c r="D206" s="160">
        <f>+DAY(Ventas[[#This Row],[FECHA]])</f>
        <v>29</v>
      </c>
      <c r="E206" s="129" t="str">
        <f t="shared" si="13"/>
        <v>domingo</v>
      </c>
      <c r="F206" s="129" t="s">
        <v>624</v>
      </c>
      <c r="G206" s="185">
        <v>1</v>
      </c>
      <c r="H206" s="129" t="s">
        <v>417</v>
      </c>
      <c r="I206" s="185">
        <v>15</v>
      </c>
      <c r="J206" s="129" t="s">
        <v>385</v>
      </c>
      <c r="K206" s="185">
        <v>1</v>
      </c>
      <c r="L206" s="192">
        <v>2500</v>
      </c>
      <c r="M206" s="194">
        <f>+Ventas[[#This Row],[Precio item]]*Ventas[[#This Row],[Q]]</f>
        <v>2500</v>
      </c>
      <c r="N206" s="127"/>
      <c r="O206" s="127"/>
      <c r="P206" s="148"/>
    </row>
    <row r="207" spans="2:16" x14ac:dyDescent="0.25">
      <c r="B207" s="163"/>
      <c r="C207" s="129">
        <v>43737</v>
      </c>
      <c r="D207" s="160">
        <f>+DAY(Ventas[[#This Row],[FECHA]])</f>
        <v>29</v>
      </c>
      <c r="E207" s="129" t="str">
        <f t="shared" si="13"/>
        <v>domingo</v>
      </c>
      <c r="F207" s="129" t="s">
        <v>624</v>
      </c>
      <c r="G207" s="185">
        <v>1</v>
      </c>
      <c r="H207" s="129" t="s">
        <v>417</v>
      </c>
      <c r="I207" s="198">
        <v>15</v>
      </c>
      <c r="J207" s="196" t="s">
        <v>401</v>
      </c>
      <c r="K207" s="198">
        <v>1</v>
      </c>
      <c r="L207" s="134">
        <v>-2500</v>
      </c>
      <c r="M207" s="194">
        <f>+Ventas[[#This Row],[Precio item]]*Ventas[[#This Row],[Q]]</f>
        <v>-2500</v>
      </c>
      <c r="N207" s="134" t="s">
        <v>429</v>
      </c>
      <c r="O207" s="127"/>
      <c r="P207" s="148"/>
    </row>
    <row r="208" spans="2:16" x14ac:dyDescent="0.25">
      <c r="B208" s="163"/>
      <c r="C208" s="129">
        <v>43737</v>
      </c>
      <c r="D208" s="160">
        <f>+DAY(Ventas[[#This Row],[FECHA]])</f>
        <v>29</v>
      </c>
      <c r="E208" s="129" t="str">
        <f t="shared" ref="E208:E214" si="14">+TEXT(C208,"dddd")</f>
        <v>domingo</v>
      </c>
      <c r="F208" s="129" t="s">
        <v>624</v>
      </c>
      <c r="G208" s="185">
        <v>1</v>
      </c>
      <c r="H208" s="129" t="s">
        <v>417</v>
      </c>
      <c r="I208" s="185">
        <v>16</v>
      </c>
      <c r="J208" s="129" t="s">
        <v>430</v>
      </c>
      <c r="K208" s="185">
        <v>2</v>
      </c>
      <c r="L208" s="192">
        <v>25000</v>
      </c>
      <c r="M208" s="194">
        <f>+Ventas[[#This Row],[Precio item]]*Ventas[[#This Row],[Q]]</f>
        <v>50000</v>
      </c>
      <c r="N208" s="127"/>
      <c r="O208" s="127"/>
      <c r="P208" s="148"/>
    </row>
    <row r="209" spans="2:16" x14ac:dyDescent="0.25">
      <c r="B209" s="163"/>
      <c r="C209" s="129">
        <v>43737</v>
      </c>
      <c r="D209" s="160">
        <f>+DAY(Ventas[[#This Row],[FECHA]])</f>
        <v>29</v>
      </c>
      <c r="E209" s="129" t="str">
        <f t="shared" si="14"/>
        <v>domingo</v>
      </c>
      <c r="F209" s="129" t="s">
        <v>624</v>
      </c>
      <c r="G209" s="185">
        <v>1</v>
      </c>
      <c r="H209" s="129" t="s">
        <v>417</v>
      </c>
      <c r="I209" s="185">
        <v>16</v>
      </c>
      <c r="J209" s="129" t="s">
        <v>431</v>
      </c>
      <c r="K209" s="185">
        <v>2</v>
      </c>
      <c r="L209" s="192">
        <v>3000</v>
      </c>
      <c r="M209" s="194">
        <f>+Ventas[[#This Row],[Precio item]]*Ventas[[#This Row],[Q]]</f>
        <v>6000</v>
      </c>
      <c r="N209" s="127"/>
      <c r="O209" s="127"/>
      <c r="P209" s="148"/>
    </row>
    <row r="210" spans="2:16" x14ac:dyDescent="0.25">
      <c r="B210" s="163"/>
      <c r="C210" s="129">
        <v>43737</v>
      </c>
      <c r="D210" s="160">
        <f>+DAY(Ventas[[#This Row],[FECHA]])</f>
        <v>29</v>
      </c>
      <c r="E210" s="129" t="str">
        <f t="shared" si="14"/>
        <v>domingo</v>
      </c>
      <c r="F210" s="129" t="s">
        <v>624</v>
      </c>
      <c r="G210" s="185">
        <v>1</v>
      </c>
      <c r="H210" s="129" t="s">
        <v>417</v>
      </c>
      <c r="I210" s="185">
        <v>17</v>
      </c>
      <c r="J210" s="129" t="s">
        <v>432</v>
      </c>
      <c r="K210" s="185">
        <v>1</v>
      </c>
      <c r="L210" s="192">
        <v>28000</v>
      </c>
      <c r="M210" s="194">
        <f>+Ventas[[#This Row],[Precio item]]*Ventas[[#This Row],[Q]]</f>
        <v>28000</v>
      </c>
      <c r="N210" s="127"/>
      <c r="O210" s="127"/>
      <c r="P210" s="148"/>
    </row>
    <row r="211" spans="2:16" x14ac:dyDescent="0.25">
      <c r="B211" s="163"/>
      <c r="C211" s="129">
        <v>43737</v>
      </c>
      <c r="D211" s="160">
        <f>+DAY(Ventas[[#This Row],[FECHA]])</f>
        <v>29</v>
      </c>
      <c r="E211" s="129" t="str">
        <f t="shared" si="14"/>
        <v>domingo</v>
      </c>
      <c r="F211" s="129" t="s">
        <v>624</v>
      </c>
      <c r="G211" s="185">
        <v>1</v>
      </c>
      <c r="H211" s="129" t="s">
        <v>417</v>
      </c>
      <c r="I211" s="185">
        <v>17</v>
      </c>
      <c r="J211" s="129" t="s">
        <v>433</v>
      </c>
      <c r="K211" s="185">
        <v>1</v>
      </c>
      <c r="L211" s="192">
        <v>4500</v>
      </c>
      <c r="M211" s="194">
        <f>+Ventas[[#This Row],[Precio item]]*Ventas[[#This Row],[Q]]</f>
        <v>4500</v>
      </c>
      <c r="N211" s="127"/>
      <c r="O211" s="127"/>
      <c r="P211" s="148"/>
    </row>
    <row r="212" spans="2:16" x14ac:dyDescent="0.25">
      <c r="B212" s="163"/>
      <c r="C212" s="129">
        <v>43737</v>
      </c>
      <c r="D212" s="160">
        <f>+DAY(Ventas[[#This Row],[FECHA]])</f>
        <v>29</v>
      </c>
      <c r="E212" s="129" t="str">
        <f t="shared" si="14"/>
        <v>domingo</v>
      </c>
      <c r="F212" s="129" t="s">
        <v>624</v>
      </c>
      <c r="G212" s="185">
        <v>1</v>
      </c>
      <c r="H212" s="129" t="s">
        <v>417</v>
      </c>
      <c r="I212" s="185">
        <v>18</v>
      </c>
      <c r="J212" s="129" t="s">
        <v>375</v>
      </c>
      <c r="K212" s="185">
        <v>1</v>
      </c>
      <c r="L212" s="192">
        <v>25000</v>
      </c>
      <c r="M212" s="194">
        <f>+Ventas[[#This Row],[Precio item]]*Ventas[[#This Row],[Q]]</f>
        <v>25000</v>
      </c>
      <c r="N212" s="127"/>
      <c r="O212" s="127"/>
      <c r="P212" s="148"/>
    </row>
    <row r="213" spans="2:16" x14ac:dyDescent="0.25">
      <c r="B213" s="163"/>
      <c r="C213" s="129">
        <v>43737</v>
      </c>
      <c r="D213" s="160">
        <f>+DAY(Ventas[[#This Row],[FECHA]])</f>
        <v>29</v>
      </c>
      <c r="E213" s="129" t="str">
        <f t="shared" si="14"/>
        <v>domingo</v>
      </c>
      <c r="F213" s="129" t="s">
        <v>624</v>
      </c>
      <c r="G213" s="185">
        <v>1</v>
      </c>
      <c r="H213" s="129" t="s">
        <v>417</v>
      </c>
      <c r="I213" s="185">
        <v>18</v>
      </c>
      <c r="J213" s="129" t="s">
        <v>385</v>
      </c>
      <c r="K213" s="185">
        <v>1</v>
      </c>
      <c r="L213" s="192">
        <v>2500</v>
      </c>
      <c r="M213" s="194">
        <f>+Ventas[[#This Row],[Precio item]]*Ventas[[#This Row],[Q]]</f>
        <v>2500</v>
      </c>
      <c r="N213" s="127"/>
      <c r="O213" s="127"/>
      <c r="P213" s="148"/>
    </row>
    <row r="214" spans="2:16" x14ac:dyDescent="0.25">
      <c r="B214" s="163"/>
      <c r="C214" s="129">
        <v>43737</v>
      </c>
      <c r="D214" s="160">
        <f>+DAY(Ventas[[#This Row],[FECHA]])</f>
        <v>29</v>
      </c>
      <c r="E214" s="129" t="str">
        <f t="shared" si="14"/>
        <v>domingo</v>
      </c>
      <c r="F214" s="129" t="s">
        <v>624</v>
      </c>
      <c r="G214" s="185">
        <v>1</v>
      </c>
      <c r="H214" s="129" t="s">
        <v>417</v>
      </c>
      <c r="I214" s="185">
        <v>19</v>
      </c>
      <c r="J214" s="129" t="s">
        <v>375</v>
      </c>
      <c r="K214" s="185">
        <v>1</v>
      </c>
      <c r="L214" s="192">
        <v>40000</v>
      </c>
      <c r="M214" s="194">
        <f>+Ventas[[#This Row],[Precio item]]*Ventas[[#This Row],[Q]]</f>
        <v>40000</v>
      </c>
      <c r="N214" s="127"/>
      <c r="O214" s="127"/>
      <c r="P214" s="148"/>
    </row>
    <row r="215" spans="2:16" x14ac:dyDescent="0.25">
      <c r="B215" s="163" t="s">
        <v>288</v>
      </c>
      <c r="C215" s="129">
        <v>43738</v>
      </c>
      <c r="D215" s="160">
        <f>+DAY(Ventas[[#This Row],[FECHA]])</f>
        <v>30</v>
      </c>
      <c r="E215" s="129" t="str">
        <f>+TEXT(C215,"dddd")</f>
        <v>lunes</v>
      </c>
      <c r="F215" s="129" t="s">
        <v>626</v>
      </c>
      <c r="G215" s="185">
        <v>2</v>
      </c>
      <c r="H215" s="129"/>
      <c r="I215" s="185"/>
      <c r="J215" s="129"/>
      <c r="K215" s="185"/>
      <c r="L215" s="192"/>
      <c r="M215" s="127">
        <v>183210</v>
      </c>
      <c r="N215" s="127"/>
      <c r="O215" s="127" t="s">
        <v>294</v>
      </c>
      <c r="P215" s="148"/>
    </row>
    <row r="216" spans="2:16" x14ac:dyDescent="0.25">
      <c r="B216" s="163" t="s">
        <v>291</v>
      </c>
      <c r="C216" s="129">
        <v>43739</v>
      </c>
      <c r="D216" s="160">
        <f>+DAY(Ventas[[#This Row],[FECHA]])</f>
        <v>1</v>
      </c>
      <c r="E216" s="129" t="str">
        <f t="shared" ref="E216:E228" si="15">+TEXT(C216,"dddd")</f>
        <v>martes</v>
      </c>
      <c r="F216" s="129" t="s">
        <v>626</v>
      </c>
      <c r="G216" s="185">
        <v>2</v>
      </c>
      <c r="H216" s="129"/>
      <c r="I216" s="185"/>
      <c r="J216" s="129"/>
      <c r="K216" s="185"/>
      <c r="L216" s="192"/>
      <c r="M216" s="127">
        <v>229800</v>
      </c>
      <c r="N216" s="127"/>
      <c r="O216" s="127"/>
      <c r="P216" s="148" t="s">
        <v>293</v>
      </c>
    </row>
    <row r="217" spans="2:16" x14ac:dyDescent="0.25">
      <c r="B217" s="163" t="s">
        <v>291</v>
      </c>
      <c r="C217" s="129">
        <v>43740</v>
      </c>
      <c r="D217" s="160">
        <f>+DAY(Ventas[[#This Row],[FECHA]])</f>
        <v>2</v>
      </c>
      <c r="E217" s="129" t="str">
        <f t="shared" si="15"/>
        <v>miércoles</v>
      </c>
      <c r="F217" s="129" t="s">
        <v>626</v>
      </c>
      <c r="G217" s="185">
        <v>2</v>
      </c>
      <c r="H217" s="129"/>
      <c r="I217" s="185"/>
      <c r="J217" s="129"/>
      <c r="K217" s="185"/>
      <c r="L217" s="192"/>
      <c r="M217" s="134">
        <f>+M218</f>
        <v>238000</v>
      </c>
      <c r="N217" s="134"/>
      <c r="O217" s="127"/>
      <c r="P217" s="148"/>
    </row>
    <row r="218" spans="2:16" x14ac:dyDescent="0.25">
      <c r="B218" s="163"/>
      <c r="C218" s="129">
        <v>43741</v>
      </c>
      <c r="D218" s="160">
        <f>+DAY(Ventas[[#This Row],[FECHA]])</f>
        <v>3</v>
      </c>
      <c r="E218" s="129" t="str">
        <f t="shared" si="15"/>
        <v>jueves</v>
      </c>
      <c r="F218" s="129" t="s">
        <v>626</v>
      </c>
      <c r="G218" s="185">
        <v>2</v>
      </c>
      <c r="H218" s="129"/>
      <c r="I218" s="185"/>
      <c r="J218" s="129"/>
      <c r="K218" s="185"/>
      <c r="L218" s="192"/>
      <c r="M218" s="127">
        <v>238000</v>
      </c>
      <c r="N218" s="127"/>
      <c r="O218" s="127"/>
      <c r="P218" s="148"/>
    </row>
    <row r="219" spans="2:16" x14ac:dyDescent="0.25">
      <c r="B219" s="163"/>
      <c r="C219" s="129">
        <v>43742</v>
      </c>
      <c r="D219" s="160">
        <f>+DAY(Ventas[[#This Row],[FECHA]])</f>
        <v>4</v>
      </c>
      <c r="E219" s="129" t="str">
        <f t="shared" si="15"/>
        <v>viernes</v>
      </c>
      <c r="F219" s="129" t="s">
        <v>624</v>
      </c>
      <c r="G219" s="185">
        <v>2</v>
      </c>
      <c r="H219" s="129"/>
      <c r="I219" s="185"/>
      <c r="J219" s="129"/>
      <c r="K219" s="185"/>
      <c r="L219" s="192"/>
      <c r="M219" s="127">
        <v>420500</v>
      </c>
      <c r="N219" s="127"/>
      <c r="O219" s="127"/>
      <c r="P219" s="148"/>
    </row>
    <row r="220" spans="2:16" x14ac:dyDescent="0.25">
      <c r="B220" s="162" t="s">
        <v>290</v>
      </c>
      <c r="C220" s="129">
        <v>43743</v>
      </c>
      <c r="D220" s="160">
        <f>+DAY(Ventas[[#This Row],[FECHA]])</f>
        <v>5</v>
      </c>
      <c r="E220" s="129" t="str">
        <f t="shared" si="15"/>
        <v>sábado</v>
      </c>
      <c r="F220" s="129" t="s">
        <v>624</v>
      </c>
      <c r="G220" s="185">
        <v>2</v>
      </c>
      <c r="H220" s="129"/>
      <c r="I220" s="185"/>
      <c r="J220" s="129"/>
      <c r="K220" s="185"/>
      <c r="L220" s="192"/>
      <c r="M220" s="127">
        <v>1210300</v>
      </c>
      <c r="N220" s="127"/>
      <c r="O220" s="127"/>
      <c r="P220" s="148"/>
    </row>
    <row r="221" spans="2:16" x14ac:dyDescent="0.25">
      <c r="B221" s="163"/>
      <c r="C221" s="129">
        <v>43744</v>
      </c>
      <c r="D221" s="160">
        <f>+DAY(Ventas[[#This Row],[FECHA]])</f>
        <v>6</v>
      </c>
      <c r="E221" s="129" t="str">
        <f t="shared" si="15"/>
        <v>domingo</v>
      </c>
      <c r="F221" s="129" t="s">
        <v>624</v>
      </c>
      <c r="G221" s="185">
        <v>2</v>
      </c>
      <c r="H221" s="129"/>
      <c r="I221" s="185"/>
      <c r="J221" s="129"/>
      <c r="K221" s="185"/>
      <c r="L221" s="192"/>
      <c r="M221" s="127">
        <v>1345600</v>
      </c>
      <c r="N221" s="127"/>
      <c r="O221" s="127"/>
      <c r="P221" s="148"/>
    </row>
    <row r="222" spans="2:16" x14ac:dyDescent="0.25">
      <c r="B222" s="163"/>
      <c r="C222" s="129">
        <v>43745</v>
      </c>
      <c r="D222" s="160">
        <f>+DAY(Ventas[[#This Row],[FECHA]])</f>
        <v>7</v>
      </c>
      <c r="E222" s="129" t="str">
        <f t="shared" si="15"/>
        <v>lunes</v>
      </c>
      <c r="F222" s="129" t="s">
        <v>626</v>
      </c>
      <c r="G222" s="185">
        <v>3</v>
      </c>
      <c r="H222" s="129"/>
      <c r="I222" s="185"/>
      <c r="J222" s="129"/>
      <c r="K222" s="185"/>
      <c r="L222" s="192"/>
      <c r="M222" s="127">
        <v>603500</v>
      </c>
      <c r="N222" s="127"/>
      <c r="O222" s="127"/>
      <c r="P222" s="148"/>
    </row>
    <row r="223" spans="2:16" x14ac:dyDescent="0.25">
      <c r="B223" s="163"/>
      <c r="C223" s="129">
        <v>43746</v>
      </c>
      <c r="D223" s="160">
        <f>+DAY(Ventas[[#This Row],[FECHA]])</f>
        <v>8</v>
      </c>
      <c r="E223" s="129" t="str">
        <f t="shared" si="15"/>
        <v>martes</v>
      </c>
      <c r="F223" s="129" t="s">
        <v>626</v>
      </c>
      <c r="G223" s="185">
        <v>3</v>
      </c>
      <c r="H223" s="129"/>
      <c r="I223" s="185"/>
      <c r="J223" s="129"/>
      <c r="K223" s="185"/>
      <c r="L223" s="192"/>
      <c r="M223" s="127">
        <v>426300</v>
      </c>
      <c r="N223" s="127"/>
      <c r="O223" s="127"/>
      <c r="P223" s="148"/>
    </row>
    <row r="224" spans="2:16" x14ac:dyDescent="0.25">
      <c r="B224" s="163"/>
      <c r="C224" s="129">
        <v>43747</v>
      </c>
      <c r="D224" s="160">
        <f>+DAY(Ventas[[#This Row],[FECHA]])</f>
        <v>9</v>
      </c>
      <c r="E224" s="129" t="str">
        <f t="shared" si="15"/>
        <v>miércoles</v>
      </c>
      <c r="F224" s="129" t="s">
        <v>626</v>
      </c>
      <c r="G224" s="185">
        <v>3</v>
      </c>
      <c r="H224" s="129"/>
      <c r="I224" s="185"/>
      <c r="J224" s="129"/>
      <c r="K224" s="185"/>
      <c r="L224" s="192"/>
      <c r="M224" s="127">
        <v>134000</v>
      </c>
      <c r="N224" s="127"/>
      <c r="O224" s="127"/>
      <c r="P224" s="148"/>
    </row>
    <row r="225" spans="2:18" x14ac:dyDescent="0.25">
      <c r="B225" s="163"/>
      <c r="C225" s="129">
        <v>43748</v>
      </c>
      <c r="D225" s="160">
        <f>+DAY(Ventas[[#This Row],[FECHA]])</f>
        <v>10</v>
      </c>
      <c r="E225" s="129" t="str">
        <f t="shared" si="15"/>
        <v>jueves</v>
      </c>
      <c r="F225" s="129" t="s">
        <v>626</v>
      </c>
      <c r="G225" s="185">
        <v>3</v>
      </c>
      <c r="H225" s="129"/>
      <c r="I225" s="185"/>
      <c r="J225" s="129"/>
      <c r="K225" s="185"/>
      <c r="L225" s="192"/>
      <c r="M225" s="127">
        <v>85500</v>
      </c>
      <c r="N225" s="127"/>
      <c r="O225" s="127"/>
      <c r="P225" s="148"/>
    </row>
    <row r="226" spans="2:18" x14ac:dyDescent="0.25">
      <c r="B226" s="163"/>
      <c r="C226" s="129">
        <v>43749</v>
      </c>
      <c r="D226" s="160">
        <f>+DAY(Ventas[[#This Row],[FECHA]])</f>
        <v>11</v>
      </c>
      <c r="E226" s="129" t="str">
        <f t="shared" si="15"/>
        <v>viernes</v>
      </c>
      <c r="F226" s="129" t="s">
        <v>624</v>
      </c>
      <c r="G226" s="185">
        <v>3</v>
      </c>
      <c r="H226" s="129"/>
      <c r="I226" s="185"/>
      <c r="J226" s="129"/>
      <c r="K226" s="185"/>
      <c r="L226" s="192"/>
      <c r="M226" s="127">
        <v>427900</v>
      </c>
      <c r="N226" s="127"/>
      <c r="O226" s="127"/>
      <c r="P226" s="148"/>
    </row>
    <row r="227" spans="2:18" x14ac:dyDescent="0.25">
      <c r="B227" s="163"/>
      <c r="C227" s="129">
        <v>43750</v>
      </c>
      <c r="D227" s="160">
        <f>+DAY(Ventas[[#This Row],[FECHA]])</f>
        <v>12</v>
      </c>
      <c r="E227" s="129" t="str">
        <f t="shared" si="15"/>
        <v>sábado</v>
      </c>
      <c r="F227" s="129" t="s">
        <v>624</v>
      </c>
      <c r="G227" s="185">
        <v>3</v>
      </c>
      <c r="H227" s="129"/>
      <c r="I227" s="185"/>
      <c r="J227" s="129"/>
      <c r="K227" s="185"/>
      <c r="L227" s="192"/>
      <c r="M227" s="127">
        <v>664500</v>
      </c>
      <c r="N227" s="127"/>
      <c r="O227" s="127"/>
      <c r="P227" s="148"/>
    </row>
    <row r="228" spans="2:18" x14ac:dyDescent="0.25">
      <c r="B228" s="163"/>
      <c r="C228" s="129">
        <v>43751</v>
      </c>
      <c r="D228" s="160">
        <f>+DAY(Ventas[[#This Row],[FECHA]])</f>
        <v>13</v>
      </c>
      <c r="E228" s="129" t="str">
        <f t="shared" si="15"/>
        <v>domingo</v>
      </c>
      <c r="F228" s="129" t="s">
        <v>624</v>
      </c>
      <c r="G228" s="185">
        <v>3</v>
      </c>
      <c r="H228" s="129" t="s">
        <v>455</v>
      </c>
      <c r="I228" s="185">
        <v>1</v>
      </c>
      <c r="J228" s="129" t="s">
        <v>358</v>
      </c>
      <c r="K228" s="185">
        <v>3</v>
      </c>
      <c r="L228" s="192">
        <v>8000</v>
      </c>
      <c r="M228" s="127">
        <f>+Ventas[[#This Row],[Precio item]]*Ventas[[#This Row],[Q]]</f>
        <v>24000</v>
      </c>
      <c r="N228" s="251"/>
      <c r="O228" s="127"/>
      <c r="P228" s="148"/>
      <c r="R228" s="248">
        <v>1391500</v>
      </c>
    </row>
    <row r="229" spans="2:18" x14ac:dyDescent="0.25">
      <c r="B229" s="164"/>
      <c r="C229" s="129">
        <v>43751</v>
      </c>
      <c r="D229" s="160">
        <f>+DAY(Ventas[[#This Row],[FECHA]])</f>
        <v>13</v>
      </c>
      <c r="E229" s="129" t="str">
        <f t="shared" ref="E229:E265" si="16">+TEXT(C229,"dddd")</f>
        <v>domingo</v>
      </c>
      <c r="F229" s="129" t="s">
        <v>624</v>
      </c>
      <c r="G229" s="185">
        <v>3</v>
      </c>
      <c r="H229" s="154" t="s">
        <v>455</v>
      </c>
      <c r="I229" s="191">
        <v>1</v>
      </c>
      <c r="J229" s="154" t="s">
        <v>375</v>
      </c>
      <c r="K229" s="191">
        <v>1</v>
      </c>
      <c r="L229" s="193">
        <v>80000</v>
      </c>
      <c r="M229" s="127">
        <f>+Ventas[[#This Row],[Precio item]]*Ventas[[#This Row],[Q]]</f>
        <v>80000</v>
      </c>
      <c r="N229" s="250"/>
      <c r="O229" s="156"/>
      <c r="P229" s="157"/>
      <c r="R229" s="248">
        <v>622000</v>
      </c>
    </row>
    <row r="230" spans="2:18" x14ac:dyDescent="0.25">
      <c r="B230" s="164"/>
      <c r="C230" s="129">
        <v>43751</v>
      </c>
      <c r="D230" s="160">
        <f>+DAY(Ventas[[#This Row],[FECHA]])</f>
        <v>13</v>
      </c>
      <c r="E230" s="129" t="str">
        <f t="shared" si="16"/>
        <v>domingo</v>
      </c>
      <c r="F230" s="129" t="s">
        <v>624</v>
      </c>
      <c r="G230" s="185">
        <v>3</v>
      </c>
      <c r="H230" s="154" t="s">
        <v>455</v>
      </c>
      <c r="I230" s="191">
        <v>1</v>
      </c>
      <c r="J230" s="154" t="s">
        <v>385</v>
      </c>
      <c r="K230" s="191">
        <v>1</v>
      </c>
      <c r="L230" s="193">
        <v>2500</v>
      </c>
      <c r="M230" s="127">
        <f>+Ventas[[#This Row],[Precio item]]*Ventas[[#This Row],[Q]]</f>
        <v>2500</v>
      </c>
      <c r="N230" s="250"/>
      <c r="O230" s="156"/>
      <c r="P230" s="157"/>
    </row>
    <row r="231" spans="2:18" x14ac:dyDescent="0.25">
      <c r="B231" s="164"/>
      <c r="C231" s="129">
        <v>43751</v>
      </c>
      <c r="D231" s="160">
        <f>+DAY(Ventas[[#This Row],[FECHA]])</f>
        <v>13</v>
      </c>
      <c r="E231" s="129" t="str">
        <f t="shared" si="16"/>
        <v>domingo</v>
      </c>
      <c r="F231" s="129" t="s">
        <v>624</v>
      </c>
      <c r="G231" s="185">
        <v>3</v>
      </c>
      <c r="H231" s="154" t="s">
        <v>455</v>
      </c>
      <c r="I231" s="191">
        <v>2</v>
      </c>
      <c r="J231" s="154" t="s">
        <v>358</v>
      </c>
      <c r="K231" s="191">
        <v>1</v>
      </c>
      <c r="L231" s="193">
        <v>6000</v>
      </c>
      <c r="M231" s="127">
        <f>+Ventas[[#This Row],[Precio item]]*Ventas[[#This Row],[Q]]</f>
        <v>6000</v>
      </c>
      <c r="N231" s="250" t="s">
        <v>519</v>
      </c>
      <c r="O231" s="156"/>
      <c r="P231" s="157"/>
    </row>
    <row r="232" spans="2:18" x14ac:dyDescent="0.25">
      <c r="B232" s="164"/>
      <c r="C232" s="129">
        <v>43751</v>
      </c>
      <c r="D232" s="160">
        <f>+DAY(Ventas[[#This Row],[FECHA]])</f>
        <v>13</v>
      </c>
      <c r="E232" s="129" t="str">
        <f t="shared" si="16"/>
        <v>domingo</v>
      </c>
      <c r="F232" s="129" t="s">
        <v>624</v>
      </c>
      <c r="G232" s="185">
        <v>3</v>
      </c>
      <c r="H232" s="154" t="s">
        <v>455</v>
      </c>
      <c r="I232" s="191">
        <v>2</v>
      </c>
      <c r="J232" s="154" t="s">
        <v>375</v>
      </c>
      <c r="K232" s="191">
        <v>1</v>
      </c>
      <c r="L232" s="193">
        <v>25000</v>
      </c>
      <c r="M232" s="127">
        <f>+Ventas[[#This Row],[Precio item]]*Ventas[[#This Row],[Q]]</f>
        <v>25000</v>
      </c>
      <c r="N232" s="250"/>
      <c r="O232" s="156"/>
      <c r="P232" s="157"/>
    </row>
    <row r="233" spans="2:18" x14ac:dyDescent="0.25">
      <c r="B233" s="164"/>
      <c r="C233" s="129">
        <v>43751</v>
      </c>
      <c r="D233" s="160">
        <f>+DAY(Ventas[[#This Row],[FECHA]])</f>
        <v>13</v>
      </c>
      <c r="E233" s="129" t="str">
        <f t="shared" si="16"/>
        <v>domingo</v>
      </c>
      <c r="F233" s="129" t="s">
        <v>624</v>
      </c>
      <c r="G233" s="185">
        <v>3</v>
      </c>
      <c r="H233" s="154" t="s">
        <v>386</v>
      </c>
      <c r="I233" s="191">
        <v>3</v>
      </c>
      <c r="J233" s="154" t="s">
        <v>375</v>
      </c>
      <c r="K233" s="191">
        <v>1</v>
      </c>
      <c r="L233" s="193">
        <v>20000</v>
      </c>
      <c r="M233" s="127">
        <f>+Ventas[[#This Row],[Precio item]]*Ventas[[#This Row],[Q]]</f>
        <v>20000</v>
      </c>
      <c r="N233" s="250"/>
      <c r="O233" s="156"/>
      <c r="P233" s="157"/>
    </row>
    <row r="234" spans="2:18" x14ac:dyDescent="0.25">
      <c r="B234" s="164"/>
      <c r="C234" s="129">
        <v>43751</v>
      </c>
      <c r="D234" s="160">
        <f>+DAY(Ventas[[#This Row],[FECHA]])</f>
        <v>13</v>
      </c>
      <c r="E234" s="129" t="str">
        <f t="shared" si="16"/>
        <v>domingo</v>
      </c>
      <c r="F234" s="129" t="s">
        <v>624</v>
      </c>
      <c r="G234" s="185">
        <v>3</v>
      </c>
      <c r="H234" s="154" t="s">
        <v>217</v>
      </c>
      <c r="I234" s="191">
        <v>4</v>
      </c>
      <c r="J234" s="154" t="s">
        <v>375</v>
      </c>
      <c r="K234" s="191">
        <v>1</v>
      </c>
      <c r="L234" s="193">
        <v>20000</v>
      </c>
      <c r="M234" s="127">
        <f>+Ventas[[#This Row],[Precio item]]*Ventas[[#This Row],[Q]]</f>
        <v>20000</v>
      </c>
      <c r="N234" s="250"/>
      <c r="O234" s="156"/>
      <c r="P234" s="157"/>
    </row>
    <row r="235" spans="2:18" x14ac:dyDescent="0.25">
      <c r="B235" s="164"/>
      <c r="C235" s="129">
        <v>43751</v>
      </c>
      <c r="D235" s="160">
        <f>+DAY(Ventas[[#This Row],[FECHA]])</f>
        <v>13</v>
      </c>
      <c r="E235" s="129" t="str">
        <f t="shared" si="16"/>
        <v>domingo</v>
      </c>
      <c r="F235" s="129" t="s">
        <v>624</v>
      </c>
      <c r="G235" s="185">
        <v>3</v>
      </c>
      <c r="H235" s="154" t="s">
        <v>217</v>
      </c>
      <c r="I235" s="191">
        <v>4</v>
      </c>
      <c r="J235" s="154" t="s">
        <v>378</v>
      </c>
      <c r="K235" s="191">
        <v>4</v>
      </c>
      <c r="L235" s="193">
        <v>2500</v>
      </c>
      <c r="M235" s="127">
        <f>+Ventas[[#This Row],[Precio item]]*Ventas[[#This Row],[Q]]</f>
        <v>10000</v>
      </c>
      <c r="N235" s="250"/>
      <c r="O235" s="156"/>
      <c r="P235" s="157"/>
    </row>
    <row r="236" spans="2:18" x14ac:dyDescent="0.25">
      <c r="B236" s="164"/>
      <c r="C236" s="129">
        <v>43751</v>
      </c>
      <c r="D236" s="160">
        <f>+DAY(Ventas[[#This Row],[FECHA]])</f>
        <v>13</v>
      </c>
      <c r="E236" s="129" t="str">
        <f t="shared" si="16"/>
        <v>domingo</v>
      </c>
      <c r="F236" s="129" t="s">
        <v>624</v>
      </c>
      <c r="G236" s="185">
        <v>3</v>
      </c>
      <c r="H236" s="154" t="s">
        <v>386</v>
      </c>
      <c r="I236" s="191">
        <v>5</v>
      </c>
      <c r="J236" s="154" t="s">
        <v>375</v>
      </c>
      <c r="K236" s="191">
        <v>1</v>
      </c>
      <c r="L236" s="193">
        <v>30000</v>
      </c>
      <c r="M236" s="127">
        <f>+Ventas[[#This Row],[Precio item]]*Ventas[[#This Row],[Q]]</f>
        <v>30000</v>
      </c>
      <c r="N236" s="250"/>
      <c r="O236" s="156"/>
      <c r="P236" s="157"/>
    </row>
    <row r="237" spans="2:18" x14ac:dyDescent="0.25">
      <c r="B237" s="164"/>
      <c r="C237" s="129">
        <v>43751</v>
      </c>
      <c r="D237" s="160">
        <f>+DAY(Ventas[[#This Row],[FECHA]])</f>
        <v>13</v>
      </c>
      <c r="E237" s="129" t="str">
        <f t="shared" si="16"/>
        <v>domingo</v>
      </c>
      <c r="F237" s="129" t="s">
        <v>624</v>
      </c>
      <c r="G237" s="185">
        <v>3</v>
      </c>
      <c r="H237" s="154" t="s">
        <v>386</v>
      </c>
      <c r="I237" s="191">
        <v>5</v>
      </c>
      <c r="J237" s="154" t="s">
        <v>358</v>
      </c>
      <c r="K237" s="191">
        <v>1</v>
      </c>
      <c r="L237" s="193">
        <v>6000</v>
      </c>
      <c r="M237" s="127">
        <f>+Ventas[[#This Row],[Precio item]]*Ventas[[#This Row],[Q]]</f>
        <v>6000</v>
      </c>
      <c r="N237" s="250" t="s">
        <v>519</v>
      </c>
      <c r="O237" s="156"/>
      <c r="P237" s="157"/>
    </row>
    <row r="238" spans="2:18" x14ac:dyDescent="0.25">
      <c r="B238" s="164"/>
      <c r="C238" s="129">
        <v>43751</v>
      </c>
      <c r="D238" s="160">
        <f>+DAY(Ventas[[#This Row],[FECHA]])</f>
        <v>13</v>
      </c>
      <c r="E238" s="129" t="str">
        <f t="shared" si="16"/>
        <v>domingo</v>
      </c>
      <c r="F238" s="129" t="s">
        <v>624</v>
      </c>
      <c r="G238" s="185">
        <v>3</v>
      </c>
      <c r="H238" s="154" t="s">
        <v>386</v>
      </c>
      <c r="I238" s="191">
        <v>5</v>
      </c>
      <c r="J238" s="154" t="s">
        <v>529</v>
      </c>
      <c r="K238" s="191">
        <v>1</v>
      </c>
      <c r="L238" s="193">
        <f>3000+2000</f>
        <v>5000</v>
      </c>
      <c r="M238" s="127">
        <f>+Ventas[[#This Row],[Precio item]]*Ventas[[#This Row],[Q]]</f>
        <v>5000</v>
      </c>
      <c r="N238" s="250"/>
      <c r="O238" s="156"/>
      <c r="P238" s="157"/>
    </row>
    <row r="239" spans="2:18" x14ac:dyDescent="0.25">
      <c r="B239" s="164"/>
      <c r="C239" s="129">
        <v>43751</v>
      </c>
      <c r="D239" s="160">
        <f>+DAY(Ventas[[#This Row],[FECHA]])</f>
        <v>13</v>
      </c>
      <c r="E239" s="129" t="str">
        <f t="shared" si="16"/>
        <v>domingo</v>
      </c>
      <c r="F239" s="129" t="s">
        <v>624</v>
      </c>
      <c r="G239" s="185">
        <v>3</v>
      </c>
      <c r="H239" s="154" t="s">
        <v>386</v>
      </c>
      <c r="I239" s="191">
        <v>6</v>
      </c>
      <c r="J239" s="154" t="s">
        <v>375</v>
      </c>
      <c r="K239" s="191">
        <v>1</v>
      </c>
      <c r="L239" s="193">
        <v>50000</v>
      </c>
      <c r="M239" s="127">
        <f>+Ventas[[#This Row],[Precio item]]*Ventas[[#This Row],[Q]]</f>
        <v>50000</v>
      </c>
      <c r="N239" s="250"/>
      <c r="O239" s="156"/>
      <c r="P239" s="157"/>
    </row>
    <row r="240" spans="2:18" x14ac:dyDescent="0.25">
      <c r="B240" s="164"/>
      <c r="C240" s="129">
        <v>43751</v>
      </c>
      <c r="D240" s="160">
        <f>+DAY(Ventas[[#This Row],[FECHA]])</f>
        <v>13</v>
      </c>
      <c r="E240" s="129" t="str">
        <f t="shared" si="16"/>
        <v>domingo</v>
      </c>
      <c r="F240" s="129" t="s">
        <v>624</v>
      </c>
      <c r="G240" s="185">
        <v>3</v>
      </c>
      <c r="H240" s="154" t="s">
        <v>386</v>
      </c>
      <c r="I240" s="191">
        <v>7</v>
      </c>
      <c r="J240" s="154" t="s">
        <v>375</v>
      </c>
      <c r="K240" s="191">
        <v>1</v>
      </c>
      <c r="L240" s="193">
        <v>40000</v>
      </c>
      <c r="M240" s="127">
        <f>+Ventas[[#This Row],[Precio item]]*Ventas[[#This Row],[Q]]</f>
        <v>40000</v>
      </c>
      <c r="N240" s="250"/>
      <c r="O240" s="156"/>
      <c r="P240" s="157"/>
    </row>
    <row r="241" spans="2:18" x14ac:dyDescent="0.25">
      <c r="B241" s="164"/>
      <c r="C241" s="129">
        <v>43751</v>
      </c>
      <c r="D241" s="160">
        <f>+DAY(Ventas[[#This Row],[FECHA]])</f>
        <v>13</v>
      </c>
      <c r="E241" s="129" t="str">
        <f t="shared" si="16"/>
        <v>domingo</v>
      </c>
      <c r="F241" s="129" t="s">
        <v>624</v>
      </c>
      <c r="G241" s="185">
        <v>3</v>
      </c>
      <c r="H241" s="154" t="s">
        <v>386</v>
      </c>
      <c r="I241" s="191">
        <v>7</v>
      </c>
      <c r="J241" s="154" t="s">
        <v>468</v>
      </c>
      <c r="K241" s="191">
        <v>4</v>
      </c>
      <c r="L241" s="193">
        <v>3000</v>
      </c>
      <c r="M241" s="127">
        <f>+Ventas[[#This Row],[Precio item]]*Ventas[[#This Row],[Q]]</f>
        <v>12000</v>
      </c>
      <c r="N241" s="250" t="s">
        <v>547</v>
      </c>
      <c r="O241" s="156"/>
      <c r="P241" s="157"/>
    </row>
    <row r="242" spans="2:18" x14ac:dyDescent="0.25">
      <c r="B242" s="164"/>
      <c r="C242" s="129">
        <v>43751</v>
      </c>
      <c r="D242" s="160">
        <f>+DAY(Ventas[[#This Row],[FECHA]])</f>
        <v>13</v>
      </c>
      <c r="E242" s="129" t="str">
        <f t="shared" si="16"/>
        <v>domingo</v>
      </c>
      <c r="F242" s="129" t="s">
        <v>624</v>
      </c>
      <c r="G242" s="185">
        <v>3</v>
      </c>
      <c r="H242" s="154" t="s">
        <v>455</v>
      </c>
      <c r="I242" s="191">
        <v>8</v>
      </c>
      <c r="J242" s="154" t="s">
        <v>358</v>
      </c>
      <c r="K242" s="191">
        <v>4</v>
      </c>
      <c r="L242" s="193">
        <v>6000</v>
      </c>
      <c r="M242" s="127">
        <f>+Ventas[[#This Row],[Precio item]]*Ventas[[#This Row],[Q]]</f>
        <v>24000</v>
      </c>
      <c r="N242" s="250"/>
      <c r="O242" s="156"/>
      <c r="P242" s="157"/>
    </row>
    <row r="243" spans="2:18" x14ac:dyDescent="0.25">
      <c r="B243" s="164"/>
      <c r="C243" s="129">
        <v>43751</v>
      </c>
      <c r="D243" s="160">
        <f>+DAY(Ventas[[#This Row],[FECHA]])</f>
        <v>13</v>
      </c>
      <c r="E243" s="129" t="str">
        <f t="shared" si="16"/>
        <v>domingo</v>
      </c>
      <c r="F243" s="129" t="s">
        <v>624</v>
      </c>
      <c r="G243" s="185">
        <v>3</v>
      </c>
      <c r="H243" s="154" t="s">
        <v>455</v>
      </c>
      <c r="I243" s="191">
        <v>8</v>
      </c>
      <c r="J243" s="154" t="s">
        <v>375</v>
      </c>
      <c r="K243" s="191">
        <v>1</v>
      </c>
      <c r="L243" s="193">
        <v>40000</v>
      </c>
      <c r="M243" s="127">
        <f>+Ventas[[#This Row],[Precio item]]*Ventas[[#This Row],[Q]]</f>
        <v>40000</v>
      </c>
      <c r="N243" s="250"/>
      <c r="O243" s="156"/>
      <c r="P243" s="157"/>
    </row>
    <row r="244" spans="2:18" x14ac:dyDescent="0.25">
      <c r="B244" s="164"/>
      <c r="C244" s="129">
        <v>43751</v>
      </c>
      <c r="D244" s="160">
        <f>+DAY(Ventas[[#This Row],[FECHA]])</f>
        <v>13</v>
      </c>
      <c r="E244" s="129" t="str">
        <f t="shared" si="16"/>
        <v>domingo</v>
      </c>
      <c r="F244" s="129" t="s">
        <v>624</v>
      </c>
      <c r="G244" s="185">
        <v>3</v>
      </c>
      <c r="H244" s="154" t="s">
        <v>455</v>
      </c>
      <c r="I244" s="191">
        <v>8</v>
      </c>
      <c r="J244" s="154" t="s">
        <v>405</v>
      </c>
      <c r="K244" s="191">
        <v>1</v>
      </c>
      <c r="L244" s="193">
        <v>5000</v>
      </c>
      <c r="M244" s="127">
        <f>+Ventas[[#This Row],[Precio item]]*Ventas[[#This Row],[Q]]</f>
        <v>5000</v>
      </c>
      <c r="N244" s="250"/>
      <c r="O244" s="156"/>
      <c r="P244" s="157"/>
    </row>
    <row r="245" spans="2:18" x14ac:dyDescent="0.25">
      <c r="B245" s="164"/>
      <c r="C245" s="129">
        <v>43751</v>
      </c>
      <c r="D245" s="160">
        <f>+DAY(Ventas[[#This Row],[FECHA]])</f>
        <v>13</v>
      </c>
      <c r="E245" s="129" t="str">
        <f t="shared" si="16"/>
        <v>domingo</v>
      </c>
      <c r="F245" s="129" t="s">
        <v>624</v>
      </c>
      <c r="G245" s="185">
        <v>3</v>
      </c>
      <c r="H245" s="154" t="s">
        <v>386</v>
      </c>
      <c r="I245" s="191">
        <v>9</v>
      </c>
      <c r="J245" s="154" t="s">
        <v>427</v>
      </c>
      <c r="K245" s="191">
        <v>1</v>
      </c>
      <c r="L245" s="193">
        <v>6000</v>
      </c>
      <c r="M245" s="127">
        <f>+Ventas[[#This Row],[Precio item]]*Ventas[[#This Row],[Q]]</f>
        <v>6000</v>
      </c>
      <c r="N245" s="250"/>
      <c r="O245" s="156"/>
      <c r="P245" s="157"/>
    </row>
    <row r="246" spans="2:18" x14ac:dyDescent="0.25">
      <c r="B246" s="164"/>
      <c r="C246" s="129">
        <v>43751</v>
      </c>
      <c r="D246" s="160">
        <f>+DAY(Ventas[[#This Row],[FECHA]])</f>
        <v>13</v>
      </c>
      <c r="E246" s="129" t="str">
        <f t="shared" si="16"/>
        <v>domingo</v>
      </c>
      <c r="F246" s="129" t="s">
        <v>624</v>
      </c>
      <c r="G246" s="185">
        <v>3</v>
      </c>
      <c r="H246" s="154" t="s">
        <v>386</v>
      </c>
      <c r="I246" s="191">
        <v>9</v>
      </c>
      <c r="J246" s="154" t="s">
        <v>375</v>
      </c>
      <c r="K246" s="191">
        <v>1</v>
      </c>
      <c r="L246" s="193">
        <v>50000</v>
      </c>
      <c r="M246" s="127">
        <f>+Ventas[[#This Row],[Precio item]]*Ventas[[#This Row],[Q]]</f>
        <v>50000</v>
      </c>
      <c r="N246" s="250"/>
      <c r="O246" s="156"/>
      <c r="P246" s="157"/>
    </row>
    <row r="247" spans="2:18" x14ac:dyDescent="0.25">
      <c r="B247" s="164"/>
      <c r="C247" s="129">
        <v>43751</v>
      </c>
      <c r="D247" s="160">
        <f>+DAY(Ventas[[#This Row],[FECHA]])</f>
        <v>13</v>
      </c>
      <c r="E247" s="129" t="str">
        <f t="shared" si="16"/>
        <v>domingo</v>
      </c>
      <c r="F247" s="129" t="s">
        <v>624</v>
      </c>
      <c r="G247" s="185">
        <v>3</v>
      </c>
      <c r="H247" s="154" t="s">
        <v>386</v>
      </c>
      <c r="I247" s="191">
        <v>9</v>
      </c>
      <c r="J247" s="154" t="s">
        <v>457</v>
      </c>
      <c r="K247" s="191">
        <v>3</v>
      </c>
      <c r="L247" s="193">
        <v>2000</v>
      </c>
      <c r="M247" s="127">
        <f>+Ventas[[#This Row],[Precio item]]*Ventas[[#This Row],[Q]]</f>
        <v>6000</v>
      </c>
      <c r="N247" s="250"/>
      <c r="O247" s="156"/>
      <c r="P247" s="157"/>
    </row>
    <row r="248" spans="2:18" x14ac:dyDescent="0.25">
      <c r="B248" s="164"/>
      <c r="C248" s="129">
        <v>43751</v>
      </c>
      <c r="D248" s="160">
        <f>+DAY(Ventas[[#This Row],[FECHA]])</f>
        <v>13</v>
      </c>
      <c r="E248" s="129" t="str">
        <f t="shared" si="16"/>
        <v>domingo</v>
      </c>
      <c r="F248" s="129" t="s">
        <v>624</v>
      </c>
      <c r="G248" s="185">
        <v>3</v>
      </c>
      <c r="H248" s="154" t="s">
        <v>386</v>
      </c>
      <c r="I248" s="191">
        <v>9</v>
      </c>
      <c r="J248" s="154" t="s">
        <v>385</v>
      </c>
      <c r="K248" s="191">
        <v>2</v>
      </c>
      <c r="L248" s="193">
        <v>2500</v>
      </c>
      <c r="M248" s="127">
        <f>+Ventas[[#This Row],[Precio item]]*Ventas[[#This Row],[Q]]</f>
        <v>5000</v>
      </c>
      <c r="N248" s="250"/>
      <c r="O248" s="156"/>
      <c r="P248" s="157"/>
    </row>
    <row r="249" spans="2:18" x14ac:dyDescent="0.25">
      <c r="B249" s="164"/>
      <c r="C249" s="129">
        <v>43751</v>
      </c>
      <c r="D249" s="160">
        <f>+DAY(Ventas[[#This Row],[FECHA]])</f>
        <v>13</v>
      </c>
      <c r="E249" s="129" t="str">
        <f t="shared" si="16"/>
        <v>domingo</v>
      </c>
      <c r="F249" s="129" t="s">
        <v>624</v>
      </c>
      <c r="G249" s="185">
        <v>3</v>
      </c>
      <c r="H249" s="154" t="s">
        <v>386</v>
      </c>
      <c r="I249" s="191">
        <v>10</v>
      </c>
      <c r="J249" s="154" t="s">
        <v>375</v>
      </c>
      <c r="K249" s="191">
        <v>1</v>
      </c>
      <c r="L249" s="193">
        <v>70000</v>
      </c>
      <c r="M249" s="127">
        <f>+Ventas[[#This Row],[Precio item]]*Ventas[[#This Row],[Q]]</f>
        <v>70000</v>
      </c>
      <c r="N249" s="250"/>
      <c r="O249" s="156"/>
      <c r="P249" s="157"/>
    </row>
    <row r="250" spans="2:18" x14ac:dyDescent="0.25">
      <c r="B250" s="164"/>
      <c r="C250" s="129">
        <v>43751</v>
      </c>
      <c r="D250" s="160">
        <f>+DAY(Ventas[[#This Row],[FECHA]])</f>
        <v>13</v>
      </c>
      <c r="E250" s="129" t="str">
        <f t="shared" si="16"/>
        <v>domingo</v>
      </c>
      <c r="F250" s="129" t="s">
        <v>624</v>
      </c>
      <c r="G250" s="185">
        <v>3</v>
      </c>
      <c r="H250" s="154" t="s">
        <v>455</v>
      </c>
      <c r="I250" s="191">
        <v>11</v>
      </c>
      <c r="J250" s="154" t="s">
        <v>375</v>
      </c>
      <c r="K250" s="191">
        <v>1</v>
      </c>
      <c r="L250" s="193">
        <v>120000</v>
      </c>
      <c r="M250" s="127">
        <f>+Ventas[[#This Row],[Precio item]]*Ventas[[#This Row],[Q]]</f>
        <v>120000</v>
      </c>
      <c r="N250" s="250"/>
      <c r="O250" s="156"/>
      <c r="P250" s="157"/>
    </row>
    <row r="251" spans="2:18" x14ac:dyDescent="0.25">
      <c r="B251" s="164"/>
      <c r="C251" s="129">
        <v>43751</v>
      </c>
      <c r="D251" s="160">
        <f>+DAY(Ventas[[#This Row],[FECHA]])</f>
        <v>13</v>
      </c>
      <c r="E251" s="129" t="str">
        <f t="shared" si="16"/>
        <v>domingo</v>
      </c>
      <c r="F251" s="129" t="s">
        <v>624</v>
      </c>
      <c r="G251" s="185">
        <v>3</v>
      </c>
      <c r="H251" s="154" t="s">
        <v>455</v>
      </c>
      <c r="I251" s="191">
        <v>11</v>
      </c>
      <c r="J251" s="154" t="s">
        <v>358</v>
      </c>
      <c r="K251" s="191">
        <v>5</v>
      </c>
      <c r="L251" s="193">
        <v>4000</v>
      </c>
      <c r="M251" s="127">
        <f>+Ventas[[#This Row],[Precio item]]*Ventas[[#This Row],[Q]]</f>
        <v>20000</v>
      </c>
      <c r="N251" s="250"/>
      <c r="O251" s="156"/>
      <c r="P251" s="157"/>
    </row>
    <row r="252" spans="2:18" x14ac:dyDescent="0.25">
      <c r="B252" s="164"/>
      <c r="C252" s="129">
        <v>43751</v>
      </c>
      <c r="D252" s="160">
        <f>+DAY(Ventas[[#This Row],[FECHA]])</f>
        <v>13</v>
      </c>
      <c r="E252" s="129" t="str">
        <f t="shared" si="16"/>
        <v>domingo</v>
      </c>
      <c r="F252" s="129" t="s">
        <v>624</v>
      </c>
      <c r="G252" s="185">
        <v>3</v>
      </c>
      <c r="H252" s="154" t="s">
        <v>455</v>
      </c>
      <c r="I252" s="191">
        <v>11</v>
      </c>
      <c r="J252" s="154" t="s">
        <v>410</v>
      </c>
      <c r="K252" s="191">
        <v>1</v>
      </c>
      <c r="L252" s="193">
        <v>4000</v>
      </c>
      <c r="M252" s="127">
        <f>+Ventas[[#This Row],[Precio item]]*Ventas[[#This Row],[Q]]</f>
        <v>4000</v>
      </c>
      <c r="N252" s="250"/>
      <c r="O252" s="156"/>
      <c r="P252" s="157"/>
    </row>
    <row r="253" spans="2:18" x14ac:dyDescent="0.25">
      <c r="B253" s="164"/>
      <c r="C253" s="129">
        <v>43751</v>
      </c>
      <c r="D253" s="160">
        <f>+DAY(Ventas[[#This Row],[FECHA]])</f>
        <v>13</v>
      </c>
      <c r="E253" s="129" t="str">
        <f t="shared" si="16"/>
        <v>domingo</v>
      </c>
      <c r="F253" s="129" t="s">
        <v>624</v>
      </c>
      <c r="G253" s="185">
        <v>3</v>
      </c>
      <c r="H253" s="154" t="s">
        <v>455</v>
      </c>
      <c r="I253" s="191">
        <v>12</v>
      </c>
      <c r="J253" s="154" t="s">
        <v>358</v>
      </c>
      <c r="K253" s="191">
        <v>2</v>
      </c>
      <c r="L253" s="193">
        <v>6000</v>
      </c>
      <c r="M253" s="127">
        <f>+Ventas[[#This Row],[Precio item]]*Ventas[[#This Row],[Q]]</f>
        <v>12000</v>
      </c>
      <c r="N253" s="250" t="s">
        <v>549</v>
      </c>
      <c r="O253" s="156"/>
      <c r="P253" s="157"/>
    </row>
    <row r="254" spans="2:18" x14ac:dyDescent="0.25">
      <c r="B254" s="164"/>
      <c r="C254" s="129">
        <v>43751</v>
      </c>
      <c r="D254" s="160">
        <f>+DAY(Ventas[[#This Row],[FECHA]])</f>
        <v>13</v>
      </c>
      <c r="E254" s="129" t="str">
        <f t="shared" si="16"/>
        <v>domingo</v>
      </c>
      <c r="F254" s="129" t="s">
        <v>624</v>
      </c>
      <c r="G254" s="185">
        <v>3</v>
      </c>
      <c r="H254" s="154" t="s">
        <v>455</v>
      </c>
      <c r="I254" s="191">
        <v>12</v>
      </c>
      <c r="J254" s="154" t="s">
        <v>375</v>
      </c>
      <c r="K254" s="191">
        <v>1</v>
      </c>
      <c r="L254" s="193">
        <v>50000</v>
      </c>
      <c r="M254" s="127">
        <f>+Ventas[[#This Row],[Precio item]]*Ventas[[#This Row],[Q]]</f>
        <v>50000</v>
      </c>
      <c r="N254" s="250" t="s">
        <v>549</v>
      </c>
      <c r="O254" s="156"/>
      <c r="P254" s="157"/>
      <c r="R254" s="248">
        <v>352300</v>
      </c>
    </row>
    <row r="255" spans="2:18" x14ac:dyDescent="0.25">
      <c r="B255" s="164"/>
      <c r="C255" s="129">
        <v>43751</v>
      </c>
      <c r="D255" s="160">
        <f>+DAY(Ventas[[#This Row],[FECHA]])</f>
        <v>13</v>
      </c>
      <c r="E255" s="129" t="str">
        <f t="shared" si="16"/>
        <v>domingo</v>
      </c>
      <c r="F255" s="129" t="s">
        <v>624</v>
      </c>
      <c r="G255" s="185">
        <v>3</v>
      </c>
      <c r="H255" s="154" t="s">
        <v>455</v>
      </c>
      <c r="I255" s="191">
        <v>12</v>
      </c>
      <c r="J255" s="154" t="s">
        <v>433</v>
      </c>
      <c r="K255" s="191">
        <v>1</v>
      </c>
      <c r="L255" s="193">
        <v>4500</v>
      </c>
      <c r="M255" s="127">
        <f>+Ventas[[#This Row],[Precio item]]*Ventas[[#This Row],[Q]]</f>
        <v>4500</v>
      </c>
      <c r="N255" s="250" t="s">
        <v>549</v>
      </c>
      <c r="O255" s="156"/>
      <c r="P255" s="157"/>
    </row>
    <row r="256" spans="2:18" x14ac:dyDescent="0.25">
      <c r="B256" s="164"/>
      <c r="C256" s="129">
        <v>43751</v>
      </c>
      <c r="D256" s="160">
        <f>+DAY(Ventas[[#This Row],[FECHA]])</f>
        <v>13</v>
      </c>
      <c r="E256" s="129" t="str">
        <f t="shared" si="16"/>
        <v>domingo</v>
      </c>
      <c r="F256" s="129" t="s">
        <v>624</v>
      </c>
      <c r="G256" s="185">
        <v>3</v>
      </c>
      <c r="H256" s="154" t="s">
        <v>455</v>
      </c>
      <c r="I256" s="191">
        <v>12</v>
      </c>
      <c r="J256" s="154" t="s">
        <v>457</v>
      </c>
      <c r="K256" s="191">
        <v>1</v>
      </c>
      <c r="L256" s="193">
        <v>2000</v>
      </c>
      <c r="M256" s="127">
        <f>+Ventas[[#This Row],[Precio item]]*Ventas[[#This Row],[Q]]</f>
        <v>2000</v>
      </c>
      <c r="N256" s="250" t="s">
        <v>549</v>
      </c>
      <c r="O256" s="156"/>
      <c r="P256" s="157"/>
    </row>
    <row r="257" spans="2:16" x14ac:dyDescent="0.25">
      <c r="B257" s="164"/>
      <c r="C257" s="129">
        <v>43751</v>
      </c>
      <c r="D257" s="160">
        <f>+DAY(Ventas[[#This Row],[FECHA]])</f>
        <v>13</v>
      </c>
      <c r="E257" s="129" t="str">
        <f t="shared" si="16"/>
        <v>domingo</v>
      </c>
      <c r="F257" s="129" t="s">
        <v>624</v>
      </c>
      <c r="G257" s="185">
        <v>3</v>
      </c>
      <c r="H257" s="154" t="s">
        <v>455</v>
      </c>
      <c r="I257" s="191">
        <v>12</v>
      </c>
      <c r="J257" s="154" t="s">
        <v>548</v>
      </c>
      <c r="K257" s="191">
        <v>1</v>
      </c>
      <c r="L257" s="193">
        <v>2000</v>
      </c>
      <c r="M257" s="127">
        <f>+Ventas[[#This Row],[Precio item]]*Ventas[[#This Row],[Q]]</f>
        <v>2000</v>
      </c>
      <c r="N257" s="250" t="s">
        <v>549</v>
      </c>
      <c r="O257" s="156"/>
      <c r="P257" s="157"/>
    </row>
    <row r="258" spans="2:16" x14ac:dyDescent="0.25">
      <c r="B258" s="164"/>
      <c r="C258" s="129">
        <v>43751</v>
      </c>
      <c r="D258" s="160">
        <f>+DAY(Ventas[[#This Row],[FECHA]])</f>
        <v>13</v>
      </c>
      <c r="E258" s="129" t="str">
        <f t="shared" si="16"/>
        <v>domingo</v>
      </c>
      <c r="F258" s="129" t="s">
        <v>624</v>
      </c>
      <c r="G258" s="185">
        <v>3</v>
      </c>
      <c r="H258" s="154" t="s">
        <v>386</v>
      </c>
      <c r="I258" s="191">
        <v>13</v>
      </c>
      <c r="J258" s="154" t="s">
        <v>375</v>
      </c>
      <c r="K258" s="191">
        <v>1</v>
      </c>
      <c r="L258" s="193">
        <v>100000</v>
      </c>
      <c r="M258" s="127">
        <f>+Ventas[[#This Row],[Precio item]]*Ventas[[#This Row],[Q]]</f>
        <v>100000</v>
      </c>
      <c r="N258" s="250"/>
      <c r="O258" s="156"/>
      <c r="P258" s="157"/>
    </row>
    <row r="259" spans="2:16" x14ac:dyDescent="0.25">
      <c r="B259" s="164"/>
      <c r="C259" s="129">
        <v>43751</v>
      </c>
      <c r="D259" s="160">
        <f>+DAY(Ventas[[#This Row],[FECHA]])</f>
        <v>13</v>
      </c>
      <c r="E259" s="129" t="str">
        <f t="shared" si="16"/>
        <v>domingo</v>
      </c>
      <c r="F259" s="129" t="s">
        <v>624</v>
      </c>
      <c r="G259" s="185">
        <v>3</v>
      </c>
      <c r="H259" s="154" t="s">
        <v>386</v>
      </c>
      <c r="I259" s="191">
        <v>14</v>
      </c>
      <c r="J259" s="154" t="s">
        <v>353</v>
      </c>
      <c r="K259" s="191">
        <v>3</v>
      </c>
      <c r="L259" s="193">
        <v>10000</v>
      </c>
      <c r="M259" s="127">
        <f>+Ventas[[#This Row],[Precio item]]*Ventas[[#This Row],[Q]]</f>
        <v>30000</v>
      </c>
      <c r="N259" s="250"/>
      <c r="O259" s="156"/>
      <c r="P259" s="157"/>
    </row>
    <row r="260" spans="2:16" x14ac:dyDescent="0.25">
      <c r="B260" s="164"/>
      <c r="C260" s="129">
        <v>43751</v>
      </c>
      <c r="D260" s="160">
        <f>+DAY(Ventas[[#This Row],[FECHA]])</f>
        <v>13</v>
      </c>
      <c r="E260" s="129" t="str">
        <f t="shared" si="16"/>
        <v>domingo</v>
      </c>
      <c r="F260" s="129" t="s">
        <v>624</v>
      </c>
      <c r="G260" s="185">
        <v>3</v>
      </c>
      <c r="H260" s="154" t="s">
        <v>386</v>
      </c>
      <c r="I260" s="191">
        <v>14</v>
      </c>
      <c r="J260" s="154" t="s">
        <v>529</v>
      </c>
      <c r="K260" s="191">
        <v>1</v>
      </c>
      <c r="L260" s="193">
        <f>3000+2000</f>
        <v>5000</v>
      </c>
      <c r="M260" s="127">
        <f>+Ventas[[#This Row],[Precio item]]*Ventas[[#This Row],[Q]]</f>
        <v>5000</v>
      </c>
      <c r="N260" s="250"/>
      <c r="O260" s="156"/>
      <c r="P260" s="157"/>
    </row>
    <row r="261" spans="2:16" x14ac:dyDescent="0.25">
      <c r="B261" s="164"/>
      <c r="C261" s="129">
        <v>43751</v>
      </c>
      <c r="D261" s="160">
        <f>+DAY(Ventas[[#This Row],[FECHA]])</f>
        <v>13</v>
      </c>
      <c r="E261" s="129" t="str">
        <f t="shared" si="16"/>
        <v>domingo</v>
      </c>
      <c r="F261" s="129" t="s">
        <v>624</v>
      </c>
      <c r="G261" s="185">
        <v>3</v>
      </c>
      <c r="H261" s="154" t="s">
        <v>386</v>
      </c>
      <c r="I261" s="191">
        <v>15</v>
      </c>
      <c r="J261" s="154" t="s">
        <v>375</v>
      </c>
      <c r="K261" s="191">
        <v>1</v>
      </c>
      <c r="L261" s="193">
        <v>15000</v>
      </c>
      <c r="M261" s="127">
        <f>+Ventas[[#This Row],[Precio item]]*Ventas[[#This Row],[Q]]</f>
        <v>15000</v>
      </c>
      <c r="N261" s="250"/>
      <c r="O261" s="156"/>
      <c r="P261" s="157"/>
    </row>
    <row r="262" spans="2:16" x14ac:dyDescent="0.25">
      <c r="B262" s="164"/>
      <c r="C262" s="129">
        <v>43751</v>
      </c>
      <c r="D262" s="160">
        <f>+DAY(Ventas[[#This Row],[FECHA]])</f>
        <v>13</v>
      </c>
      <c r="E262" s="129" t="str">
        <f t="shared" si="16"/>
        <v>domingo</v>
      </c>
      <c r="F262" s="129" t="s">
        <v>624</v>
      </c>
      <c r="G262" s="185">
        <v>3</v>
      </c>
      <c r="H262" s="154" t="s">
        <v>386</v>
      </c>
      <c r="I262" s="191">
        <v>16</v>
      </c>
      <c r="J262" s="154" t="s">
        <v>366</v>
      </c>
      <c r="K262" s="191">
        <v>3</v>
      </c>
      <c r="L262" s="193">
        <v>25000</v>
      </c>
      <c r="M262" s="127">
        <f>+Ventas[[#This Row],[Precio item]]*Ventas[[#This Row],[Q]]</f>
        <v>75000</v>
      </c>
      <c r="N262" s="250" t="s">
        <v>552</v>
      </c>
      <c r="O262" s="156"/>
      <c r="P262" s="157"/>
    </row>
    <row r="263" spans="2:16" x14ac:dyDescent="0.25">
      <c r="B263" s="164"/>
      <c r="C263" s="129">
        <v>43751</v>
      </c>
      <c r="D263" s="160">
        <f>+DAY(Ventas[[#This Row],[FECHA]])</f>
        <v>13</v>
      </c>
      <c r="E263" s="129" t="str">
        <f t="shared" si="16"/>
        <v>domingo</v>
      </c>
      <c r="F263" s="129" t="s">
        <v>624</v>
      </c>
      <c r="G263" s="185">
        <v>3</v>
      </c>
      <c r="H263" s="154" t="s">
        <v>386</v>
      </c>
      <c r="I263" s="191">
        <v>16</v>
      </c>
      <c r="J263" s="154" t="s">
        <v>550</v>
      </c>
      <c r="K263" s="191">
        <v>1</v>
      </c>
      <c r="L263" s="193">
        <v>22000</v>
      </c>
      <c r="M263" s="127">
        <f>+Ventas[[#This Row],[Precio item]]*Ventas[[#This Row],[Q]]</f>
        <v>22000</v>
      </c>
      <c r="N263" s="250" t="s">
        <v>552</v>
      </c>
      <c r="O263" s="156"/>
      <c r="P263" s="157"/>
    </row>
    <row r="264" spans="2:16" x14ac:dyDescent="0.25">
      <c r="B264" s="164"/>
      <c r="C264" s="129">
        <v>43751</v>
      </c>
      <c r="D264" s="160">
        <f>+DAY(Ventas[[#This Row],[FECHA]])</f>
        <v>13</v>
      </c>
      <c r="E264" s="129" t="str">
        <f t="shared" si="16"/>
        <v>domingo</v>
      </c>
      <c r="F264" s="129" t="s">
        <v>624</v>
      </c>
      <c r="G264" s="185">
        <v>3</v>
      </c>
      <c r="H264" s="154" t="s">
        <v>386</v>
      </c>
      <c r="I264" s="191">
        <v>16</v>
      </c>
      <c r="J264" s="154" t="s">
        <v>433</v>
      </c>
      <c r="K264" s="191">
        <v>1</v>
      </c>
      <c r="L264" s="193">
        <v>4500</v>
      </c>
      <c r="M264" s="127">
        <f>+Ventas[[#This Row],[Precio item]]*Ventas[[#This Row],[Q]]</f>
        <v>4500</v>
      </c>
      <c r="N264" s="250" t="s">
        <v>552</v>
      </c>
      <c r="O264" s="156"/>
      <c r="P264" s="157"/>
    </row>
    <row r="265" spans="2:16" x14ac:dyDescent="0.25">
      <c r="B265" s="164"/>
      <c r="C265" s="129">
        <v>43751</v>
      </c>
      <c r="D265" s="160">
        <f>+DAY(Ventas[[#This Row],[FECHA]])</f>
        <v>13</v>
      </c>
      <c r="E265" s="129" t="str">
        <f t="shared" si="16"/>
        <v>domingo</v>
      </c>
      <c r="F265" s="129" t="s">
        <v>624</v>
      </c>
      <c r="G265" s="185">
        <v>3</v>
      </c>
      <c r="H265" s="154" t="s">
        <v>386</v>
      </c>
      <c r="I265" s="191">
        <v>16</v>
      </c>
      <c r="J265" s="154" t="s">
        <v>358</v>
      </c>
      <c r="K265" s="191">
        <v>1</v>
      </c>
      <c r="L265" s="193">
        <v>6000</v>
      </c>
      <c r="M265" s="127">
        <f>+Ventas[[#This Row],[Precio item]]*Ventas[[#This Row],[Q]]</f>
        <v>6000</v>
      </c>
      <c r="N265" s="250" t="s">
        <v>553</v>
      </c>
      <c r="O265" s="156"/>
      <c r="P265" s="157"/>
    </row>
    <row r="266" spans="2:16" x14ac:dyDescent="0.25">
      <c r="B266" s="164"/>
      <c r="C266" s="129">
        <v>43751</v>
      </c>
      <c r="D266" s="160">
        <f>+DAY(Ventas[[#This Row],[FECHA]])</f>
        <v>13</v>
      </c>
      <c r="E266" s="129" t="str">
        <f t="shared" ref="E266:E272" si="17">+TEXT(C266,"dddd")</f>
        <v>domingo</v>
      </c>
      <c r="F266" s="129" t="s">
        <v>624</v>
      </c>
      <c r="G266" s="185">
        <v>3</v>
      </c>
      <c r="H266" s="154" t="s">
        <v>386</v>
      </c>
      <c r="I266" s="191">
        <v>16</v>
      </c>
      <c r="J266" s="154" t="s">
        <v>551</v>
      </c>
      <c r="K266" s="191">
        <v>1</v>
      </c>
      <c r="L266" s="193">
        <v>25000</v>
      </c>
      <c r="M266" s="127">
        <f>+Ventas[[#This Row],[Precio item]]*Ventas[[#This Row],[Q]]</f>
        <v>25000</v>
      </c>
      <c r="N266" s="250" t="s">
        <v>552</v>
      </c>
      <c r="O266" s="156"/>
      <c r="P266" s="157"/>
    </row>
    <row r="267" spans="2:16" x14ac:dyDescent="0.25">
      <c r="B267" s="164"/>
      <c r="C267" s="129">
        <v>43751</v>
      </c>
      <c r="D267" s="160">
        <f>+DAY(Ventas[[#This Row],[FECHA]])</f>
        <v>13</v>
      </c>
      <c r="E267" s="129" t="str">
        <f t="shared" si="17"/>
        <v>domingo</v>
      </c>
      <c r="F267" s="129" t="s">
        <v>624</v>
      </c>
      <c r="G267" s="185">
        <v>3</v>
      </c>
      <c r="H267" s="154" t="s">
        <v>386</v>
      </c>
      <c r="I267" s="191">
        <v>17</v>
      </c>
      <c r="J267" s="154" t="s">
        <v>358</v>
      </c>
      <c r="K267" s="191">
        <v>1</v>
      </c>
      <c r="L267" s="193">
        <v>6000</v>
      </c>
      <c r="M267" s="127">
        <f>+Ventas[[#This Row],[Precio item]]*Ventas[[#This Row],[Q]]</f>
        <v>6000</v>
      </c>
      <c r="N267" s="250"/>
      <c r="O267" s="156"/>
      <c r="P267" s="157"/>
    </row>
    <row r="268" spans="2:16" x14ac:dyDescent="0.25">
      <c r="B268" s="164"/>
      <c r="C268" s="129">
        <v>43751</v>
      </c>
      <c r="D268" s="160">
        <f>+DAY(Ventas[[#This Row],[FECHA]])</f>
        <v>13</v>
      </c>
      <c r="E268" s="129" t="str">
        <f t="shared" si="17"/>
        <v>domingo</v>
      </c>
      <c r="F268" s="129" t="s">
        <v>624</v>
      </c>
      <c r="G268" s="185">
        <v>3</v>
      </c>
      <c r="H268" s="154" t="s">
        <v>386</v>
      </c>
      <c r="I268" s="191">
        <v>17</v>
      </c>
      <c r="J268" s="154" t="s">
        <v>424</v>
      </c>
      <c r="K268" s="191">
        <v>1</v>
      </c>
      <c r="L268" s="193">
        <v>30000</v>
      </c>
      <c r="M268" s="127">
        <f>+Ventas[[#This Row],[Precio item]]*Ventas[[#This Row],[Q]]</f>
        <v>30000</v>
      </c>
      <c r="N268" s="250"/>
      <c r="O268" s="156"/>
      <c r="P268" s="157"/>
    </row>
    <row r="269" spans="2:16" x14ac:dyDescent="0.25">
      <c r="B269" s="164"/>
      <c r="C269" s="129">
        <v>43751</v>
      </c>
      <c r="D269" s="160">
        <f>+DAY(Ventas[[#This Row],[FECHA]])</f>
        <v>13</v>
      </c>
      <c r="E269" s="129" t="str">
        <f t="shared" si="17"/>
        <v>domingo</v>
      </c>
      <c r="F269" s="129" t="s">
        <v>624</v>
      </c>
      <c r="G269" s="185">
        <v>3</v>
      </c>
      <c r="H269" s="154" t="s">
        <v>386</v>
      </c>
      <c r="I269" s="191">
        <v>17</v>
      </c>
      <c r="J269" s="154" t="s">
        <v>457</v>
      </c>
      <c r="K269" s="191">
        <v>2</v>
      </c>
      <c r="L269" s="193">
        <v>2000</v>
      </c>
      <c r="M269" s="127">
        <f>+Ventas[[#This Row],[Precio item]]*Ventas[[#This Row],[Q]]</f>
        <v>4000</v>
      </c>
      <c r="N269" s="250"/>
      <c r="O269" s="156"/>
      <c r="P269" s="157"/>
    </row>
    <row r="270" spans="2:16" x14ac:dyDescent="0.25">
      <c r="B270" s="164"/>
      <c r="C270" s="129">
        <v>43751</v>
      </c>
      <c r="D270" s="160">
        <f>+DAY(Ventas[[#This Row],[FECHA]])</f>
        <v>13</v>
      </c>
      <c r="E270" s="129" t="str">
        <f t="shared" si="17"/>
        <v>domingo</v>
      </c>
      <c r="F270" s="129" t="s">
        <v>624</v>
      </c>
      <c r="G270" s="185">
        <v>3</v>
      </c>
      <c r="H270" s="154" t="s">
        <v>386</v>
      </c>
      <c r="I270" s="191">
        <v>17</v>
      </c>
      <c r="J270" s="154" t="s">
        <v>378</v>
      </c>
      <c r="K270" s="191">
        <v>2</v>
      </c>
      <c r="L270" s="193">
        <v>2000</v>
      </c>
      <c r="M270" s="127">
        <f>+Ventas[[#This Row],[Precio item]]*Ventas[[#This Row],[Q]]</f>
        <v>4000</v>
      </c>
      <c r="N270" s="250" t="s">
        <v>554</v>
      </c>
      <c r="O270" s="156"/>
      <c r="P270" s="157"/>
    </row>
    <row r="271" spans="2:16" x14ac:dyDescent="0.25">
      <c r="B271" s="164"/>
      <c r="C271" s="129">
        <v>43751</v>
      </c>
      <c r="D271" s="160">
        <f>+DAY(Ventas[[#This Row],[FECHA]])</f>
        <v>13</v>
      </c>
      <c r="E271" s="129" t="str">
        <f t="shared" si="17"/>
        <v>domingo</v>
      </c>
      <c r="F271" s="129" t="s">
        <v>624</v>
      </c>
      <c r="G271" s="185">
        <v>3</v>
      </c>
      <c r="H271" s="154" t="s">
        <v>455</v>
      </c>
      <c r="I271" s="191">
        <v>18</v>
      </c>
      <c r="J271" s="154" t="s">
        <v>358</v>
      </c>
      <c r="K271" s="191">
        <v>1</v>
      </c>
      <c r="L271" s="193">
        <v>6000</v>
      </c>
      <c r="M271" s="127">
        <f>+Ventas[[#This Row],[Precio item]]*Ventas[[#This Row],[Q]]</f>
        <v>6000</v>
      </c>
      <c r="N271" s="250"/>
      <c r="O271" s="156"/>
      <c r="P271" s="157"/>
    </row>
    <row r="272" spans="2:16" x14ac:dyDescent="0.25">
      <c r="B272" s="164"/>
      <c r="C272" s="129">
        <v>43751</v>
      </c>
      <c r="D272" s="160">
        <f>+DAY(Ventas[[#This Row],[FECHA]])</f>
        <v>13</v>
      </c>
      <c r="E272" s="129" t="str">
        <f t="shared" si="17"/>
        <v>domingo</v>
      </c>
      <c r="F272" s="129" t="s">
        <v>624</v>
      </c>
      <c r="G272" s="185">
        <v>3</v>
      </c>
      <c r="H272" s="154" t="s">
        <v>455</v>
      </c>
      <c r="I272" s="191">
        <v>18</v>
      </c>
      <c r="J272" s="154" t="s">
        <v>375</v>
      </c>
      <c r="K272" s="191">
        <v>1</v>
      </c>
      <c r="L272" s="193">
        <v>50000</v>
      </c>
      <c r="M272" s="127">
        <f>+Ventas[[#This Row],[Precio item]]*Ventas[[#This Row],[Q]]</f>
        <v>50000</v>
      </c>
      <c r="N272" s="250"/>
      <c r="O272" s="156"/>
      <c r="P272" s="157"/>
    </row>
    <row r="273" spans="2:16" x14ac:dyDescent="0.25">
      <c r="B273" s="164"/>
      <c r="C273" s="129">
        <v>43751</v>
      </c>
      <c r="D273" s="160">
        <f>+DAY(Ventas[[#This Row],[FECHA]])</f>
        <v>13</v>
      </c>
      <c r="E273" s="129" t="str">
        <f t="shared" ref="E273:E280" si="18">+TEXT(C273,"dddd")</f>
        <v>domingo</v>
      </c>
      <c r="F273" s="129" t="s">
        <v>624</v>
      </c>
      <c r="G273" s="185">
        <v>3</v>
      </c>
      <c r="H273" s="154" t="s">
        <v>455</v>
      </c>
      <c r="I273" s="191">
        <v>18</v>
      </c>
      <c r="J273" s="154" t="s">
        <v>433</v>
      </c>
      <c r="K273" s="191">
        <v>1</v>
      </c>
      <c r="L273" s="193">
        <v>4500</v>
      </c>
      <c r="M273" s="127">
        <f>+Ventas[[#This Row],[Precio item]]*Ventas[[#This Row],[Q]]</f>
        <v>4500</v>
      </c>
      <c r="N273" s="250"/>
      <c r="O273" s="156"/>
      <c r="P273" s="157"/>
    </row>
    <row r="274" spans="2:16" x14ac:dyDescent="0.25">
      <c r="B274" s="164"/>
      <c r="C274" s="129">
        <v>43751</v>
      </c>
      <c r="D274" s="160">
        <f>+DAY(Ventas[[#This Row],[FECHA]])</f>
        <v>13</v>
      </c>
      <c r="E274" s="129" t="str">
        <f t="shared" si="18"/>
        <v>domingo</v>
      </c>
      <c r="F274" s="129" t="s">
        <v>624</v>
      </c>
      <c r="G274" s="185">
        <v>3</v>
      </c>
      <c r="H274" s="154" t="s">
        <v>455</v>
      </c>
      <c r="I274" s="191">
        <v>19</v>
      </c>
      <c r="J274" s="154" t="s">
        <v>358</v>
      </c>
      <c r="K274" s="191">
        <v>1</v>
      </c>
      <c r="L274" s="193">
        <v>8000</v>
      </c>
      <c r="M274" s="127">
        <f>+Ventas[[#This Row],[Precio item]]*Ventas[[#This Row],[Q]]</f>
        <v>8000</v>
      </c>
      <c r="N274" s="250"/>
      <c r="O274" s="156"/>
      <c r="P274" s="157"/>
    </row>
    <row r="275" spans="2:16" x14ac:dyDescent="0.25">
      <c r="B275" s="164"/>
      <c r="C275" s="129">
        <v>43751</v>
      </c>
      <c r="D275" s="160">
        <f>+DAY(Ventas[[#This Row],[FECHA]])</f>
        <v>13</v>
      </c>
      <c r="E275" s="129" t="str">
        <f t="shared" si="18"/>
        <v>domingo</v>
      </c>
      <c r="F275" s="129" t="s">
        <v>624</v>
      </c>
      <c r="G275" s="185">
        <v>3</v>
      </c>
      <c r="H275" s="154" t="s">
        <v>455</v>
      </c>
      <c r="I275" s="191">
        <v>19</v>
      </c>
      <c r="J275" s="154" t="s">
        <v>353</v>
      </c>
      <c r="K275" s="191">
        <v>1</v>
      </c>
      <c r="L275" s="193">
        <v>12000</v>
      </c>
      <c r="M275" s="127">
        <f>+Ventas[[#This Row],[Precio item]]*Ventas[[#This Row],[Q]]</f>
        <v>12000</v>
      </c>
      <c r="N275" s="250"/>
      <c r="O275" s="156"/>
      <c r="P275" s="157"/>
    </row>
    <row r="276" spans="2:16" x14ac:dyDescent="0.25">
      <c r="B276" s="164"/>
      <c r="C276" s="129">
        <v>43751</v>
      </c>
      <c r="D276" s="160">
        <f>+DAY(Ventas[[#This Row],[FECHA]])</f>
        <v>13</v>
      </c>
      <c r="E276" s="129" t="str">
        <f t="shared" si="18"/>
        <v>domingo</v>
      </c>
      <c r="F276" s="129" t="s">
        <v>624</v>
      </c>
      <c r="G276" s="185">
        <v>3</v>
      </c>
      <c r="H276" s="154" t="s">
        <v>455</v>
      </c>
      <c r="I276" s="191">
        <v>19</v>
      </c>
      <c r="J276" s="154" t="s">
        <v>366</v>
      </c>
      <c r="K276" s="191">
        <v>1</v>
      </c>
      <c r="L276" s="193">
        <v>10000</v>
      </c>
      <c r="M276" s="127">
        <f>+Ventas[[#This Row],[Precio item]]*Ventas[[#This Row],[Q]]</f>
        <v>10000</v>
      </c>
      <c r="N276" s="250" t="s">
        <v>555</v>
      </c>
      <c r="O276" s="156"/>
      <c r="P276" s="157"/>
    </row>
    <row r="277" spans="2:16" x14ac:dyDescent="0.25">
      <c r="B277" s="164"/>
      <c r="C277" s="129">
        <v>43751</v>
      </c>
      <c r="D277" s="160">
        <f>+DAY(Ventas[[#This Row],[FECHA]])</f>
        <v>13</v>
      </c>
      <c r="E277" s="129" t="str">
        <f t="shared" si="18"/>
        <v>domingo</v>
      </c>
      <c r="F277" s="129" t="s">
        <v>624</v>
      </c>
      <c r="G277" s="185">
        <v>3</v>
      </c>
      <c r="H277" s="154" t="s">
        <v>455</v>
      </c>
      <c r="I277" s="191">
        <v>19</v>
      </c>
      <c r="J277" s="154" t="s">
        <v>385</v>
      </c>
      <c r="K277" s="191">
        <v>1</v>
      </c>
      <c r="L277" s="193">
        <v>2500</v>
      </c>
      <c r="M277" s="127">
        <f>+Ventas[[#This Row],[Precio item]]*Ventas[[#This Row],[Q]]</f>
        <v>2500</v>
      </c>
      <c r="N277" s="250"/>
      <c r="O277" s="156"/>
      <c r="P277" s="157"/>
    </row>
    <row r="278" spans="2:16" x14ac:dyDescent="0.25">
      <c r="B278" s="164"/>
      <c r="C278" s="129">
        <v>43751</v>
      </c>
      <c r="D278" s="160">
        <f>+DAY(Ventas[[#This Row],[FECHA]])</f>
        <v>13</v>
      </c>
      <c r="E278" s="129" t="str">
        <f t="shared" si="18"/>
        <v>domingo</v>
      </c>
      <c r="F278" s="129" t="s">
        <v>624</v>
      </c>
      <c r="G278" s="185">
        <v>3</v>
      </c>
      <c r="H278" s="154" t="s">
        <v>455</v>
      </c>
      <c r="I278" s="191">
        <v>19</v>
      </c>
      <c r="J278" s="154" t="s">
        <v>368</v>
      </c>
      <c r="K278" s="191">
        <v>1</v>
      </c>
      <c r="L278" s="193">
        <v>2000</v>
      </c>
      <c r="M278" s="127">
        <f>+Ventas[[#This Row],[Precio item]]*Ventas[[#This Row],[Q]]</f>
        <v>2000</v>
      </c>
      <c r="N278" s="250"/>
      <c r="O278" s="156"/>
      <c r="P278" s="157"/>
    </row>
    <row r="279" spans="2:16" x14ac:dyDescent="0.25">
      <c r="B279" s="164"/>
      <c r="C279" s="129">
        <v>43751</v>
      </c>
      <c r="D279" s="160">
        <f>+DAY(Ventas[[#This Row],[FECHA]])</f>
        <v>13</v>
      </c>
      <c r="E279" s="129" t="str">
        <f t="shared" si="18"/>
        <v>domingo</v>
      </c>
      <c r="F279" s="129" t="s">
        <v>624</v>
      </c>
      <c r="G279" s="185">
        <v>3</v>
      </c>
      <c r="H279" s="154" t="s">
        <v>455</v>
      </c>
      <c r="I279" s="191">
        <v>19</v>
      </c>
      <c r="J279" s="154" t="s">
        <v>355</v>
      </c>
      <c r="K279" s="191">
        <v>1</v>
      </c>
      <c r="L279" s="193">
        <v>2000</v>
      </c>
      <c r="M279" s="127">
        <f>+Ventas[[#This Row],[Precio item]]*Ventas[[#This Row],[Q]]</f>
        <v>2000</v>
      </c>
      <c r="N279" s="250"/>
      <c r="O279" s="156"/>
      <c r="P279" s="157"/>
    </row>
    <row r="280" spans="2:16" x14ac:dyDescent="0.25">
      <c r="B280" s="164"/>
      <c r="C280" s="129">
        <v>43751</v>
      </c>
      <c r="D280" s="160">
        <f>+DAY(Ventas[[#This Row],[FECHA]])</f>
        <v>13</v>
      </c>
      <c r="E280" s="129" t="str">
        <f t="shared" si="18"/>
        <v>domingo</v>
      </c>
      <c r="F280" s="129" t="s">
        <v>624</v>
      </c>
      <c r="G280" s="185">
        <v>3</v>
      </c>
      <c r="H280" s="154" t="s">
        <v>455</v>
      </c>
      <c r="I280" s="191">
        <v>20</v>
      </c>
      <c r="J280" s="154" t="s">
        <v>358</v>
      </c>
      <c r="K280" s="191">
        <v>2</v>
      </c>
      <c r="L280" s="193">
        <v>7000</v>
      </c>
      <c r="M280" s="127">
        <f>+Ventas[[#This Row],[Precio item]]*Ventas[[#This Row],[Q]]</f>
        <v>14000</v>
      </c>
      <c r="N280" s="250"/>
      <c r="O280" s="156"/>
      <c r="P280" s="157"/>
    </row>
    <row r="281" spans="2:16" x14ac:dyDescent="0.25">
      <c r="B281" s="164"/>
      <c r="C281" s="129">
        <v>43751</v>
      </c>
      <c r="D281" s="160">
        <f>+DAY(Ventas[[#This Row],[FECHA]])</f>
        <v>13</v>
      </c>
      <c r="E281" s="129" t="str">
        <f t="shared" ref="E281:E287" si="19">+TEXT(C281,"dddd")</f>
        <v>domingo</v>
      </c>
      <c r="F281" s="129" t="s">
        <v>624</v>
      </c>
      <c r="G281" s="185">
        <v>3</v>
      </c>
      <c r="H281" s="154" t="s">
        <v>455</v>
      </c>
      <c r="I281" s="191">
        <v>20</v>
      </c>
      <c r="J281" s="154" t="s">
        <v>375</v>
      </c>
      <c r="K281" s="191">
        <v>1</v>
      </c>
      <c r="L281" s="193">
        <v>40000</v>
      </c>
      <c r="M281" s="127">
        <f>+Ventas[[#This Row],[Precio item]]*Ventas[[#This Row],[Q]]</f>
        <v>40000</v>
      </c>
      <c r="N281" s="250"/>
      <c r="O281" s="156"/>
      <c r="P281" s="157"/>
    </row>
    <row r="282" spans="2:16" x14ac:dyDescent="0.25">
      <c r="B282" s="164"/>
      <c r="C282" s="129">
        <v>43751</v>
      </c>
      <c r="D282" s="160">
        <f>+DAY(Ventas[[#This Row],[FECHA]])</f>
        <v>13</v>
      </c>
      <c r="E282" s="129" t="str">
        <f t="shared" si="19"/>
        <v>domingo</v>
      </c>
      <c r="F282" s="129" t="s">
        <v>624</v>
      </c>
      <c r="G282" s="185">
        <v>3</v>
      </c>
      <c r="H282" s="154" t="s">
        <v>455</v>
      </c>
      <c r="I282" s="191">
        <v>20</v>
      </c>
      <c r="J282" s="154" t="s">
        <v>368</v>
      </c>
      <c r="K282" s="191">
        <v>1</v>
      </c>
      <c r="L282" s="193">
        <v>2000</v>
      </c>
      <c r="M282" s="127">
        <f>+Ventas[[#This Row],[Precio item]]*Ventas[[#This Row],[Q]]</f>
        <v>2000</v>
      </c>
      <c r="N282" s="250"/>
      <c r="O282" s="156"/>
      <c r="P282" s="157"/>
    </row>
    <row r="283" spans="2:16" x14ac:dyDescent="0.25">
      <c r="B283" s="164"/>
      <c r="C283" s="129">
        <v>43751</v>
      </c>
      <c r="D283" s="160">
        <f>+DAY(Ventas[[#This Row],[FECHA]])</f>
        <v>13</v>
      </c>
      <c r="E283" s="129" t="str">
        <f t="shared" si="19"/>
        <v>domingo</v>
      </c>
      <c r="F283" s="129" t="s">
        <v>624</v>
      </c>
      <c r="G283" s="185">
        <v>3</v>
      </c>
      <c r="H283" s="154" t="s">
        <v>455</v>
      </c>
      <c r="I283" s="191">
        <v>20</v>
      </c>
      <c r="J283" s="154" t="s">
        <v>387</v>
      </c>
      <c r="K283" s="191">
        <v>1</v>
      </c>
      <c r="L283" s="193">
        <v>3000</v>
      </c>
      <c r="M283" s="127">
        <f>+Ventas[[#This Row],[Precio item]]*Ventas[[#This Row],[Q]]</f>
        <v>3000</v>
      </c>
      <c r="N283" s="250"/>
      <c r="O283" s="156"/>
      <c r="P283" s="157"/>
    </row>
    <row r="284" spans="2:16" x14ac:dyDescent="0.25">
      <c r="B284" s="164"/>
      <c r="C284" s="129">
        <v>43751</v>
      </c>
      <c r="D284" s="160">
        <f>+DAY(Ventas[[#This Row],[FECHA]])</f>
        <v>13</v>
      </c>
      <c r="E284" s="129" t="str">
        <f t="shared" si="19"/>
        <v>domingo</v>
      </c>
      <c r="F284" s="129" t="s">
        <v>624</v>
      </c>
      <c r="G284" s="185">
        <v>3</v>
      </c>
      <c r="H284" s="154" t="s">
        <v>455</v>
      </c>
      <c r="I284" s="191">
        <v>20</v>
      </c>
      <c r="J284" s="154" t="s">
        <v>468</v>
      </c>
      <c r="K284" s="191">
        <v>1</v>
      </c>
      <c r="L284" s="193">
        <v>3000</v>
      </c>
      <c r="M284" s="127">
        <f>+Ventas[[#This Row],[Precio item]]*Ventas[[#This Row],[Q]]</f>
        <v>3000</v>
      </c>
      <c r="N284" s="250"/>
      <c r="O284" s="156"/>
      <c r="P284" s="157"/>
    </row>
    <row r="285" spans="2:16" x14ac:dyDescent="0.25">
      <c r="B285" s="164"/>
      <c r="C285" s="129">
        <v>43751</v>
      </c>
      <c r="D285" s="160">
        <f>+DAY(Ventas[[#This Row],[FECHA]])</f>
        <v>13</v>
      </c>
      <c r="E285" s="129" t="str">
        <f t="shared" si="19"/>
        <v>domingo</v>
      </c>
      <c r="F285" s="129" t="s">
        <v>624</v>
      </c>
      <c r="G285" s="185">
        <v>3</v>
      </c>
      <c r="H285" s="154" t="s">
        <v>455</v>
      </c>
      <c r="I285" s="191">
        <v>21</v>
      </c>
      <c r="J285" s="154" t="s">
        <v>358</v>
      </c>
      <c r="K285" s="191">
        <v>3</v>
      </c>
      <c r="L285" s="193">
        <v>6000</v>
      </c>
      <c r="M285" s="127">
        <f>+Ventas[[#This Row],[Precio item]]*Ventas[[#This Row],[Q]]</f>
        <v>18000</v>
      </c>
      <c r="N285" s="250" t="s">
        <v>556</v>
      </c>
      <c r="O285" s="156"/>
      <c r="P285" s="157"/>
    </row>
    <row r="286" spans="2:16" x14ac:dyDescent="0.25">
      <c r="B286" s="164"/>
      <c r="C286" s="129">
        <v>43751</v>
      </c>
      <c r="D286" s="160">
        <f>+DAY(Ventas[[#This Row],[FECHA]])</f>
        <v>13</v>
      </c>
      <c r="E286" s="129" t="str">
        <f t="shared" si="19"/>
        <v>domingo</v>
      </c>
      <c r="F286" s="129" t="s">
        <v>624</v>
      </c>
      <c r="G286" s="185">
        <v>3</v>
      </c>
      <c r="H286" s="154" t="s">
        <v>455</v>
      </c>
      <c r="I286" s="191">
        <v>21</v>
      </c>
      <c r="J286" s="154" t="s">
        <v>375</v>
      </c>
      <c r="K286" s="191">
        <v>1</v>
      </c>
      <c r="L286" s="193">
        <v>25000</v>
      </c>
      <c r="M286" s="127">
        <f>+Ventas[[#This Row],[Precio item]]*Ventas[[#This Row],[Q]]</f>
        <v>25000</v>
      </c>
      <c r="N286" s="250"/>
      <c r="O286" s="156"/>
      <c r="P286" s="157"/>
    </row>
    <row r="287" spans="2:16" x14ac:dyDescent="0.25">
      <c r="B287" s="164"/>
      <c r="C287" s="129">
        <v>43751</v>
      </c>
      <c r="D287" s="160">
        <f>+DAY(Ventas[[#This Row],[FECHA]])</f>
        <v>13</v>
      </c>
      <c r="E287" s="129" t="str">
        <f t="shared" si="19"/>
        <v>domingo</v>
      </c>
      <c r="F287" s="129" t="s">
        <v>624</v>
      </c>
      <c r="G287" s="185">
        <v>3</v>
      </c>
      <c r="H287" s="154" t="s">
        <v>455</v>
      </c>
      <c r="I287" s="191">
        <v>21</v>
      </c>
      <c r="J287" s="154" t="s">
        <v>367</v>
      </c>
      <c r="K287" s="191">
        <v>1</v>
      </c>
      <c r="L287" s="193">
        <v>4000</v>
      </c>
      <c r="M287" s="127">
        <f>+Ventas[[#This Row],[Precio item]]*Ventas[[#This Row],[Q]]</f>
        <v>4000</v>
      </c>
      <c r="N287" s="250"/>
      <c r="O287" s="156"/>
      <c r="P287" s="157"/>
    </row>
    <row r="288" spans="2:16" x14ac:dyDescent="0.25">
      <c r="B288" s="164"/>
      <c r="C288" s="154">
        <v>43752</v>
      </c>
      <c r="D288" s="160">
        <f>+DAY(Ventas[[#This Row],[FECHA]])</f>
        <v>14</v>
      </c>
      <c r="E288" s="154" t="str">
        <f>+TEXT(C288,"dddd")</f>
        <v>lunes</v>
      </c>
      <c r="F288" s="129" t="s">
        <v>624</v>
      </c>
      <c r="G288" s="191">
        <v>4</v>
      </c>
      <c r="H288" s="154" t="s">
        <v>543</v>
      </c>
      <c r="I288" s="191">
        <v>1</v>
      </c>
      <c r="J288" s="154" t="s">
        <v>353</v>
      </c>
      <c r="K288" s="191">
        <v>1</v>
      </c>
      <c r="L288" s="193">
        <v>12000</v>
      </c>
      <c r="M288" s="127">
        <f>+Ventas[[#This Row],[Precio item]]*Ventas[[#This Row],[Q]]</f>
        <v>12000</v>
      </c>
      <c r="N288" s="155"/>
      <c r="O288" s="156"/>
      <c r="P288" s="157"/>
    </row>
    <row r="289" spans="2:16" x14ac:dyDescent="0.25">
      <c r="B289" s="164"/>
      <c r="C289" s="154">
        <v>43752</v>
      </c>
      <c r="D289" s="160">
        <f>+DAY(Ventas[[#This Row],[FECHA]])</f>
        <v>14</v>
      </c>
      <c r="E289" s="154" t="str">
        <f t="shared" ref="E289:E315" si="20">+TEXT(C289,"dddd")</f>
        <v>lunes</v>
      </c>
      <c r="F289" s="129" t="s">
        <v>624</v>
      </c>
      <c r="G289" s="191">
        <v>4</v>
      </c>
      <c r="H289" s="154" t="s">
        <v>455</v>
      </c>
      <c r="I289" s="191">
        <v>2</v>
      </c>
      <c r="J289" s="154" t="s">
        <v>358</v>
      </c>
      <c r="K289" s="191">
        <v>2</v>
      </c>
      <c r="L289" s="193">
        <v>10000</v>
      </c>
      <c r="M289" s="127">
        <f>+Ventas[[#This Row],[Precio item]]*Ventas[[#This Row],[Q]]</f>
        <v>20000</v>
      </c>
      <c r="N289" s="155"/>
      <c r="O289" s="156"/>
      <c r="P289" s="157"/>
    </row>
    <row r="290" spans="2:16" x14ac:dyDescent="0.25">
      <c r="B290" s="164"/>
      <c r="C290" s="154">
        <v>43752</v>
      </c>
      <c r="D290" s="160">
        <f>+DAY(Ventas[[#This Row],[FECHA]])</f>
        <v>14</v>
      </c>
      <c r="E290" s="154" t="str">
        <f t="shared" si="20"/>
        <v>lunes</v>
      </c>
      <c r="F290" s="129" t="s">
        <v>624</v>
      </c>
      <c r="G290" s="191">
        <v>4</v>
      </c>
      <c r="H290" s="154" t="s">
        <v>455</v>
      </c>
      <c r="I290" s="191">
        <v>2</v>
      </c>
      <c r="J290" s="154" t="s">
        <v>375</v>
      </c>
      <c r="K290" s="191">
        <v>1</v>
      </c>
      <c r="L290" s="193">
        <v>35000</v>
      </c>
      <c r="M290" s="127">
        <f>+Ventas[[#This Row],[Precio item]]*Ventas[[#This Row],[Q]]</f>
        <v>35000</v>
      </c>
      <c r="N290" s="155"/>
      <c r="O290" s="156"/>
      <c r="P290" s="157"/>
    </row>
    <row r="291" spans="2:16" x14ac:dyDescent="0.25">
      <c r="B291" s="164"/>
      <c r="C291" s="154">
        <v>43752</v>
      </c>
      <c r="D291" s="160">
        <f>+DAY(Ventas[[#This Row],[FECHA]])</f>
        <v>14</v>
      </c>
      <c r="E291" s="154" t="str">
        <f t="shared" si="20"/>
        <v>lunes</v>
      </c>
      <c r="F291" s="129" t="s">
        <v>624</v>
      </c>
      <c r="G291" s="191">
        <v>4</v>
      </c>
      <c r="H291" s="154" t="s">
        <v>455</v>
      </c>
      <c r="I291" s="191">
        <v>2</v>
      </c>
      <c r="J291" s="154" t="s">
        <v>529</v>
      </c>
      <c r="K291" s="191">
        <v>1</v>
      </c>
      <c r="L291" s="193">
        <f>6000+2000</f>
        <v>8000</v>
      </c>
      <c r="M291" s="127">
        <f>+Ventas[[#This Row],[Precio item]]*Ventas[[#This Row],[Q]]</f>
        <v>8000</v>
      </c>
      <c r="N291" s="155"/>
      <c r="O291" s="156"/>
      <c r="P291" s="157"/>
    </row>
    <row r="292" spans="2:16" x14ac:dyDescent="0.25">
      <c r="B292" s="164"/>
      <c r="C292" s="154">
        <v>43752</v>
      </c>
      <c r="D292" s="160">
        <f>+DAY(Ventas[[#This Row],[FECHA]])</f>
        <v>14</v>
      </c>
      <c r="E292" s="154" t="str">
        <f t="shared" si="20"/>
        <v>lunes</v>
      </c>
      <c r="F292" s="129" t="s">
        <v>624</v>
      </c>
      <c r="G292" s="191">
        <v>4</v>
      </c>
      <c r="H292" s="154" t="s">
        <v>455</v>
      </c>
      <c r="I292" s="191">
        <v>3</v>
      </c>
      <c r="J292" s="154" t="s">
        <v>375</v>
      </c>
      <c r="K292" s="191">
        <v>1</v>
      </c>
      <c r="L292" s="193">
        <v>40000</v>
      </c>
      <c r="M292" s="127">
        <f>+Ventas[[#This Row],[Precio item]]*Ventas[[#This Row],[Q]]</f>
        <v>40000</v>
      </c>
      <c r="N292" s="155"/>
      <c r="O292" s="156"/>
      <c r="P292" s="157"/>
    </row>
    <row r="293" spans="2:16" x14ac:dyDescent="0.25">
      <c r="B293" s="164"/>
      <c r="C293" s="154">
        <v>43752</v>
      </c>
      <c r="D293" s="160">
        <f>+DAY(Ventas[[#This Row],[FECHA]])</f>
        <v>14</v>
      </c>
      <c r="E293" s="154" t="str">
        <f t="shared" si="20"/>
        <v>lunes</v>
      </c>
      <c r="F293" s="129" t="s">
        <v>624</v>
      </c>
      <c r="G293" s="191">
        <v>4</v>
      </c>
      <c r="H293" s="154" t="s">
        <v>455</v>
      </c>
      <c r="I293" s="191">
        <v>3</v>
      </c>
      <c r="J293" s="154" t="s">
        <v>457</v>
      </c>
      <c r="K293" s="191">
        <v>2</v>
      </c>
      <c r="L293" s="193">
        <v>2000</v>
      </c>
      <c r="M293" s="127">
        <f>+Ventas[[#This Row],[Precio item]]*Ventas[[#This Row],[Q]]</f>
        <v>4000</v>
      </c>
      <c r="N293" s="155"/>
      <c r="O293" s="156"/>
      <c r="P293" s="157"/>
    </row>
    <row r="294" spans="2:16" x14ac:dyDescent="0.25">
      <c r="B294" s="164"/>
      <c r="C294" s="154">
        <v>43752</v>
      </c>
      <c r="D294" s="160">
        <f>+DAY(Ventas[[#This Row],[FECHA]])</f>
        <v>14</v>
      </c>
      <c r="E294" s="154" t="str">
        <f t="shared" si="20"/>
        <v>lunes</v>
      </c>
      <c r="F294" s="129" t="s">
        <v>624</v>
      </c>
      <c r="G294" s="191">
        <v>4</v>
      </c>
      <c r="H294" s="154" t="s">
        <v>455</v>
      </c>
      <c r="I294" s="191">
        <v>3</v>
      </c>
      <c r="J294" s="154" t="s">
        <v>385</v>
      </c>
      <c r="K294" s="191">
        <v>1</v>
      </c>
      <c r="L294" s="193">
        <v>2500</v>
      </c>
      <c r="M294" s="127">
        <f>+Ventas[[#This Row],[Precio item]]*Ventas[[#This Row],[Q]]</f>
        <v>2500</v>
      </c>
      <c r="N294" s="155"/>
      <c r="O294" s="156"/>
      <c r="P294" s="157"/>
    </row>
    <row r="295" spans="2:16" x14ac:dyDescent="0.25">
      <c r="B295" s="164"/>
      <c r="C295" s="154">
        <v>43752</v>
      </c>
      <c r="D295" s="160">
        <f>+DAY(Ventas[[#This Row],[FECHA]])</f>
        <v>14</v>
      </c>
      <c r="E295" s="154" t="str">
        <f t="shared" si="20"/>
        <v>lunes</v>
      </c>
      <c r="F295" s="129" t="s">
        <v>624</v>
      </c>
      <c r="G295" s="191">
        <v>4</v>
      </c>
      <c r="H295" s="154" t="s">
        <v>455</v>
      </c>
      <c r="I295" s="191">
        <v>4</v>
      </c>
      <c r="J295" s="154" t="s">
        <v>375</v>
      </c>
      <c r="K295" s="191">
        <v>1</v>
      </c>
      <c r="L295" s="193">
        <v>50000</v>
      </c>
      <c r="M295" s="127">
        <f>+Ventas[[#This Row],[Precio item]]*Ventas[[#This Row],[Q]]</f>
        <v>50000</v>
      </c>
      <c r="N295" s="155"/>
      <c r="O295" s="156"/>
      <c r="P295" s="157"/>
    </row>
    <row r="296" spans="2:16" x14ac:dyDescent="0.25">
      <c r="B296" s="164"/>
      <c r="C296" s="154">
        <v>43752</v>
      </c>
      <c r="D296" s="160">
        <f>+DAY(Ventas[[#This Row],[FECHA]])</f>
        <v>14</v>
      </c>
      <c r="E296" s="154" t="str">
        <f t="shared" si="20"/>
        <v>lunes</v>
      </c>
      <c r="F296" s="129" t="s">
        <v>624</v>
      </c>
      <c r="G296" s="191">
        <v>4</v>
      </c>
      <c r="H296" s="154" t="s">
        <v>455</v>
      </c>
      <c r="I296" s="191">
        <v>5</v>
      </c>
      <c r="J296" s="154" t="s">
        <v>358</v>
      </c>
      <c r="K296" s="191">
        <v>1</v>
      </c>
      <c r="L296" s="193">
        <v>5000</v>
      </c>
      <c r="M296" s="127">
        <f>+Ventas[[#This Row],[Precio item]]*Ventas[[#This Row],[Q]]</f>
        <v>5000</v>
      </c>
      <c r="N296" s="155"/>
      <c r="O296" s="156"/>
      <c r="P296" s="157"/>
    </row>
    <row r="297" spans="2:16" x14ac:dyDescent="0.25">
      <c r="B297" s="164"/>
      <c r="C297" s="154">
        <v>43752</v>
      </c>
      <c r="D297" s="160">
        <f>+DAY(Ventas[[#This Row],[FECHA]])</f>
        <v>14</v>
      </c>
      <c r="E297" s="154" t="str">
        <f t="shared" si="20"/>
        <v>lunes</v>
      </c>
      <c r="F297" s="129" t="s">
        <v>624</v>
      </c>
      <c r="G297" s="191">
        <v>4</v>
      </c>
      <c r="H297" s="154" t="s">
        <v>455</v>
      </c>
      <c r="I297" s="191">
        <v>5</v>
      </c>
      <c r="J297" s="154" t="s">
        <v>375</v>
      </c>
      <c r="K297" s="191">
        <v>1</v>
      </c>
      <c r="L297" s="193">
        <v>40000</v>
      </c>
      <c r="M297" s="127">
        <f>+Ventas[[#This Row],[Precio item]]*Ventas[[#This Row],[Q]]</f>
        <v>40000</v>
      </c>
      <c r="N297" s="155"/>
      <c r="O297" s="156"/>
      <c r="P297" s="157"/>
    </row>
    <row r="298" spans="2:16" x14ac:dyDescent="0.25">
      <c r="B298" s="164"/>
      <c r="C298" s="154">
        <v>43752</v>
      </c>
      <c r="D298" s="160">
        <f>+DAY(Ventas[[#This Row],[FECHA]])</f>
        <v>14</v>
      </c>
      <c r="E298" s="154" t="str">
        <f t="shared" si="20"/>
        <v>lunes</v>
      </c>
      <c r="F298" s="129" t="s">
        <v>624</v>
      </c>
      <c r="G298" s="191">
        <v>4</v>
      </c>
      <c r="H298" s="154" t="s">
        <v>455</v>
      </c>
      <c r="I298" s="191">
        <v>5</v>
      </c>
      <c r="J298" s="154" t="s">
        <v>368</v>
      </c>
      <c r="K298" s="191">
        <v>1</v>
      </c>
      <c r="L298" s="193">
        <v>2000</v>
      </c>
      <c r="M298" s="127">
        <f>+Ventas[[#This Row],[Precio item]]*Ventas[[#This Row],[Q]]</f>
        <v>2000</v>
      </c>
      <c r="N298" s="155"/>
      <c r="O298" s="156"/>
      <c r="P298" s="157"/>
    </row>
    <row r="299" spans="2:16" x14ac:dyDescent="0.25">
      <c r="B299" s="164"/>
      <c r="C299" s="154">
        <v>43752</v>
      </c>
      <c r="D299" s="160">
        <f>+DAY(Ventas[[#This Row],[FECHA]])</f>
        <v>14</v>
      </c>
      <c r="E299" s="154" t="str">
        <f t="shared" si="20"/>
        <v>lunes</v>
      </c>
      <c r="F299" s="129" t="s">
        <v>624</v>
      </c>
      <c r="G299" s="191">
        <v>4</v>
      </c>
      <c r="H299" s="154" t="s">
        <v>455</v>
      </c>
      <c r="I299" s="191">
        <v>5</v>
      </c>
      <c r="J299" s="154" t="s">
        <v>529</v>
      </c>
      <c r="K299" s="191">
        <v>1</v>
      </c>
      <c r="L299" s="193">
        <f>6000+2000</f>
        <v>8000</v>
      </c>
      <c r="M299" s="127">
        <f>+Ventas[[#This Row],[Precio item]]*Ventas[[#This Row],[Q]]</f>
        <v>8000</v>
      </c>
      <c r="N299" s="250"/>
      <c r="O299" s="156"/>
      <c r="P299" s="157"/>
    </row>
    <row r="300" spans="2:16" x14ac:dyDescent="0.25">
      <c r="B300" s="164"/>
      <c r="C300" s="154">
        <v>43752</v>
      </c>
      <c r="D300" s="160">
        <f>+DAY(Ventas[[#This Row],[FECHA]])</f>
        <v>14</v>
      </c>
      <c r="E300" s="154" t="str">
        <f t="shared" si="20"/>
        <v>lunes</v>
      </c>
      <c r="F300" s="129" t="s">
        <v>624</v>
      </c>
      <c r="G300" s="191">
        <v>4</v>
      </c>
      <c r="H300" s="154" t="s">
        <v>455</v>
      </c>
      <c r="I300" s="191">
        <v>5</v>
      </c>
      <c r="J300" s="154" t="s">
        <v>406</v>
      </c>
      <c r="K300" s="191">
        <v>1</v>
      </c>
      <c r="L300" s="193">
        <v>2500</v>
      </c>
      <c r="M300" s="127">
        <f>+Ventas[[#This Row],[Precio item]]*Ventas[[#This Row],[Q]]</f>
        <v>2500</v>
      </c>
      <c r="N300" s="250"/>
      <c r="O300" s="156"/>
      <c r="P300" s="157"/>
    </row>
    <row r="301" spans="2:16" x14ac:dyDescent="0.25">
      <c r="B301" s="164"/>
      <c r="C301" s="154">
        <v>43752</v>
      </c>
      <c r="D301" s="160">
        <f>+DAY(Ventas[[#This Row],[FECHA]])</f>
        <v>14</v>
      </c>
      <c r="E301" s="154" t="str">
        <f t="shared" si="20"/>
        <v>lunes</v>
      </c>
      <c r="F301" s="129" t="s">
        <v>624</v>
      </c>
      <c r="G301" s="191">
        <v>4</v>
      </c>
      <c r="H301" s="154" t="s">
        <v>455</v>
      </c>
      <c r="I301" s="191">
        <v>5</v>
      </c>
      <c r="J301" s="154" t="s">
        <v>544</v>
      </c>
      <c r="K301" s="191">
        <v>1</v>
      </c>
      <c r="L301" s="193">
        <v>1500</v>
      </c>
      <c r="M301" s="127">
        <f>+Ventas[[#This Row],[Precio item]]*Ventas[[#This Row],[Q]]</f>
        <v>1500</v>
      </c>
      <c r="N301" s="250"/>
      <c r="O301" s="156"/>
      <c r="P301" s="157"/>
    </row>
    <row r="302" spans="2:16" x14ac:dyDescent="0.25">
      <c r="B302" s="164"/>
      <c r="C302" s="154">
        <v>43752</v>
      </c>
      <c r="D302" s="160">
        <f>+DAY(Ventas[[#This Row],[FECHA]])</f>
        <v>14</v>
      </c>
      <c r="E302" s="154" t="str">
        <f t="shared" si="20"/>
        <v>lunes</v>
      </c>
      <c r="F302" s="129" t="s">
        <v>624</v>
      </c>
      <c r="G302" s="191">
        <v>4</v>
      </c>
      <c r="H302" s="154" t="s">
        <v>455</v>
      </c>
      <c r="I302" s="191">
        <v>6</v>
      </c>
      <c r="J302" s="154" t="s">
        <v>375</v>
      </c>
      <c r="K302" s="191">
        <v>1</v>
      </c>
      <c r="L302" s="193">
        <v>80000</v>
      </c>
      <c r="M302" s="127">
        <f>+Ventas[[#This Row],[Precio item]]*Ventas[[#This Row],[Q]]</f>
        <v>80000</v>
      </c>
      <c r="N302" s="250"/>
      <c r="O302" s="156"/>
      <c r="P302" s="157"/>
    </row>
    <row r="303" spans="2:16" x14ac:dyDescent="0.25">
      <c r="B303" s="164"/>
      <c r="C303" s="154">
        <v>43752</v>
      </c>
      <c r="D303" s="160">
        <f>+DAY(Ventas[[#This Row],[FECHA]])</f>
        <v>14</v>
      </c>
      <c r="E303" s="154" t="str">
        <f t="shared" si="20"/>
        <v>lunes</v>
      </c>
      <c r="F303" s="129" t="s">
        <v>624</v>
      </c>
      <c r="G303" s="191">
        <v>4</v>
      </c>
      <c r="H303" s="154" t="s">
        <v>455</v>
      </c>
      <c r="I303" s="191">
        <v>6</v>
      </c>
      <c r="J303" s="154" t="s">
        <v>433</v>
      </c>
      <c r="K303" s="191">
        <v>1</v>
      </c>
      <c r="L303" s="193">
        <v>4500</v>
      </c>
      <c r="M303" s="127">
        <f>+Ventas[[#This Row],[Precio item]]*Ventas[[#This Row],[Q]]</f>
        <v>4500</v>
      </c>
      <c r="N303" s="250"/>
      <c r="O303" s="156"/>
      <c r="P303" s="157"/>
    </row>
    <row r="304" spans="2:16" x14ac:dyDescent="0.25">
      <c r="B304" s="164"/>
      <c r="C304" s="154">
        <v>43752</v>
      </c>
      <c r="D304" s="160">
        <f>+DAY(Ventas[[#This Row],[FECHA]])</f>
        <v>14</v>
      </c>
      <c r="E304" s="154" t="str">
        <f t="shared" si="20"/>
        <v>lunes</v>
      </c>
      <c r="F304" s="129" t="s">
        <v>624</v>
      </c>
      <c r="G304" s="191">
        <v>4</v>
      </c>
      <c r="H304" s="154" t="s">
        <v>455</v>
      </c>
      <c r="I304" s="191">
        <v>7</v>
      </c>
      <c r="J304" s="154" t="s">
        <v>375</v>
      </c>
      <c r="K304" s="191">
        <v>1</v>
      </c>
      <c r="L304" s="193">
        <v>50000</v>
      </c>
      <c r="M304" s="127">
        <f>+Ventas[[#This Row],[Precio item]]*Ventas[[#This Row],[Q]]</f>
        <v>50000</v>
      </c>
      <c r="N304" s="250"/>
      <c r="O304" s="156"/>
      <c r="P304" s="157"/>
    </row>
    <row r="305" spans="2:16" x14ac:dyDescent="0.25">
      <c r="B305" s="164"/>
      <c r="C305" s="154">
        <v>43752</v>
      </c>
      <c r="D305" s="160">
        <f>+DAY(Ventas[[#This Row],[FECHA]])</f>
        <v>14</v>
      </c>
      <c r="E305" s="154" t="str">
        <f t="shared" si="20"/>
        <v>lunes</v>
      </c>
      <c r="F305" s="129" t="s">
        <v>624</v>
      </c>
      <c r="G305" s="191">
        <v>4</v>
      </c>
      <c r="H305" s="154" t="s">
        <v>455</v>
      </c>
      <c r="I305" s="191">
        <v>8</v>
      </c>
      <c r="J305" s="154" t="s">
        <v>353</v>
      </c>
      <c r="K305" s="191">
        <v>1</v>
      </c>
      <c r="L305" s="193">
        <v>12000</v>
      </c>
      <c r="M305" s="127">
        <f>+Ventas[[#This Row],[Precio item]]*Ventas[[#This Row],[Q]]</f>
        <v>12000</v>
      </c>
      <c r="N305" s="250"/>
      <c r="O305" s="156"/>
      <c r="P305" s="157"/>
    </row>
    <row r="306" spans="2:16" x14ac:dyDescent="0.25">
      <c r="B306" s="164"/>
      <c r="C306" s="154">
        <v>43752</v>
      </c>
      <c r="D306" s="160">
        <f>+DAY(Ventas[[#This Row],[FECHA]])</f>
        <v>14</v>
      </c>
      <c r="E306" s="154" t="str">
        <f t="shared" si="20"/>
        <v>lunes</v>
      </c>
      <c r="F306" s="129" t="s">
        <v>624</v>
      </c>
      <c r="G306" s="191">
        <v>4</v>
      </c>
      <c r="H306" s="154" t="s">
        <v>455</v>
      </c>
      <c r="I306" s="191">
        <v>8</v>
      </c>
      <c r="J306" s="154" t="s">
        <v>368</v>
      </c>
      <c r="K306" s="191">
        <v>1</v>
      </c>
      <c r="L306" s="193">
        <v>2000</v>
      </c>
      <c r="M306" s="127">
        <f>+Ventas[[#This Row],[Precio item]]*Ventas[[#This Row],[Q]]</f>
        <v>2000</v>
      </c>
      <c r="N306" s="250"/>
      <c r="O306" s="156"/>
      <c r="P306" s="157"/>
    </row>
    <row r="307" spans="2:16" x14ac:dyDescent="0.25">
      <c r="B307" s="164"/>
      <c r="C307" s="154">
        <v>43752</v>
      </c>
      <c r="D307" s="160">
        <f>+DAY(Ventas[[#This Row],[FECHA]])</f>
        <v>14</v>
      </c>
      <c r="E307" s="154" t="str">
        <f t="shared" si="20"/>
        <v>lunes</v>
      </c>
      <c r="F307" s="129" t="s">
        <v>624</v>
      </c>
      <c r="G307" s="191">
        <v>4</v>
      </c>
      <c r="H307" s="154" t="s">
        <v>455</v>
      </c>
      <c r="I307" s="191">
        <v>9</v>
      </c>
      <c r="J307" s="154" t="s">
        <v>396</v>
      </c>
      <c r="K307" s="191">
        <v>1</v>
      </c>
      <c r="L307" s="193">
        <v>22000</v>
      </c>
      <c r="M307" s="127">
        <f>+Ventas[[#This Row],[Precio item]]*Ventas[[#This Row],[Q]]</f>
        <v>22000</v>
      </c>
      <c r="N307" s="250"/>
      <c r="O307" s="156"/>
      <c r="P307" s="157"/>
    </row>
    <row r="308" spans="2:16" x14ac:dyDescent="0.25">
      <c r="B308" s="164"/>
      <c r="C308" s="154">
        <v>43752</v>
      </c>
      <c r="D308" s="160">
        <f>+DAY(Ventas[[#This Row],[FECHA]])</f>
        <v>14</v>
      </c>
      <c r="E308" s="154" t="str">
        <f t="shared" si="20"/>
        <v>lunes</v>
      </c>
      <c r="F308" s="129" t="s">
        <v>624</v>
      </c>
      <c r="G308" s="191">
        <v>4</v>
      </c>
      <c r="H308" s="154" t="s">
        <v>455</v>
      </c>
      <c r="I308" s="191">
        <v>9</v>
      </c>
      <c r="J308" s="154" t="s">
        <v>375</v>
      </c>
      <c r="K308" s="191">
        <v>1</v>
      </c>
      <c r="L308" s="193">
        <v>40000</v>
      </c>
      <c r="M308" s="127">
        <f>+Ventas[[#This Row],[Precio item]]*Ventas[[#This Row],[Q]]</f>
        <v>40000</v>
      </c>
      <c r="N308" s="250"/>
      <c r="O308" s="156"/>
      <c r="P308" s="157"/>
    </row>
    <row r="309" spans="2:16" x14ac:dyDescent="0.25">
      <c r="B309" s="164"/>
      <c r="C309" s="154">
        <v>43752</v>
      </c>
      <c r="D309" s="160">
        <f>+DAY(Ventas[[#This Row],[FECHA]])</f>
        <v>14</v>
      </c>
      <c r="E309" s="154" t="str">
        <f t="shared" si="20"/>
        <v>lunes</v>
      </c>
      <c r="F309" s="129" t="s">
        <v>624</v>
      </c>
      <c r="G309" s="191">
        <v>4</v>
      </c>
      <c r="H309" s="154" t="s">
        <v>455</v>
      </c>
      <c r="I309" s="191">
        <v>9</v>
      </c>
      <c r="J309" s="154" t="s">
        <v>433</v>
      </c>
      <c r="K309" s="191">
        <v>2</v>
      </c>
      <c r="L309" s="193">
        <v>4500</v>
      </c>
      <c r="M309" s="127">
        <f>+Ventas[[#This Row],[Precio item]]*Ventas[[#This Row],[Q]]</f>
        <v>9000</v>
      </c>
      <c r="N309" s="250"/>
      <c r="O309" s="156"/>
      <c r="P309" s="157"/>
    </row>
    <row r="310" spans="2:16" x14ac:dyDescent="0.25">
      <c r="B310" s="164"/>
      <c r="C310" s="154">
        <v>43752</v>
      </c>
      <c r="D310" s="160">
        <f>+DAY(Ventas[[#This Row],[FECHA]])</f>
        <v>14</v>
      </c>
      <c r="E310" s="154" t="str">
        <f t="shared" si="20"/>
        <v>lunes</v>
      </c>
      <c r="F310" s="129" t="s">
        <v>624</v>
      </c>
      <c r="G310" s="191">
        <v>4</v>
      </c>
      <c r="H310" s="154" t="s">
        <v>455</v>
      </c>
      <c r="I310" s="191">
        <v>9</v>
      </c>
      <c r="J310" s="154" t="s">
        <v>358</v>
      </c>
      <c r="K310" s="191">
        <v>1</v>
      </c>
      <c r="L310" s="193">
        <v>6000</v>
      </c>
      <c r="M310" s="127">
        <f>+Ventas[[#This Row],[Precio item]]*Ventas[[#This Row],[Q]]</f>
        <v>6000</v>
      </c>
      <c r="N310" s="250" t="s">
        <v>519</v>
      </c>
      <c r="O310" s="156"/>
      <c r="P310" s="157"/>
    </row>
    <row r="311" spans="2:16" x14ac:dyDescent="0.25">
      <c r="B311" s="164"/>
      <c r="C311" s="154">
        <v>43752</v>
      </c>
      <c r="D311" s="160">
        <f>+DAY(Ventas[[#This Row],[FECHA]])</f>
        <v>14</v>
      </c>
      <c r="E311" s="154" t="str">
        <f t="shared" si="20"/>
        <v>lunes</v>
      </c>
      <c r="F311" s="129" t="s">
        <v>624</v>
      </c>
      <c r="G311" s="191">
        <v>4</v>
      </c>
      <c r="H311" s="154" t="s">
        <v>455</v>
      </c>
      <c r="I311" s="191">
        <v>9</v>
      </c>
      <c r="J311" s="154" t="s">
        <v>545</v>
      </c>
      <c r="K311" s="191">
        <v>1</v>
      </c>
      <c r="L311" s="193">
        <v>2000</v>
      </c>
      <c r="M311" s="127">
        <f>+Ventas[[#This Row],[Precio item]]*Ventas[[#This Row],[Q]]</f>
        <v>2000</v>
      </c>
      <c r="N311" s="250"/>
      <c r="O311" s="156"/>
      <c r="P311" s="157"/>
    </row>
    <row r="312" spans="2:16" x14ac:dyDescent="0.25">
      <c r="B312" s="164"/>
      <c r="C312" s="154">
        <v>43752</v>
      </c>
      <c r="D312" s="160">
        <f>+DAY(Ventas[[#This Row],[FECHA]])</f>
        <v>14</v>
      </c>
      <c r="E312" s="154" t="str">
        <f t="shared" si="20"/>
        <v>lunes</v>
      </c>
      <c r="F312" s="129" t="s">
        <v>624</v>
      </c>
      <c r="G312" s="191">
        <v>4</v>
      </c>
      <c r="H312" s="154" t="s">
        <v>455</v>
      </c>
      <c r="I312" s="191">
        <v>10</v>
      </c>
      <c r="J312" s="154" t="s">
        <v>358</v>
      </c>
      <c r="K312" s="191">
        <v>1</v>
      </c>
      <c r="L312" s="193">
        <v>6000</v>
      </c>
      <c r="M312" s="127">
        <f>+Ventas[[#This Row],[Precio item]]*Ventas[[#This Row],[Q]]</f>
        <v>6000</v>
      </c>
      <c r="N312" s="250" t="s">
        <v>427</v>
      </c>
      <c r="O312" s="156"/>
      <c r="P312" s="157"/>
    </row>
    <row r="313" spans="2:16" x14ac:dyDescent="0.25">
      <c r="B313" s="164"/>
      <c r="C313" s="154">
        <v>43752</v>
      </c>
      <c r="D313" s="160">
        <f>+DAY(Ventas[[#This Row],[FECHA]])</f>
        <v>14</v>
      </c>
      <c r="E313" s="154" t="str">
        <f t="shared" si="20"/>
        <v>lunes</v>
      </c>
      <c r="F313" s="129" t="s">
        <v>624</v>
      </c>
      <c r="G313" s="191">
        <v>4</v>
      </c>
      <c r="H313" s="154" t="s">
        <v>455</v>
      </c>
      <c r="I313" s="191">
        <v>10</v>
      </c>
      <c r="J313" s="154" t="s">
        <v>375</v>
      </c>
      <c r="K313" s="191">
        <v>1</v>
      </c>
      <c r="L313" s="193">
        <v>30000</v>
      </c>
      <c r="M313" s="127">
        <f>+Ventas[[#This Row],[Precio item]]*Ventas[[#This Row],[Q]]</f>
        <v>30000</v>
      </c>
      <c r="N313" s="250"/>
      <c r="O313" s="156"/>
      <c r="P313" s="157"/>
    </row>
    <row r="314" spans="2:16" x14ac:dyDescent="0.25">
      <c r="B314" s="164"/>
      <c r="C314" s="154">
        <v>43752</v>
      </c>
      <c r="D314" s="160">
        <f>+DAY(Ventas[[#This Row],[FECHA]])</f>
        <v>14</v>
      </c>
      <c r="E314" s="154" t="str">
        <f t="shared" si="20"/>
        <v>lunes</v>
      </c>
      <c r="F314" s="129" t="s">
        <v>624</v>
      </c>
      <c r="G314" s="191">
        <v>4</v>
      </c>
      <c r="H314" s="154" t="s">
        <v>386</v>
      </c>
      <c r="I314" s="191">
        <v>10</v>
      </c>
      <c r="J314" s="154" t="s">
        <v>433</v>
      </c>
      <c r="K314" s="191">
        <v>1</v>
      </c>
      <c r="L314" s="193">
        <v>4000</v>
      </c>
      <c r="M314" s="127">
        <f>+Ventas[[#This Row],[Precio item]]*Ventas[[#This Row],[Q]]</f>
        <v>4000</v>
      </c>
      <c r="N314" s="250"/>
      <c r="O314" s="156"/>
      <c r="P314" s="157"/>
    </row>
    <row r="315" spans="2:16" x14ac:dyDescent="0.25">
      <c r="B315" s="164"/>
      <c r="C315" s="154">
        <v>43752</v>
      </c>
      <c r="D315" s="160">
        <f>+DAY(Ventas[[#This Row],[FECHA]])</f>
        <v>14</v>
      </c>
      <c r="E315" s="154" t="str">
        <f t="shared" si="20"/>
        <v>lunes</v>
      </c>
      <c r="F315" s="129" t="s">
        <v>624</v>
      </c>
      <c r="G315" s="191">
        <v>4</v>
      </c>
      <c r="H315" s="154" t="s">
        <v>386</v>
      </c>
      <c r="I315" s="191">
        <v>10</v>
      </c>
      <c r="J315" s="154" t="s">
        <v>546</v>
      </c>
      <c r="K315" s="191">
        <v>1</v>
      </c>
      <c r="L315" s="193">
        <v>1500</v>
      </c>
      <c r="M315" s="127">
        <f>+Ventas[[#This Row],[Precio item]]*Ventas[[#This Row],[Q]]</f>
        <v>1500</v>
      </c>
      <c r="N315" s="250"/>
      <c r="O315" s="156"/>
      <c r="P315" s="157"/>
    </row>
    <row r="316" spans="2:16" x14ac:dyDescent="0.25">
      <c r="B316" s="164"/>
      <c r="C316" s="154">
        <v>43752</v>
      </c>
      <c r="D316" s="160">
        <f>+DAY(Ventas[[#This Row],[FECHA]])</f>
        <v>14</v>
      </c>
      <c r="E316" s="154" t="str">
        <f t="shared" ref="E316:E321" si="21">+TEXT(C316,"dddd")</f>
        <v>lunes</v>
      </c>
      <c r="F316" s="129" t="s">
        <v>624</v>
      </c>
      <c r="G316" s="191">
        <v>4</v>
      </c>
      <c r="H316" s="154" t="s">
        <v>386</v>
      </c>
      <c r="I316" s="191">
        <v>11</v>
      </c>
      <c r="J316" s="154" t="s">
        <v>375</v>
      </c>
      <c r="K316" s="191">
        <v>1</v>
      </c>
      <c r="L316" s="193">
        <v>30000</v>
      </c>
      <c r="M316" s="127">
        <f>+Ventas[[#This Row],[Precio item]]*Ventas[[#This Row],[Q]]</f>
        <v>30000</v>
      </c>
      <c r="N316" s="250"/>
      <c r="O316" s="156"/>
      <c r="P316" s="157"/>
    </row>
    <row r="317" spans="2:16" x14ac:dyDescent="0.25">
      <c r="B317" s="164"/>
      <c r="C317" s="154">
        <v>43752</v>
      </c>
      <c r="D317" s="160">
        <f>+DAY(Ventas[[#This Row],[FECHA]])</f>
        <v>14</v>
      </c>
      <c r="E317" s="154" t="str">
        <f t="shared" si="21"/>
        <v>lunes</v>
      </c>
      <c r="F317" s="129" t="s">
        <v>624</v>
      </c>
      <c r="G317" s="191">
        <v>4</v>
      </c>
      <c r="H317" s="154" t="s">
        <v>386</v>
      </c>
      <c r="I317" s="191">
        <v>11</v>
      </c>
      <c r="J317" s="154" t="s">
        <v>368</v>
      </c>
      <c r="K317" s="191">
        <v>1</v>
      </c>
      <c r="L317" s="193">
        <v>2000</v>
      </c>
      <c r="M317" s="127">
        <f>+Ventas[[#This Row],[Precio item]]*Ventas[[#This Row],[Q]]</f>
        <v>2000</v>
      </c>
      <c r="N317" s="250"/>
      <c r="O317" s="156"/>
      <c r="P317" s="157"/>
    </row>
    <row r="318" spans="2:16" x14ac:dyDescent="0.25">
      <c r="B318" s="164"/>
      <c r="C318" s="154">
        <v>43752</v>
      </c>
      <c r="D318" s="160">
        <f>+DAY(Ventas[[#This Row],[FECHA]])</f>
        <v>14</v>
      </c>
      <c r="E318" s="154" t="str">
        <f t="shared" si="21"/>
        <v>lunes</v>
      </c>
      <c r="F318" s="129" t="s">
        <v>624</v>
      </c>
      <c r="G318" s="191">
        <v>4</v>
      </c>
      <c r="H318" s="154" t="s">
        <v>386</v>
      </c>
      <c r="I318" s="191">
        <v>12</v>
      </c>
      <c r="J318" s="154" t="s">
        <v>375</v>
      </c>
      <c r="K318" s="191">
        <v>1</v>
      </c>
      <c r="L318" s="193">
        <v>40000</v>
      </c>
      <c r="M318" s="127">
        <f>+Ventas[[#This Row],[Precio item]]*Ventas[[#This Row],[Q]]</f>
        <v>40000</v>
      </c>
      <c r="N318" s="250"/>
      <c r="O318" s="156"/>
      <c r="P318" s="157"/>
    </row>
    <row r="319" spans="2:16" x14ac:dyDescent="0.25">
      <c r="B319" s="164"/>
      <c r="C319" s="154">
        <v>43752</v>
      </c>
      <c r="D319" s="160">
        <f>+DAY(Ventas[[#This Row],[FECHA]])</f>
        <v>14</v>
      </c>
      <c r="E319" s="154" t="str">
        <f t="shared" si="21"/>
        <v>lunes</v>
      </c>
      <c r="F319" s="129" t="s">
        <v>624</v>
      </c>
      <c r="G319" s="191">
        <v>4</v>
      </c>
      <c r="H319" s="154" t="s">
        <v>386</v>
      </c>
      <c r="I319" s="191">
        <v>13</v>
      </c>
      <c r="J319" s="154" t="s">
        <v>375</v>
      </c>
      <c r="K319" s="191">
        <v>1</v>
      </c>
      <c r="L319" s="193">
        <v>40000</v>
      </c>
      <c r="M319" s="127">
        <f>+Ventas[[#This Row],[Precio item]]*Ventas[[#This Row],[Q]]</f>
        <v>40000</v>
      </c>
      <c r="N319" s="250"/>
      <c r="O319" s="156"/>
      <c r="P319" s="157"/>
    </row>
    <row r="320" spans="2:16" x14ac:dyDescent="0.25">
      <c r="B320" s="164"/>
      <c r="C320" s="154">
        <v>43752</v>
      </c>
      <c r="D320" s="160">
        <f>+DAY(Ventas[[#This Row],[FECHA]])</f>
        <v>14</v>
      </c>
      <c r="E320" s="154" t="str">
        <f t="shared" si="21"/>
        <v>lunes</v>
      </c>
      <c r="F320" s="129" t="s">
        <v>624</v>
      </c>
      <c r="G320" s="191">
        <v>4</v>
      </c>
      <c r="H320" s="154" t="s">
        <v>386</v>
      </c>
      <c r="I320" s="191">
        <v>13</v>
      </c>
      <c r="J320" s="154" t="s">
        <v>367</v>
      </c>
      <c r="K320" s="191">
        <v>1</v>
      </c>
      <c r="L320" s="193">
        <v>4000</v>
      </c>
      <c r="M320" s="127">
        <f>+Ventas[[#This Row],[Precio item]]*Ventas[[#This Row],[Q]]</f>
        <v>4000</v>
      </c>
      <c r="N320" s="250"/>
      <c r="O320" s="156"/>
      <c r="P320" s="157"/>
    </row>
    <row r="321" spans="2:16" x14ac:dyDescent="0.25">
      <c r="B321" s="164"/>
      <c r="C321" s="154">
        <v>43752</v>
      </c>
      <c r="D321" s="160">
        <f>+DAY(Ventas[[#This Row],[FECHA]])</f>
        <v>14</v>
      </c>
      <c r="E321" s="154" t="str">
        <f t="shared" si="21"/>
        <v>lunes</v>
      </c>
      <c r="F321" s="129" t="s">
        <v>624</v>
      </c>
      <c r="G321" s="191">
        <v>4</v>
      </c>
      <c r="H321" s="154" t="s">
        <v>386</v>
      </c>
      <c r="I321" s="191">
        <v>14</v>
      </c>
      <c r="J321" s="154" t="s">
        <v>358</v>
      </c>
      <c r="K321" s="191">
        <v>1</v>
      </c>
      <c r="L321" s="193">
        <v>6500</v>
      </c>
      <c r="M321" s="127">
        <f>+Ventas[[#This Row],[Precio item]]*Ventas[[#This Row],[Q]]</f>
        <v>6500</v>
      </c>
      <c r="N321" s="250"/>
      <c r="O321" s="156"/>
      <c r="P321" s="157"/>
    </row>
    <row r="322" spans="2:16" x14ac:dyDescent="0.25">
      <c r="B322" s="163"/>
      <c r="C322" s="154">
        <v>43753</v>
      </c>
      <c r="D322" s="160">
        <f>+DAY(Ventas[[#This Row],[FECHA]])</f>
        <v>15</v>
      </c>
      <c r="E322" s="129" t="str">
        <f>+TEXT(C322,"dddd")</f>
        <v>martes</v>
      </c>
      <c r="F322" s="129" t="s">
        <v>626</v>
      </c>
      <c r="G322" s="191">
        <v>4</v>
      </c>
      <c r="H322" s="154" t="s">
        <v>455</v>
      </c>
      <c r="I322" s="191">
        <v>1</v>
      </c>
      <c r="J322" s="154" t="s">
        <v>353</v>
      </c>
      <c r="K322" s="191">
        <v>1</v>
      </c>
      <c r="L322" s="193">
        <v>9000</v>
      </c>
      <c r="M322" s="195">
        <f>+Ventas[[#This Row],[Precio item]]*Ventas[[#This Row],[Q]]</f>
        <v>9000</v>
      </c>
      <c r="N322" s="127"/>
      <c r="O322" s="127"/>
      <c r="P322" s="148"/>
    </row>
    <row r="323" spans="2:16" x14ac:dyDescent="0.25">
      <c r="B323" s="163"/>
      <c r="C323" s="154">
        <v>43753</v>
      </c>
      <c r="D323" s="160">
        <f>+DAY(Ventas[[#This Row],[FECHA]])</f>
        <v>15</v>
      </c>
      <c r="E323" s="129" t="str">
        <f t="shared" ref="E323:E333" si="22">+TEXT(C323,"dddd")</f>
        <v>martes</v>
      </c>
      <c r="F323" s="129" t="s">
        <v>626</v>
      </c>
      <c r="G323" s="191">
        <v>4</v>
      </c>
      <c r="H323" s="154" t="s">
        <v>455</v>
      </c>
      <c r="I323" s="191">
        <v>2</v>
      </c>
      <c r="J323" s="154" t="s">
        <v>353</v>
      </c>
      <c r="K323" s="191">
        <v>1</v>
      </c>
      <c r="L323" s="193">
        <v>9000</v>
      </c>
      <c r="M323" s="195">
        <f>+Ventas[[#This Row],[Precio item]]*Ventas[[#This Row],[Q]]</f>
        <v>9000</v>
      </c>
      <c r="N323" s="155"/>
      <c r="O323" s="127"/>
      <c r="P323" s="148"/>
    </row>
    <row r="324" spans="2:16" x14ac:dyDescent="0.25">
      <c r="B324" s="163"/>
      <c r="C324" s="154">
        <v>43753</v>
      </c>
      <c r="D324" s="160">
        <f>+DAY(Ventas[[#This Row],[FECHA]])</f>
        <v>15</v>
      </c>
      <c r="E324" s="129" t="str">
        <f t="shared" si="22"/>
        <v>martes</v>
      </c>
      <c r="F324" s="129" t="s">
        <v>626</v>
      </c>
      <c r="G324" s="191">
        <v>4</v>
      </c>
      <c r="H324" s="154" t="s">
        <v>455</v>
      </c>
      <c r="I324" s="191">
        <v>3</v>
      </c>
      <c r="J324" s="154" t="s">
        <v>358</v>
      </c>
      <c r="K324" s="191">
        <v>1</v>
      </c>
      <c r="L324" s="193">
        <v>4000</v>
      </c>
      <c r="M324" s="195">
        <f>+Ventas[[#This Row],[Precio item]]*Ventas[[#This Row],[Q]]</f>
        <v>4000</v>
      </c>
      <c r="N324" s="155"/>
      <c r="O324" s="127"/>
      <c r="P324" s="148"/>
    </row>
    <row r="325" spans="2:16" x14ac:dyDescent="0.25">
      <c r="B325" s="163"/>
      <c r="C325" s="154">
        <v>43753</v>
      </c>
      <c r="D325" s="160">
        <f>+DAY(Ventas[[#This Row],[FECHA]])</f>
        <v>15</v>
      </c>
      <c r="E325" s="129" t="str">
        <f t="shared" si="22"/>
        <v>martes</v>
      </c>
      <c r="F325" s="129" t="s">
        <v>626</v>
      </c>
      <c r="G325" s="191">
        <v>4</v>
      </c>
      <c r="H325" s="154" t="s">
        <v>455</v>
      </c>
      <c r="I325" s="191">
        <v>4</v>
      </c>
      <c r="J325" s="154" t="s">
        <v>353</v>
      </c>
      <c r="K325" s="191">
        <v>2</v>
      </c>
      <c r="L325" s="193">
        <v>9000</v>
      </c>
      <c r="M325" s="195">
        <f>+Ventas[[#This Row],[Precio item]]*Ventas[[#This Row],[Q]]</f>
        <v>18000</v>
      </c>
      <c r="N325" s="155"/>
      <c r="O325" s="127"/>
      <c r="P325" s="148"/>
    </row>
    <row r="326" spans="2:16" x14ac:dyDescent="0.25">
      <c r="B326" s="163"/>
      <c r="C326" s="154">
        <v>43753</v>
      </c>
      <c r="D326" s="160">
        <f>+DAY(Ventas[[#This Row],[FECHA]])</f>
        <v>15</v>
      </c>
      <c r="E326" s="129" t="str">
        <f t="shared" si="22"/>
        <v>martes</v>
      </c>
      <c r="F326" s="129" t="s">
        <v>626</v>
      </c>
      <c r="G326" s="191">
        <v>4</v>
      </c>
      <c r="H326" s="154" t="s">
        <v>455</v>
      </c>
      <c r="I326" s="191">
        <v>4</v>
      </c>
      <c r="J326" s="154" t="s">
        <v>385</v>
      </c>
      <c r="K326" s="191">
        <v>1</v>
      </c>
      <c r="L326" s="193">
        <v>2500</v>
      </c>
      <c r="M326" s="195">
        <f>+Ventas[[#This Row],[Precio item]]*Ventas[[#This Row],[Q]]</f>
        <v>2500</v>
      </c>
      <c r="N326" s="155"/>
      <c r="O326" s="127"/>
      <c r="P326" s="148"/>
    </row>
    <row r="327" spans="2:16" x14ac:dyDescent="0.25">
      <c r="B327" s="163"/>
      <c r="C327" s="154">
        <v>43753</v>
      </c>
      <c r="D327" s="160">
        <f>+DAY(Ventas[[#This Row],[FECHA]])</f>
        <v>15</v>
      </c>
      <c r="E327" s="129" t="str">
        <f t="shared" si="22"/>
        <v>martes</v>
      </c>
      <c r="F327" s="129" t="s">
        <v>626</v>
      </c>
      <c r="G327" s="220">
        <v>4</v>
      </c>
      <c r="H327" s="221" t="s">
        <v>455</v>
      </c>
      <c r="I327" s="220">
        <v>5</v>
      </c>
      <c r="J327" s="221" t="s">
        <v>353</v>
      </c>
      <c r="K327" s="220">
        <v>2</v>
      </c>
      <c r="L327" s="222">
        <v>7000</v>
      </c>
      <c r="M327" s="135">
        <f>+Ventas[[#This Row],[Precio item]]*Ventas[[#This Row],[Q]]</f>
        <v>14000</v>
      </c>
      <c r="N327" s="155" t="s">
        <v>456</v>
      </c>
      <c r="O327" s="127"/>
      <c r="P327" s="148"/>
    </row>
    <row r="328" spans="2:16" x14ac:dyDescent="0.25">
      <c r="B328" s="163"/>
      <c r="C328" s="154">
        <v>43753</v>
      </c>
      <c r="D328" s="160">
        <f>+DAY(Ventas[[#This Row],[FECHA]])</f>
        <v>15</v>
      </c>
      <c r="E328" s="129" t="str">
        <f t="shared" si="22"/>
        <v>martes</v>
      </c>
      <c r="F328" s="129" t="s">
        <v>626</v>
      </c>
      <c r="G328" s="191">
        <v>4</v>
      </c>
      <c r="H328" s="154" t="s">
        <v>455</v>
      </c>
      <c r="I328" s="191">
        <v>6</v>
      </c>
      <c r="J328" s="154" t="s">
        <v>353</v>
      </c>
      <c r="K328" s="191">
        <v>2</v>
      </c>
      <c r="L328" s="193">
        <v>9000</v>
      </c>
      <c r="M328" s="195">
        <f>+Ventas[[#This Row],[Precio item]]*Ventas[[#This Row],[Q]]</f>
        <v>18000</v>
      </c>
      <c r="N328" s="155"/>
      <c r="O328" s="127"/>
      <c r="P328" s="148"/>
    </row>
    <row r="329" spans="2:16" x14ac:dyDescent="0.25">
      <c r="B329" s="163"/>
      <c r="C329" s="154">
        <v>43753</v>
      </c>
      <c r="D329" s="160">
        <f>+DAY(Ventas[[#This Row],[FECHA]])</f>
        <v>15</v>
      </c>
      <c r="E329" s="129" t="str">
        <f t="shared" si="22"/>
        <v>martes</v>
      </c>
      <c r="F329" s="129" t="s">
        <v>626</v>
      </c>
      <c r="G329" s="191">
        <v>4</v>
      </c>
      <c r="H329" s="154" t="s">
        <v>455</v>
      </c>
      <c r="I329" s="191">
        <v>7</v>
      </c>
      <c r="J329" s="154" t="s">
        <v>353</v>
      </c>
      <c r="K329" s="191">
        <v>1</v>
      </c>
      <c r="L329" s="193">
        <v>9000</v>
      </c>
      <c r="M329" s="195">
        <f>+Ventas[[#This Row],[Precio item]]*Ventas[[#This Row],[Q]]</f>
        <v>9000</v>
      </c>
      <c r="N329" s="155"/>
      <c r="O329" s="127"/>
      <c r="P329" s="148"/>
    </row>
    <row r="330" spans="2:16" x14ac:dyDescent="0.25">
      <c r="B330" s="163"/>
      <c r="C330" s="154">
        <v>43753</v>
      </c>
      <c r="D330" s="160">
        <f>+DAY(Ventas[[#This Row],[FECHA]])</f>
        <v>15</v>
      </c>
      <c r="E330" s="129" t="str">
        <f t="shared" si="22"/>
        <v>martes</v>
      </c>
      <c r="F330" s="129" t="s">
        <v>626</v>
      </c>
      <c r="G330" s="191">
        <v>4</v>
      </c>
      <c r="H330" s="154" t="s">
        <v>455</v>
      </c>
      <c r="I330" s="191">
        <v>8</v>
      </c>
      <c r="J330" s="154" t="s">
        <v>353</v>
      </c>
      <c r="K330" s="191">
        <v>1</v>
      </c>
      <c r="L330" s="193">
        <v>9000</v>
      </c>
      <c r="M330" s="195">
        <f>+Ventas[[#This Row],[Precio item]]*Ventas[[#This Row],[Q]]</f>
        <v>9000</v>
      </c>
      <c r="N330" s="155"/>
      <c r="O330" s="127"/>
      <c r="P330" s="148"/>
    </row>
    <row r="331" spans="2:16" x14ac:dyDescent="0.25">
      <c r="B331" s="163"/>
      <c r="C331" s="154">
        <v>43753</v>
      </c>
      <c r="D331" s="160">
        <f>+DAY(Ventas[[#This Row],[FECHA]])</f>
        <v>15</v>
      </c>
      <c r="E331" s="129" t="str">
        <f t="shared" si="22"/>
        <v>martes</v>
      </c>
      <c r="F331" s="129" t="s">
        <v>626</v>
      </c>
      <c r="G331" s="191">
        <v>4</v>
      </c>
      <c r="H331" s="154" t="s">
        <v>455</v>
      </c>
      <c r="I331" s="191">
        <v>9</v>
      </c>
      <c r="J331" s="154" t="s">
        <v>353</v>
      </c>
      <c r="K331" s="191">
        <v>3</v>
      </c>
      <c r="L331" s="193">
        <v>9000</v>
      </c>
      <c r="M331" s="195">
        <f>+Ventas[[#This Row],[Precio item]]*Ventas[[#This Row],[Q]]</f>
        <v>27000</v>
      </c>
      <c r="N331" s="155"/>
      <c r="O331" s="127"/>
      <c r="P331" s="148"/>
    </row>
    <row r="332" spans="2:16" x14ac:dyDescent="0.25">
      <c r="B332" s="163"/>
      <c r="C332" s="154">
        <v>43753</v>
      </c>
      <c r="D332" s="160">
        <f>+DAY(Ventas[[#This Row],[FECHA]])</f>
        <v>15</v>
      </c>
      <c r="E332" s="129" t="str">
        <f t="shared" si="22"/>
        <v>martes</v>
      </c>
      <c r="F332" s="129" t="s">
        <v>626</v>
      </c>
      <c r="G332" s="191">
        <v>4</v>
      </c>
      <c r="H332" s="154" t="s">
        <v>455</v>
      </c>
      <c r="I332" s="191">
        <v>10</v>
      </c>
      <c r="J332" s="154" t="s">
        <v>358</v>
      </c>
      <c r="K332" s="191">
        <v>2</v>
      </c>
      <c r="L332" s="193">
        <v>7000</v>
      </c>
      <c r="M332" s="195">
        <f>+Ventas[[#This Row],[Precio item]]*Ventas[[#This Row],[Q]]</f>
        <v>14000</v>
      </c>
      <c r="N332" s="155"/>
      <c r="O332" s="127"/>
      <c r="P332" s="148"/>
    </row>
    <row r="333" spans="2:16" x14ac:dyDescent="0.25">
      <c r="B333" s="163"/>
      <c r="C333" s="154">
        <v>43753</v>
      </c>
      <c r="D333" s="160">
        <f>+DAY(Ventas[[#This Row],[FECHA]])</f>
        <v>15</v>
      </c>
      <c r="E333" s="129" t="str">
        <f t="shared" si="22"/>
        <v>martes</v>
      </c>
      <c r="F333" s="129" t="s">
        <v>626</v>
      </c>
      <c r="G333" s="191">
        <v>4</v>
      </c>
      <c r="H333" s="154" t="s">
        <v>455</v>
      </c>
      <c r="I333" s="191">
        <v>11</v>
      </c>
      <c r="J333" s="154" t="s">
        <v>353</v>
      </c>
      <c r="K333" s="191">
        <v>1</v>
      </c>
      <c r="L333" s="193">
        <v>9000</v>
      </c>
      <c r="M333" s="195">
        <f>+Ventas[[#This Row],[Precio item]]*Ventas[[#This Row],[Q]]</f>
        <v>9000</v>
      </c>
      <c r="N333" s="155"/>
      <c r="O333" s="127"/>
      <c r="P333" s="148"/>
    </row>
    <row r="334" spans="2:16" x14ac:dyDescent="0.25">
      <c r="B334" s="163"/>
      <c r="C334" s="154">
        <v>43753</v>
      </c>
      <c r="D334" s="160">
        <f>+DAY(Ventas[[#This Row],[FECHA]])</f>
        <v>15</v>
      </c>
      <c r="E334" s="129" t="str">
        <f t="shared" ref="E334:E342" si="23">+TEXT(C334,"dddd")</f>
        <v>martes</v>
      </c>
      <c r="F334" s="129" t="s">
        <v>626</v>
      </c>
      <c r="G334" s="191">
        <v>4</v>
      </c>
      <c r="H334" s="154" t="s">
        <v>455</v>
      </c>
      <c r="I334" s="191">
        <v>12</v>
      </c>
      <c r="J334" s="154" t="s">
        <v>358</v>
      </c>
      <c r="K334" s="191">
        <v>1</v>
      </c>
      <c r="L334" s="193">
        <v>4000</v>
      </c>
      <c r="M334" s="195">
        <f>+Ventas[[#This Row],[Precio item]]*Ventas[[#This Row],[Q]]</f>
        <v>4000</v>
      </c>
      <c r="N334" s="155"/>
      <c r="O334" s="127"/>
      <c r="P334" s="148"/>
    </row>
    <row r="335" spans="2:16" x14ac:dyDescent="0.25">
      <c r="B335" s="163"/>
      <c r="C335" s="154">
        <v>43753</v>
      </c>
      <c r="D335" s="160">
        <f>+DAY(Ventas[[#This Row],[FECHA]])</f>
        <v>15</v>
      </c>
      <c r="E335" s="129" t="str">
        <f t="shared" si="23"/>
        <v>martes</v>
      </c>
      <c r="F335" s="129" t="s">
        <v>626</v>
      </c>
      <c r="G335" s="191">
        <v>4</v>
      </c>
      <c r="H335" s="154" t="s">
        <v>455</v>
      </c>
      <c r="I335" s="191">
        <v>12</v>
      </c>
      <c r="J335" s="154" t="s">
        <v>385</v>
      </c>
      <c r="K335" s="191">
        <v>1</v>
      </c>
      <c r="L335" s="193">
        <v>2500</v>
      </c>
      <c r="M335" s="195">
        <f>+Ventas[[#This Row],[Precio item]]*Ventas[[#This Row],[Q]]</f>
        <v>2500</v>
      </c>
      <c r="N335" s="155"/>
      <c r="O335" s="127"/>
      <c r="P335" s="148"/>
    </row>
    <row r="336" spans="2:16" x14ac:dyDescent="0.25">
      <c r="B336" s="163"/>
      <c r="C336" s="154">
        <v>43753</v>
      </c>
      <c r="D336" s="160">
        <f>+DAY(Ventas[[#This Row],[FECHA]])</f>
        <v>15</v>
      </c>
      <c r="E336" s="129" t="str">
        <f t="shared" si="23"/>
        <v>martes</v>
      </c>
      <c r="F336" s="129" t="s">
        <v>626</v>
      </c>
      <c r="G336" s="191">
        <v>4</v>
      </c>
      <c r="H336" s="154" t="s">
        <v>455</v>
      </c>
      <c r="I336" s="191">
        <v>13</v>
      </c>
      <c r="J336" s="154" t="s">
        <v>353</v>
      </c>
      <c r="K336" s="191">
        <v>1</v>
      </c>
      <c r="L336" s="193">
        <v>9000</v>
      </c>
      <c r="M336" s="195">
        <f>+Ventas[[#This Row],[Precio item]]*Ventas[[#This Row],[Q]]</f>
        <v>9000</v>
      </c>
      <c r="N336" s="155"/>
      <c r="O336" s="127"/>
      <c r="P336" s="148"/>
    </row>
    <row r="337" spans="2:18" x14ac:dyDescent="0.25">
      <c r="B337" s="163"/>
      <c r="C337" s="154">
        <v>43753</v>
      </c>
      <c r="D337" s="160">
        <f>+DAY(Ventas[[#This Row],[FECHA]])</f>
        <v>15</v>
      </c>
      <c r="E337" s="129" t="str">
        <f t="shared" si="23"/>
        <v>martes</v>
      </c>
      <c r="F337" s="129" t="s">
        <v>626</v>
      </c>
      <c r="G337" s="191">
        <v>4</v>
      </c>
      <c r="H337" s="154" t="s">
        <v>455</v>
      </c>
      <c r="I337" s="191">
        <v>14</v>
      </c>
      <c r="J337" s="154" t="s">
        <v>433</v>
      </c>
      <c r="K337" s="191">
        <v>1</v>
      </c>
      <c r="L337" s="193">
        <v>4500</v>
      </c>
      <c r="M337" s="195">
        <f>+Ventas[[#This Row],[Precio item]]*Ventas[[#This Row],[Q]]</f>
        <v>4500</v>
      </c>
      <c r="N337" s="155"/>
      <c r="O337" s="127"/>
      <c r="P337" s="148"/>
    </row>
    <row r="338" spans="2:18" x14ac:dyDescent="0.25">
      <c r="B338" s="163"/>
      <c r="C338" s="154">
        <v>43753</v>
      </c>
      <c r="D338" s="160">
        <f>+DAY(Ventas[[#This Row],[FECHA]])</f>
        <v>15</v>
      </c>
      <c r="E338" s="129" t="str">
        <f t="shared" si="23"/>
        <v>martes</v>
      </c>
      <c r="F338" s="129" t="s">
        <v>626</v>
      </c>
      <c r="G338" s="191">
        <v>4</v>
      </c>
      <c r="H338" s="154" t="s">
        <v>455</v>
      </c>
      <c r="I338" s="191">
        <v>15</v>
      </c>
      <c r="J338" s="154" t="s">
        <v>375</v>
      </c>
      <c r="K338" s="191">
        <v>1</v>
      </c>
      <c r="L338" s="193">
        <v>20000</v>
      </c>
      <c r="M338" s="195">
        <f>+Ventas[[#This Row],[Precio item]]*Ventas[[#This Row],[Q]]</f>
        <v>20000</v>
      </c>
      <c r="N338" s="155"/>
      <c r="O338" s="127"/>
      <c r="P338" s="148"/>
    </row>
    <row r="339" spans="2:18" x14ac:dyDescent="0.25">
      <c r="B339" s="163"/>
      <c r="C339" s="154">
        <v>43753</v>
      </c>
      <c r="D339" s="160">
        <f>+DAY(Ventas[[#This Row],[FECHA]])</f>
        <v>15</v>
      </c>
      <c r="E339" s="129" t="str">
        <f t="shared" si="23"/>
        <v>martes</v>
      </c>
      <c r="F339" s="129" t="s">
        <v>626</v>
      </c>
      <c r="G339" s="191">
        <v>4</v>
      </c>
      <c r="H339" s="154" t="s">
        <v>455</v>
      </c>
      <c r="I339" s="191">
        <v>15</v>
      </c>
      <c r="J339" s="154" t="s">
        <v>457</v>
      </c>
      <c r="K339" s="191">
        <v>1</v>
      </c>
      <c r="L339" s="193">
        <v>2000</v>
      </c>
      <c r="M339" s="195">
        <f>+Ventas[[#This Row],[Precio item]]*Ventas[[#This Row],[Q]]</f>
        <v>2000</v>
      </c>
      <c r="N339" s="155"/>
      <c r="O339" s="127"/>
      <c r="P339" s="148"/>
    </row>
    <row r="340" spans="2:18" x14ac:dyDescent="0.25">
      <c r="B340" s="163"/>
      <c r="C340" s="154">
        <v>43753</v>
      </c>
      <c r="D340" s="160">
        <f>+DAY(Ventas[[#This Row],[FECHA]])</f>
        <v>15</v>
      </c>
      <c r="E340" s="129" t="str">
        <f t="shared" si="23"/>
        <v>martes</v>
      </c>
      <c r="F340" s="129" t="s">
        <v>626</v>
      </c>
      <c r="G340" s="191">
        <v>4</v>
      </c>
      <c r="H340" s="154" t="s">
        <v>455</v>
      </c>
      <c r="I340" s="191">
        <v>15</v>
      </c>
      <c r="J340" s="154" t="s">
        <v>378</v>
      </c>
      <c r="K340" s="191">
        <v>1</v>
      </c>
      <c r="L340" s="193">
        <v>2500</v>
      </c>
      <c r="M340" s="195">
        <f>+Ventas[[#This Row],[Precio item]]*Ventas[[#This Row],[Q]]</f>
        <v>2500</v>
      </c>
      <c r="N340" s="155"/>
      <c r="O340" s="127"/>
      <c r="P340" s="148"/>
      <c r="R340" s="248">
        <v>1554000</v>
      </c>
    </row>
    <row r="341" spans="2:18" x14ac:dyDescent="0.25">
      <c r="B341" s="163"/>
      <c r="C341" s="154">
        <v>43753</v>
      </c>
      <c r="D341" s="160">
        <f>+DAY(Ventas[[#This Row],[FECHA]])</f>
        <v>15</v>
      </c>
      <c r="E341" s="129" t="str">
        <f t="shared" si="23"/>
        <v>martes</v>
      </c>
      <c r="F341" s="129" t="s">
        <v>626</v>
      </c>
      <c r="G341" s="191">
        <v>4</v>
      </c>
      <c r="H341" s="154" t="s">
        <v>459</v>
      </c>
      <c r="I341" s="191">
        <v>16</v>
      </c>
      <c r="J341" s="154" t="s">
        <v>353</v>
      </c>
      <c r="K341" s="191">
        <v>1</v>
      </c>
      <c r="L341" s="193">
        <v>9000</v>
      </c>
      <c r="M341" s="195">
        <f>+Ventas[[#This Row],[Precio item]]*Ventas[[#This Row],[Q]]</f>
        <v>9000</v>
      </c>
      <c r="N341" s="155"/>
      <c r="O341" s="127"/>
      <c r="P341" s="148"/>
    </row>
    <row r="342" spans="2:18" x14ac:dyDescent="0.25">
      <c r="B342" s="163"/>
      <c r="C342" s="154">
        <v>43753</v>
      </c>
      <c r="D342" s="160">
        <f>+DAY(Ventas[[#This Row],[FECHA]])</f>
        <v>15</v>
      </c>
      <c r="E342" s="129" t="str">
        <f t="shared" si="23"/>
        <v>martes</v>
      </c>
      <c r="F342" s="129" t="s">
        <v>626</v>
      </c>
      <c r="G342" s="191">
        <v>4</v>
      </c>
      <c r="H342" s="154" t="s">
        <v>459</v>
      </c>
      <c r="I342" s="191">
        <v>17</v>
      </c>
      <c r="J342" s="154" t="s">
        <v>353</v>
      </c>
      <c r="K342" s="191">
        <v>1</v>
      </c>
      <c r="L342" s="193">
        <v>10000</v>
      </c>
      <c r="M342" s="195">
        <f>+Ventas[[#This Row],[Precio item]]*Ventas[[#This Row],[Q]]</f>
        <v>10000</v>
      </c>
      <c r="N342" s="155" t="s">
        <v>458</v>
      </c>
      <c r="O342" s="127"/>
      <c r="P342" s="148"/>
    </row>
    <row r="343" spans="2:18" x14ac:dyDescent="0.25">
      <c r="B343" s="163"/>
      <c r="C343" s="154">
        <v>43753</v>
      </c>
      <c r="D343" s="160">
        <f>+DAY(Ventas[[#This Row],[FECHA]])</f>
        <v>15</v>
      </c>
      <c r="E343" s="129" t="str">
        <f t="shared" ref="E343:E348" si="24">+TEXT(C343,"dddd")</f>
        <v>martes</v>
      </c>
      <c r="F343" s="129" t="s">
        <v>626</v>
      </c>
      <c r="G343" s="191">
        <v>4</v>
      </c>
      <c r="H343" s="154" t="s">
        <v>459</v>
      </c>
      <c r="I343" s="191">
        <v>18</v>
      </c>
      <c r="J343" s="154" t="s">
        <v>353</v>
      </c>
      <c r="K343" s="191">
        <v>1</v>
      </c>
      <c r="L343" s="193">
        <v>10000</v>
      </c>
      <c r="M343" s="195">
        <f>+Ventas[[#This Row],[Precio item]]*Ventas[[#This Row],[Q]]</f>
        <v>10000</v>
      </c>
      <c r="N343" s="155"/>
      <c r="O343" s="127"/>
      <c r="P343" s="148"/>
    </row>
    <row r="344" spans="2:18" x14ac:dyDescent="0.25">
      <c r="B344" s="163"/>
      <c r="C344" s="154">
        <v>43753</v>
      </c>
      <c r="D344" s="160">
        <f>+DAY(Ventas[[#This Row],[FECHA]])</f>
        <v>15</v>
      </c>
      <c r="E344" s="129" t="str">
        <f t="shared" si="24"/>
        <v>martes</v>
      </c>
      <c r="F344" s="129" t="s">
        <v>626</v>
      </c>
      <c r="G344" s="191">
        <v>4</v>
      </c>
      <c r="H344" s="154" t="s">
        <v>459</v>
      </c>
      <c r="I344" s="191">
        <v>19</v>
      </c>
      <c r="J344" s="154" t="s">
        <v>353</v>
      </c>
      <c r="K344" s="191">
        <v>1</v>
      </c>
      <c r="L344" s="193">
        <v>9000</v>
      </c>
      <c r="M344" s="195">
        <f>+Ventas[[#This Row],[Precio item]]*Ventas[[#This Row],[Q]]</f>
        <v>9000</v>
      </c>
      <c r="N344" s="155"/>
      <c r="O344" s="127"/>
      <c r="P344" s="148"/>
    </row>
    <row r="345" spans="2:18" x14ac:dyDescent="0.25">
      <c r="B345" s="163"/>
      <c r="C345" s="154">
        <v>43753</v>
      </c>
      <c r="D345" s="160">
        <f>+DAY(Ventas[[#This Row],[FECHA]])</f>
        <v>15</v>
      </c>
      <c r="E345" s="129" t="str">
        <f t="shared" si="24"/>
        <v>martes</v>
      </c>
      <c r="F345" s="129" t="s">
        <v>626</v>
      </c>
      <c r="G345" s="191">
        <v>4</v>
      </c>
      <c r="H345" s="154" t="s">
        <v>459</v>
      </c>
      <c r="I345" s="191">
        <v>19</v>
      </c>
      <c r="J345" s="154" t="s">
        <v>378</v>
      </c>
      <c r="K345" s="191">
        <v>1</v>
      </c>
      <c r="L345" s="193">
        <v>2000</v>
      </c>
      <c r="M345" s="195">
        <f>+Ventas[[#This Row],[Precio item]]*Ventas[[#This Row],[Q]]</f>
        <v>2000</v>
      </c>
      <c r="N345" s="155" t="s">
        <v>460</v>
      </c>
      <c r="O345" s="127"/>
      <c r="P345" s="148"/>
    </row>
    <row r="346" spans="2:18" x14ac:dyDescent="0.25">
      <c r="B346" s="163"/>
      <c r="C346" s="154">
        <f>+C322+1</f>
        <v>43754</v>
      </c>
      <c r="D346" s="160">
        <f>+DAY(Ventas[[#This Row],[FECHA]])</f>
        <v>16</v>
      </c>
      <c r="E346" s="129" t="str">
        <f t="shared" si="24"/>
        <v>miércoles</v>
      </c>
      <c r="F346" s="129" t="s">
        <v>626</v>
      </c>
      <c r="G346" s="191">
        <v>4</v>
      </c>
      <c r="H346" s="129" t="s">
        <v>455</v>
      </c>
      <c r="I346" s="185">
        <v>1</v>
      </c>
      <c r="J346" s="129" t="s">
        <v>375</v>
      </c>
      <c r="K346" s="185">
        <v>1</v>
      </c>
      <c r="L346" s="192">
        <v>25000</v>
      </c>
      <c r="M346" s="127">
        <f>+Ventas[[#This Row],[Precio item]]*Ventas[[#This Row],[Q]]</f>
        <v>25000</v>
      </c>
      <c r="N346" s="127"/>
      <c r="O346" s="127"/>
      <c r="P346" s="148"/>
    </row>
    <row r="347" spans="2:18" x14ac:dyDescent="0.25">
      <c r="B347" s="163"/>
      <c r="C347" s="154">
        <v>43754</v>
      </c>
      <c r="D347" s="160">
        <f>+DAY(Ventas[[#This Row],[FECHA]])</f>
        <v>16</v>
      </c>
      <c r="E347" s="129" t="str">
        <f t="shared" si="24"/>
        <v>miércoles</v>
      </c>
      <c r="F347" s="129" t="s">
        <v>626</v>
      </c>
      <c r="G347" s="191">
        <v>4</v>
      </c>
      <c r="H347" s="129" t="s">
        <v>455</v>
      </c>
      <c r="I347" s="185">
        <v>1</v>
      </c>
      <c r="J347" s="129" t="s">
        <v>457</v>
      </c>
      <c r="K347" s="185">
        <v>1</v>
      </c>
      <c r="L347" s="192">
        <v>2000</v>
      </c>
      <c r="M347" s="127">
        <f>+Ventas[[#This Row],[Precio item]]*Ventas[[#This Row],[Q]]</f>
        <v>2000</v>
      </c>
      <c r="N347" s="127"/>
      <c r="O347" s="127"/>
      <c r="P347" s="148"/>
    </row>
    <row r="348" spans="2:18" x14ac:dyDescent="0.25">
      <c r="B348" s="163"/>
      <c r="C348" s="154">
        <v>43754</v>
      </c>
      <c r="D348" s="160">
        <f>+DAY(Ventas[[#This Row],[FECHA]])</f>
        <v>16</v>
      </c>
      <c r="E348" s="129" t="str">
        <f t="shared" si="24"/>
        <v>miércoles</v>
      </c>
      <c r="F348" s="129" t="s">
        <v>626</v>
      </c>
      <c r="G348" s="191">
        <v>4</v>
      </c>
      <c r="H348" s="129" t="s">
        <v>455</v>
      </c>
      <c r="I348" s="185">
        <v>2</v>
      </c>
      <c r="J348" s="129" t="s">
        <v>375</v>
      </c>
      <c r="K348" s="185">
        <v>1</v>
      </c>
      <c r="L348" s="192">
        <v>20000</v>
      </c>
      <c r="M348" s="127">
        <f>+Ventas[[#This Row],[Precio item]]*Ventas[[#This Row],[Q]]</f>
        <v>20000</v>
      </c>
      <c r="N348" s="127"/>
      <c r="O348" s="127"/>
      <c r="P348" s="148"/>
    </row>
    <row r="349" spans="2:18" x14ac:dyDescent="0.25">
      <c r="B349" s="163"/>
      <c r="C349" s="154">
        <v>43754</v>
      </c>
      <c r="D349" s="160">
        <f>+DAY(Ventas[[#This Row],[FECHA]])</f>
        <v>16</v>
      </c>
      <c r="E349" s="129" t="str">
        <f t="shared" ref="E349:E380" si="25">+TEXT(C349,"dddd")</f>
        <v>miércoles</v>
      </c>
      <c r="F349" s="129" t="s">
        <v>626</v>
      </c>
      <c r="G349" s="191">
        <v>4</v>
      </c>
      <c r="H349" s="129" t="s">
        <v>455</v>
      </c>
      <c r="I349" s="185">
        <v>2</v>
      </c>
      <c r="J349" s="129" t="s">
        <v>385</v>
      </c>
      <c r="K349" s="185">
        <v>1</v>
      </c>
      <c r="L349" s="192">
        <v>2500</v>
      </c>
      <c r="M349" s="127">
        <f>+Ventas[[#This Row],[Precio item]]*Ventas[[#This Row],[Q]]</f>
        <v>2500</v>
      </c>
      <c r="N349" s="127"/>
      <c r="O349" s="127"/>
      <c r="P349" s="148"/>
    </row>
    <row r="350" spans="2:18" x14ac:dyDescent="0.25">
      <c r="B350" s="163"/>
      <c r="C350" s="154">
        <v>43754</v>
      </c>
      <c r="D350" s="160">
        <f>+DAY(Ventas[[#This Row],[FECHA]])</f>
        <v>16</v>
      </c>
      <c r="E350" s="129" t="str">
        <f t="shared" si="25"/>
        <v>miércoles</v>
      </c>
      <c r="F350" s="129" t="s">
        <v>626</v>
      </c>
      <c r="G350" s="191">
        <v>4</v>
      </c>
      <c r="H350" s="129" t="s">
        <v>455</v>
      </c>
      <c r="I350" s="185">
        <v>3</v>
      </c>
      <c r="J350" s="129" t="s">
        <v>353</v>
      </c>
      <c r="K350" s="185">
        <v>2</v>
      </c>
      <c r="L350" s="192">
        <v>9000</v>
      </c>
      <c r="M350" s="127">
        <f>+Ventas[[#This Row],[Precio item]]*Ventas[[#This Row],[Q]]</f>
        <v>18000</v>
      </c>
      <c r="N350" s="127"/>
      <c r="O350" s="127"/>
      <c r="P350" s="148"/>
    </row>
    <row r="351" spans="2:18" x14ac:dyDescent="0.25">
      <c r="B351" s="163"/>
      <c r="C351" s="154">
        <v>43754</v>
      </c>
      <c r="D351" s="160">
        <f>+DAY(Ventas[[#This Row],[FECHA]])</f>
        <v>16</v>
      </c>
      <c r="E351" s="129" t="str">
        <f t="shared" si="25"/>
        <v>miércoles</v>
      </c>
      <c r="F351" s="129" t="s">
        <v>626</v>
      </c>
      <c r="G351" s="191">
        <v>4</v>
      </c>
      <c r="H351" s="129" t="s">
        <v>455</v>
      </c>
      <c r="I351" s="185">
        <v>4</v>
      </c>
      <c r="J351" s="129" t="s">
        <v>375</v>
      </c>
      <c r="K351" s="185">
        <v>1</v>
      </c>
      <c r="L351" s="192">
        <v>20000</v>
      </c>
      <c r="M351" s="127">
        <f>+Ventas[[#This Row],[Precio item]]*Ventas[[#This Row],[Q]]</f>
        <v>20000</v>
      </c>
      <c r="N351" s="127"/>
      <c r="O351" s="127"/>
      <c r="P351" s="148"/>
    </row>
    <row r="352" spans="2:18" x14ac:dyDescent="0.25">
      <c r="B352" s="163"/>
      <c r="C352" s="154">
        <v>43754</v>
      </c>
      <c r="D352" s="160">
        <f>+DAY(Ventas[[#This Row],[FECHA]])</f>
        <v>16</v>
      </c>
      <c r="E352" s="129" t="str">
        <f t="shared" si="25"/>
        <v>miércoles</v>
      </c>
      <c r="F352" s="129" t="s">
        <v>626</v>
      </c>
      <c r="G352" s="191">
        <v>4</v>
      </c>
      <c r="H352" s="129" t="s">
        <v>455</v>
      </c>
      <c r="I352" s="185">
        <v>5</v>
      </c>
      <c r="J352" s="129" t="s">
        <v>353</v>
      </c>
      <c r="K352" s="185">
        <v>1</v>
      </c>
      <c r="L352" s="192">
        <v>9000</v>
      </c>
      <c r="M352" s="127">
        <f>+Ventas[[#This Row],[Precio item]]*Ventas[[#This Row],[Q]]</f>
        <v>9000</v>
      </c>
      <c r="N352" s="127"/>
      <c r="O352" s="127"/>
      <c r="P352" s="148"/>
    </row>
    <row r="353" spans="2:16" x14ac:dyDescent="0.25">
      <c r="B353" s="163"/>
      <c r="C353" s="154">
        <v>43754</v>
      </c>
      <c r="D353" s="160">
        <f>+DAY(Ventas[[#This Row],[FECHA]])</f>
        <v>16</v>
      </c>
      <c r="E353" s="129" t="str">
        <f t="shared" si="25"/>
        <v>miércoles</v>
      </c>
      <c r="F353" s="129" t="s">
        <v>626</v>
      </c>
      <c r="G353" s="191">
        <v>4</v>
      </c>
      <c r="H353" s="129" t="s">
        <v>455</v>
      </c>
      <c r="I353" s="185">
        <v>5</v>
      </c>
      <c r="J353" s="129" t="s">
        <v>468</v>
      </c>
      <c r="K353" s="185">
        <v>1</v>
      </c>
      <c r="L353" s="192">
        <v>3000</v>
      </c>
      <c r="M353" s="127">
        <f>+Ventas[[#This Row],[Precio item]]*Ventas[[#This Row],[Q]]</f>
        <v>3000</v>
      </c>
      <c r="N353" s="127"/>
      <c r="O353" s="127"/>
      <c r="P353" s="148"/>
    </row>
    <row r="354" spans="2:16" x14ac:dyDescent="0.25">
      <c r="B354" s="163"/>
      <c r="C354" s="154">
        <v>43754</v>
      </c>
      <c r="D354" s="160">
        <f>+DAY(Ventas[[#This Row],[FECHA]])</f>
        <v>16</v>
      </c>
      <c r="E354" s="129" t="str">
        <f t="shared" si="25"/>
        <v>miércoles</v>
      </c>
      <c r="F354" s="129" t="s">
        <v>626</v>
      </c>
      <c r="G354" s="191">
        <v>4</v>
      </c>
      <c r="H354" s="129" t="s">
        <v>455</v>
      </c>
      <c r="I354" s="185">
        <v>6</v>
      </c>
      <c r="J354" s="129" t="s">
        <v>353</v>
      </c>
      <c r="K354" s="185">
        <v>1</v>
      </c>
      <c r="L354" s="192">
        <v>9000</v>
      </c>
      <c r="M354" s="127">
        <f>+Ventas[[#This Row],[Precio item]]*Ventas[[#This Row],[Q]]</f>
        <v>9000</v>
      </c>
      <c r="N354" s="127"/>
      <c r="O354" s="127"/>
      <c r="P354" s="148"/>
    </row>
    <row r="355" spans="2:16" x14ac:dyDescent="0.25">
      <c r="B355" s="163"/>
      <c r="C355" s="154">
        <v>43754</v>
      </c>
      <c r="D355" s="160">
        <f>+DAY(Ventas[[#This Row],[FECHA]])</f>
        <v>16</v>
      </c>
      <c r="E355" s="129" t="str">
        <f t="shared" si="25"/>
        <v>miércoles</v>
      </c>
      <c r="F355" s="129" t="s">
        <v>626</v>
      </c>
      <c r="G355" s="191">
        <v>4</v>
      </c>
      <c r="H355" s="129" t="s">
        <v>455</v>
      </c>
      <c r="I355" s="185">
        <v>7</v>
      </c>
      <c r="J355" s="129" t="s">
        <v>358</v>
      </c>
      <c r="K355" s="185">
        <v>2</v>
      </c>
      <c r="L355" s="192">
        <v>4500</v>
      </c>
      <c r="M355" s="127">
        <f>+Ventas[[#This Row],[Precio item]]*Ventas[[#This Row],[Q]]</f>
        <v>9000</v>
      </c>
      <c r="N355" s="127"/>
      <c r="O355" s="127"/>
      <c r="P355" s="148"/>
    </row>
    <row r="356" spans="2:16" x14ac:dyDescent="0.25">
      <c r="B356" s="163"/>
      <c r="C356" s="154">
        <v>43754</v>
      </c>
      <c r="D356" s="160">
        <f>+DAY(Ventas[[#This Row],[FECHA]])</f>
        <v>16</v>
      </c>
      <c r="E356" s="129" t="str">
        <f t="shared" si="25"/>
        <v>miércoles</v>
      </c>
      <c r="F356" s="129" t="s">
        <v>626</v>
      </c>
      <c r="G356" s="191">
        <v>4</v>
      </c>
      <c r="H356" s="129" t="s">
        <v>455</v>
      </c>
      <c r="I356" s="185">
        <v>7</v>
      </c>
      <c r="J356" s="129" t="s">
        <v>433</v>
      </c>
      <c r="K356" s="185">
        <v>1</v>
      </c>
      <c r="L356" s="192">
        <v>5000</v>
      </c>
      <c r="M356" s="127">
        <f>+Ventas[[#This Row],[Precio item]]*Ventas[[#This Row],[Q]]</f>
        <v>5000</v>
      </c>
      <c r="N356" s="127"/>
      <c r="O356" s="127"/>
      <c r="P356" s="148"/>
    </row>
    <row r="357" spans="2:16" x14ac:dyDescent="0.25">
      <c r="B357" s="163"/>
      <c r="C357" s="154">
        <v>43754</v>
      </c>
      <c r="D357" s="160">
        <f>+DAY(Ventas[[#This Row],[FECHA]])</f>
        <v>16</v>
      </c>
      <c r="E357" s="129" t="str">
        <f t="shared" si="25"/>
        <v>miércoles</v>
      </c>
      <c r="F357" s="129" t="s">
        <v>626</v>
      </c>
      <c r="G357" s="191">
        <v>4</v>
      </c>
      <c r="H357" s="129" t="s">
        <v>455</v>
      </c>
      <c r="I357" s="185">
        <v>7</v>
      </c>
      <c r="J357" s="129" t="s">
        <v>375</v>
      </c>
      <c r="K357" s="185">
        <v>1</v>
      </c>
      <c r="L357" s="192">
        <v>60000</v>
      </c>
      <c r="M357" s="127">
        <f>+Ventas[[#This Row],[Precio item]]*Ventas[[#This Row],[Q]]</f>
        <v>60000</v>
      </c>
      <c r="N357" s="127"/>
      <c r="O357" s="127"/>
      <c r="P357" s="148"/>
    </row>
    <row r="358" spans="2:16" x14ac:dyDescent="0.25">
      <c r="B358" s="163"/>
      <c r="C358" s="154">
        <v>43754</v>
      </c>
      <c r="D358" s="160">
        <f>+DAY(Ventas[[#This Row],[FECHA]])</f>
        <v>16</v>
      </c>
      <c r="E358" s="129" t="str">
        <f t="shared" si="25"/>
        <v>miércoles</v>
      </c>
      <c r="F358" s="129" t="s">
        <v>626</v>
      </c>
      <c r="G358" s="191">
        <v>4</v>
      </c>
      <c r="H358" s="129" t="s">
        <v>455</v>
      </c>
      <c r="I358" s="185">
        <v>7</v>
      </c>
      <c r="J358" s="129" t="s">
        <v>457</v>
      </c>
      <c r="K358" s="185">
        <v>1</v>
      </c>
      <c r="L358" s="192">
        <v>2000</v>
      </c>
      <c r="M358" s="127">
        <f>+Ventas[[#This Row],[Precio item]]*Ventas[[#This Row],[Q]]</f>
        <v>2000</v>
      </c>
      <c r="N358" s="127"/>
      <c r="O358" s="127"/>
      <c r="P358" s="148"/>
    </row>
    <row r="359" spans="2:16" x14ac:dyDescent="0.25">
      <c r="B359" s="163"/>
      <c r="C359" s="154">
        <v>43754</v>
      </c>
      <c r="D359" s="160">
        <f>+DAY(Ventas[[#This Row],[FECHA]])</f>
        <v>16</v>
      </c>
      <c r="E359" s="129" t="str">
        <f t="shared" si="25"/>
        <v>miércoles</v>
      </c>
      <c r="F359" s="129" t="s">
        <v>626</v>
      </c>
      <c r="G359" s="191">
        <v>4</v>
      </c>
      <c r="H359" s="129" t="s">
        <v>455</v>
      </c>
      <c r="I359" s="185">
        <v>8</v>
      </c>
      <c r="J359" s="129" t="s">
        <v>353</v>
      </c>
      <c r="K359" s="185">
        <v>2</v>
      </c>
      <c r="L359" s="192">
        <v>9000</v>
      </c>
      <c r="M359" s="127">
        <f>+Ventas[[#This Row],[Precio item]]*Ventas[[#This Row],[Q]]</f>
        <v>18000</v>
      </c>
      <c r="N359" s="127"/>
      <c r="O359" s="127"/>
      <c r="P359" s="148"/>
    </row>
    <row r="360" spans="2:16" x14ac:dyDescent="0.25">
      <c r="B360" s="163"/>
      <c r="C360" s="154">
        <v>43754</v>
      </c>
      <c r="D360" s="160">
        <f>+DAY(Ventas[[#This Row],[FECHA]])</f>
        <v>16</v>
      </c>
      <c r="E360" s="129" t="str">
        <f t="shared" si="25"/>
        <v>miércoles</v>
      </c>
      <c r="F360" s="129" t="s">
        <v>626</v>
      </c>
      <c r="G360" s="191">
        <v>4</v>
      </c>
      <c r="H360" s="129" t="s">
        <v>455</v>
      </c>
      <c r="I360" s="185">
        <v>9</v>
      </c>
      <c r="J360" s="129" t="s">
        <v>467</v>
      </c>
      <c r="K360" s="185">
        <v>10</v>
      </c>
      <c r="L360" s="192">
        <v>800</v>
      </c>
      <c r="M360" s="127">
        <f>+Ventas[[#This Row],[Precio item]]*Ventas[[#This Row],[Q]]</f>
        <v>8000</v>
      </c>
      <c r="N360" s="127"/>
      <c r="O360" s="127"/>
      <c r="P360" s="148"/>
    </row>
    <row r="361" spans="2:16" x14ac:dyDescent="0.25">
      <c r="B361" s="163"/>
      <c r="C361" s="154">
        <v>43754</v>
      </c>
      <c r="D361" s="160">
        <f>+DAY(Ventas[[#This Row],[FECHA]])</f>
        <v>16</v>
      </c>
      <c r="E361" s="129" t="str">
        <f t="shared" si="25"/>
        <v>miércoles</v>
      </c>
      <c r="F361" s="129" t="s">
        <v>626</v>
      </c>
      <c r="G361" s="191">
        <v>4</v>
      </c>
      <c r="H361" s="129" t="s">
        <v>455</v>
      </c>
      <c r="I361" s="185">
        <v>10</v>
      </c>
      <c r="J361" s="129" t="s">
        <v>353</v>
      </c>
      <c r="K361" s="185">
        <v>1</v>
      </c>
      <c r="L361" s="192">
        <v>9000</v>
      </c>
      <c r="M361" s="127">
        <f>+Ventas[[#This Row],[Precio item]]*Ventas[[#This Row],[Q]]</f>
        <v>9000</v>
      </c>
      <c r="N361" s="127"/>
      <c r="O361" s="127"/>
      <c r="P361" s="148"/>
    </row>
    <row r="362" spans="2:16" x14ac:dyDescent="0.25">
      <c r="B362" s="163"/>
      <c r="C362" s="154">
        <v>43754</v>
      </c>
      <c r="D362" s="160">
        <f>+DAY(Ventas[[#This Row],[FECHA]])</f>
        <v>16</v>
      </c>
      <c r="E362" s="129" t="str">
        <f t="shared" si="25"/>
        <v>miércoles</v>
      </c>
      <c r="F362" s="129" t="s">
        <v>626</v>
      </c>
      <c r="G362" s="191">
        <v>4</v>
      </c>
      <c r="H362" s="129" t="s">
        <v>455</v>
      </c>
      <c r="I362" s="185">
        <v>11</v>
      </c>
      <c r="J362" s="129" t="s">
        <v>353</v>
      </c>
      <c r="K362" s="185">
        <v>2</v>
      </c>
      <c r="L362" s="192">
        <v>9000</v>
      </c>
      <c r="M362" s="127">
        <f>+Ventas[[#This Row],[Precio item]]*Ventas[[#This Row],[Q]]</f>
        <v>18000</v>
      </c>
      <c r="N362" s="127"/>
      <c r="O362" s="127"/>
      <c r="P362" s="148"/>
    </row>
    <row r="363" spans="2:16" x14ac:dyDescent="0.25">
      <c r="B363" s="163"/>
      <c r="C363" s="154">
        <v>43754</v>
      </c>
      <c r="D363" s="160">
        <f>+DAY(Ventas[[#This Row],[FECHA]])</f>
        <v>16</v>
      </c>
      <c r="E363" s="129" t="str">
        <f t="shared" si="25"/>
        <v>miércoles</v>
      </c>
      <c r="F363" s="129" t="s">
        <v>626</v>
      </c>
      <c r="G363" s="191">
        <v>4</v>
      </c>
      <c r="H363" s="129" t="s">
        <v>455</v>
      </c>
      <c r="I363" s="185">
        <v>12</v>
      </c>
      <c r="J363" s="129" t="s">
        <v>353</v>
      </c>
      <c r="K363" s="185">
        <v>2</v>
      </c>
      <c r="L363" s="192">
        <v>9000</v>
      </c>
      <c r="M363" s="127">
        <f>+Ventas[[#This Row],[Precio item]]*Ventas[[#This Row],[Q]]</f>
        <v>18000</v>
      </c>
      <c r="N363" s="127"/>
      <c r="O363" s="127"/>
      <c r="P363" s="148"/>
    </row>
    <row r="364" spans="2:16" x14ac:dyDescent="0.25">
      <c r="B364" s="163"/>
      <c r="C364" s="154">
        <v>43754</v>
      </c>
      <c r="D364" s="160">
        <f>+DAY(Ventas[[#This Row],[FECHA]])</f>
        <v>16</v>
      </c>
      <c r="E364" s="129" t="str">
        <f t="shared" si="25"/>
        <v>miércoles</v>
      </c>
      <c r="F364" s="129" t="s">
        <v>626</v>
      </c>
      <c r="G364" s="191">
        <v>4</v>
      </c>
      <c r="H364" s="129" t="s">
        <v>455</v>
      </c>
      <c r="I364" s="185">
        <v>13</v>
      </c>
      <c r="J364" s="129" t="s">
        <v>353</v>
      </c>
      <c r="K364" s="185">
        <v>1</v>
      </c>
      <c r="L364" s="192">
        <v>9000</v>
      </c>
      <c r="M364" s="127">
        <f>+Ventas[[#This Row],[Precio item]]*Ventas[[#This Row],[Q]]</f>
        <v>9000</v>
      </c>
      <c r="N364" s="127"/>
      <c r="O364" s="127"/>
      <c r="P364" s="148"/>
    </row>
    <row r="365" spans="2:16" x14ac:dyDescent="0.25">
      <c r="B365" s="163"/>
      <c r="C365" s="154">
        <v>43754</v>
      </c>
      <c r="D365" s="160">
        <f>+DAY(Ventas[[#This Row],[FECHA]])</f>
        <v>16</v>
      </c>
      <c r="E365" s="129" t="str">
        <f t="shared" si="25"/>
        <v>miércoles</v>
      </c>
      <c r="F365" s="129" t="s">
        <v>626</v>
      </c>
      <c r="G365" s="191">
        <v>4</v>
      </c>
      <c r="H365" s="129" t="s">
        <v>455</v>
      </c>
      <c r="I365" s="185">
        <v>14</v>
      </c>
      <c r="J365" s="129" t="s">
        <v>353</v>
      </c>
      <c r="K365" s="185">
        <v>1</v>
      </c>
      <c r="L365" s="192">
        <v>8000</v>
      </c>
      <c r="M365" s="127">
        <f>+Ventas[[#This Row],[Precio item]]*Ventas[[#This Row],[Q]]</f>
        <v>8000</v>
      </c>
      <c r="N365" s="127"/>
      <c r="O365" s="127"/>
      <c r="P365" s="148"/>
    </row>
    <row r="366" spans="2:16" x14ac:dyDescent="0.25">
      <c r="B366" s="163"/>
      <c r="C366" s="154">
        <v>43754</v>
      </c>
      <c r="D366" s="160">
        <f>+DAY(Ventas[[#This Row],[FECHA]])</f>
        <v>16</v>
      </c>
      <c r="E366" s="129" t="str">
        <f t="shared" si="25"/>
        <v>miércoles</v>
      </c>
      <c r="F366" s="129" t="s">
        <v>626</v>
      </c>
      <c r="G366" s="191">
        <v>4</v>
      </c>
      <c r="H366" s="129" t="s">
        <v>455</v>
      </c>
      <c r="I366" s="185">
        <v>15</v>
      </c>
      <c r="J366" s="129" t="s">
        <v>524</v>
      </c>
      <c r="K366" s="185">
        <v>1</v>
      </c>
      <c r="L366" s="192">
        <v>23000</v>
      </c>
      <c r="M366" s="127">
        <f>+Ventas[[#This Row],[Precio item]]*Ventas[[#This Row],[Q]]</f>
        <v>23000</v>
      </c>
      <c r="N366" s="127"/>
      <c r="O366" s="127"/>
      <c r="P366" s="148"/>
    </row>
    <row r="367" spans="2:16" x14ac:dyDescent="0.25">
      <c r="B367" s="163"/>
      <c r="C367" s="154">
        <v>43754</v>
      </c>
      <c r="D367" s="160">
        <f>+DAY(Ventas[[#This Row],[FECHA]])</f>
        <v>16</v>
      </c>
      <c r="E367" s="129" t="str">
        <f t="shared" si="25"/>
        <v>miércoles</v>
      </c>
      <c r="F367" s="129" t="s">
        <v>626</v>
      </c>
      <c r="G367" s="191">
        <v>4</v>
      </c>
      <c r="H367" s="129" t="s">
        <v>455</v>
      </c>
      <c r="I367" s="185">
        <v>15</v>
      </c>
      <c r="J367" s="129" t="s">
        <v>468</v>
      </c>
      <c r="K367" s="185">
        <v>1</v>
      </c>
      <c r="L367" s="192">
        <v>3000</v>
      </c>
      <c r="M367" s="127">
        <f>+Ventas[[#This Row],[Precio item]]*Ventas[[#This Row],[Q]]</f>
        <v>3000</v>
      </c>
      <c r="N367" s="127"/>
      <c r="O367" s="127"/>
      <c r="P367" s="148"/>
    </row>
    <row r="368" spans="2:16" x14ac:dyDescent="0.25">
      <c r="B368" s="163"/>
      <c r="C368" s="154">
        <v>43754</v>
      </c>
      <c r="D368" s="160">
        <f>+DAY(Ventas[[#This Row],[FECHA]])</f>
        <v>16</v>
      </c>
      <c r="E368" s="129" t="str">
        <f t="shared" si="25"/>
        <v>miércoles</v>
      </c>
      <c r="F368" s="129" t="s">
        <v>626</v>
      </c>
      <c r="G368" s="191">
        <v>4</v>
      </c>
      <c r="H368" s="129" t="s">
        <v>459</v>
      </c>
      <c r="I368" s="185">
        <v>16</v>
      </c>
      <c r="J368" s="129" t="s">
        <v>375</v>
      </c>
      <c r="K368" s="185">
        <v>1</v>
      </c>
      <c r="L368" s="192">
        <v>50000</v>
      </c>
      <c r="M368" s="127">
        <f>+Ventas[[#This Row],[Precio item]]*Ventas[[#This Row],[Q]]</f>
        <v>50000</v>
      </c>
      <c r="N368" s="127"/>
      <c r="O368" s="127"/>
      <c r="P368" s="148"/>
    </row>
    <row r="369" spans="2:16" x14ac:dyDescent="0.25">
      <c r="B369" s="163"/>
      <c r="C369" s="154">
        <v>43754</v>
      </c>
      <c r="D369" s="160">
        <f>+DAY(Ventas[[#This Row],[FECHA]])</f>
        <v>16</v>
      </c>
      <c r="E369" s="129" t="str">
        <f t="shared" si="25"/>
        <v>miércoles</v>
      </c>
      <c r="F369" s="129" t="s">
        <v>626</v>
      </c>
      <c r="G369" s="191">
        <v>4</v>
      </c>
      <c r="H369" s="129" t="s">
        <v>459</v>
      </c>
      <c r="I369" s="185">
        <v>17</v>
      </c>
      <c r="J369" s="129" t="s">
        <v>539</v>
      </c>
      <c r="K369" s="185">
        <v>1</v>
      </c>
      <c r="L369" s="192">
        <v>6000</v>
      </c>
      <c r="M369" s="127">
        <f>+Ventas[[#This Row],[Precio item]]*Ventas[[#This Row],[Q]]</f>
        <v>6000</v>
      </c>
      <c r="N369" s="127"/>
      <c r="O369" s="127"/>
      <c r="P369" s="148"/>
    </row>
    <row r="370" spans="2:16" x14ac:dyDescent="0.25">
      <c r="B370" s="163"/>
      <c r="C370" s="154">
        <v>43754</v>
      </c>
      <c r="D370" s="160">
        <f>+DAY(Ventas[[#This Row],[FECHA]])</f>
        <v>16</v>
      </c>
      <c r="E370" s="129" t="str">
        <f t="shared" si="25"/>
        <v>miércoles</v>
      </c>
      <c r="F370" s="129" t="s">
        <v>626</v>
      </c>
      <c r="G370" s="191">
        <v>4</v>
      </c>
      <c r="H370" s="129" t="s">
        <v>459</v>
      </c>
      <c r="I370" s="185">
        <v>18</v>
      </c>
      <c r="J370" s="129" t="s">
        <v>375</v>
      </c>
      <c r="K370" s="185">
        <v>1</v>
      </c>
      <c r="L370" s="192">
        <v>10000</v>
      </c>
      <c r="M370" s="127">
        <f>+Ventas[[#This Row],[Precio item]]*Ventas[[#This Row],[Q]]</f>
        <v>10000</v>
      </c>
      <c r="N370" s="127" t="s">
        <v>540</v>
      </c>
      <c r="O370" s="127"/>
      <c r="P370" s="148"/>
    </row>
    <row r="371" spans="2:16" x14ac:dyDescent="0.25">
      <c r="B371" s="163"/>
      <c r="C371" s="154">
        <v>43754</v>
      </c>
      <c r="D371" s="160">
        <f>+DAY(Ventas[[#This Row],[FECHA]])</f>
        <v>16</v>
      </c>
      <c r="E371" s="129" t="str">
        <f t="shared" si="25"/>
        <v>miércoles</v>
      </c>
      <c r="F371" s="129" t="s">
        <v>626</v>
      </c>
      <c r="G371" s="191">
        <v>4</v>
      </c>
      <c r="H371" s="129" t="s">
        <v>459</v>
      </c>
      <c r="I371" s="185">
        <v>19</v>
      </c>
      <c r="J371" s="129" t="s">
        <v>375</v>
      </c>
      <c r="K371" s="185">
        <v>1</v>
      </c>
      <c r="L371" s="192">
        <v>20000</v>
      </c>
      <c r="M371" s="127">
        <f>+Ventas[[#This Row],[Precio item]]*Ventas[[#This Row],[Q]]</f>
        <v>20000</v>
      </c>
      <c r="N371" s="127"/>
      <c r="O371" s="127"/>
      <c r="P371" s="148"/>
    </row>
    <row r="372" spans="2:16" x14ac:dyDescent="0.25">
      <c r="B372" s="163"/>
      <c r="C372" s="154">
        <v>43754</v>
      </c>
      <c r="D372" s="160">
        <f>+DAY(Ventas[[#This Row],[FECHA]])</f>
        <v>16</v>
      </c>
      <c r="E372" s="129" t="str">
        <f t="shared" si="25"/>
        <v>miércoles</v>
      </c>
      <c r="F372" s="129" t="s">
        <v>626</v>
      </c>
      <c r="G372" s="191">
        <v>4</v>
      </c>
      <c r="H372" s="129" t="s">
        <v>459</v>
      </c>
      <c r="I372" s="185">
        <v>19</v>
      </c>
      <c r="J372" s="129" t="s">
        <v>467</v>
      </c>
      <c r="K372" s="185">
        <v>1</v>
      </c>
      <c r="L372" s="192">
        <v>800</v>
      </c>
      <c r="M372" s="127">
        <f>+Ventas[[#This Row],[Precio item]]*Ventas[[#This Row],[Q]]</f>
        <v>800</v>
      </c>
      <c r="N372" s="127"/>
      <c r="O372" s="127"/>
      <c r="P372" s="148"/>
    </row>
    <row r="373" spans="2:16" x14ac:dyDescent="0.25">
      <c r="B373" s="163"/>
      <c r="C373" s="154">
        <v>43754</v>
      </c>
      <c r="D373" s="160">
        <f>+DAY(Ventas[[#This Row],[FECHA]])</f>
        <v>16</v>
      </c>
      <c r="E373" s="129" t="str">
        <f t="shared" si="25"/>
        <v>miércoles</v>
      </c>
      <c r="F373" s="129" t="s">
        <v>626</v>
      </c>
      <c r="G373" s="191">
        <v>4</v>
      </c>
      <c r="H373" s="129" t="s">
        <v>455</v>
      </c>
      <c r="I373" s="185"/>
      <c r="J373" s="129"/>
      <c r="K373" s="185"/>
      <c r="L373" s="192"/>
      <c r="M373" s="127">
        <f>+Ventas[[#This Row],[Precio item]]*Ventas[[#This Row],[Q]]</f>
        <v>0</v>
      </c>
      <c r="N373" s="127"/>
      <c r="O373" s="127"/>
      <c r="P373" s="148"/>
    </row>
    <row r="374" spans="2:16" x14ac:dyDescent="0.25">
      <c r="B374" s="163"/>
      <c r="C374" s="154">
        <v>43754</v>
      </c>
      <c r="D374" s="160">
        <f>+DAY(Ventas[[#This Row],[FECHA]])</f>
        <v>16</v>
      </c>
      <c r="E374" s="129" t="str">
        <f t="shared" si="25"/>
        <v>miércoles</v>
      </c>
      <c r="F374" s="129" t="s">
        <v>626</v>
      </c>
      <c r="G374" s="191">
        <v>4</v>
      </c>
      <c r="H374" s="129" t="s">
        <v>455</v>
      </c>
      <c r="I374" s="185"/>
      <c r="J374" s="129"/>
      <c r="K374" s="185"/>
      <c r="L374" s="192"/>
      <c r="M374" s="127">
        <f>+Ventas[[#This Row],[Precio item]]*Ventas[[#This Row],[Q]]</f>
        <v>0</v>
      </c>
      <c r="N374" s="127"/>
      <c r="O374" s="127"/>
      <c r="P374" s="148"/>
    </row>
    <row r="375" spans="2:16" x14ac:dyDescent="0.25">
      <c r="B375" s="163"/>
      <c r="C375" s="154">
        <v>43754</v>
      </c>
      <c r="D375" s="160">
        <f>+DAY(Ventas[[#This Row],[FECHA]])</f>
        <v>16</v>
      </c>
      <c r="E375" s="129" t="str">
        <f t="shared" si="25"/>
        <v>miércoles</v>
      </c>
      <c r="F375" s="129" t="s">
        <v>626</v>
      </c>
      <c r="G375" s="191">
        <v>4</v>
      </c>
      <c r="H375" s="129" t="s">
        <v>455</v>
      </c>
      <c r="I375" s="185"/>
      <c r="J375" s="129"/>
      <c r="K375" s="185"/>
      <c r="L375" s="192"/>
      <c r="M375" s="127">
        <f>+Ventas[[#This Row],[Precio item]]*Ventas[[#This Row],[Q]]</f>
        <v>0</v>
      </c>
      <c r="N375" s="127"/>
      <c r="O375" s="127"/>
      <c r="P375" s="148"/>
    </row>
    <row r="376" spans="2:16" x14ac:dyDescent="0.25">
      <c r="B376" s="163"/>
      <c r="C376" s="154">
        <v>43754</v>
      </c>
      <c r="D376" s="160">
        <f>+DAY(Ventas[[#This Row],[FECHA]])</f>
        <v>16</v>
      </c>
      <c r="E376" s="129" t="str">
        <f t="shared" si="25"/>
        <v>miércoles</v>
      </c>
      <c r="F376" s="129" t="s">
        <v>626</v>
      </c>
      <c r="G376" s="191">
        <v>4</v>
      </c>
      <c r="H376" s="129" t="s">
        <v>455</v>
      </c>
      <c r="I376" s="185"/>
      <c r="J376" s="129"/>
      <c r="K376" s="185"/>
      <c r="L376" s="192"/>
      <c r="M376" s="127">
        <f>+Ventas[[#This Row],[Precio item]]*Ventas[[#This Row],[Q]]</f>
        <v>0</v>
      </c>
      <c r="N376" s="127"/>
      <c r="O376" s="127"/>
      <c r="P376" s="148"/>
    </row>
    <row r="377" spans="2:16" x14ac:dyDescent="0.25">
      <c r="B377" s="163"/>
      <c r="C377" s="154">
        <v>43754</v>
      </c>
      <c r="D377" s="160">
        <f>+DAY(Ventas[[#This Row],[FECHA]])</f>
        <v>16</v>
      </c>
      <c r="E377" s="129" t="str">
        <f t="shared" si="25"/>
        <v>miércoles</v>
      </c>
      <c r="F377" s="129" t="s">
        <v>626</v>
      </c>
      <c r="G377" s="191">
        <v>4</v>
      </c>
      <c r="H377" s="129" t="s">
        <v>455</v>
      </c>
      <c r="I377" s="185"/>
      <c r="J377" s="129"/>
      <c r="K377" s="185"/>
      <c r="L377" s="192"/>
      <c r="M377" s="127">
        <f>+Ventas[[#This Row],[Precio item]]*Ventas[[#This Row],[Q]]</f>
        <v>0</v>
      </c>
      <c r="N377" s="127"/>
      <c r="O377" s="127"/>
      <c r="P377" s="148"/>
    </row>
    <row r="378" spans="2:16" x14ac:dyDescent="0.25">
      <c r="B378" s="163"/>
      <c r="C378" s="154">
        <v>43754</v>
      </c>
      <c r="D378" s="160">
        <f>+DAY(Ventas[[#This Row],[FECHA]])</f>
        <v>16</v>
      </c>
      <c r="E378" s="129" t="str">
        <f t="shared" si="25"/>
        <v>miércoles</v>
      </c>
      <c r="F378" s="129" t="s">
        <v>626</v>
      </c>
      <c r="G378" s="191">
        <v>4</v>
      </c>
      <c r="H378" s="129" t="s">
        <v>455</v>
      </c>
      <c r="I378" s="185"/>
      <c r="J378" s="129"/>
      <c r="K378" s="185"/>
      <c r="L378" s="192"/>
      <c r="M378" s="127">
        <f>+Ventas[[#This Row],[Precio item]]*Ventas[[#This Row],[Q]]</f>
        <v>0</v>
      </c>
      <c r="N378" s="127"/>
      <c r="O378" s="127"/>
      <c r="P378" s="148"/>
    </row>
    <row r="379" spans="2:16" x14ac:dyDescent="0.25">
      <c r="B379" s="163"/>
      <c r="C379" s="154">
        <v>43754</v>
      </c>
      <c r="D379" s="160">
        <f>+DAY(Ventas[[#This Row],[FECHA]])</f>
        <v>16</v>
      </c>
      <c r="E379" s="129" t="str">
        <f t="shared" si="25"/>
        <v>miércoles</v>
      </c>
      <c r="F379" s="129" t="s">
        <v>626</v>
      </c>
      <c r="G379" s="191">
        <v>4</v>
      </c>
      <c r="H379" s="129" t="s">
        <v>455</v>
      </c>
      <c r="I379" s="185"/>
      <c r="J379" s="129"/>
      <c r="K379" s="185"/>
      <c r="L379" s="192"/>
      <c r="M379" s="127">
        <f>+Ventas[[#This Row],[Precio item]]*Ventas[[#This Row],[Q]]</f>
        <v>0</v>
      </c>
      <c r="N379" s="127"/>
      <c r="O379" s="127"/>
      <c r="P379" s="148"/>
    </row>
    <row r="380" spans="2:16" x14ac:dyDescent="0.25">
      <c r="B380" s="163"/>
      <c r="C380" s="154">
        <v>43754</v>
      </c>
      <c r="D380" s="160">
        <f>+DAY(Ventas[[#This Row],[FECHA]])</f>
        <v>16</v>
      </c>
      <c r="E380" s="129" t="str">
        <f t="shared" si="25"/>
        <v>miércoles</v>
      </c>
      <c r="F380" s="129" t="s">
        <v>626</v>
      </c>
      <c r="G380" s="191">
        <v>4</v>
      </c>
      <c r="H380" s="129" t="s">
        <v>455</v>
      </c>
      <c r="I380" s="185"/>
      <c r="J380" s="129"/>
      <c r="K380" s="185"/>
      <c r="L380" s="192"/>
      <c r="M380" s="127">
        <f>+Ventas[[#This Row],[Precio item]]*Ventas[[#This Row],[Q]]</f>
        <v>0</v>
      </c>
      <c r="N380" s="127"/>
      <c r="O380" s="127"/>
      <c r="P380" s="148"/>
    </row>
    <row r="381" spans="2:16" x14ac:dyDescent="0.25">
      <c r="B381" s="163"/>
      <c r="C381" s="154">
        <v>43754</v>
      </c>
      <c r="D381" s="160">
        <f>+DAY(Ventas[[#This Row],[FECHA]])</f>
        <v>16</v>
      </c>
      <c r="E381" s="129" t="str">
        <f t="shared" ref="E381:E401" si="26">+TEXT(C381,"dddd")</f>
        <v>miércoles</v>
      </c>
      <c r="F381" s="129" t="s">
        <v>626</v>
      </c>
      <c r="G381" s="191">
        <v>4</v>
      </c>
      <c r="H381" s="129" t="s">
        <v>455</v>
      </c>
      <c r="I381" s="185" t="s">
        <v>349</v>
      </c>
      <c r="J381" s="129"/>
      <c r="K381" s="185"/>
      <c r="L381" s="192"/>
      <c r="M381" s="127">
        <f>+Ventas[[#This Row],[Precio item]]*Ventas[[#This Row],[Q]]</f>
        <v>0</v>
      </c>
      <c r="N381" s="127"/>
      <c r="O381" s="127"/>
      <c r="P381" s="148"/>
    </row>
    <row r="382" spans="2:16" x14ac:dyDescent="0.25">
      <c r="B382" s="163"/>
      <c r="C382" s="154">
        <f t="shared" ref="C382:C401" si="27">+C326+1</f>
        <v>43754</v>
      </c>
      <c r="D382" s="160">
        <f>+DAY(Ventas[[#This Row],[FECHA]])</f>
        <v>16</v>
      </c>
      <c r="E382" s="129" t="str">
        <f t="shared" si="26"/>
        <v>miércoles</v>
      </c>
      <c r="F382" s="129" t="s">
        <v>626</v>
      </c>
      <c r="G382" s="191">
        <v>4</v>
      </c>
      <c r="H382" s="129" t="s">
        <v>455</v>
      </c>
      <c r="I382" s="185"/>
      <c r="J382" s="129"/>
      <c r="K382" s="185"/>
      <c r="L382" s="192"/>
      <c r="M382" s="127">
        <f>+Ventas[[#This Row],[Precio item]]*Ventas[[#This Row],[Q]]</f>
        <v>0</v>
      </c>
      <c r="N382" s="127"/>
      <c r="O382" s="127"/>
      <c r="P382" s="148"/>
    </row>
    <row r="383" spans="2:16" x14ac:dyDescent="0.25">
      <c r="B383" s="163"/>
      <c r="C383" s="154">
        <f t="shared" si="27"/>
        <v>43754</v>
      </c>
      <c r="D383" s="160">
        <f>+DAY(Ventas[[#This Row],[FECHA]])</f>
        <v>16</v>
      </c>
      <c r="E383" s="129" t="str">
        <f t="shared" si="26"/>
        <v>miércoles</v>
      </c>
      <c r="F383" s="129" t="s">
        <v>626</v>
      </c>
      <c r="G383" s="191">
        <v>4</v>
      </c>
      <c r="H383" s="129" t="s">
        <v>455</v>
      </c>
      <c r="I383" s="185"/>
      <c r="J383" s="129"/>
      <c r="K383" s="185"/>
      <c r="L383" s="192"/>
      <c r="M383" s="127">
        <f>+Ventas[[#This Row],[Precio item]]*Ventas[[#This Row],[Q]]</f>
        <v>0</v>
      </c>
      <c r="N383" s="127"/>
      <c r="O383" s="127"/>
      <c r="P383" s="148"/>
    </row>
    <row r="384" spans="2:16" x14ac:dyDescent="0.25">
      <c r="B384" s="163"/>
      <c r="C384" s="154">
        <f t="shared" si="27"/>
        <v>43754</v>
      </c>
      <c r="D384" s="160">
        <f>+DAY(Ventas[[#This Row],[FECHA]])</f>
        <v>16</v>
      </c>
      <c r="E384" s="129" t="str">
        <f t="shared" si="26"/>
        <v>miércoles</v>
      </c>
      <c r="F384" s="129" t="s">
        <v>626</v>
      </c>
      <c r="G384" s="191">
        <v>4</v>
      </c>
      <c r="H384" s="129" t="s">
        <v>455</v>
      </c>
      <c r="I384" s="185"/>
      <c r="J384" s="129"/>
      <c r="K384" s="185"/>
      <c r="L384" s="192"/>
      <c r="M384" s="127">
        <f>+Ventas[[#This Row],[Precio item]]*Ventas[[#This Row],[Q]]</f>
        <v>0</v>
      </c>
      <c r="N384" s="127"/>
      <c r="O384" s="127"/>
      <c r="P384" s="148"/>
    </row>
    <row r="385" spans="2:16" x14ac:dyDescent="0.25">
      <c r="B385" s="163"/>
      <c r="C385" s="154">
        <f t="shared" si="27"/>
        <v>43754</v>
      </c>
      <c r="D385" s="160">
        <f>+DAY(Ventas[[#This Row],[FECHA]])</f>
        <v>16</v>
      </c>
      <c r="E385" s="129" t="str">
        <f t="shared" si="26"/>
        <v>miércoles</v>
      </c>
      <c r="F385" s="129" t="s">
        <v>626</v>
      </c>
      <c r="G385" s="191">
        <v>4</v>
      </c>
      <c r="H385" s="129" t="s">
        <v>455</v>
      </c>
      <c r="I385" s="185"/>
      <c r="J385" s="129"/>
      <c r="K385" s="185"/>
      <c r="L385" s="192"/>
      <c r="M385" s="127">
        <f>+Ventas[[#This Row],[Precio item]]*Ventas[[#This Row],[Q]]</f>
        <v>0</v>
      </c>
      <c r="N385" s="127"/>
      <c r="O385" s="127"/>
      <c r="P385" s="148"/>
    </row>
    <row r="386" spans="2:16" x14ac:dyDescent="0.25">
      <c r="B386" s="163"/>
      <c r="C386" s="154">
        <f t="shared" si="27"/>
        <v>43754</v>
      </c>
      <c r="D386" s="160">
        <f>+DAY(Ventas[[#This Row],[FECHA]])</f>
        <v>16</v>
      </c>
      <c r="E386" s="129" t="str">
        <f t="shared" si="26"/>
        <v>miércoles</v>
      </c>
      <c r="F386" s="129" t="s">
        <v>626</v>
      </c>
      <c r="G386" s="191">
        <v>4</v>
      </c>
      <c r="H386" s="129" t="s">
        <v>455</v>
      </c>
      <c r="I386" s="185"/>
      <c r="J386" s="129"/>
      <c r="K386" s="185"/>
      <c r="L386" s="192"/>
      <c r="M386" s="127">
        <f>+Ventas[[#This Row],[Precio item]]*Ventas[[#This Row],[Q]]</f>
        <v>0</v>
      </c>
      <c r="N386" s="127"/>
      <c r="O386" s="127"/>
      <c r="P386" s="148"/>
    </row>
    <row r="387" spans="2:16" x14ac:dyDescent="0.25">
      <c r="B387" s="163"/>
      <c r="C387" s="154">
        <f t="shared" si="27"/>
        <v>43754</v>
      </c>
      <c r="D387" s="160">
        <f>+DAY(Ventas[[#This Row],[FECHA]])</f>
        <v>16</v>
      </c>
      <c r="E387" s="129" t="str">
        <f t="shared" si="26"/>
        <v>miércoles</v>
      </c>
      <c r="F387" s="129" t="s">
        <v>626</v>
      </c>
      <c r="G387" s="191">
        <v>4</v>
      </c>
      <c r="H387" s="129" t="s">
        <v>455</v>
      </c>
      <c r="I387" s="185"/>
      <c r="J387" s="129"/>
      <c r="K387" s="185"/>
      <c r="L387" s="192"/>
      <c r="M387" s="127">
        <f>+Ventas[[#This Row],[Precio item]]*Ventas[[#This Row],[Q]]</f>
        <v>0</v>
      </c>
      <c r="N387" s="127"/>
      <c r="O387" s="127"/>
      <c r="P387" s="148"/>
    </row>
    <row r="388" spans="2:16" x14ac:dyDescent="0.25">
      <c r="B388" s="163"/>
      <c r="C388" s="154">
        <f t="shared" si="27"/>
        <v>43754</v>
      </c>
      <c r="D388" s="160">
        <f>+DAY(Ventas[[#This Row],[FECHA]])</f>
        <v>16</v>
      </c>
      <c r="E388" s="129" t="str">
        <f t="shared" si="26"/>
        <v>miércoles</v>
      </c>
      <c r="F388" s="129" t="s">
        <v>626</v>
      </c>
      <c r="G388" s="191">
        <v>4</v>
      </c>
      <c r="H388" s="129" t="s">
        <v>455</v>
      </c>
      <c r="I388" s="185"/>
      <c r="J388" s="129"/>
      <c r="K388" s="185"/>
      <c r="L388" s="192"/>
      <c r="M388" s="127">
        <f>+Ventas[[#This Row],[Precio item]]*Ventas[[#This Row],[Q]]</f>
        <v>0</v>
      </c>
      <c r="N388" s="127"/>
      <c r="O388" s="127"/>
      <c r="P388" s="148"/>
    </row>
    <row r="389" spans="2:16" x14ac:dyDescent="0.25">
      <c r="B389" s="163"/>
      <c r="C389" s="154">
        <f t="shared" si="27"/>
        <v>43754</v>
      </c>
      <c r="D389" s="160">
        <f>+DAY(Ventas[[#This Row],[FECHA]])</f>
        <v>16</v>
      </c>
      <c r="E389" s="129" t="str">
        <f t="shared" si="26"/>
        <v>miércoles</v>
      </c>
      <c r="F389" s="129" t="s">
        <v>626</v>
      </c>
      <c r="G389" s="191">
        <v>4</v>
      </c>
      <c r="H389" s="129" t="s">
        <v>455</v>
      </c>
      <c r="I389" s="185"/>
      <c r="J389" s="129"/>
      <c r="K389" s="185"/>
      <c r="L389" s="192"/>
      <c r="M389" s="127">
        <f>+Ventas[[#This Row],[Precio item]]*Ventas[[#This Row],[Q]]</f>
        <v>0</v>
      </c>
      <c r="N389" s="127"/>
      <c r="O389" s="127"/>
      <c r="P389" s="148"/>
    </row>
    <row r="390" spans="2:16" x14ac:dyDescent="0.25">
      <c r="B390" s="163"/>
      <c r="C390" s="154">
        <f t="shared" si="27"/>
        <v>43754</v>
      </c>
      <c r="D390" s="160">
        <f>+DAY(Ventas[[#This Row],[FECHA]])</f>
        <v>16</v>
      </c>
      <c r="E390" s="129" t="str">
        <f t="shared" si="26"/>
        <v>miércoles</v>
      </c>
      <c r="F390" s="129" t="s">
        <v>626</v>
      </c>
      <c r="G390" s="191">
        <v>4</v>
      </c>
      <c r="H390" s="129" t="s">
        <v>455</v>
      </c>
      <c r="I390" s="185"/>
      <c r="J390" s="129"/>
      <c r="K390" s="185"/>
      <c r="L390" s="192"/>
      <c r="M390" s="127">
        <f>+Ventas[[#This Row],[Precio item]]*Ventas[[#This Row],[Q]]</f>
        <v>0</v>
      </c>
      <c r="N390" s="127"/>
      <c r="O390" s="127"/>
      <c r="P390" s="148"/>
    </row>
    <row r="391" spans="2:16" x14ac:dyDescent="0.25">
      <c r="B391" s="163"/>
      <c r="C391" s="154">
        <f t="shared" si="27"/>
        <v>43754</v>
      </c>
      <c r="D391" s="160">
        <f>+DAY(Ventas[[#This Row],[FECHA]])</f>
        <v>16</v>
      </c>
      <c r="E391" s="129" t="str">
        <f t="shared" si="26"/>
        <v>miércoles</v>
      </c>
      <c r="F391" s="129" t="s">
        <v>626</v>
      </c>
      <c r="G391" s="191">
        <v>4</v>
      </c>
      <c r="H391" s="129" t="s">
        <v>455</v>
      </c>
      <c r="I391" s="185"/>
      <c r="J391" s="129"/>
      <c r="K391" s="185"/>
      <c r="L391" s="192"/>
      <c r="M391" s="127">
        <f>+Ventas[[#This Row],[Precio item]]*Ventas[[#This Row],[Q]]</f>
        <v>0</v>
      </c>
      <c r="N391" s="127"/>
      <c r="O391" s="127"/>
      <c r="P391" s="148"/>
    </row>
    <row r="392" spans="2:16" x14ac:dyDescent="0.25">
      <c r="B392" s="163"/>
      <c r="C392" s="154">
        <f t="shared" si="27"/>
        <v>43754</v>
      </c>
      <c r="D392" s="160">
        <f>+DAY(Ventas[[#This Row],[FECHA]])</f>
        <v>16</v>
      </c>
      <c r="E392" s="129" t="str">
        <f t="shared" si="26"/>
        <v>miércoles</v>
      </c>
      <c r="F392" s="129" t="s">
        <v>626</v>
      </c>
      <c r="G392" s="191">
        <v>4</v>
      </c>
      <c r="H392" s="129" t="s">
        <v>455</v>
      </c>
      <c r="I392" s="185"/>
      <c r="J392" s="129"/>
      <c r="K392" s="185"/>
      <c r="L392" s="192"/>
      <c r="M392" s="127">
        <f>+Ventas[[#This Row],[Precio item]]*Ventas[[#This Row],[Q]]</f>
        <v>0</v>
      </c>
      <c r="N392" s="127"/>
      <c r="O392" s="127"/>
      <c r="P392" s="148"/>
    </row>
    <row r="393" spans="2:16" x14ac:dyDescent="0.25">
      <c r="B393" s="163"/>
      <c r="C393" s="154">
        <f t="shared" si="27"/>
        <v>43754</v>
      </c>
      <c r="D393" s="160">
        <f>+DAY(Ventas[[#This Row],[FECHA]])</f>
        <v>16</v>
      </c>
      <c r="E393" s="129" t="str">
        <f t="shared" si="26"/>
        <v>miércoles</v>
      </c>
      <c r="F393" s="129" t="s">
        <v>626</v>
      </c>
      <c r="G393" s="191">
        <v>4</v>
      </c>
      <c r="H393" s="129" t="s">
        <v>455</v>
      </c>
      <c r="I393" s="185"/>
      <c r="J393" s="129"/>
      <c r="K393" s="185"/>
      <c r="L393" s="192"/>
      <c r="M393" s="127">
        <f>+Ventas[[#This Row],[Precio item]]*Ventas[[#This Row],[Q]]</f>
        <v>0</v>
      </c>
      <c r="N393" s="127"/>
      <c r="O393" s="127"/>
      <c r="P393" s="148"/>
    </row>
    <row r="394" spans="2:16" x14ac:dyDescent="0.25">
      <c r="B394" s="163"/>
      <c r="C394" s="154">
        <f t="shared" si="27"/>
        <v>43754</v>
      </c>
      <c r="D394" s="160">
        <f>+DAY(Ventas[[#This Row],[FECHA]])</f>
        <v>16</v>
      </c>
      <c r="E394" s="129" t="str">
        <f t="shared" si="26"/>
        <v>miércoles</v>
      </c>
      <c r="F394" s="129" t="s">
        <v>626</v>
      </c>
      <c r="G394" s="191">
        <v>4</v>
      </c>
      <c r="H394" s="129" t="s">
        <v>455</v>
      </c>
      <c r="I394" s="185"/>
      <c r="J394" s="129"/>
      <c r="K394" s="185"/>
      <c r="L394" s="192"/>
      <c r="M394" s="127">
        <f>+Ventas[[#This Row],[Precio item]]*Ventas[[#This Row],[Q]]</f>
        <v>0</v>
      </c>
      <c r="N394" s="127"/>
      <c r="O394" s="127"/>
      <c r="P394" s="148"/>
    </row>
    <row r="395" spans="2:16" x14ac:dyDescent="0.25">
      <c r="B395" s="163"/>
      <c r="C395" s="154">
        <f t="shared" si="27"/>
        <v>43754</v>
      </c>
      <c r="D395" s="160">
        <f>+DAY(Ventas[[#This Row],[FECHA]])</f>
        <v>16</v>
      </c>
      <c r="E395" s="129" t="str">
        <f t="shared" si="26"/>
        <v>miércoles</v>
      </c>
      <c r="F395" s="129" t="s">
        <v>626</v>
      </c>
      <c r="G395" s="191">
        <v>4</v>
      </c>
      <c r="H395" s="129" t="s">
        <v>455</v>
      </c>
      <c r="I395" s="185"/>
      <c r="J395" s="129"/>
      <c r="K395" s="185"/>
      <c r="L395" s="192"/>
      <c r="M395" s="127">
        <f>+Ventas[[#This Row],[Precio item]]*Ventas[[#This Row],[Q]]</f>
        <v>0</v>
      </c>
      <c r="N395" s="127"/>
      <c r="O395" s="127"/>
      <c r="P395" s="148"/>
    </row>
    <row r="396" spans="2:16" x14ac:dyDescent="0.25">
      <c r="B396" s="163"/>
      <c r="C396" s="154">
        <f t="shared" si="27"/>
        <v>43754</v>
      </c>
      <c r="D396" s="160">
        <f>+DAY(Ventas[[#This Row],[FECHA]])</f>
        <v>16</v>
      </c>
      <c r="E396" s="129" t="str">
        <f t="shared" si="26"/>
        <v>miércoles</v>
      </c>
      <c r="F396" s="129" t="s">
        <v>626</v>
      </c>
      <c r="G396" s="191">
        <v>4</v>
      </c>
      <c r="H396" s="129" t="s">
        <v>455</v>
      </c>
      <c r="I396" s="185"/>
      <c r="J396" s="129"/>
      <c r="K396" s="185"/>
      <c r="L396" s="192"/>
      <c r="M396" s="127">
        <f>+Ventas[[#This Row],[Precio item]]*Ventas[[#This Row],[Q]]</f>
        <v>0</v>
      </c>
      <c r="N396" s="127"/>
      <c r="O396" s="127"/>
      <c r="P396" s="148"/>
    </row>
    <row r="397" spans="2:16" x14ac:dyDescent="0.25">
      <c r="B397" s="163"/>
      <c r="C397" s="154">
        <f t="shared" si="27"/>
        <v>43754</v>
      </c>
      <c r="D397" s="160">
        <f>+DAY(Ventas[[#This Row],[FECHA]])</f>
        <v>16</v>
      </c>
      <c r="E397" s="129" t="str">
        <f t="shared" si="26"/>
        <v>miércoles</v>
      </c>
      <c r="F397" s="129" t="s">
        <v>626</v>
      </c>
      <c r="G397" s="191">
        <v>4</v>
      </c>
      <c r="H397" s="129" t="s">
        <v>455</v>
      </c>
      <c r="I397" s="185"/>
      <c r="J397" s="129"/>
      <c r="K397" s="185"/>
      <c r="L397" s="192"/>
      <c r="M397" s="127">
        <f>+Ventas[[#This Row],[Precio item]]*Ventas[[#This Row],[Q]]</f>
        <v>0</v>
      </c>
      <c r="N397" s="127"/>
      <c r="O397" s="127"/>
      <c r="P397" s="148"/>
    </row>
    <row r="398" spans="2:16" x14ac:dyDescent="0.25">
      <c r="B398" s="163"/>
      <c r="C398" s="154">
        <f t="shared" si="27"/>
        <v>43754</v>
      </c>
      <c r="D398" s="160">
        <f>+DAY(Ventas[[#This Row],[FECHA]])</f>
        <v>16</v>
      </c>
      <c r="E398" s="129" t="str">
        <f t="shared" si="26"/>
        <v>miércoles</v>
      </c>
      <c r="F398" s="129" t="s">
        <v>626</v>
      </c>
      <c r="G398" s="191">
        <v>4</v>
      </c>
      <c r="H398" s="129" t="s">
        <v>455</v>
      </c>
      <c r="I398" s="185"/>
      <c r="J398" s="129"/>
      <c r="K398" s="185"/>
      <c r="L398" s="192"/>
      <c r="M398" s="127">
        <f>+Ventas[[#This Row],[Precio item]]*Ventas[[#This Row],[Q]]</f>
        <v>0</v>
      </c>
      <c r="N398" s="127"/>
      <c r="O398" s="127"/>
      <c r="P398" s="148"/>
    </row>
    <row r="399" spans="2:16" x14ac:dyDescent="0.25">
      <c r="B399" s="163"/>
      <c r="C399" s="154">
        <f t="shared" si="27"/>
        <v>43754</v>
      </c>
      <c r="D399" s="160">
        <f>+DAY(Ventas[[#This Row],[FECHA]])</f>
        <v>16</v>
      </c>
      <c r="E399" s="129" t="str">
        <f t="shared" si="26"/>
        <v>miércoles</v>
      </c>
      <c r="F399" s="129" t="s">
        <v>626</v>
      </c>
      <c r="G399" s="191">
        <v>4</v>
      </c>
      <c r="H399" s="129" t="s">
        <v>455</v>
      </c>
      <c r="I399" s="185"/>
      <c r="J399" s="129"/>
      <c r="K399" s="185"/>
      <c r="L399" s="192"/>
      <c r="M399" s="127">
        <f>+Ventas[[#This Row],[Precio item]]*Ventas[[#This Row],[Q]]</f>
        <v>0</v>
      </c>
      <c r="N399" s="127"/>
      <c r="O399" s="127"/>
      <c r="P399" s="148"/>
    </row>
    <row r="400" spans="2:16" x14ac:dyDescent="0.25">
      <c r="B400" s="163"/>
      <c r="C400" s="154">
        <f t="shared" si="27"/>
        <v>43754</v>
      </c>
      <c r="D400" s="160">
        <f>+DAY(Ventas[[#This Row],[FECHA]])</f>
        <v>16</v>
      </c>
      <c r="E400" s="129" t="str">
        <f t="shared" si="26"/>
        <v>miércoles</v>
      </c>
      <c r="F400" s="129" t="s">
        <v>626</v>
      </c>
      <c r="G400" s="191">
        <v>4</v>
      </c>
      <c r="H400" s="129" t="s">
        <v>455</v>
      </c>
      <c r="I400" s="185"/>
      <c r="J400" s="129"/>
      <c r="K400" s="185"/>
      <c r="L400" s="192"/>
      <c r="M400" s="127">
        <f>+Ventas[[#This Row],[Precio item]]*Ventas[[#This Row],[Q]]</f>
        <v>0</v>
      </c>
      <c r="N400" s="127"/>
      <c r="O400" s="127"/>
      <c r="P400" s="148"/>
    </row>
    <row r="401" spans="2:16" x14ac:dyDescent="0.25">
      <c r="B401" s="163"/>
      <c r="C401" s="154">
        <f t="shared" si="27"/>
        <v>43754</v>
      </c>
      <c r="D401" s="160">
        <f>+DAY(Ventas[[#This Row],[FECHA]])</f>
        <v>16</v>
      </c>
      <c r="E401" s="129" t="str">
        <f t="shared" si="26"/>
        <v>miércoles</v>
      </c>
      <c r="F401" s="129" t="s">
        <v>626</v>
      </c>
      <c r="G401" s="191">
        <v>4</v>
      </c>
      <c r="H401" s="129" t="s">
        <v>455</v>
      </c>
      <c r="I401" s="185"/>
      <c r="J401" s="129"/>
      <c r="K401" s="185"/>
      <c r="L401" s="192"/>
      <c r="M401" s="127">
        <f>+Ventas[[#This Row],[Precio item]]*Ventas[[#This Row],[Q]]</f>
        <v>0</v>
      </c>
      <c r="N401" s="127"/>
      <c r="O401" s="127"/>
      <c r="P401" s="148"/>
    </row>
    <row r="402" spans="2:16" x14ac:dyDescent="0.25">
      <c r="B402" s="163"/>
      <c r="C402" s="154">
        <v>43755</v>
      </c>
      <c r="D402" s="160">
        <f>+DAY(Ventas[[#This Row],[FECHA]])</f>
        <v>17</v>
      </c>
      <c r="E402" s="129" t="str">
        <f>+TEXT(C402,"dddd")</f>
        <v>jueves</v>
      </c>
      <c r="F402" s="129" t="s">
        <v>626</v>
      </c>
      <c r="G402" s="191">
        <v>4</v>
      </c>
      <c r="H402" s="129" t="s">
        <v>455</v>
      </c>
      <c r="I402" s="185">
        <v>1</v>
      </c>
      <c r="J402" s="129" t="s">
        <v>353</v>
      </c>
      <c r="K402" s="185">
        <v>1</v>
      </c>
      <c r="L402" s="192">
        <v>9000</v>
      </c>
      <c r="M402" s="195">
        <f>+Ventas[[#This Row],[Precio item]]*Ventas[[#This Row],[Q]]</f>
        <v>9000</v>
      </c>
      <c r="N402" s="127"/>
      <c r="O402" s="127"/>
      <c r="P402" s="148"/>
    </row>
    <row r="403" spans="2:16" x14ac:dyDescent="0.25">
      <c r="B403" s="163"/>
      <c r="C403" s="154">
        <v>43755</v>
      </c>
      <c r="D403" s="160">
        <f>+DAY(Ventas[[#This Row],[FECHA]])</f>
        <v>17</v>
      </c>
      <c r="E403" s="129" t="str">
        <f t="shared" ref="E403:E418" si="28">+TEXT(C403,"dddd")</f>
        <v>jueves</v>
      </c>
      <c r="F403" s="129" t="s">
        <v>626</v>
      </c>
      <c r="G403" s="185">
        <v>4</v>
      </c>
      <c r="H403" s="129" t="s">
        <v>455</v>
      </c>
      <c r="I403" s="185">
        <v>2</v>
      </c>
      <c r="J403" s="129" t="s">
        <v>353</v>
      </c>
      <c r="K403" s="185">
        <v>1</v>
      </c>
      <c r="L403" s="192">
        <v>9000</v>
      </c>
      <c r="M403" s="195">
        <f>+Ventas[[#This Row],[Precio item]]*Ventas[[#This Row],[Q]]</f>
        <v>9000</v>
      </c>
      <c r="N403" s="127"/>
      <c r="O403" s="127"/>
      <c r="P403" s="148"/>
    </row>
    <row r="404" spans="2:16" x14ac:dyDescent="0.25">
      <c r="B404" s="163"/>
      <c r="C404" s="154">
        <v>43755</v>
      </c>
      <c r="D404" s="160">
        <f>+DAY(Ventas[[#This Row],[FECHA]])</f>
        <v>17</v>
      </c>
      <c r="E404" s="129" t="str">
        <f t="shared" si="28"/>
        <v>jueves</v>
      </c>
      <c r="F404" s="129" t="s">
        <v>626</v>
      </c>
      <c r="G404" s="185">
        <v>4</v>
      </c>
      <c r="H404" s="129" t="s">
        <v>455</v>
      </c>
      <c r="I404" s="185">
        <v>3</v>
      </c>
      <c r="J404" s="129" t="s">
        <v>353</v>
      </c>
      <c r="K404" s="185">
        <v>2</v>
      </c>
      <c r="L404" s="192">
        <v>9000</v>
      </c>
      <c r="M404" s="195">
        <f>+Ventas[[#This Row],[Precio item]]*Ventas[[#This Row],[Q]]</f>
        <v>18000</v>
      </c>
      <c r="N404" s="127"/>
      <c r="O404" s="127"/>
      <c r="P404" s="148"/>
    </row>
    <row r="405" spans="2:16" x14ac:dyDescent="0.25">
      <c r="B405" s="163"/>
      <c r="C405" s="154">
        <v>43755</v>
      </c>
      <c r="D405" s="160">
        <f>+DAY(Ventas[[#This Row],[FECHA]])</f>
        <v>17</v>
      </c>
      <c r="E405" s="129" t="str">
        <f t="shared" si="28"/>
        <v>jueves</v>
      </c>
      <c r="F405" s="129" t="s">
        <v>626</v>
      </c>
      <c r="G405" s="185">
        <v>4</v>
      </c>
      <c r="H405" s="129" t="s">
        <v>455</v>
      </c>
      <c r="I405" s="185">
        <v>4</v>
      </c>
      <c r="J405" s="129" t="s">
        <v>353</v>
      </c>
      <c r="K405" s="185">
        <v>3</v>
      </c>
      <c r="L405" s="192">
        <v>9000</v>
      </c>
      <c r="M405" s="195">
        <f>+Ventas[[#This Row],[Precio item]]*Ventas[[#This Row],[Q]]</f>
        <v>27000</v>
      </c>
      <c r="N405" s="127"/>
      <c r="O405" s="127"/>
      <c r="P405" s="148"/>
    </row>
    <row r="406" spans="2:16" x14ac:dyDescent="0.25">
      <c r="B406" s="163"/>
      <c r="C406" s="154">
        <v>43755</v>
      </c>
      <c r="D406" s="160">
        <f>+DAY(Ventas[[#This Row],[FECHA]])</f>
        <v>17</v>
      </c>
      <c r="E406" s="129" t="str">
        <f t="shared" si="28"/>
        <v>jueves</v>
      </c>
      <c r="F406" s="129" t="s">
        <v>626</v>
      </c>
      <c r="G406" s="185">
        <v>4</v>
      </c>
      <c r="H406" s="129" t="s">
        <v>455</v>
      </c>
      <c r="I406" s="185">
        <v>5</v>
      </c>
      <c r="J406" s="129" t="s">
        <v>353</v>
      </c>
      <c r="K406" s="185">
        <v>3</v>
      </c>
      <c r="L406" s="192">
        <v>10000</v>
      </c>
      <c r="M406" s="195">
        <f>+Ventas[[#This Row],[Precio item]]*Ventas[[#This Row],[Q]]</f>
        <v>30000</v>
      </c>
      <c r="N406" s="127"/>
      <c r="O406" s="127"/>
      <c r="P406" s="148"/>
    </row>
    <row r="407" spans="2:16" x14ac:dyDescent="0.25">
      <c r="B407" s="163"/>
      <c r="C407" s="154">
        <v>43755</v>
      </c>
      <c r="D407" s="160">
        <f>+DAY(Ventas[[#This Row],[FECHA]])</f>
        <v>17</v>
      </c>
      <c r="E407" s="129" t="str">
        <f t="shared" si="28"/>
        <v>jueves</v>
      </c>
      <c r="F407" s="129" t="s">
        <v>626</v>
      </c>
      <c r="G407" s="185">
        <v>4</v>
      </c>
      <c r="H407" s="129" t="s">
        <v>455</v>
      </c>
      <c r="I407" s="185">
        <v>5</v>
      </c>
      <c r="J407" s="129" t="s">
        <v>368</v>
      </c>
      <c r="K407" s="185">
        <v>2</v>
      </c>
      <c r="L407" s="192">
        <v>2000</v>
      </c>
      <c r="M407" s="195">
        <f>+Ventas[[#This Row],[Precio item]]*Ventas[[#This Row],[Q]]</f>
        <v>4000</v>
      </c>
      <c r="N407" s="127"/>
      <c r="O407" s="127"/>
      <c r="P407" s="148"/>
    </row>
    <row r="408" spans="2:16" x14ac:dyDescent="0.25">
      <c r="B408" s="163"/>
      <c r="C408" s="154">
        <v>43755</v>
      </c>
      <c r="D408" s="160">
        <f>+DAY(Ventas[[#This Row],[FECHA]])</f>
        <v>17</v>
      </c>
      <c r="E408" s="129" t="str">
        <f t="shared" si="28"/>
        <v>jueves</v>
      </c>
      <c r="F408" s="129" t="s">
        <v>626</v>
      </c>
      <c r="G408" s="185">
        <v>4</v>
      </c>
      <c r="H408" s="129" t="s">
        <v>455</v>
      </c>
      <c r="I408" s="185">
        <v>6</v>
      </c>
      <c r="J408" s="129" t="s">
        <v>353</v>
      </c>
      <c r="K408" s="185">
        <v>1</v>
      </c>
      <c r="L408" s="192">
        <v>9000</v>
      </c>
      <c r="M408" s="195">
        <f>+Ventas[[#This Row],[Precio item]]*Ventas[[#This Row],[Q]]</f>
        <v>9000</v>
      </c>
      <c r="N408" s="127"/>
      <c r="O408" s="127"/>
      <c r="P408" s="148"/>
    </row>
    <row r="409" spans="2:16" x14ac:dyDescent="0.25">
      <c r="B409" s="163"/>
      <c r="C409" s="154">
        <v>43755</v>
      </c>
      <c r="D409" s="160">
        <f>+DAY(Ventas[[#This Row],[FECHA]])</f>
        <v>17</v>
      </c>
      <c r="E409" s="129" t="str">
        <f t="shared" si="28"/>
        <v>jueves</v>
      </c>
      <c r="F409" s="129" t="s">
        <v>626</v>
      </c>
      <c r="G409" s="185">
        <v>4</v>
      </c>
      <c r="H409" s="129" t="s">
        <v>455</v>
      </c>
      <c r="I409" s="185">
        <v>6</v>
      </c>
      <c r="J409" s="129" t="s">
        <v>385</v>
      </c>
      <c r="K409" s="185">
        <v>1</v>
      </c>
      <c r="L409" s="192">
        <v>2500</v>
      </c>
      <c r="M409" s="195">
        <f>+Ventas[[#This Row],[Precio item]]*Ventas[[#This Row],[Q]]</f>
        <v>2500</v>
      </c>
      <c r="N409" s="127"/>
      <c r="O409" s="127"/>
      <c r="P409" s="148"/>
    </row>
    <row r="410" spans="2:16" x14ac:dyDescent="0.25">
      <c r="B410" s="163"/>
      <c r="C410" s="154">
        <v>43755</v>
      </c>
      <c r="D410" s="160">
        <f>+DAY(Ventas[[#This Row],[FECHA]])</f>
        <v>17</v>
      </c>
      <c r="E410" s="129" t="str">
        <f t="shared" si="28"/>
        <v>jueves</v>
      </c>
      <c r="F410" s="129" t="s">
        <v>626</v>
      </c>
      <c r="G410" s="185">
        <v>4</v>
      </c>
      <c r="H410" s="129" t="s">
        <v>455</v>
      </c>
      <c r="I410" s="185">
        <v>7</v>
      </c>
      <c r="J410" s="129" t="s">
        <v>353</v>
      </c>
      <c r="K410" s="185">
        <v>1</v>
      </c>
      <c r="L410" s="192">
        <v>9000</v>
      </c>
      <c r="M410" s="195">
        <f>+Ventas[[#This Row],[Precio item]]*Ventas[[#This Row],[Q]]</f>
        <v>9000</v>
      </c>
      <c r="N410" s="127"/>
      <c r="O410" s="127"/>
      <c r="P410" s="148"/>
    </row>
    <row r="411" spans="2:16" x14ac:dyDescent="0.25">
      <c r="B411" s="163"/>
      <c r="C411" s="154">
        <v>43755</v>
      </c>
      <c r="D411" s="160">
        <f>+DAY(Ventas[[#This Row],[FECHA]])</f>
        <v>17</v>
      </c>
      <c r="E411" s="129" t="str">
        <f t="shared" si="28"/>
        <v>jueves</v>
      </c>
      <c r="F411" s="129" t="s">
        <v>626</v>
      </c>
      <c r="G411" s="185">
        <v>4</v>
      </c>
      <c r="H411" s="129" t="s">
        <v>455</v>
      </c>
      <c r="I411" s="185">
        <v>7</v>
      </c>
      <c r="J411" s="129" t="s">
        <v>385</v>
      </c>
      <c r="K411" s="185">
        <v>1</v>
      </c>
      <c r="L411" s="192">
        <v>2500</v>
      </c>
      <c r="M411" s="195">
        <f>+Ventas[[#This Row],[Precio item]]*Ventas[[#This Row],[Q]]</f>
        <v>2500</v>
      </c>
      <c r="N411" s="127"/>
      <c r="O411" s="127"/>
      <c r="P411" s="148"/>
    </row>
    <row r="412" spans="2:16" x14ac:dyDescent="0.25">
      <c r="B412" s="163"/>
      <c r="C412" s="154">
        <v>43755</v>
      </c>
      <c r="D412" s="160">
        <f>+DAY(Ventas[[#This Row],[FECHA]])</f>
        <v>17</v>
      </c>
      <c r="E412" s="129" t="str">
        <f t="shared" si="28"/>
        <v>jueves</v>
      </c>
      <c r="F412" s="129" t="s">
        <v>626</v>
      </c>
      <c r="G412" s="185">
        <v>4</v>
      </c>
      <c r="H412" s="129" t="s">
        <v>455</v>
      </c>
      <c r="I412" s="185">
        <v>7</v>
      </c>
      <c r="J412" s="129" t="s">
        <v>467</v>
      </c>
      <c r="K412" s="185">
        <v>1</v>
      </c>
      <c r="L412" s="192">
        <v>800</v>
      </c>
      <c r="M412" s="195">
        <f>+Ventas[[#This Row],[Precio item]]*Ventas[[#This Row],[Q]]</f>
        <v>800</v>
      </c>
      <c r="N412" s="127"/>
      <c r="O412" s="127"/>
      <c r="P412" s="148"/>
    </row>
    <row r="413" spans="2:16" x14ac:dyDescent="0.25">
      <c r="B413" s="163"/>
      <c r="C413" s="154">
        <v>43755</v>
      </c>
      <c r="D413" s="160">
        <f>+DAY(Ventas[[#This Row],[FECHA]])</f>
        <v>17</v>
      </c>
      <c r="E413" s="129" t="str">
        <f t="shared" si="28"/>
        <v>jueves</v>
      </c>
      <c r="F413" s="129" t="s">
        <v>626</v>
      </c>
      <c r="G413" s="185">
        <v>4</v>
      </c>
      <c r="H413" s="129" t="s">
        <v>455</v>
      </c>
      <c r="I413" s="185">
        <v>8</v>
      </c>
      <c r="J413" s="129" t="s">
        <v>353</v>
      </c>
      <c r="K413" s="185">
        <v>2</v>
      </c>
      <c r="L413" s="192">
        <v>9000</v>
      </c>
      <c r="M413" s="195">
        <f>+Ventas[[#This Row],[Precio item]]*Ventas[[#This Row],[Q]]</f>
        <v>18000</v>
      </c>
      <c r="N413" s="127"/>
      <c r="O413" s="127"/>
      <c r="P413" s="148"/>
    </row>
    <row r="414" spans="2:16" x14ac:dyDescent="0.25">
      <c r="B414" s="163"/>
      <c r="C414" s="154">
        <v>43755</v>
      </c>
      <c r="D414" s="160">
        <f>+DAY(Ventas[[#This Row],[FECHA]])</f>
        <v>17</v>
      </c>
      <c r="E414" s="129" t="str">
        <f t="shared" si="28"/>
        <v>jueves</v>
      </c>
      <c r="F414" s="129" t="s">
        <v>626</v>
      </c>
      <c r="G414" s="185">
        <v>4</v>
      </c>
      <c r="H414" s="129" t="s">
        <v>455</v>
      </c>
      <c r="I414" s="185">
        <v>9</v>
      </c>
      <c r="J414" s="129" t="s">
        <v>353</v>
      </c>
      <c r="K414" s="185">
        <v>3</v>
      </c>
      <c r="L414" s="192">
        <v>9000</v>
      </c>
      <c r="M414" s="195">
        <f>+Ventas[[#This Row],[Precio item]]*Ventas[[#This Row],[Q]]</f>
        <v>27000</v>
      </c>
      <c r="N414" s="127"/>
      <c r="O414" s="127"/>
      <c r="P414" s="148"/>
    </row>
    <row r="415" spans="2:16" x14ac:dyDescent="0.25">
      <c r="B415" s="163"/>
      <c r="C415" s="154">
        <v>43755</v>
      </c>
      <c r="D415" s="160">
        <f>+DAY(Ventas[[#This Row],[FECHA]])</f>
        <v>17</v>
      </c>
      <c r="E415" s="129" t="str">
        <f t="shared" si="28"/>
        <v>jueves</v>
      </c>
      <c r="F415" s="129" t="s">
        <v>626</v>
      </c>
      <c r="G415" s="185">
        <v>4</v>
      </c>
      <c r="H415" s="129" t="s">
        <v>455</v>
      </c>
      <c r="I415" s="185">
        <v>10</v>
      </c>
      <c r="J415" s="129" t="s">
        <v>353</v>
      </c>
      <c r="K415" s="185">
        <v>2</v>
      </c>
      <c r="L415" s="192">
        <v>9000</v>
      </c>
      <c r="M415" s="195">
        <f>+Ventas[[#This Row],[Precio item]]*Ventas[[#This Row],[Q]]</f>
        <v>18000</v>
      </c>
      <c r="N415" s="127"/>
      <c r="O415" s="127"/>
      <c r="P415" s="148"/>
    </row>
    <row r="416" spans="2:16" x14ac:dyDescent="0.25">
      <c r="B416" s="163"/>
      <c r="C416" s="154">
        <v>43755</v>
      </c>
      <c r="D416" s="160">
        <f>+DAY(Ventas[[#This Row],[FECHA]])</f>
        <v>17</v>
      </c>
      <c r="E416" s="129" t="str">
        <f t="shared" si="28"/>
        <v>jueves</v>
      </c>
      <c r="F416" s="129" t="s">
        <v>626</v>
      </c>
      <c r="G416" s="185">
        <v>4</v>
      </c>
      <c r="H416" s="129" t="s">
        <v>455</v>
      </c>
      <c r="I416" s="185">
        <v>11</v>
      </c>
      <c r="J416" s="129" t="s">
        <v>384</v>
      </c>
      <c r="K416" s="185">
        <v>1</v>
      </c>
      <c r="L416" s="192">
        <v>12000</v>
      </c>
      <c r="M416" s="195">
        <f>+Ventas[[#This Row],[Precio item]]*Ventas[[#This Row],[Q]]</f>
        <v>12000</v>
      </c>
      <c r="N416" s="127"/>
      <c r="O416" s="127"/>
      <c r="P416" s="148"/>
    </row>
    <row r="417" spans="2:16" x14ac:dyDescent="0.25">
      <c r="B417" s="163"/>
      <c r="C417" s="154">
        <v>43755</v>
      </c>
      <c r="D417" s="160">
        <f>+DAY(Ventas[[#This Row],[FECHA]])</f>
        <v>17</v>
      </c>
      <c r="E417" s="129" t="str">
        <f t="shared" si="28"/>
        <v>jueves</v>
      </c>
      <c r="F417" s="129" t="s">
        <v>626</v>
      </c>
      <c r="G417" s="185">
        <v>4</v>
      </c>
      <c r="H417" s="129" t="s">
        <v>459</v>
      </c>
      <c r="I417" s="185">
        <v>12</v>
      </c>
      <c r="J417" s="129" t="s">
        <v>353</v>
      </c>
      <c r="K417" s="185">
        <v>1</v>
      </c>
      <c r="L417" s="192">
        <v>9000</v>
      </c>
      <c r="M417" s="195">
        <f>+Ventas[[#This Row],[Precio item]]*Ventas[[#This Row],[Q]]</f>
        <v>9000</v>
      </c>
      <c r="N417" s="127"/>
      <c r="O417" s="127"/>
      <c r="P417" s="148"/>
    </row>
    <row r="418" spans="2:16" x14ac:dyDescent="0.25">
      <c r="B418" s="163"/>
      <c r="C418" s="154">
        <v>43755</v>
      </c>
      <c r="D418" s="160">
        <f>+DAY(Ventas[[#This Row],[FECHA]])</f>
        <v>17</v>
      </c>
      <c r="E418" s="129" t="str">
        <f t="shared" si="28"/>
        <v>jueves</v>
      </c>
      <c r="F418" s="129" t="s">
        <v>626</v>
      </c>
      <c r="G418" s="185">
        <v>4</v>
      </c>
      <c r="H418" s="129" t="s">
        <v>459</v>
      </c>
      <c r="I418" s="185">
        <v>12</v>
      </c>
      <c r="J418" s="129" t="s">
        <v>375</v>
      </c>
      <c r="K418" s="185">
        <v>1</v>
      </c>
      <c r="L418" s="192">
        <v>10000</v>
      </c>
      <c r="M418" s="195">
        <f>+Ventas[[#This Row],[Precio item]]*Ventas[[#This Row],[Q]]</f>
        <v>10000</v>
      </c>
      <c r="N418" s="127"/>
      <c r="O418" s="127"/>
      <c r="P418" s="148"/>
    </row>
    <row r="419" spans="2:16" x14ac:dyDescent="0.25">
      <c r="B419" s="163"/>
      <c r="C419" s="154">
        <v>43755</v>
      </c>
      <c r="D419" s="160">
        <f>+DAY(Ventas[[#This Row],[FECHA]])</f>
        <v>17</v>
      </c>
      <c r="E419" s="129" t="str">
        <f>+TEXT(C419,"dddd")</f>
        <v>jueves</v>
      </c>
      <c r="F419" s="129" t="s">
        <v>626</v>
      </c>
      <c r="G419" s="185">
        <v>4</v>
      </c>
      <c r="H419" s="129" t="s">
        <v>455</v>
      </c>
      <c r="I419" s="185">
        <v>13</v>
      </c>
      <c r="J419" s="129" t="s">
        <v>353</v>
      </c>
      <c r="K419" s="185">
        <v>2</v>
      </c>
      <c r="L419" s="192">
        <v>9000</v>
      </c>
      <c r="M419" s="195">
        <f>+Ventas[[#This Row],[Precio item]]*Ventas[[#This Row],[Q]]</f>
        <v>18000</v>
      </c>
      <c r="N419" s="127"/>
      <c r="O419" s="127"/>
      <c r="P419" s="148"/>
    </row>
    <row r="420" spans="2:16" x14ac:dyDescent="0.25">
      <c r="B420" s="163"/>
      <c r="C420" s="154">
        <v>43755</v>
      </c>
      <c r="D420" s="160">
        <f>+DAY(Ventas[[#This Row],[FECHA]])</f>
        <v>17</v>
      </c>
      <c r="E420" s="129" t="str">
        <f>+TEXT(C420,"dddd")</f>
        <v>jueves</v>
      </c>
      <c r="F420" s="129" t="s">
        <v>626</v>
      </c>
      <c r="G420" s="185">
        <v>4</v>
      </c>
      <c r="H420" s="129" t="s">
        <v>455</v>
      </c>
      <c r="I420" s="185">
        <v>13</v>
      </c>
      <c r="J420" s="129" t="s">
        <v>468</v>
      </c>
      <c r="K420" s="185">
        <v>2</v>
      </c>
      <c r="L420" s="192">
        <v>3000</v>
      </c>
      <c r="M420" s="195">
        <f>+Ventas[[#This Row],[Precio item]]*Ventas[[#This Row],[Q]]</f>
        <v>6000</v>
      </c>
      <c r="N420" s="127"/>
      <c r="O420" s="127"/>
      <c r="P420" s="148"/>
    </row>
    <row r="421" spans="2:16" x14ac:dyDescent="0.25">
      <c r="B421" s="163"/>
      <c r="C421" s="154">
        <v>43755</v>
      </c>
      <c r="D421" s="160">
        <f>+DAY(Ventas[[#This Row],[FECHA]])</f>
        <v>17</v>
      </c>
      <c r="E421" s="129" t="str">
        <f>+TEXT(C421,"dddd")</f>
        <v>jueves</v>
      </c>
      <c r="F421" s="129" t="s">
        <v>626</v>
      </c>
      <c r="G421" s="185">
        <v>4</v>
      </c>
      <c r="H421" s="129" t="s">
        <v>455</v>
      </c>
      <c r="I421" s="185">
        <v>14</v>
      </c>
      <c r="J421" s="129" t="s">
        <v>353</v>
      </c>
      <c r="K421" s="185">
        <v>1</v>
      </c>
      <c r="L421" s="192">
        <v>9000</v>
      </c>
      <c r="M421" s="195">
        <f>+Ventas[[#This Row],[Precio item]]*Ventas[[#This Row],[Q]]</f>
        <v>9000</v>
      </c>
      <c r="N421" s="127"/>
      <c r="O421" s="127"/>
      <c r="P421" s="148"/>
    </row>
    <row r="422" spans="2:16" x14ac:dyDescent="0.25">
      <c r="B422" s="163"/>
      <c r="C422" s="154">
        <v>43755</v>
      </c>
      <c r="D422" s="160">
        <f>+DAY(Ventas[[#This Row],[FECHA]])</f>
        <v>17</v>
      </c>
      <c r="E422" s="129" t="str">
        <f>+TEXT(C422,"dddd")</f>
        <v>jueves</v>
      </c>
      <c r="F422" s="129" t="s">
        <v>626</v>
      </c>
      <c r="G422" s="185">
        <v>4</v>
      </c>
      <c r="H422" s="129" t="s">
        <v>455</v>
      </c>
      <c r="I422" s="185">
        <v>14</v>
      </c>
      <c r="J422" s="129" t="s">
        <v>468</v>
      </c>
      <c r="K422" s="185">
        <v>1</v>
      </c>
      <c r="L422" s="192">
        <v>3000</v>
      </c>
      <c r="M422" s="195">
        <f>+Ventas[[#This Row],[Precio item]]*Ventas[[#This Row],[Q]]</f>
        <v>3000</v>
      </c>
      <c r="N422" s="127"/>
      <c r="O422" s="127"/>
      <c r="P422" s="148"/>
    </row>
    <row r="423" spans="2:16" x14ac:dyDescent="0.25">
      <c r="B423" s="163"/>
      <c r="C423" s="154">
        <f>+C402+1</f>
        <v>43756</v>
      </c>
      <c r="D423" s="160">
        <f>+DAY(Ventas[[#This Row],[FECHA]])</f>
        <v>18</v>
      </c>
      <c r="E423" s="129" t="str">
        <f>+TEXT(C423,"dddd")</f>
        <v>viernes</v>
      </c>
      <c r="F423" s="129" t="s">
        <v>624</v>
      </c>
      <c r="G423" s="185">
        <v>4</v>
      </c>
      <c r="H423" s="129" t="s">
        <v>455</v>
      </c>
      <c r="I423" s="185">
        <v>1</v>
      </c>
      <c r="J423" s="129" t="s">
        <v>375</v>
      </c>
      <c r="K423" s="185">
        <v>1</v>
      </c>
      <c r="L423" s="192">
        <v>8000</v>
      </c>
      <c r="M423" s="127">
        <f>+Ventas[[#This Row],[Precio item]]*Ventas[[#This Row],[Q]]</f>
        <v>8000</v>
      </c>
      <c r="N423" s="127"/>
      <c r="O423" s="127"/>
      <c r="P423" s="148"/>
    </row>
    <row r="424" spans="2:16" x14ac:dyDescent="0.25">
      <c r="B424" s="163"/>
      <c r="C424" s="154">
        <f t="shared" ref="C424:C442" si="29">+C403+1</f>
        <v>43756</v>
      </c>
      <c r="D424" s="160">
        <f>+DAY(Ventas[[#This Row],[FECHA]])</f>
        <v>18</v>
      </c>
      <c r="E424" s="129" t="str">
        <f t="shared" ref="E424:E435" si="30">+TEXT(C424,"dddd")</f>
        <v>viernes</v>
      </c>
      <c r="F424" s="129" t="s">
        <v>624</v>
      </c>
      <c r="G424" s="185">
        <v>4</v>
      </c>
      <c r="H424" s="129" t="s">
        <v>455</v>
      </c>
      <c r="I424" s="185">
        <v>1</v>
      </c>
      <c r="J424" s="129" t="s">
        <v>384</v>
      </c>
      <c r="K424" s="185">
        <v>1</v>
      </c>
      <c r="L424" s="192">
        <v>12000</v>
      </c>
      <c r="M424" s="127">
        <f>+Ventas[[#This Row],[Precio item]]*Ventas[[#This Row],[Q]]</f>
        <v>12000</v>
      </c>
      <c r="N424" s="127"/>
      <c r="O424" s="127"/>
      <c r="P424" s="148"/>
    </row>
    <row r="425" spans="2:16" x14ac:dyDescent="0.25">
      <c r="B425" s="163"/>
      <c r="C425" s="154">
        <f t="shared" si="29"/>
        <v>43756</v>
      </c>
      <c r="D425" s="160">
        <f>+DAY(Ventas[[#This Row],[FECHA]])</f>
        <v>18</v>
      </c>
      <c r="E425" s="129" t="str">
        <f t="shared" si="30"/>
        <v>viernes</v>
      </c>
      <c r="F425" s="129" t="s">
        <v>624</v>
      </c>
      <c r="G425" s="185">
        <v>4</v>
      </c>
      <c r="H425" s="129" t="s">
        <v>455</v>
      </c>
      <c r="I425" s="185">
        <v>1</v>
      </c>
      <c r="J425" s="129" t="s">
        <v>469</v>
      </c>
      <c r="K425" s="185">
        <v>2</v>
      </c>
      <c r="L425" s="192">
        <v>2500</v>
      </c>
      <c r="M425" s="127">
        <f>+Ventas[[#This Row],[Precio item]]*Ventas[[#This Row],[Q]]</f>
        <v>5000</v>
      </c>
      <c r="N425" s="127"/>
      <c r="O425" s="127"/>
      <c r="P425" s="148"/>
    </row>
    <row r="426" spans="2:16" x14ac:dyDescent="0.25">
      <c r="B426" s="163"/>
      <c r="C426" s="154">
        <f t="shared" si="29"/>
        <v>43756</v>
      </c>
      <c r="D426" s="160">
        <f>+DAY(Ventas[[#This Row],[FECHA]])</f>
        <v>18</v>
      </c>
      <c r="E426" s="129" t="str">
        <f t="shared" si="30"/>
        <v>viernes</v>
      </c>
      <c r="F426" s="129" t="s">
        <v>624</v>
      </c>
      <c r="G426" s="185">
        <v>4</v>
      </c>
      <c r="H426" s="129" t="s">
        <v>455</v>
      </c>
      <c r="I426" s="185">
        <v>1</v>
      </c>
      <c r="J426" s="129" t="s">
        <v>396</v>
      </c>
      <c r="K426" s="185">
        <v>1</v>
      </c>
      <c r="L426" s="192">
        <v>20000</v>
      </c>
      <c r="M426" s="127">
        <f>+Ventas[[#This Row],[Precio item]]*Ventas[[#This Row],[Q]]</f>
        <v>20000</v>
      </c>
      <c r="N426" s="127"/>
      <c r="O426" s="127"/>
      <c r="P426" s="148"/>
    </row>
    <row r="427" spans="2:16" x14ac:dyDescent="0.25">
      <c r="B427" s="163"/>
      <c r="C427" s="154">
        <f t="shared" si="29"/>
        <v>43756</v>
      </c>
      <c r="D427" s="160">
        <f>+DAY(Ventas[[#This Row],[FECHA]])</f>
        <v>18</v>
      </c>
      <c r="E427" s="129" t="str">
        <f t="shared" si="30"/>
        <v>viernes</v>
      </c>
      <c r="F427" s="129" t="s">
        <v>624</v>
      </c>
      <c r="G427" s="185">
        <v>4</v>
      </c>
      <c r="H427" s="129" t="s">
        <v>455</v>
      </c>
      <c r="I427" s="185">
        <v>2</v>
      </c>
      <c r="J427" s="129" t="s">
        <v>375</v>
      </c>
      <c r="K427" s="185">
        <v>1</v>
      </c>
      <c r="L427" s="192">
        <v>25000</v>
      </c>
      <c r="M427" s="127">
        <f>+Ventas[[#This Row],[Precio item]]*Ventas[[#This Row],[Q]]</f>
        <v>25000</v>
      </c>
      <c r="N427" s="127"/>
      <c r="O427" s="127"/>
      <c r="P427" s="148"/>
    </row>
    <row r="428" spans="2:16" x14ac:dyDescent="0.25">
      <c r="B428" s="163"/>
      <c r="C428" s="154">
        <f t="shared" si="29"/>
        <v>43756</v>
      </c>
      <c r="D428" s="160">
        <f>+DAY(Ventas[[#This Row],[FECHA]])</f>
        <v>18</v>
      </c>
      <c r="E428" s="129" t="str">
        <f t="shared" si="30"/>
        <v>viernes</v>
      </c>
      <c r="F428" s="129" t="s">
        <v>624</v>
      </c>
      <c r="G428" s="185">
        <v>4</v>
      </c>
      <c r="H428" s="129" t="s">
        <v>455</v>
      </c>
      <c r="I428" s="185">
        <v>2</v>
      </c>
      <c r="J428" s="129" t="s">
        <v>470</v>
      </c>
      <c r="K428" s="185">
        <v>1</v>
      </c>
      <c r="L428" s="192">
        <v>3000</v>
      </c>
      <c r="M428" s="127">
        <f>+Ventas[[#This Row],[Precio item]]*Ventas[[#This Row],[Q]]</f>
        <v>3000</v>
      </c>
      <c r="N428" s="127"/>
      <c r="O428" s="127"/>
      <c r="P428" s="148"/>
    </row>
    <row r="429" spans="2:16" x14ac:dyDescent="0.25">
      <c r="B429" s="163"/>
      <c r="C429" s="154">
        <f t="shared" si="29"/>
        <v>43756</v>
      </c>
      <c r="D429" s="160">
        <f>+DAY(Ventas[[#This Row],[FECHA]])</f>
        <v>18</v>
      </c>
      <c r="E429" s="129" t="str">
        <f t="shared" si="30"/>
        <v>viernes</v>
      </c>
      <c r="F429" s="129" t="s">
        <v>624</v>
      </c>
      <c r="G429" s="185">
        <v>4</v>
      </c>
      <c r="H429" s="129" t="s">
        <v>455</v>
      </c>
      <c r="I429" s="185">
        <v>2</v>
      </c>
      <c r="J429" s="129" t="s">
        <v>358</v>
      </c>
      <c r="K429" s="185">
        <v>3</v>
      </c>
      <c r="L429" s="192">
        <v>4000</v>
      </c>
      <c r="M429" s="127">
        <f>+Ventas[[#This Row],[Precio item]]*Ventas[[#This Row],[Q]]</f>
        <v>12000</v>
      </c>
      <c r="N429" s="127"/>
      <c r="O429" s="127"/>
      <c r="P429" s="148"/>
    </row>
    <row r="430" spans="2:16" x14ac:dyDescent="0.25">
      <c r="B430" s="163"/>
      <c r="C430" s="154">
        <f t="shared" si="29"/>
        <v>43756</v>
      </c>
      <c r="D430" s="160">
        <f>+DAY(Ventas[[#This Row],[FECHA]])</f>
        <v>18</v>
      </c>
      <c r="E430" s="129" t="str">
        <f t="shared" si="30"/>
        <v>viernes</v>
      </c>
      <c r="F430" s="129" t="s">
        <v>624</v>
      </c>
      <c r="G430" s="185">
        <v>4</v>
      </c>
      <c r="H430" s="129" t="s">
        <v>455</v>
      </c>
      <c r="I430" s="185">
        <v>2</v>
      </c>
      <c r="J430" s="129" t="s">
        <v>457</v>
      </c>
      <c r="K430" s="185">
        <v>3</v>
      </c>
      <c r="L430" s="192">
        <v>2000</v>
      </c>
      <c r="M430" s="127">
        <f>+Ventas[[#This Row],[Precio item]]*Ventas[[#This Row],[Q]]</f>
        <v>6000</v>
      </c>
      <c r="N430" s="127"/>
      <c r="O430" s="127"/>
      <c r="P430" s="148"/>
    </row>
    <row r="431" spans="2:16" x14ac:dyDescent="0.25">
      <c r="B431" s="163"/>
      <c r="C431" s="154">
        <f t="shared" si="29"/>
        <v>43756</v>
      </c>
      <c r="D431" s="160">
        <f>+DAY(Ventas[[#This Row],[FECHA]])</f>
        <v>18</v>
      </c>
      <c r="E431" s="129" t="str">
        <f t="shared" si="30"/>
        <v>viernes</v>
      </c>
      <c r="F431" s="129" t="s">
        <v>624</v>
      </c>
      <c r="G431" s="185">
        <v>4</v>
      </c>
      <c r="H431" s="129" t="s">
        <v>455</v>
      </c>
      <c r="I431" s="185">
        <v>3</v>
      </c>
      <c r="J431" s="129" t="s">
        <v>375</v>
      </c>
      <c r="K431" s="185">
        <v>1</v>
      </c>
      <c r="L431" s="192">
        <v>30000</v>
      </c>
      <c r="M431" s="127">
        <f>+Ventas[[#This Row],[Precio item]]*Ventas[[#This Row],[Q]]</f>
        <v>30000</v>
      </c>
      <c r="N431" s="127"/>
      <c r="O431" s="127"/>
      <c r="P431" s="148"/>
    </row>
    <row r="432" spans="2:16" x14ac:dyDescent="0.25">
      <c r="B432" s="163"/>
      <c r="C432" s="154">
        <f t="shared" si="29"/>
        <v>43756</v>
      </c>
      <c r="D432" s="160">
        <f>+DAY(Ventas[[#This Row],[FECHA]])</f>
        <v>18</v>
      </c>
      <c r="E432" s="129" t="str">
        <f t="shared" si="30"/>
        <v>viernes</v>
      </c>
      <c r="F432" s="129" t="s">
        <v>624</v>
      </c>
      <c r="G432" s="185">
        <v>4</v>
      </c>
      <c r="H432" s="129" t="s">
        <v>455</v>
      </c>
      <c r="I432" s="185">
        <v>3</v>
      </c>
      <c r="J432" s="129" t="s">
        <v>368</v>
      </c>
      <c r="K432" s="185">
        <v>6</v>
      </c>
      <c r="L432" s="192">
        <v>2000</v>
      </c>
      <c r="M432" s="127">
        <f>+Ventas[[#This Row],[Precio item]]*Ventas[[#This Row],[Q]]</f>
        <v>12000</v>
      </c>
      <c r="N432" s="127"/>
      <c r="O432" s="127"/>
      <c r="P432" s="148"/>
    </row>
    <row r="433" spans="2:16" x14ac:dyDescent="0.25">
      <c r="B433" s="163"/>
      <c r="C433" s="154">
        <f t="shared" si="29"/>
        <v>43756</v>
      </c>
      <c r="D433" s="160">
        <f>+DAY(Ventas[[#This Row],[FECHA]])</f>
        <v>18</v>
      </c>
      <c r="E433" s="129" t="str">
        <f t="shared" si="30"/>
        <v>viernes</v>
      </c>
      <c r="F433" s="129" t="s">
        <v>624</v>
      </c>
      <c r="G433" s="185">
        <v>4</v>
      </c>
      <c r="H433" s="129" t="s">
        <v>455</v>
      </c>
      <c r="I433" s="185">
        <v>4</v>
      </c>
      <c r="J433" s="129" t="s">
        <v>353</v>
      </c>
      <c r="K433" s="185">
        <v>1</v>
      </c>
      <c r="L433" s="192">
        <v>10000</v>
      </c>
      <c r="M433" s="127">
        <f>+Ventas[[#This Row],[Precio item]]*Ventas[[#This Row],[Q]]</f>
        <v>10000</v>
      </c>
      <c r="N433" s="127"/>
      <c r="O433" s="127"/>
      <c r="P433" s="148"/>
    </row>
    <row r="434" spans="2:16" x14ac:dyDescent="0.25">
      <c r="B434" s="163"/>
      <c r="C434" s="154">
        <f t="shared" si="29"/>
        <v>43756</v>
      </c>
      <c r="D434" s="160">
        <f>+DAY(Ventas[[#This Row],[FECHA]])</f>
        <v>18</v>
      </c>
      <c r="E434" s="129" t="str">
        <f t="shared" si="30"/>
        <v>viernes</v>
      </c>
      <c r="F434" s="129" t="s">
        <v>624</v>
      </c>
      <c r="G434" s="185">
        <v>4</v>
      </c>
      <c r="H434" s="129" t="s">
        <v>455</v>
      </c>
      <c r="I434" s="185">
        <v>5</v>
      </c>
      <c r="J434" s="129" t="s">
        <v>353</v>
      </c>
      <c r="K434" s="185">
        <v>1</v>
      </c>
      <c r="L434" s="192">
        <v>10000</v>
      </c>
      <c r="M434" s="127">
        <f>+Ventas[[#This Row],[Precio item]]*Ventas[[#This Row],[Q]]</f>
        <v>10000</v>
      </c>
      <c r="N434" s="127"/>
      <c r="O434" s="127"/>
      <c r="P434" s="148"/>
    </row>
    <row r="435" spans="2:16" x14ac:dyDescent="0.25">
      <c r="B435" s="163"/>
      <c r="C435" s="154">
        <f t="shared" si="29"/>
        <v>43756</v>
      </c>
      <c r="D435" s="160">
        <f>+DAY(Ventas[[#This Row],[FECHA]])</f>
        <v>18</v>
      </c>
      <c r="E435" s="129" t="str">
        <f t="shared" si="30"/>
        <v>viernes</v>
      </c>
      <c r="F435" s="129" t="s">
        <v>624</v>
      </c>
      <c r="G435" s="185">
        <v>4</v>
      </c>
      <c r="H435" s="129" t="s">
        <v>455</v>
      </c>
      <c r="I435" s="185">
        <v>5</v>
      </c>
      <c r="J435" s="129" t="s">
        <v>468</v>
      </c>
      <c r="K435" s="185">
        <v>1</v>
      </c>
      <c r="L435" s="192">
        <v>2500</v>
      </c>
      <c r="M435" s="127">
        <f>+Ventas[[#This Row],[Precio item]]*Ventas[[#This Row],[Q]]</f>
        <v>2500</v>
      </c>
      <c r="N435" s="127"/>
      <c r="O435" s="127"/>
      <c r="P435" s="148"/>
    </row>
    <row r="436" spans="2:16" x14ac:dyDescent="0.25">
      <c r="B436" s="163"/>
      <c r="C436" s="154">
        <f t="shared" si="29"/>
        <v>43756</v>
      </c>
      <c r="D436" s="160">
        <f>+DAY(Ventas[[#This Row],[FECHA]])</f>
        <v>18</v>
      </c>
      <c r="E436" s="129" t="str">
        <f t="shared" ref="E436:E443" si="31">+TEXT(C436,"dddd")</f>
        <v>viernes</v>
      </c>
      <c r="F436" s="129" t="s">
        <v>624</v>
      </c>
      <c r="G436" s="185">
        <v>4</v>
      </c>
      <c r="H436" s="129" t="s">
        <v>455</v>
      </c>
      <c r="I436" s="185">
        <v>6</v>
      </c>
      <c r="J436" s="129" t="s">
        <v>375</v>
      </c>
      <c r="K436" s="185">
        <v>1</v>
      </c>
      <c r="L436" s="192">
        <v>50000</v>
      </c>
      <c r="M436" s="127">
        <f>+Ventas[[#This Row],[Precio item]]*Ventas[[#This Row],[Q]]</f>
        <v>50000</v>
      </c>
      <c r="N436" s="127"/>
      <c r="O436" s="127"/>
      <c r="P436" s="148"/>
    </row>
    <row r="437" spans="2:16" x14ac:dyDescent="0.25">
      <c r="B437" s="163"/>
      <c r="C437" s="154">
        <f t="shared" si="29"/>
        <v>43756</v>
      </c>
      <c r="D437" s="160">
        <f>+DAY(Ventas[[#This Row],[FECHA]])</f>
        <v>18</v>
      </c>
      <c r="E437" s="129" t="str">
        <f t="shared" si="31"/>
        <v>viernes</v>
      </c>
      <c r="F437" s="129" t="s">
        <v>624</v>
      </c>
      <c r="G437" s="185">
        <v>4</v>
      </c>
      <c r="H437" s="129" t="s">
        <v>455</v>
      </c>
      <c r="I437" s="185">
        <v>6</v>
      </c>
      <c r="J437" s="129" t="s">
        <v>369</v>
      </c>
      <c r="K437" s="185">
        <v>4</v>
      </c>
      <c r="L437" s="192">
        <v>2500</v>
      </c>
      <c r="M437" s="127">
        <f>+Ventas[[#This Row],[Precio item]]*Ventas[[#This Row],[Q]]</f>
        <v>10000</v>
      </c>
      <c r="N437" s="135" t="s">
        <v>471</v>
      </c>
      <c r="O437" s="127"/>
      <c r="P437" s="148"/>
    </row>
    <row r="438" spans="2:16" x14ac:dyDescent="0.25">
      <c r="B438" s="163"/>
      <c r="C438" s="154">
        <f t="shared" si="29"/>
        <v>43756</v>
      </c>
      <c r="D438" s="160">
        <f>+DAY(Ventas[[#This Row],[FECHA]])</f>
        <v>18</v>
      </c>
      <c r="E438" s="129" t="str">
        <f t="shared" si="31"/>
        <v>viernes</v>
      </c>
      <c r="F438" s="129" t="s">
        <v>624</v>
      </c>
      <c r="G438" s="185">
        <v>4</v>
      </c>
      <c r="H438" s="129" t="s">
        <v>455</v>
      </c>
      <c r="I438" s="185">
        <v>7</v>
      </c>
      <c r="J438" s="129" t="s">
        <v>353</v>
      </c>
      <c r="K438" s="185">
        <v>3</v>
      </c>
      <c r="L438" s="192">
        <v>10000</v>
      </c>
      <c r="M438" s="127">
        <f>+Ventas[[#This Row],[Precio item]]*Ventas[[#This Row],[Q]]</f>
        <v>30000</v>
      </c>
      <c r="N438" s="127"/>
      <c r="O438" s="127"/>
      <c r="P438" s="148"/>
    </row>
    <row r="439" spans="2:16" x14ac:dyDescent="0.25">
      <c r="B439" s="163"/>
      <c r="C439" s="154">
        <f t="shared" si="29"/>
        <v>43756</v>
      </c>
      <c r="D439" s="160">
        <f>+DAY(Ventas[[#This Row],[FECHA]])</f>
        <v>18</v>
      </c>
      <c r="E439" s="129" t="str">
        <f t="shared" si="31"/>
        <v>viernes</v>
      </c>
      <c r="F439" s="129" t="s">
        <v>624</v>
      </c>
      <c r="G439" s="185">
        <v>4</v>
      </c>
      <c r="H439" s="129" t="s">
        <v>455</v>
      </c>
      <c r="I439" s="185">
        <v>8</v>
      </c>
      <c r="J439" s="129" t="s">
        <v>358</v>
      </c>
      <c r="K439" s="185">
        <v>1</v>
      </c>
      <c r="L439" s="192">
        <v>4000</v>
      </c>
      <c r="M439" s="127">
        <f>+Ventas[[#This Row],[Precio item]]*Ventas[[#This Row],[Q]]</f>
        <v>4000</v>
      </c>
      <c r="N439" s="127"/>
      <c r="O439" s="127"/>
      <c r="P439" s="148"/>
    </row>
    <row r="440" spans="2:16" x14ac:dyDescent="0.25">
      <c r="B440" s="163"/>
      <c r="C440" s="154">
        <f t="shared" si="29"/>
        <v>43756</v>
      </c>
      <c r="D440" s="160">
        <f>+DAY(Ventas[[#This Row],[FECHA]])</f>
        <v>18</v>
      </c>
      <c r="E440" s="129" t="str">
        <f t="shared" si="31"/>
        <v>viernes</v>
      </c>
      <c r="F440" s="129" t="s">
        <v>624</v>
      </c>
      <c r="G440" s="185">
        <v>4</v>
      </c>
      <c r="H440" s="129" t="s">
        <v>455</v>
      </c>
      <c r="I440" s="185">
        <v>9</v>
      </c>
      <c r="J440" s="129" t="s">
        <v>375</v>
      </c>
      <c r="K440" s="185">
        <v>1</v>
      </c>
      <c r="L440" s="192">
        <v>12000</v>
      </c>
      <c r="M440" s="127">
        <f>+Ventas[[#This Row],[Precio item]]*Ventas[[#This Row],[Q]]</f>
        <v>12000</v>
      </c>
      <c r="N440" s="127"/>
      <c r="O440" s="127"/>
      <c r="P440" s="148"/>
    </row>
    <row r="441" spans="2:16" x14ac:dyDescent="0.25">
      <c r="B441" s="163"/>
      <c r="C441" s="154">
        <f t="shared" si="29"/>
        <v>43756</v>
      </c>
      <c r="D441" s="160">
        <f>+DAY(Ventas[[#This Row],[FECHA]])</f>
        <v>18</v>
      </c>
      <c r="E441" s="129" t="str">
        <f t="shared" si="31"/>
        <v>viernes</v>
      </c>
      <c r="F441" s="129" t="s">
        <v>624</v>
      </c>
      <c r="G441" s="185">
        <v>4</v>
      </c>
      <c r="H441" s="129" t="s">
        <v>455</v>
      </c>
      <c r="I441" s="185">
        <v>10</v>
      </c>
      <c r="J441" s="129" t="s">
        <v>353</v>
      </c>
      <c r="K441" s="185">
        <v>1</v>
      </c>
      <c r="L441" s="192">
        <v>10000</v>
      </c>
      <c r="M441" s="127">
        <f>+Ventas[[#This Row],[Precio item]]*Ventas[[#This Row],[Q]]</f>
        <v>10000</v>
      </c>
      <c r="N441" s="127"/>
      <c r="O441" s="127"/>
      <c r="P441" s="148"/>
    </row>
    <row r="442" spans="2:16" x14ac:dyDescent="0.25">
      <c r="B442" s="163"/>
      <c r="C442" s="154">
        <f t="shared" si="29"/>
        <v>43756</v>
      </c>
      <c r="D442" s="160">
        <f>+DAY(Ventas[[#This Row],[FECHA]])</f>
        <v>18</v>
      </c>
      <c r="E442" s="129" t="str">
        <f t="shared" si="31"/>
        <v>viernes</v>
      </c>
      <c r="F442" s="129" t="s">
        <v>624</v>
      </c>
      <c r="G442" s="185">
        <v>4</v>
      </c>
      <c r="H442" s="129" t="s">
        <v>455</v>
      </c>
      <c r="I442" s="185">
        <v>10</v>
      </c>
      <c r="J442" s="129" t="s">
        <v>368</v>
      </c>
      <c r="K442" s="185">
        <v>1</v>
      </c>
      <c r="L442" s="192">
        <v>2000</v>
      </c>
      <c r="M442" s="127">
        <f>+Ventas[[#This Row],[Precio item]]*Ventas[[#This Row],[Q]]</f>
        <v>2000</v>
      </c>
      <c r="N442" s="127"/>
      <c r="O442" s="127"/>
      <c r="P442" s="148"/>
    </row>
    <row r="443" spans="2:16" x14ac:dyDescent="0.25">
      <c r="B443" s="163"/>
      <c r="C443" s="154">
        <v>43756</v>
      </c>
      <c r="D443" s="160">
        <f>+DAY(Ventas[[#This Row],[FECHA]])</f>
        <v>18</v>
      </c>
      <c r="E443" s="129" t="str">
        <f t="shared" si="31"/>
        <v>viernes</v>
      </c>
      <c r="F443" s="129" t="s">
        <v>624</v>
      </c>
      <c r="G443" s="185">
        <v>4</v>
      </c>
      <c r="H443" s="129" t="s">
        <v>455</v>
      </c>
      <c r="I443" s="185">
        <v>11</v>
      </c>
      <c r="J443" s="129" t="s">
        <v>353</v>
      </c>
      <c r="K443" s="185">
        <v>1</v>
      </c>
      <c r="L443" s="192">
        <v>10000</v>
      </c>
      <c r="M443" s="127">
        <f>+Ventas[[#This Row],[Precio item]]*Ventas[[#This Row],[Q]]</f>
        <v>10000</v>
      </c>
      <c r="N443" s="127"/>
      <c r="O443" s="127"/>
      <c r="P443" s="148"/>
    </row>
    <row r="444" spans="2:16" x14ac:dyDescent="0.25">
      <c r="B444" s="163"/>
      <c r="C444" s="154">
        <v>43756</v>
      </c>
      <c r="D444" s="160">
        <f>+DAY(Ventas[[#This Row],[FECHA]])</f>
        <v>18</v>
      </c>
      <c r="E444" s="129" t="str">
        <f t="shared" ref="E444:E454" si="32">+TEXT(C444,"dddd")</f>
        <v>viernes</v>
      </c>
      <c r="F444" s="129" t="s">
        <v>624</v>
      </c>
      <c r="G444" s="185">
        <v>4</v>
      </c>
      <c r="H444" s="129" t="s">
        <v>455</v>
      </c>
      <c r="I444" s="185">
        <v>12</v>
      </c>
      <c r="J444" s="129" t="s">
        <v>353</v>
      </c>
      <c r="K444" s="185">
        <v>1</v>
      </c>
      <c r="L444" s="192">
        <v>10000</v>
      </c>
      <c r="M444" s="127">
        <f>+Ventas[[#This Row],[Precio item]]*Ventas[[#This Row],[Q]]</f>
        <v>10000</v>
      </c>
      <c r="N444" s="127"/>
      <c r="O444" s="127"/>
      <c r="P444" s="148"/>
    </row>
    <row r="445" spans="2:16" x14ac:dyDescent="0.25">
      <c r="B445" s="163"/>
      <c r="C445" s="154">
        <v>43756</v>
      </c>
      <c r="D445" s="160">
        <f>+DAY(Ventas[[#This Row],[FECHA]])</f>
        <v>18</v>
      </c>
      <c r="E445" s="129" t="str">
        <f t="shared" si="32"/>
        <v>viernes</v>
      </c>
      <c r="F445" s="129" t="s">
        <v>624</v>
      </c>
      <c r="G445" s="185">
        <v>4</v>
      </c>
      <c r="H445" s="129" t="s">
        <v>455</v>
      </c>
      <c r="I445" s="185">
        <v>13</v>
      </c>
      <c r="J445" s="129" t="s">
        <v>353</v>
      </c>
      <c r="K445" s="185">
        <v>4</v>
      </c>
      <c r="L445" s="192">
        <v>10000</v>
      </c>
      <c r="M445" s="127">
        <f>+Ventas[[#This Row],[Precio item]]*Ventas[[#This Row],[Q]]</f>
        <v>40000</v>
      </c>
      <c r="N445" s="127"/>
      <c r="O445" s="127"/>
      <c r="P445" s="148"/>
    </row>
    <row r="446" spans="2:16" x14ac:dyDescent="0.25">
      <c r="B446" s="163"/>
      <c r="C446" s="221">
        <v>43756</v>
      </c>
      <c r="D446" s="223">
        <f>+DAY(Ventas[[#This Row],[FECHA]])</f>
        <v>18</v>
      </c>
      <c r="E446" s="196" t="str">
        <f t="shared" si="32"/>
        <v>viernes</v>
      </c>
      <c r="F446" s="129" t="s">
        <v>624</v>
      </c>
      <c r="G446" s="198">
        <v>4</v>
      </c>
      <c r="H446" s="196" t="s">
        <v>455</v>
      </c>
      <c r="I446" s="198">
        <v>13</v>
      </c>
      <c r="J446" s="196" t="s">
        <v>473</v>
      </c>
      <c r="K446" s="198">
        <v>4</v>
      </c>
      <c r="L446" s="224">
        <v>0</v>
      </c>
      <c r="M446" s="135">
        <f>+Ventas[[#This Row],[Precio item]]*Ventas[[#This Row],[Q]]</f>
        <v>0</v>
      </c>
      <c r="N446" s="127" t="s">
        <v>472</v>
      </c>
      <c r="O446" s="127"/>
      <c r="P446" s="148"/>
    </row>
    <row r="447" spans="2:16" x14ac:dyDescent="0.25">
      <c r="B447" s="163"/>
      <c r="C447" s="154">
        <v>43756</v>
      </c>
      <c r="D447" s="160">
        <f>+DAY(Ventas[[#This Row],[FECHA]])</f>
        <v>18</v>
      </c>
      <c r="E447" s="129" t="str">
        <f t="shared" si="32"/>
        <v>viernes</v>
      </c>
      <c r="F447" s="129" t="s">
        <v>624</v>
      </c>
      <c r="G447" s="185">
        <v>4</v>
      </c>
      <c r="H447" s="129" t="s">
        <v>455</v>
      </c>
      <c r="I447" s="185">
        <v>14</v>
      </c>
      <c r="J447" s="129" t="s">
        <v>353</v>
      </c>
      <c r="K447" s="185">
        <v>2</v>
      </c>
      <c r="L447" s="192">
        <v>10000</v>
      </c>
      <c r="M447" s="127">
        <f>+Ventas[[#This Row],[Precio item]]*Ventas[[#This Row],[Q]]</f>
        <v>20000</v>
      </c>
      <c r="N447" s="127"/>
      <c r="O447" s="127"/>
      <c r="P447" s="148"/>
    </row>
    <row r="448" spans="2:16" x14ac:dyDescent="0.25">
      <c r="B448" s="163"/>
      <c r="C448" s="154">
        <v>43756</v>
      </c>
      <c r="D448" s="160">
        <f>+DAY(Ventas[[#This Row],[FECHA]])</f>
        <v>18</v>
      </c>
      <c r="E448" s="129" t="str">
        <f t="shared" si="32"/>
        <v>viernes</v>
      </c>
      <c r="F448" s="129" t="s">
        <v>624</v>
      </c>
      <c r="G448" s="185">
        <v>4</v>
      </c>
      <c r="H448" s="129" t="s">
        <v>455</v>
      </c>
      <c r="I448" s="185">
        <v>15</v>
      </c>
      <c r="J448" s="129" t="s">
        <v>353</v>
      </c>
      <c r="K448" s="185">
        <v>1</v>
      </c>
      <c r="L448" s="192">
        <v>10000</v>
      </c>
      <c r="M448" s="127">
        <f>+Ventas[[#This Row],[Precio item]]*Ventas[[#This Row],[Q]]</f>
        <v>10000</v>
      </c>
      <c r="N448" s="127"/>
      <c r="O448" s="127"/>
      <c r="P448" s="148"/>
    </row>
    <row r="449" spans="2:16" x14ac:dyDescent="0.25">
      <c r="B449" s="163"/>
      <c r="C449" s="154">
        <f>+C423+1</f>
        <v>43757</v>
      </c>
      <c r="D449" s="160">
        <f>+DAY(Ventas[[#This Row],[FECHA]])</f>
        <v>19</v>
      </c>
      <c r="E449" s="129" t="str">
        <f t="shared" si="32"/>
        <v>sábado</v>
      </c>
      <c r="F449" s="129" t="s">
        <v>624</v>
      </c>
      <c r="G449" s="185">
        <v>4</v>
      </c>
      <c r="H449" s="129"/>
      <c r="I449" s="185"/>
      <c r="J449" s="129"/>
      <c r="K449" s="185"/>
      <c r="L449" s="192"/>
      <c r="M449" s="134">
        <v>720000</v>
      </c>
      <c r="N449" s="127"/>
      <c r="O449" s="127"/>
      <c r="P449" s="148"/>
    </row>
    <row r="450" spans="2:16" x14ac:dyDescent="0.25">
      <c r="B450" s="163"/>
      <c r="C450" s="154">
        <v>43758</v>
      </c>
      <c r="D450" s="160">
        <f>+DAY(Ventas[[#This Row],[FECHA]])</f>
        <v>20</v>
      </c>
      <c r="E450" s="129" t="str">
        <f t="shared" si="32"/>
        <v>domingo</v>
      </c>
      <c r="F450" s="129" t="s">
        <v>624</v>
      </c>
      <c r="G450" s="185">
        <v>4</v>
      </c>
      <c r="H450" s="129" t="s">
        <v>455</v>
      </c>
      <c r="I450" s="185">
        <v>1</v>
      </c>
      <c r="J450" s="129" t="s">
        <v>518</v>
      </c>
      <c r="K450" s="185">
        <v>1</v>
      </c>
      <c r="L450" s="192">
        <v>7000</v>
      </c>
      <c r="M450" s="127">
        <f>+Ventas[[#This Row],[Precio item]]*Ventas[[#This Row],[Q]]</f>
        <v>7000</v>
      </c>
      <c r="N450" s="127" t="s">
        <v>519</v>
      </c>
      <c r="O450" s="127"/>
      <c r="P450" s="148"/>
    </row>
    <row r="451" spans="2:16" x14ac:dyDescent="0.25">
      <c r="B451" s="163"/>
      <c r="C451" s="154">
        <v>43758</v>
      </c>
      <c r="D451" s="160">
        <f>+DAY(Ventas[[#This Row],[FECHA]])</f>
        <v>20</v>
      </c>
      <c r="E451" s="129" t="str">
        <f t="shared" si="32"/>
        <v>domingo</v>
      </c>
      <c r="F451" s="129" t="s">
        <v>624</v>
      </c>
      <c r="G451" s="185">
        <v>4</v>
      </c>
      <c r="H451" s="129" t="s">
        <v>455</v>
      </c>
      <c r="I451" s="185">
        <v>1</v>
      </c>
      <c r="J451" s="129" t="s">
        <v>375</v>
      </c>
      <c r="K451" s="185">
        <v>1</v>
      </c>
      <c r="L451" s="192">
        <v>15000</v>
      </c>
      <c r="M451" s="127">
        <f>+Ventas[[#This Row],[Precio item]]*Ventas[[#This Row],[Q]]</f>
        <v>15000</v>
      </c>
      <c r="N451" s="127"/>
      <c r="O451" s="127"/>
      <c r="P451" s="148"/>
    </row>
    <row r="452" spans="2:16" x14ac:dyDescent="0.25">
      <c r="B452" s="163"/>
      <c r="C452" s="154">
        <v>43758</v>
      </c>
      <c r="D452" s="160">
        <f>+DAY(Ventas[[#This Row],[FECHA]])</f>
        <v>20</v>
      </c>
      <c r="E452" s="129" t="str">
        <f t="shared" si="32"/>
        <v>domingo</v>
      </c>
      <c r="F452" s="129" t="s">
        <v>624</v>
      </c>
      <c r="G452" s="185">
        <v>4</v>
      </c>
      <c r="H452" s="129" t="s">
        <v>455</v>
      </c>
      <c r="I452" s="185">
        <v>1</v>
      </c>
      <c r="J452" s="129" t="s">
        <v>520</v>
      </c>
      <c r="K452" s="185">
        <v>1</v>
      </c>
      <c r="L452" s="192">
        <v>2500</v>
      </c>
      <c r="M452" s="127">
        <f>+Ventas[[#This Row],[Precio item]]*Ventas[[#This Row],[Q]]</f>
        <v>2500</v>
      </c>
      <c r="N452" s="127"/>
      <c r="O452" s="127"/>
      <c r="P452" s="148"/>
    </row>
    <row r="453" spans="2:16" x14ac:dyDescent="0.25">
      <c r="B453" s="163"/>
      <c r="C453" s="154">
        <v>43758</v>
      </c>
      <c r="D453" s="160">
        <f>+DAY(Ventas[[#This Row],[FECHA]])</f>
        <v>20</v>
      </c>
      <c r="E453" s="129" t="str">
        <f t="shared" si="32"/>
        <v>domingo</v>
      </c>
      <c r="F453" s="129" t="s">
        <v>624</v>
      </c>
      <c r="G453" s="185">
        <v>4</v>
      </c>
      <c r="H453" s="129" t="s">
        <v>455</v>
      </c>
      <c r="I453" s="185">
        <v>1</v>
      </c>
      <c r="J453" s="129" t="s">
        <v>368</v>
      </c>
      <c r="K453" s="185">
        <v>1</v>
      </c>
      <c r="L453" s="192">
        <v>2000</v>
      </c>
      <c r="M453" s="127">
        <f>+Ventas[[#This Row],[Precio item]]*Ventas[[#This Row],[Q]]</f>
        <v>2000</v>
      </c>
      <c r="N453" s="127"/>
      <c r="O453" s="127"/>
      <c r="P453" s="148"/>
    </row>
    <row r="454" spans="2:16" x14ac:dyDescent="0.25">
      <c r="B454" s="163"/>
      <c r="C454" s="154">
        <v>43758</v>
      </c>
      <c r="D454" s="160">
        <f>+DAY(Ventas[[#This Row],[FECHA]])</f>
        <v>20</v>
      </c>
      <c r="E454" s="129" t="str">
        <f t="shared" si="32"/>
        <v>domingo</v>
      </c>
      <c r="F454" s="129" t="s">
        <v>624</v>
      </c>
      <c r="G454" s="185">
        <v>4</v>
      </c>
      <c r="H454" s="129" t="s">
        <v>455</v>
      </c>
      <c r="I454" s="185">
        <v>2</v>
      </c>
      <c r="J454" s="129" t="s">
        <v>358</v>
      </c>
      <c r="K454" s="185">
        <v>2</v>
      </c>
      <c r="L454" s="192">
        <v>7000</v>
      </c>
      <c r="M454" s="127">
        <f>+Ventas[[#This Row],[Precio item]]*Ventas[[#This Row],[Q]]</f>
        <v>14000</v>
      </c>
      <c r="N454" s="127" t="s">
        <v>521</v>
      </c>
      <c r="O454" s="127"/>
      <c r="P454" s="148"/>
    </row>
    <row r="455" spans="2:16" x14ac:dyDescent="0.25">
      <c r="B455" s="163"/>
      <c r="C455" s="154">
        <v>43758</v>
      </c>
      <c r="D455" s="160">
        <f>+DAY(Ventas[[#This Row],[FECHA]])</f>
        <v>20</v>
      </c>
      <c r="E455" s="129" t="str">
        <f t="shared" ref="E455:E463" si="33">+TEXT(C455,"dddd")</f>
        <v>domingo</v>
      </c>
      <c r="F455" s="129" t="s">
        <v>624</v>
      </c>
      <c r="G455" s="185">
        <v>4</v>
      </c>
      <c r="H455" s="129" t="s">
        <v>455</v>
      </c>
      <c r="I455" s="185">
        <v>2</v>
      </c>
      <c r="J455" s="129" t="s">
        <v>522</v>
      </c>
      <c r="K455" s="185">
        <v>2</v>
      </c>
      <c r="L455" s="192">
        <v>24000</v>
      </c>
      <c r="M455" s="127">
        <f>+Ventas[[#This Row],[Precio item]]*Ventas[[#This Row],[Q]]</f>
        <v>48000</v>
      </c>
      <c r="N455" s="127"/>
      <c r="O455" s="127"/>
      <c r="P455" s="148"/>
    </row>
    <row r="456" spans="2:16" x14ac:dyDescent="0.25">
      <c r="B456" s="163"/>
      <c r="C456" s="154">
        <v>43758</v>
      </c>
      <c r="D456" s="160">
        <f>+DAY(Ventas[[#This Row],[FECHA]])</f>
        <v>20</v>
      </c>
      <c r="E456" s="129" t="str">
        <f t="shared" si="33"/>
        <v>domingo</v>
      </c>
      <c r="F456" s="129" t="s">
        <v>624</v>
      </c>
      <c r="G456" s="185">
        <v>4</v>
      </c>
      <c r="H456" s="129" t="s">
        <v>455</v>
      </c>
      <c r="I456" s="185">
        <v>2</v>
      </c>
      <c r="J456" s="129" t="s">
        <v>523</v>
      </c>
      <c r="K456" s="185">
        <v>6</v>
      </c>
      <c r="L456" s="192">
        <v>6000</v>
      </c>
      <c r="M456" s="127">
        <f>+Ventas[[#This Row],[Precio item]]*Ventas[[#This Row],[Q]]</f>
        <v>36000</v>
      </c>
      <c r="N456" s="127"/>
      <c r="O456" s="127"/>
      <c r="P456" s="148"/>
    </row>
    <row r="457" spans="2:16" x14ac:dyDescent="0.25">
      <c r="B457" s="163"/>
      <c r="C457" s="154">
        <v>43758</v>
      </c>
      <c r="D457" s="160">
        <f>+DAY(Ventas[[#This Row],[FECHA]])</f>
        <v>20</v>
      </c>
      <c r="E457" s="129" t="str">
        <f t="shared" si="33"/>
        <v>domingo</v>
      </c>
      <c r="F457" s="129" t="s">
        <v>624</v>
      </c>
      <c r="G457" s="185">
        <v>4</v>
      </c>
      <c r="H457" s="129" t="s">
        <v>455</v>
      </c>
      <c r="I457" s="185">
        <v>3</v>
      </c>
      <c r="J457" s="129" t="s">
        <v>353</v>
      </c>
      <c r="K457" s="185">
        <v>4</v>
      </c>
      <c r="L457" s="192">
        <v>10000</v>
      </c>
      <c r="M457" s="127">
        <f>+Ventas[[#This Row],[Precio item]]*Ventas[[#This Row],[Q]]</f>
        <v>40000</v>
      </c>
      <c r="N457" s="127"/>
      <c r="O457" s="127"/>
      <c r="P457" s="148"/>
    </row>
    <row r="458" spans="2:16" x14ac:dyDescent="0.25">
      <c r="B458" s="163"/>
      <c r="C458" s="154">
        <v>43758</v>
      </c>
      <c r="D458" s="160">
        <f>+DAY(Ventas[[#This Row],[FECHA]])</f>
        <v>20</v>
      </c>
      <c r="E458" s="129" t="str">
        <f t="shared" si="33"/>
        <v>domingo</v>
      </c>
      <c r="F458" s="129" t="s">
        <v>624</v>
      </c>
      <c r="G458" s="185">
        <v>4</v>
      </c>
      <c r="H458" s="129" t="s">
        <v>455</v>
      </c>
      <c r="I458" s="185">
        <v>4</v>
      </c>
      <c r="J458" s="129" t="s">
        <v>375</v>
      </c>
      <c r="K458" s="185">
        <v>1</v>
      </c>
      <c r="L458" s="192">
        <v>40000</v>
      </c>
      <c r="M458" s="127">
        <f>+Ventas[[#This Row],[Precio item]]*Ventas[[#This Row],[Q]]</f>
        <v>40000</v>
      </c>
      <c r="N458" s="127"/>
      <c r="O458" s="127"/>
      <c r="P458" s="148"/>
    </row>
    <row r="459" spans="2:16" x14ac:dyDescent="0.25">
      <c r="B459" s="163"/>
      <c r="C459" s="154">
        <v>43758</v>
      </c>
      <c r="D459" s="160">
        <f>+DAY(Ventas[[#This Row],[FECHA]])</f>
        <v>20</v>
      </c>
      <c r="E459" s="129" t="str">
        <f t="shared" si="33"/>
        <v>domingo</v>
      </c>
      <c r="F459" s="129" t="s">
        <v>624</v>
      </c>
      <c r="G459" s="185">
        <v>4</v>
      </c>
      <c r="H459" s="129" t="s">
        <v>455</v>
      </c>
      <c r="I459" s="185">
        <v>4</v>
      </c>
      <c r="J459" s="129" t="s">
        <v>433</v>
      </c>
      <c r="K459" s="185">
        <v>1</v>
      </c>
      <c r="L459" s="192">
        <v>4500</v>
      </c>
      <c r="M459" s="127">
        <f>+Ventas[[#This Row],[Precio item]]*Ventas[[#This Row],[Q]]</f>
        <v>4500</v>
      </c>
      <c r="N459" s="127"/>
      <c r="O459" s="127"/>
      <c r="P459" s="148"/>
    </row>
    <row r="460" spans="2:16" x14ac:dyDescent="0.25">
      <c r="B460" s="163"/>
      <c r="C460" s="154">
        <v>43758</v>
      </c>
      <c r="D460" s="160">
        <f>+DAY(Ventas[[#This Row],[FECHA]])</f>
        <v>20</v>
      </c>
      <c r="E460" s="129" t="str">
        <f t="shared" si="33"/>
        <v>domingo</v>
      </c>
      <c r="F460" s="129" t="s">
        <v>624</v>
      </c>
      <c r="G460" s="185">
        <v>4</v>
      </c>
      <c r="H460" s="129" t="s">
        <v>455</v>
      </c>
      <c r="I460" s="185">
        <v>5</v>
      </c>
      <c r="J460" s="129" t="s">
        <v>375</v>
      </c>
      <c r="K460" s="185">
        <v>1</v>
      </c>
      <c r="L460" s="192">
        <v>70000</v>
      </c>
      <c r="M460" s="127">
        <f>+Ventas[[#This Row],[Precio item]]*Ventas[[#This Row],[Q]]</f>
        <v>70000</v>
      </c>
      <c r="N460" s="127"/>
      <c r="O460" s="127"/>
      <c r="P460" s="148"/>
    </row>
    <row r="461" spans="2:16" x14ac:dyDescent="0.25">
      <c r="B461" s="163"/>
      <c r="C461" s="154">
        <v>43758</v>
      </c>
      <c r="D461" s="160">
        <f>+DAY(Ventas[[#This Row],[FECHA]])</f>
        <v>20</v>
      </c>
      <c r="E461" s="129" t="str">
        <f t="shared" si="33"/>
        <v>domingo</v>
      </c>
      <c r="F461" s="129" t="s">
        <v>624</v>
      </c>
      <c r="G461" s="185">
        <v>4</v>
      </c>
      <c r="H461" s="129" t="s">
        <v>455</v>
      </c>
      <c r="I461" s="185">
        <v>6</v>
      </c>
      <c r="J461" s="129" t="s">
        <v>375</v>
      </c>
      <c r="K461" s="185">
        <v>1</v>
      </c>
      <c r="L461" s="192">
        <v>100000</v>
      </c>
      <c r="M461" s="127">
        <f>+Ventas[[#This Row],[Precio item]]*Ventas[[#This Row],[Q]]</f>
        <v>100000</v>
      </c>
      <c r="N461" s="127"/>
      <c r="O461" s="127"/>
      <c r="P461" s="148"/>
    </row>
    <row r="462" spans="2:16" x14ac:dyDescent="0.25">
      <c r="B462" s="163"/>
      <c r="C462" s="154">
        <v>43758</v>
      </c>
      <c r="D462" s="160">
        <f>+DAY(Ventas[[#This Row],[FECHA]])</f>
        <v>20</v>
      </c>
      <c r="E462" s="129" t="str">
        <f t="shared" si="33"/>
        <v>domingo</v>
      </c>
      <c r="F462" s="129" t="s">
        <v>624</v>
      </c>
      <c r="G462" s="185">
        <v>4</v>
      </c>
      <c r="H462" s="129" t="s">
        <v>455</v>
      </c>
      <c r="I462" s="185">
        <v>6</v>
      </c>
      <c r="J462" s="129" t="s">
        <v>385</v>
      </c>
      <c r="K462" s="185">
        <v>1</v>
      </c>
      <c r="L462" s="192">
        <v>2500</v>
      </c>
      <c r="M462" s="127">
        <f>+Ventas[[#This Row],[Precio item]]*Ventas[[#This Row],[Q]]</f>
        <v>2500</v>
      </c>
      <c r="N462" s="127"/>
      <c r="O462" s="127"/>
      <c r="P462" s="148"/>
    </row>
    <row r="463" spans="2:16" x14ac:dyDescent="0.25">
      <c r="B463" s="163"/>
      <c r="C463" s="154">
        <v>43758</v>
      </c>
      <c r="D463" s="160">
        <f>+DAY(Ventas[[#This Row],[FECHA]])</f>
        <v>20</v>
      </c>
      <c r="E463" s="129" t="str">
        <f t="shared" si="33"/>
        <v>domingo</v>
      </c>
      <c r="F463" s="129" t="s">
        <v>624</v>
      </c>
      <c r="G463" s="185">
        <v>4</v>
      </c>
      <c r="H463" s="129" t="s">
        <v>455</v>
      </c>
      <c r="I463" s="185">
        <v>7</v>
      </c>
      <c r="J463" s="129" t="s">
        <v>524</v>
      </c>
      <c r="K463" s="185">
        <v>1</v>
      </c>
      <c r="L463" s="192">
        <v>15000</v>
      </c>
      <c r="M463" s="127">
        <f>+Ventas[[#This Row],[Precio item]]*Ventas[[#This Row],[Q]]</f>
        <v>15000</v>
      </c>
      <c r="N463" s="127" t="s">
        <v>525</v>
      </c>
      <c r="O463" s="127"/>
      <c r="P463" s="148"/>
    </row>
    <row r="464" spans="2:16" x14ac:dyDescent="0.25">
      <c r="B464" s="163"/>
      <c r="C464" s="154">
        <v>43758</v>
      </c>
      <c r="D464" s="160">
        <f>+DAY(Ventas[[#This Row],[FECHA]])</f>
        <v>20</v>
      </c>
      <c r="E464" s="129" t="str">
        <f t="shared" ref="E464:E472" si="34">+TEXT(C464,"dddd")</f>
        <v>domingo</v>
      </c>
      <c r="F464" s="129" t="s">
        <v>624</v>
      </c>
      <c r="G464" s="185">
        <v>4</v>
      </c>
      <c r="H464" s="129" t="s">
        <v>455</v>
      </c>
      <c r="I464" s="185">
        <v>7</v>
      </c>
      <c r="J464" s="129" t="s">
        <v>375</v>
      </c>
      <c r="K464" s="185">
        <v>1</v>
      </c>
      <c r="L464" s="192">
        <v>25000</v>
      </c>
      <c r="M464" s="127">
        <f>+Ventas[[#This Row],[Precio item]]*Ventas[[#This Row],[Q]]</f>
        <v>25000</v>
      </c>
      <c r="N464" s="127"/>
      <c r="O464" s="127"/>
      <c r="P464" s="148"/>
    </row>
    <row r="465" spans="2:16" x14ac:dyDescent="0.25">
      <c r="B465" s="163"/>
      <c r="C465" s="154">
        <v>43758</v>
      </c>
      <c r="D465" s="160">
        <f>+DAY(Ventas[[#This Row],[FECHA]])</f>
        <v>20</v>
      </c>
      <c r="E465" s="129" t="str">
        <f t="shared" si="34"/>
        <v>domingo</v>
      </c>
      <c r="F465" s="129" t="s">
        <v>624</v>
      </c>
      <c r="G465" s="185">
        <v>4</v>
      </c>
      <c r="H465" s="129" t="s">
        <v>455</v>
      </c>
      <c r="I465" s="185">
        <v>7</v>
      </c>
      <c r="J465" s="129" t="s">
        <v>520</v>
      </c>
      <c r="K465" s="185">
        <v>1</v>
      </c>
      <c r="L465" s="192">
        <v>2500</v>
      </c>
      <c r="M465" s="127">
        <f>+Ventas[[#This Row],[Precio item]]*Ventas[[#This Row],[Q]]</f>
        <v>2500</v>
      </c>
      <c r="N465" s="127"/>
      <c r="O465" s="127"/>
      <c r="P465" s="148"/>
    </row>
    <row r="466" spans="2:16" x14ac:dyDescent="0.25">
      <c r="B466" s="163"/>
      <c r="C466" s="154">
        <v>43758</v>
      </c>
      <c r="D466" s="160">
        <f>+DAY(Ventas[[#This Row],[FECHA]])</f>
        <v>20</v>
      </c>
      <c r="E466" s="129" t="str">
        <f t="shared" si="34"/>
        <v>domingo</v>
      </c>
      <c r="F466" s="129" t="s">
        <v>624</v>
      </c>
      <c r="G466" s="185">
        <v>4</v>
      </c>
      <c r="H466" s="129" t="s">
        <v>455</v>
      </c>
      <c r="I466" s="185">
        <v>7</v>
      </c>
      <c r="J466" s="129" t="s">
        <v>468</v>
      </c>
      <c r="K466" s="185">
        <v>2</v>
      </c>
      <c r="L466" s="192">
        <v>3000</v>
      </c>
      <c r="M466" s="127">
        <f>+Ventas[[#This Row],[Precio item]]*Ventas[[#This Row],[Q]]</f>
        <v>6000</v>
      </c>
      <c r="N466" s="127"/>
      <c r="O466" s="127"/>
      <c r="P466" s="148"/>
    </row>
    <row r="467" spans="2:16" x14ac:dyDescent="0.25">
      <c r="B467" s="163"/>
      <c r="C467" s="154">
        <v>43758</v>
      </c>
      <c r="D467" s="160">
        <f>+DAY(Ventas[[#This Row],[FECHA]])</f>
        <v>20</v>
      </c>
      <c r="E467" s="129" t="str">
        <f t="shared" si="34"/>
        <v>domingo</v>
      </c>
      <c r="F467" s="129" t="s">
        <v>624</v>
      </c>
      <c r="G467" s="185">
        <v>4</v>
      </c>
      <c r="H467" s="129" t="s">
        <v>455</v>
      </c>
      <c r="I467" s="185">
        <v>8</v>
      </c>
      <c r="J467" s="129" t="s">
        <v>358</v>
      </c>
      <c r="K467" s="185">
        <v>2</v>
      </c>
      <c r="L467" s="192">
        <v>7000</v>
      </c>
      <c r="M467" s="127">
        <f>+Ventas[[#This Row],[Precio item]]*Ventas[[#This Row],[Q]]</f>
        <v>14000</v>
      </c>
      <c r="N467" s="127" t="s">
        <v>427</v>
      </c>
      <c r="O467" s="127"/>
      <c r="P467" s="148"/>
    </row>
    <row r="468" spans="2:16" x14ac:dyDescent="0.25">
      <c r="B468" s="163"/>
      <c r="C468" s="154">
        <v>43758</v>
      </c>
      <c r="D468" s="160">
        <f>+DAY(Ventas[[#This Row],[FECHA]])</f>
        <v>20</v>
      </c>
      <c r="E468" s="129" t="str">
        <f t="shared" si="34"/>
        <v>domingo</v>
      </c>
      <c r="F468" s="129" t="s">
        <v>624</v>
      </c>
      <c r="G468" s="185">
        <v>4</v>
      </c>
      <c r="H468" s="129" t="s">
        <v>455</v>
      </c>
      <c r="I468" s="185">
        <v>8</v>
      </c>
      <c r="J468" s="129" t="s">
        <v>375</v>
      </c>
      <c r="K468" s="185">
        <v>1</v>
      </c>
      <c r="L468" s="192">
        <v>25000</v>
      </c>
      <c r="M468" s="127">
        <f>+Ventas[[#This Row],[Precio item]]*Ventas[[#This Row],[Q]]</f>
        <v>25000</v>
      </c>
      <c r="N468" s="127"/>
      <c r="O468" s="127"/>
      <c r="P468" s="148"/>
    </row>
    <row r="469" spans="2:16" x14ac:dyDescent="0.25">
      <c r="B469" s="163"/>
      <c r="C469" s="154">
        <v>43758</v>
      </c>
      <c r="D469" s="160">
        <f>+DAY(Ventas[[#This Row],[FECHA]])</f>
        <v>20</v>
      </c>
      <c r="E469" s="129" t="str">
        <f t="shared" si="34"/>
        <v>domingo</v>
      </c>
      <c r="F469" s="129" t="s">
        <v>624</v>
      </c>
      <c r="G469" s="185">
        <v>4</v>
      </c>
      <c r="H469" s="129" t="s">
        <v>455</v>
      </c>
      <c r="I469" s="185">
        <v>8</v>
      </c>
      <c r="J469" s="129" t="s">
        <v>433</v>
      </c>
      <c r="K469" s="185">
        <v>1</v>
      </c>
      <c r="L469" s="192">
        <v>5000</v>
      </c>
      <c r="M469" s="127">
        <f>+Ventas[[#This Row],[Precio item]]*Ventas[[#This Row],[Q]]</f>
        <v>5000</v>
      </c>
      <c r="N469" s="127"/>
      <c r="O469" s="127"/>
      <c r="P469" s="148"/>
    </row>
    <row r="470" spans="2:16" x14ac:dyDescent="0.25">
      <c r="B470" s="163"/>
      <c r="C470" s="154">
        <v>43758</v>
      </c>
      <c r="D470" s="160">
        <f>+DAY(Ventas[[#This Row],[FECHA]])</f>
        <v>20</v>
      </c>
      <c r="E470" s="129" t="str">
        <f t="shared" si="34"/>
        <v>domingo</v>
      </c>
      <c r="F470" s="129" t="s">
        <v>624</v>
      </c>
      <c r="G470" s="185">
        <v>4</v>
      </c>
      <c r="H470" s="129" t="s">
        <v>455</v>
      </c>
      <c r="I470" s="185">
        <v>9</v>
      </c>
      <c r="J470" s="129" t="s">
        <v>358</v>
      </c>
      <c r="K470" s="185">
        <v>2</v>
      </c>
      <c r="L470" s="192">
        <v>7000</v>
      </c>
      <c r="M470" s="127">
        <f>+Ventas[[#This Row],[Precio item]]*Ventas[[#This Row],[Q]]</f>
        <v>14000</v>
      </c>
      <c r="N470" s="127"/>
      <c r="O470" s="127"/>
      <c r="P470" s="148"/>
    </row>
    <row r="471" spans="2:16" x14ac:dyDescent="0.25">
      <c r="B471" s="163"/>
      <c r="C471" s="154">
        <v>43758</v>
      </c>
      <c r="D471" s="160">
        <f>+DAY(Ventas[[#This Row],[FECHA]])</f>
        <v>20</v>
      </c>
      <c r="E471" s="129" t="str">
        <f t="shared" si="34"/>
        <v>domingo</v>
      </c>
      <c r="F471" s="129" t="s">
        <v>624</v>
      </c>
      <c r="G471" s="185">
        <v>4</v>
      </c>
      <c r="H471" s="129" t="s">
        <v>455</v>
      </c>
      <c r="I471" s="185">
        <v>9</v>
      </c>
      <c r="J471" s="129" t="s">
        <v>375</v>
      </c>
      <c r="K471" s="185">
        <v>1</v>
      </c>
      <c r="L471" s="192">
        <v>40000</v>
      </c>
      <c r="M471" s="127">
        <f>+Ventas[[#This Row],[Precio item]]*Ventas[[#This Row],[Q]]</f>
        <v>40000</v>
      </c>
      <c r="N471" s="127"/>
      <c r="O471" s="127"/>
      <c r="P471" s="148"/>
    </row>
    <row r="472" spans="2:16" x14ac:dyDescent="0.25">
      <c r="B472" s="163"/>
      <c r="C472" s="154">
        <v>43758</v>
      </c>
      <c r="D472" s="160">
        <f>+DAY(Ventas[[#This Row],[FECHA]])</f>
        <v>20</v>
      </c>
      <c r="E472" s="129" t="str">
        <f t="shared" si="34"/>
        <v>domingo</v>
      </c>
      <c r="F472" s="129" t="s">
        <v>624</v>
      </c>
      <c r="G472" s="185">
        <v>4</v>
      </c>
      <c r="H472" s="129" t="s">
        <v>455</v>
      </c>
      <c r="I472" s="185">
        <v>9</v>
      </c>
      <c r="J472" s="129" t="s">
        <v>367</v>
      </c>
      <c r="K472" s="185">
        <v>1</v>
      </c>
      <c r="L472" s="192">
        <v>4500</v>
      </c>
      <c r="M472" s="127">
        <f>+Ventas[[#This Row],[Precio item]]*Ventas[[#This Row],[Q]]</f>
        <v>4500</v>
      </c>
      <c r="N472" s="127"/>
      <c r="O472" s="127"/>
      <c r="P472" s="148"/>
    </row>
    <row r="473" spans="2:16" x14ac:dyDescent="0.25">
      <c r="B473" s="163"/>
      <c r="C473" s="154">
        <v>43758</v>
      </c>
      <c r="D473" s="160">
        <f>+DAY(Ventas[[#This Row],[FECHA]])</f>
        <v>20</v>
      </c>
      <c r="E473" s="129" t="str">
        <f t="shared" ref="E473:E482" si="35">+TEXT(C473,"dddd")</f>
        <v>domingo</v>
      </c>
      <c r="F473" s="129" t="s">
        <v>624</v>
      </c>
      <c r="G473" s="185">
        <v>4</v>
      </c>
      <c r="H473" s="129" t="s">
        <v>455</v>
      </c>
      <c r="I473" s="185">
        <v>10</v>
      </c>
      <c r="J473" s="129" t="s">
        <v>424</v>
      </c>
      <c r="K473" s="185">
        <v>1</v>
      </c>
      <c r="L473" s="192">
        <v>25000</v>
      </c>
      <c r="M473" s="127">
        <f>+Ventas[[#This Row],[Precio item]]*Ventas[[#This Row],[Q]]</f>
        <v>25000</v>
      </c>
      <c r="N473" s="127"/>
      <c r="O473" s="127"/>
      <c r="P473" s="148"/>
    </row>
    <row r="474" spans="2:16" x14ac:dyDescent="0.25">
      <c r="B474" s="163"/>
      <c r="C474" s="154">
        <v>43758</v>
      </c>
      <c r="D474" s="160">
        <f>+DAY(Ventas[[#This Row],[FECHA]])</f>
        <v>20</v>
      </c>
      <c r="E474" s="129" t="str">
        <f t="shared" si="35"/>
        <v>domingo</v>
      </c>
      <c r="F474" s="129" t="s">
        <v>624</v>
      </c>
      <c r="G474" s="185">
        <v>4</v>
      </c>
      <c r="H474" s="129" t="s">
        <v>455</v>
      </c>
      <c r="I474" s="185">
        <v>10</v>
      </c>
      <c r="J474" s="129" t="s">
        <v>526</v>
      </c>
      <c r="K474" s="185">
        <v>1</v>
      </c>
      <c r="L474" s="192">
        <v>24000</v>
      </c>
      <c r="M474" s="127">
        <f>+Ventas[[#This Row],[Precio item]]*Ventas[[#This Row],[Q]]</f>
        <v>24000</v>
      </c>
      <c r="N474" s="127"/>
      <c r="O474" s="127"/>
      <c r="P474" s="148"/>
    </row>
    <row r="475" spans="2:16" x14ac:dyDescent="0.25">
      <c r="B475" s="163"/>
      <c r="C475" s="154">
        <v>43758</v>
      </c>
      <c r="D475" s="160">
        <f>+DAY(Ventas[[#This Row],[FECHA]])</f>
        <v>20</v>
      </c>
      <c r="E475" s="129" t="str">
        <f t="shared" si="35"/>
        <v>domingo</v>
      </c>
      <c r="F475" s="129" t="s">
        <v>624</v>
      </c>
      <c r="G475" s="185">
        <v>4</v>
      </c>
      <c r="H475" s="129" t="s">
        <v>455</v>
      </c>
      <c r="I475" s="185">
        <v>10</v>
      </c>
      <c r="J475" s="129" t="s">
        <v>378</v>
      </c>
      <c r="K475" s="185">
        <v>1</v>
      </c>
      <c r="L475" s="192">
        <v>2500</v>
      </c>
      <c r="M475" s="127">
        <f>+Ventas[[#This Row],[Precio item]]*Ventas[[#This Row],[Q]]</f>
        <v>2500</v>
      </c>
      <c r="N475" s="127"/>
      <c r="O475" s="127"/>
      <c r="P475" s="148"/>
    </row>
    <row r="476" spans="2:16" x14ac:dyDescent="0.25">
      <c r="B476" s="163"/>
      <c r="C476" s="154">
        <v>43758</v>
      </c>
      <c r="D476" s="160">
        <f>+DAY(Ventas[[#This Row],[FECHA]])</f>
        <v>20</v>
      </c>
      <c r="E476" s="129" t="str">
        <f t="shared" si="35"/>
        <v>domingo</v>
      </c>
      <c r="F476" s="129" t="s">
        <v>624</v>
      </c>
      <c r="G476" s="185">
        <v>4</v>
      </c>
      <c r="H476" s="129" t="s">
        <v>455</v>
      </c>
      <c r="I476" s="185">
        <v>10</v>
      </c>
      <c r="J476" s="129" t="s">
        <v>469</v>
      </c>
      <c r="K476" s="185">
        <v>1</v>
      </c>
      <c r="L476" s="192">
        <v>2500</v>
      </c>
      <c r="M476" s="127">
        <f>+Ventas[[#This Row],[Precio item]]*Ventas[[#This Row],[Q]]</f>
        <v>2500</v>
      </c>
      <c r="N476" s="127"/>
      <c r="O476" s="127"/>
      <c r="P476" s="148"/>
    </row>
    <row r="477" spans="2:16" x14ac:dyDescent="0.25">
      <c r="B477" s="163"/>
      <c r="C477" s="154">
        <v>43758</v>
      </c>
      <c r="D477" s="160">
        <f>+DAY(Ventas[[#This Row],[FECHA]])</f>
        <v>20</v>
      </c>
      <c r="E477" s="129" t="str">
        <f t="shared" si="35"/>
        <v>domingo</v>
      </c>
      <c r="F477" s="129" t="s">
        <v>624</v>
      </c>
      <c r="G477" s="185">
        <v>4</v>
      </c>
      <c r="H477" s="129" t="s">
        <v>455</v>
      </c>
      <c r="I477" s="185">
        <v>11</v>
      </c>
      <c r="J477" s="129" t="s">
        <v>375</v>
      </c>
      <c r="K477" s="185">
        <v>1</v>
      </c>
      <c r="L477" s="192">
        <v>70000</v>
      </c>
      <c r="M477" s="127">
        <f>+Ventas[[#This Row],[Precio item]]*Ventas[[#This Row],[Q]]</f>
        <v>70000</v>
      </c>
      <c r="N477" s="127"/>
      <c r="O477" s="127"/>
      <c r="P477" s="148"/>
    </row>
    <row r="478" spans="2:16" x14ac:dyDescent="0.25">
      <c r="B478" s="163"/>
      <c r="C478" s="154">
        <v>43758</v>
      </c>
      <c r="D478" s="160">
        <f>+DAY(Ventas[[#This Row],[FECHA]])</f>
        <v>20</v>
      </c>
      <c r="E478" s="129" t="str">
        <f t="shared" si="35"/>
        <v>domingo</v>
      </c>
      <c r="F478" s="129" t="s">
        <v>624</v>
      </c>
      <c r="G478" s="185">
        <v>4</v>
      </c>
      <c r="H478" s="129" t="s">
        <v>455</v>
      </c>
      <c r="I478" s="185">
        <v>11</v>
      </c>
      <c r="J478" s="129" t="s">
        <v>410</v>
      </c>
      <c r="K478" s="185">
        <v>1</v>
      </c>
      <c r="L478" s="192">
        <v>4000</v>
      </c>
      <c r="M478" s="127">
        <f>+Ventas[[#This Row],[Precio item]]*Ventas[[#This Row],[Q]]</f>
        <v>4000</v>
      </c>
      <c r="N478" s="127"/>
      <c r="O478" s="127"/>
      <c r="P478" s="148"/>
    </row>
    <row r="479" spans="2:16" x14ac:dyDescent="0.25">
      <c r="B479" s="163"/>
      <c r="C479" s="154">
        <v>43758</v>
      </c>
      <c r="D479" s="160">
        <f>+DAY(Ventas[[#This Row],[FECHA]])</f>
        <v>20</v>
      </c>
      <c r="E479" s="129" t="str">
        <f t="shared" si="35"/>
        <v>domingo</v>
      </c>
      <c r="F479" s="129" t="s">
        <v>624</v>
      </c>
      <c r="G479" s="185">
        <v>4</v>
      </c>
      <c r="H479" s="129" t="s">
        <v>455</v>
      </c>
      <c r="I479" s="185">
        <v>11</v>
      </c>
      <c r="J479" s="129" t="s">
        <v>367</v>
      </c>
      <c r="K479" s="185">
        <v>1</v>
      </c>
      <c r="L479" s="192">
        <v>4000</v>
      </c>
      <c r="M479" s="127">
        <f>+Ventas[[#This Row],[Precio item]]*Ventas[[#This Row],[Q]]</f>
        <v>4000</v>
      </c>
      <c r="N479" s="127"/>
      <c r="O479" s="127"/>
      <c r="P479" s="148"/>
    </row>
    <row r="480" spans="2:16" x14ac:dyDescent="0.25">
      <c r="B480" s="163"/>
      <c r="C480" s="154">
        <v>43758</v>
      </c>
      <c r="D480" s="160">
        <f>+DAY(Ventas[[#This Row],[FECHA]])</f>
        <v>20</v>
      </c>
      <c r="E480" s="129" t="str">
        <f>+TEXT(C480,"dddd")</f>
        <v>domingo</v>
      </c>
      <c r="F480" s="129" t="s">
        <v>624</v>
      </c>
      <c r="G480" s="185">
        <v>4</v>
      </c>
      <c r="H480" s="129" t="s">
        <v>455</v>
      </c>
      <c r="I480" s="185">
        <v>11</v>
      </c>
      <c r="J480" s="129" t="s">
        <v>358</v>
      </c>
      <c r="K480" s="185">
        <v>2</v>
      </c>
      <c r="L480" s="192">
        <v>7000</v>
      </c>
      <c r="M480" s="127">
        <f>+Ventas[[#This Row],[Precio item]]*Ventas[[#This Row],[Q]]</f>
        <v>14000</v>
      </c>
      <c r="N480" s="127"/>
      <c r="O480" s="127"/>
      <c r="P480" s="148"/>
    </row>
    <row r="481" spans="2:16" x14ac:dyDescent="0.25">
      <c r="B481" s="163"/>
      <c r="C481" s="154">
        <v>43758</v>
      </c>
      <c r="D481" s="160">
        <f>+DAY(Ventas[[#This Row],[FECHA]])</f>
        <v>20</v>
      </c>
      <c r="E481" s="129" t="str">
        <f t="shared" si="35"/>
        <v>domingo</v>
      </c>
      <c r="F481" s="129" t="s">
        <v>624</v>
      </c>
      <c r="G481" s="185">
        <v>4</v>
      </c>
      <c r="H481" s="129" t="s">
        <v>455</v>
      </c>
      <c r="I481" s="185">
        <v>12</v>
      </c>
      <c r="J481" s="129" t="s">
        <v>358</v>
      </c>
      <c r="K481" s="185">
        <v>2</v>
      </c>
      <c r="L481" s="192">
        <v>7000</v>
      </c>
      <c r="M481" s="127">
        <f>+Ventas[[#This Row],[Precio item]]*Ventas[[#This Row],[Q]]</f>
        <v>14000</v>
      </c>
      <c r="N481" s="127"/>
      <c r="O481" s="127"/>
      <c r="P481" s="148"/>
    </row>
    <row r="482" spans="2:16" x14ac:dyDescent="0.25">
      <c r="B482" s="163"/>
      <c r="C482" s="154">
        <v>43758</v>
      </c>
      <c r="D482" s="160">
        <f>+DAY(Ventas[[#This Row],[FECHA]])</f>
        <v>20</v>
      </c>
      <c r="E482" s="129" t="str">
        <f t="shared" si="35"/>
        <v>domingo</v>
      </c>
      <c r="F482" s="129" t="s">
        <v>624</v>
      </c>
      <c r="G482" s="185">
        <v>4</v>
      </c>
      <c r="H482" s="129" t="s">
        <v>455</v>
      </c>
      <c r="I482" s="185">
        <v>12</v>
      </c>
      <c r="J482" s="129" t="s">
        <v>375</v>
      </c>
      <c r="K482" s="185">
        <v>1</v>
      </c>
      <c r="L482" s="192">
        <v>20000</v>
      </c>
      <c r="M482" s="127">
        <f>+Ventas[[#This Row],[Precio item]]*Ventas[[#This Row],[Q]]</f>
        <v>20000</v>
      </c>
      <c r="N482" s="127"/>
      <c r="O482" s="127"/>
      <c r="P482" s="148"/>
    </row>
    <row r="483" spans="2:16" x14ac:dyDescent="0.25">
      <c r="B483" s="163"/>
      <c r="C483" s="154">
        <v>43758</v>
      </c>
      <c r="D483" s="160">
        <f>+DAY(Ventas[[#This Row],[FECHA]])</f>
        <v>20</v>
      </c>
      <c r="E483" s="129" t="str">
        <f t="shared" ref="E483:E491" si="36">+TEXT(C483,"dddd")</f>
        <v>domingo</v>
      </c>
      <c r="F483" s="129" t="s">
        <v>624</v>
      </c>
      <c r="G483" s="185">
        <v>4</v>
      </c>
      <c r="H483" s="129" t="s">
        <v>455</v>
      </c>
      <c r="I483" s="185">
        <v>12</v>
      </c>
      <c r="J483" s="129" t="s">
        <v>468</v>
      </c>
      <c r="K483" s="185">
        <v>1</v>
      </c>
      <c r="L483" s="192">
        <v>6000</v>
      </c>
      <c r="M483" s="127">
        <f>+Ventas[[#This Row],[Precio item]]*Ventas[[#This Row],[Q]]</f>
        <v>6000</v>
      </c>
      <c r="N483" s="127"/>
      <c r="O483" s="127"/>
      <c r="P483" s="148"/>
    </row>
    <row r="484" spans="2:16" x14ac:dyDescent="0.25">
      <c r="B484" s="163"/>
      <c r="C484" s="154">
        <v>43758</v>
      </c>
      <c r="D484" s="160">
        <f>+DAY(Ventas[[#This Row],[FECHA]])</f>
        <v>20</v>
      </c>
      <c r="E484" s="129" t="str">
        <f t="shared" si="36"/>
        <v>domingo</v>
      </c>
      <c r="F484" s="129" t="s">
        <v>624</v>
      </c>
      <c r="G484" s="185">
        <v>4</v>
      </c>
      <c r="H484" s="129" t="s">
        <v>455</v>
      </c>
      <c r="I484" s="198">
        <v>12</v>
      </c>
      <c r="J484" s="196" t="s">
        <v>401</v>
      </c>
      <c r="K484" s="198">
        <v>1</v>
      </c>
      <c r="L484" s="224">
        <v>-7000</v>
      </c>
      <c r="M484" s="135">
        <f>+Ventas[[#This Row],[Precio item]]*Ventas[[#This Row],[Q]]</f>
        <v>-7000</v>
      </c>
      <c r="N484" s="127" t="s">
        <v>527</v>
      </c>
      <c r="O484" s="127"/>
      <c r="P484" s="148"/>
    </row>
    <row r="485" spans="2:16" x14ac:dyDescent="0.25">
      <c r="B485" s="163"/>
      <c r="C485" s="154">
        <v>43758</v>
      </c>
      <c r="D485" s="160">
        <f>+DAY(Ventas[[#This Row],[FECHA]])</f>
        <v>20</v>
      </c>
      <c r="E485" s="129" t="str">
        <f t="shared" si="36"/>
        <v>domingo</v>
      </c>
      <c r="F485" s="129" t="s">
        <v>624</v>
      </c>
      <c r="G485" s="185">
        <v>4</v>
      </c>
      <c r="H485" s="129" t="s">
        <v>455</v>
      </c>
      <c r="I485" s="185">
        <v>13</v>
      </c>
      <c r="J485" s="129" t="s">
        <v>375</v>
      </c>
      <c r="K485" s="185">
        <v>1</v>
      </c>
      <c r="L485" s="192">
        <v>25000</v>
      </c>
      <c r="M485" s="127">
        <f>+Ventas[[#This Row],[Precio item]]*Ventas[[#This Row],[Q]]</f>
        <v>25000</v>
      </c>
      <c r="N485" s="135"/>
      <c r="O485" s="127"/>
      <c r="P485" s="148"/>
    </row>
    <row r="486" spans="2:16" x14ac:dyDescent="0.25">
      <c r="B486" s="163"/>
      <c r="C486" s="154">
        <v>43758</v>
      </c>
      <c r="D486" s="160">
        <f>+DAY(Ventas[[#This Row],[FECHA]])</f>
        <v>20</v>
      </c>
      <c r="E486" s="129" t="str">
        <f t="shared" si="36"/>
        <v>domingo</v>
      </c>
      <c r="F486" s="129" t="s">
        <v>624</v>
      </c>
      <c r="G486" s="185">
        <v>4</v>
      </c>
      <c r="H486" s="129" t="s">
        <v>455</v>
      </c>
      <c r="I486" s="185">
        <v>13</v>
      </c>
      <c r="J486" s="129" t="s">
        <v>410</v>
      </c>
      <c r="K486" s="185">
        <v>2</v>
      </c>
      <c r="L486" s="192">
        <v>4000</v>
      </c>
      <c r="M486" s="127">
        <f>+Ventas[[#This Row],[Precio item]]*Ventas[[#This Row],[Q]]</f>
        <v>8000</v>
      </c>
      <c r="N486" s="127"/>
      <c r="O486" s="127"/>
      <c r="P486" s="148"/>
    </row>
    <row r="487" spans="2:16" x14ac:dyDescent="0.25">
      <c r="B487" s="163"/>
      <c r="C487" s="154">
        <v>43758</v>
      </c>
      <c r="D487" s="160">
        <f>+DAY(Ventas[[#This Row],[FECHA]])</f>
        <v>20</v>
      </c>
      <c r="E487" s="129" t="str">
        <f t="shared" si="36"/>
        <v>domingo</v>
      </c>
      <c r="F487" s="129" t="s">
        <v>624</v>
      </c>
      <c r="G487" s="185">
        <v>4</v>
      </c>
      <c r="H487" s="129" t="s">
        <v>455</v>
      </c>
      <c r="I487" s="185">
        <v>14</v>
      </c>
      <c r="J487" s="129" t="s">
        <v>375</v>
      </c>
      <c r="K487" s="185">
        <v>1</v>
      </c>
      <c r="L487" s="192">
        <v>40000</v>
      </c>
      <c r="M487" s="127">
        <f>+Ventas[[#This Row],[Precio item]]*Ventas[[#This Row],[Q]]</f>
        <v>40000</v>
      </c>
      <c r="N487" s="127"/>
      <c r="O487" s="127"/>
      <c r="P487" s="148"/>
    </row>
    <row r="488" spans="2:16" x14ac:dyDescent="0.25">
      <c r="B488" s="163"/>
      <c r="C488" s="154">
        <v>43758</v>
      </c>
      <c r="D488" s="160">
        <f>+DAY(Ventas[[#This Row],[FECHA]])</f>
        <v>20</v>
      </c>
      <c r="E488" s="129" t="str">
        <f t="shared" si="36"/>
        <v>domingo</v>
      </c>
      <c r="F488" s="129" t="s">
        <v>624</v>
      </c>
      <c r="G488" s="185">
        <v>4</v>
      </c>
      <c r="H488" s="129" t="s">
        <v>455</v>
      </c>
      <c r="I488" s="185">
        <v>14</v>
      </c>
      <c r="J488" s="129" t="s">
        <v>433</v>
      </c>
      <c r="K488" s="185">
        <v>1</v>
      </c>
      <c r="L488" s="192">
        <v>4500</v>
      </c>
      <c r="M488" s="127">
        <f>+Ventas[[#This Row],[Precio item]]*Ventas[[#This Row],[Q]]</f>
        <v>4500</v>
      </c>
      <c r="N488" s="127"/>
      <c r="O488" s="127"/>
      <c r="P488" s="148"/>
    </row>
    <row r="489" spans="2:16" x14ac:dyDescent="0.25">
      <c r="B489" s="163"/>
      <c r="C489" s="154">
        <v>43758</v>
      </c>
      <c r="D489" s="160">
        <f>+DAY(Ventas[[#This Row],[FECHA]])</f>
        <v>20</v>
      </c>
      <c r="E489" s="129" t="str">
        <f t="shared" si="36"/>
        <v>domingo</v>
      </c>
      <c r="F489" s="129" t="s">
        <v>624</v>
      </c>
      <c r="G489" s="185">
        <v>4</v>
      </c>
      <c r="H489" s="129" t="s">
        <v>455</v>
      </c>
      <c r="I489" s="185">
        <v>14</v>
      </c>
      <c r="J489" s="129" t="s">
        <v>468</v>
      </c>
      <c r="K489" s="185">
        <v>1</v>
      </c>
      <c r="L489" s="192">
        <v>3000</v>
      </c>
      <c r="M489" s="127">
        <f>+Ventas[[#This Row],[Precio item]]*Ventas[[#This Row],[Q]]</f>
        <v>3000</v>
      </c>
      <c r="N489" s="127"/>
      <c r="O489" s="127"/>
      <c r="P489" s="148"/>
    </row>
    <row r="490" spans="2:16" x14ac:dyDescent="0.25">
      <c r="B490" s="163"/>
      <c r="C490" s="154">
        <v>43758</v>
      </c>
      <c r="D490" s="160">
        <f>+DAY(Ventas[[#This Row],[FECHA]])</f>
        <v>20</v>
      </c>
      <c r="E490" s="129" t="str">
        <f t="shared" si="36"/>
        <v>domingo</v>
      </c>
      <c r="F490" s="129" t="s">
        <v>624</v>
      </c>
      <c r="G490" s="185">
        <v>4</v>
      </c>
      <c r="H490" s="129" t="s">
        <v>455</v>
      </c>
      <c r="I490" s="185">
        <v>15</v>
      </c>
      <c r="J490" s="129" t="s">
        <v>375</v>
      </c>
      <c r="K490" s="185">
        <v>1</v>
      </c>
      <c r="L490" s="192">
        <v>60000</v>
      </c>
      <c r="M490" s="127">
        <f>+Ventas[[#This Row],[Precio item]]*Ventas[[#This Row],[Q]]</f>
        <v>60000</v>
      </c>
      <c r="N490" s="127"/>
      <c r="O490" s="127"/>
      <c r="P490" s="148"/>
    </row>
    <row r="491" spans="2:16" x14ac:dyDescent="0.25">
      <c r="B491" s="163"/>
      <c r="C491" s="154">
        <v>43758</v>
      </c>
      <c r="D491" s="160">
        <f>+DAY(Ventas[[#This Row],[FECHA]])</f>
        <v>20</v>
      </c>
      <c r="E491" s="129" t="str">
        <f t="shared" si="36"/>
        <v>domingo</v>
      </c>
      <c r="F491" s="129" t="s">
        <v>624</v>
      </c>
      <c r="G491" s="185">
        <v>4</v>
      </c>
      <c r="H491" s="129" t="s">
        <v>455</v>
      </c>
      <c r="I491" s="185">
        <v>15</v>
      </c>
      <c r="J491" s="129" t="s">
        <v>468</v>
      </c>
      <c r="K491" s="185">
        <v>1</v>
      </c>
      <c r="L491" s="192">
        <v>3000</v>
      </c>
      <c r="M491" s="127">
        <f>+Ventas[[#This Row],[Precio item]]*Ventas[[#This Row],[Q]]</f>
        <v>3000</v>
      </c>
      <c r="N491" s="127"/>
      <c r="O491" s="127"/>
      <c r="P491" s="148"/>
    </row>
    <row r="492" spans="2:16" x14ac:dyDescent="0.25">
      <c r="B492" s="163"/>
      <c r="C492" s="154">
        <v>43758</v>
      </c>
      <c r="D492" s="160">
        <f>+DAY(Ventas[[#This Row],[FECHA]])</f>
        <v>20</v>
      </c>
      <c r="E492" s="129" t="str">
        <f t="shared" ref="E492:E500" si="37">+TEXT(C492,"dddd")</f>
        <v>domingo</v>
      </c>
      <c r="F492" s="129" t="s">
        <v>624</v>
      </c>
      <c r="G492" s="185">
        <v>4</v>
      </c>
      <c r="H492" s="129" t="s">
        <v>455</v>
      </c>
      <c r="I492" s="185">
        <v>15</v>
      </c>
      <c r="J492" s="129" t="s">
        <v>355</v>
      </c>
      <c r="K492" s="185">
        <v>1</v>
      </c>
      <c r="L492" s="224">
        <v>4000</v>
      </c>
      <c r="M492" s="127">
        <f>+Ventas[[#This Row],[Precio item]]*Ventas[[#This Row],[Q]]</f>
        <v>4000</v>
      </c>
      <c r="N492" s="135" t="s">
        <v>528</v>
      </c>
      <c r="O492" s="127"/>
      <c r="P492" s="148"/>
    </row>
    <row r="493" spans="2:16" x14ac:dyDescent="0.25">
      <c r="B493" s="163"/>
      <c r="C493" s="154">
        <v>43758</v>
      </c>
      <c r="D493" s="160">
        <f>+DAY(Ventas[[#This Row],[FECHA]])</f>
        <v>20</v>
      </c>
      <c r="E493" s="129" t="str">
        <f t="shared" si="37"/>
        <v>domingo</v>
      </c>
      <c r="F493" s="129" t="s">
        <v>624</v>
      </c>
      <c r="G493" s="185">
        <v>4</v>
      </c>
      <c r="H493" s="129" t="s">
        <v>455</v>
      </c>
      <c r="I493" s="185">
        <v>16</v>
      </c>
      <c r="J493" s="129" t="s">
        <v>433</v>
      </c>
      <c r="K493" s="185">
        <v>1</v>
      </c>
      <c r="L493" s="192">
        <v>4000</v>
      </c>
      <c r="M493" s="127">
        <f>+Ventas[[#This Row],[Precio item]]*Ventas[[#This Row],[Q]]</f>
        <v>4000</v>
      </c>
      <c r="N493" s="127"/>
      <c r="O493" s="127"/>
      <c r="P493" s="148"/>
    </row>
    <row r="494" spans="2:16" x14ac:dyDescent="0.25">
      <c r="B494" s="163"/>
      <c r="C494" s="154">
        <v>43758</v>
      </c>
      <c r="D494" s="160">
        <f>+DAY(Ventas[[#This Row],[FECHA]])</f>
        <v>20</v>
      </c>
      <c r="E494" s="129" t="str">
        <f t="shared" si="37"/>
        <v>domingo</v>
      </c>
      <c r="F494" s="129" t="s">
        <v>624</v>
      </c>
      <c r="G494" s="185">
        <v>4</v>
      </c>
      <c r="H494" s="129" t="s">
        <v>455</v>
      </c>
      <c r="I494" s="198">
        <v>16</v>
      </c>
      <c r="J494" s="196" t="s">
        <v>401</v>
      </c>
      <c r="K494" s="198">
        <v>1</v>
      </c>
      <c r="L494" s="224">
        <v>-500</v>
      </c>
      <c r="M494" s="127">
        <f>+Ventas[[#This Row],[Precio item]]*Ventas[[#This Row],[Q]]</f>
        <v>-500</v>
      </c>
      <c r="N494" s="127"/>
      <c r="O494" s="127"/>
      <c r="P494" s="148"/>
    </row>
    <row r="495" spans="2:16" x14ac:dyDescent="0.25">
      <c r="B495" s="163"/>
      <c r="C495" s="154">
        <v>43758</v>
      </c>
      <c r="D495" s="160">
        <f>+DAY(Ventas[[#This Row],[FECHA]])</f>
        <v>20</v>
      </c>
      <c r="E495" s="129" t="str">
        <f t="shared" si="37"/>
        <v>domingo</v>
      </c>
      <c r="F495" s="129" t="s">
        <v>624</v>
      </c>
      <c r="G495" s="185">
        <v>4</v>
      </c>
      <c r="H495" s="129" t="s">
        <v>455</v>
      </c>
      <c r="I495" s="185">
        <v>17</v>
      </c>
      <c r="J495" s="129" t="s">
        <v>358</v>
      </c>
      <c r="K495" s="185">
        <v>3</v>
      </c>
      <c r="L495" s="192">
        <v>8000</v>
      </c>
      <c r="M495" s="127">
        <f>+Ventas[[#This Row],[Precio item]]*Ventas[[#This Row],[Q]]</f>
        <v>24000</v>
      </c>
      <c r="N495" s="127" t="s">
        <v>427</v>
      </c>
      <c r="O495" s="127"/>
      <c r="P495" s="148"/>
    </row>
    <row r="496" spans="2:16" x14ac:dyDescent="0.25">
      <c r="B496" s="163"/>
      <c r="C496" s="154">
        <v>43758</v>
      </c>
      <c r="D496" s="160">
        <f>+DAY(Ventas[[#This Row],[FECHA]])</f>
        <v>20</v>
      </c>
      <c r="E496" s="129" t="str">
        <f t="shared" si="37"/>
        <v>domingo</v>
      </c>
      <c r="F496" s="129" t="s">
        <v>624</v>
      </c>
      <c r="G496" s="185">
        <v>4</v>
      </c>
      <c r="H496" s="129" t="s">
        <v>386</v>
      </c>
      <c r="I496" s="185">
        <v>18</v>
      </c>
      <c r="J496" s="129" t="s">
        <v>375</v>
      </c>
      <c r="K496" s="185">
        <v>1</v>
      </c>
      <c r="L496" s="192">
        <v>30000</v>
      </c>
      <c r="M496" s="127">
        <f>+Ventas[[#This Row],[Precio item]]*Ventas[[#This Row],[Q]]</f>
        <v>30000</v>
      </c>
      <c r="N496" s="127"/>
      <c r="O496" s="127"/>
      <c r="P496" s="148"/>
    </row>
    <row r="497" spans="2:16" x14ac:dyDescent="0.25">
      <c r="B497" s="163"/>
      <c r="C497" s="154">
        <v>43758</v>
      </c>
      <c r="D497" s="160">
        <f>+DAY(Ventas[[#This Row],[FECHA]])</f>
        <v>20</v>
      </c>
      <c r="E497" s="129" t="str">
        <f t="shared" si="37"/>
        <v>domingo</v>
      </c>
      <c r="F497" s="129" t="s">
        <v>624</v>
      </c>
      <c r="G497" s="185">
        <v>4</v>
      </c>
      <c r="H497" s="129" t="s">
        <v>386</v>
      </c>
      <c r="I497" s="185">
        <v>19</v>
      </c>
      <c r="J497" s="129" t="s">
        <v>375</v>
      </c>
      <c r="K497" s="185">
        <v>1</v>
      </c>
      <c r="L497" s="192">
        <v>25000</v>
      </c>
      <c r="M497" s="127">
        <f>+Ventas[[#This Row],[Precio item]]*Ventas[[#This Row],[Q]]</f>
        <v>25000</v>
      </c>
      <c r="N497" s="127"/>
      <c r="O497" s="127"/>
      <c r="P497" s="148"/>
    </row>
    <row r="498" spans="2:16" x14ac:dyDescent="0.25">
      <c r="B498" s="163"/>
      <c r="C498" s="154">
        <v>43758</v>
      </c>
      <c r="D498" s="160">
        <f>+DAY(Ventas[[#This Row],[FECHA]])</f>
        <v>20</v>
      </c>
      <c r="E498" s="129" t="str">
        <f t="shared" si="37"/>
        <v>domingo</v>
      </c>
      <c r="F498" s="129" t="s">
        <v>624</v>
      </c>
      <c r="G498" s="185">
        <v>4</v>
      </c>
      <c r="H498" s="129" t="s">
        <v>386</v>
      </c>
      <c r="I498" s="185">
        <v>19</v>
      </c>
      <c r="J498" s="129" t="s">
        <v>433</v>
      </c>
      <c r="K498" s="185">
        <v>1</v>
      </c>
      <c r="L498" s="192">
        <v>4000</v>
      </c>
      <c r="M498" s="127">
        <f>+Ventas[[#This Row],[Precio item]]*Ventas[[#This Row],[Q]]</f>
        <v>4000</v>
      </c>
      <c r="N498" s="127"/>
      <c r="O498" s="127"/>
      <c r="P498" s="148"/>
    </row>
    <row r="499" spans="2:16" x14ac:dyDescent="0.25">
      <c r="B499" s="163"/>
      <c r="C499" s="154">
        <v>43758</v>
      </c>
      <c r="D499" s="160">
        <f>+DAY(Ventas[[#This Row],[FECHA]])</f>
        <v>20</v>
      </c>
      <c r="E499" s="129" t="str">
        <f t="shared" si="37"/>
        <v>domingo</v>
      </c>
      <c r="F499" s="129" t="s">
        <v>624</v>
      </c>
      <c r="G499" s="185">
        <v>4</v>
      </c>
      <c r="H499" s="129" t="s">
        <v>386</v>
      </c>
      <c r="I499" s="185">
        <v>20</v>
      </c>
      <c r="J499" s="129" t="s">
        <v>375</v>
      </c>
      <c r="K499" s="185">
        <v>1</v>
      </c>
      <c r="L499" s="192">
        <v>15000</v>
      </c>
      <c r="M499" s="127">
        <f>+Ventas[[#This Row],[Precio item]]*Ventas[[#This Row],[Q]]</f>
        <v>15000</v>
      </c>
      <c r="N499" s="127"/>
      <c r="O499" s="127"/>
      <c r="P499" s="148"/>
    </row>
    <row r="500" spans="2:16" x14ac:dyDescent="0.25">
      <c r="B500" s="163"/>
      <c r="C500" s="154">
        <v>43758</v>
      </c>
      <c r="D500" s="160">
        <f>+DAY(Ventas[[#This Row],[FECHA]])</f>
        <v>20</v>
      </c>
      <c r="E500" s="129" t="str">
        <f t="shared" si="37"/>
        <v>domingo</v>
      </c>
      <c r="F500" s="129" t="s">
        <v>624</v>
      </c>
      <c r="G500" s="185">
        <v>4</v>
      </c>
      <c r="H500" s="129" t="s">
        <v>386</v>
      </c>
      <c r="I500" s="185">
        <v>20</v>
      </c>
      <c r="J500" s="129" t="s">
        <v>385</v>
      </c>
      <c r="K500" s="185">
        <v>2</v>
      </c>
      <c r="L500" s="192">
        <v>2500</v>
      </c>
      <c r="M500" s="127">
        <f>+Ventas[[#This Row],[Precio item]]*Ventas[[#This Row],[Q]]</f>
        <v>5000</v>
      </c>
      <c r="N500" s="127"/>
      <c r="O500" s="127"/>
      <c r="P500" s="148"/>
    </row>
    <row r="501" spans="2:16" x14ac:dyDescent="0.25">
      <c r="B501" s="163"/>
      <c r="C501" s="154">
        <v>43758</v>
      </c>
      <c r="D501" s="160">
        <f>+DAY(Ventas[[#This Row],[FECHA]])</f>
        <v>20</v>
      </c>
      <c r="E501" s="129" t="str">
        <f t="shared" ref="E501:E509" si="38">+TEXT(C501,"dddd")</f>
        <v>domingo</v>
      </c>
      <c r="F501" s="129" t="s">
        <v>624</v>
      </c>
      <c r="G501" s="185">
        <v>4</v>
      </c>
      <c r="H501" s="129" t="s">
        <v>386</v>
      </c>
      <c r="I501" s="185">
        <v>21</v>
      </c>
      <c r="J501" s="129" t="s">
        <v>375</v>
      </c>
      <c r="K501" s="185">
        <v>1</v>
      </c>
      <c r="L501" s="192">
        <v>30000</v>
      </c>
      <c r="M501" s="127">
        <f>+Ventas[[#This Row],[Precio item]]*Ventas[[#This Row],[Q]]</f>
        <v>30000</v>
      </c>
      <c r="N501" s="127"/>
      <c r="O501" s="127"/>
      <c r="P501" s="148"/>
    </row>
    <row r="502" spans="2:16" x14ac:dyDescent="0.25">
      <c r="B502" s="163"/>
      <c r="C502" s="154">
        <v>43758</v>
      </c>
      <c r="D502" s="160">
        <f>+DAY(Ventas[[#This Row],[FECHA]])</f>
        <v>20</v>
      </c>
      <c r="E502" s="129" t="str">
        <f t="shared" si="38"/>
        <v>domingo</v>
      </c>
      <c r="F502" s="129" t="s">
        <v>624</v>
      </c>
      <c r="G502" s="185">
        <v>4</v>
      </c>
      <c r="H502" s="129" t="s">
        <v>386</v>
      </c>
      <c r="I502" s="185">
        <v>21</v>
      </c>
      <c r="J502" s="129" t="s">
        <v>529</v>
      </c>
      <c r="K502" s="185">
        <v>1</v>
      </c>
      <c r="L502" s="192">
        <f>6000+2000</f>
        <v>8000</v>
      </c>
      <c r="M502" s="127">
        <f>+Ventas[[#This Row],[Precio item]]*Ventas[[#This Row],[Q]]</f>
        <v>8000</v>
      </c>
      <c r="N502" s="127"/>
      <c r="O502" s="127"/>
      <c r="P502" s="148"/>
    </row>
    <row r="503" spans="2:16" x14ac:dyDescent="0.25">
      <c r="B503" s="163"/>
      <c r="C503" s="154">
        <v>43758</v>
      </c>
      <c r="D503" s="160">
        <f>+DAY(Ventas[[#This Row],[FECHA]])</f>
        <v>20</v>
      </c>
      <c r="E503" s="129" t="str">
        <f t="shared" si="38"/>
        <v>domingo</v>
      </c>
      <c r="F503" s="129" t="s">
        <v>624</v>
      </c>
      <c r="G503" s="185">
        <v>4</v>
      </c>
      <c r="H503" s="129" t="s">
        <v>386</v>
      </c>
      <c r="I503" s="185">
        <v>22</v>
      </c>
      <c r="J503" s="129" t="s">
        <v>530</v>
      </c>
      <c r="K503" s="185">
        <v>1</v>
      </c>
      <c r="L503" s="192">
        <f>6000+2000</f>
        <v>8000</v>
      </c>
      <c r="M503" s="127">
        <f>+Ventas[[#This Row],[Precio item]]*Ventas[[#This Row],[Q]]</f>
        <v>8000</v>
      </c>
      <c r="N503" s="127"/>
      <c r="O503" s="127"/>
      <c r="P503" s="148"/>
    </row>
    <row r="504" spans="2:16" x14ac:dyDescent="0.25">
      <c r="B504" s="163"/>
      <c r="C504" s="154">
        <v>43758</v>
      </c>
      <c r="D504" s="160">
        <f>+DAY(Ventas[[#This Row],[FECHA]])</f>
        <v>20</v>
      </c>
      <c r="E504" s="129" t="str">
        <f t="shared" si="38"/>
        <v>domingo</v>
      </c>
      <c r="F504" s="129" t="s">
        <v>624</v>
      </c>
      <c r="G504" s="185">
        <v>4</v>
      </c>
      <c r="H504" s="129" t="s">
        <v>386</v>
      </c>
      <c r="I504" s="185">
        <v>23</v>
      </c>
      <c r="J504" s="129" t="s">
        <v>375</v>
      </c>
      <c r="K504" s="185">
        <v>1</v>
      </c>
      <c r="L504" s="192">
        <v>80000</v>
      </c>
      <c r="M504" s="127">
        <f>+Ventas[[#This Row],[Precio item]]*Ventas[[#This Row],[Q]]</f>
        <v>80000</v>
      </c>
      <c r="N504" s="127"/>
      <c r="O504" s="127"/>
      <c r="P504" s="148"/>
    </row>
    <row r="505" spans="2:16" x14ac:dyDescent="0.25">
      <c r="B505" s="163"/>
      <c r="C505" s="154">
        <v>43758</v>
      </c>
      <c r="D505" s="160">
        <f>+DAY(Ventas[[#This Row],[FECHA]])</f>
        <v>20</v>
      </c>
      <c r="E505" s="129" t="str">
        <f t="shared" si="38"/>
        <v>domingo</v>
      </c>
      <c r="F505" s="129" t="s">
        <v>624</v>
      </c>
      <c r="G505" s="185">
        <v>4</v>
      </c>
      <c r="H505" s="129" t="s">
        <v>386</v>
      </c>
      <c r="I505" s="185">
        <v>24</v>
      </c>
      <c r="J505" s="129" t="s">
        <v>524</v>
      </c>
      <c r="K505" s="185">
        <v>2</v>
      </c>
      <c r="L505" s="192">
        <v>15000</v>
      </c>
      <c r="M505" s="127">
        <f>+Ventas[[#This Row],[Precio item]]*Ventas[[#This Row],[Q]]</f>
        <v>30000</v>
      </c>
      <c r="N505" s="127"/>
      <c r="O505" s="127"/>
      <c r="P505" s="148"/>
    </row>
    <row r="506" spans="2:16" x14ac:dyDescent="0.25">
      <c r="B506" s="163"/>
      <c r="C506" s="154">
        <v>43758</v>
      </c>
      <c r="D506" s="160">
        <f>+DAY(Ventas[[#This Row],[FECHA]])</f>
        <v>20</v>
      </c>
      <c r="E506" s="129" t="str">
        <f t="shared" si="38"/>
        <v>domingo</v>
      </c>
      <c r="F506" s="129" t="s">
        <v>624</v>
      </c>
      <c r="G506" s="185">
        <v>4</v>
      </c>
      <c r="H506" s="129" t="s">
        <v>386</v>
      </c>
      <c r="I506" s="185">
        <v>24</v>
      </c>
      <c r="J506" s="129" t="s">
        <v>468</v>
      </c>
      <c r="K506" s="185">
        <v>1</v>
      </c>
      <c r="L506" s="192">
        <v>3000</v>
      </c>
      <c r="M506" s="127">
        <f>+Ventas[[#This Row],[Precio item]]*Ventas[[#This Row],[Q]]</f>
        <v>3000</v>
      </c>
      <c r="N506" s="127"/>
      <c r="O506" s="127"/>
      <c r="P506" s="148"/>
    </row>
    <row r="507" spans="2:16" x14ac:dyDescent="0.25">
      <c r="B507" s="163"/>
      <c r="C507" s="154">
        <v>43758</v>
      </c>
      <c r="D507" s="160">
        <f>+DAY(Ventas[[#This Row],[FECHA]])</f>
        <v>20</v>
      </c>
      <c r="E507" s="129" t="str">
        <f t="shared" si="38"/>
        <v>domingo</v>
      </c>
      <c r="F507" s="129" t="s">
        <v>624</v>
      </c>
      <c r="G507" s="185">
        <v>4</v>
      </c>
      <c r="H507" s="129" t="s">
        <v>386</v>
      </c>
      <c r="I507" s="185">
        <v>24</v>
      </c>
      <c r="J507" s="129" t="s">
        <v>399</v>
      </c>
      <c r="K507" s="185">
        <v>1</v>
      </c>
      <c r="L507" s="192">
        <v>2500</v>
      </c>
      <c r="M507" s="127">
        <f>+Ventas[[#This Row],[Precio item]]*Ventas[[#This Row],[Q]]</f>
        <v>2500</v>
      </c>
      <c r="N507" s="127"/>
      <c r="O507" s="127"/>
      <c r="P507" s="148"/>
    </row>
    <row r="508" spans="2:16" x14ac:dyDescent="0.25">
      <c r="B508" s="163"/>
      <c r="C508" s="154">
        <v>43758</v>
      </c>
      <c r="D508" s="160">
        <f>+DAY(Ventas[[#This Row],[FECHA]])</f>
        <v>20</v>
      </c>
      <c r="E508" s="129" t="str">
        <f t="shared" si="38"/>
        <v>domingo</v>
      </c>
      <c r="F508" s="129" t="s">
        <v>624</v>
      </c>
      <c r="G508" s="185">
        <v>4</v>
      </c>
      <c r="H508" s="129" t="s">
        <v>386</v>
      </c>
      <c r="I508" s="185">
        <v>24</v>
      </c>
      <c r="J508" s="196" t="s">
        <v>398</v>
      </c>
      <c r="K508" s="198">
        <v>1</v>
      </c>
      <c r="L508" s="224">
        <v>15000</v>
      </c>
      <c r="M508" s="135">
        <f>+Ventas[[#This Row],[Precio item]]*Ventas[[#This Row],[Q]]</f>
        <v>15000</v>
      </c>
      <c r="N508" s="135" t="s">
        <v>531</v>
      </c>
      <c r="O508" s="127"/>
      <c r="P508" s="148"/>
    </row>
    <row r="509" spans="2:16" x14ac:dyDescent="0.25">
      <c r="B509" s="163"/>
      <c r="C509" s="154">
        <v>43758</v>
      </c>
      <c r="D509" s="160">
        <f>+DAY(Ventas[[#This Row],[FECHA]])</f>
        <v>20</v>
      </c>
      <c r="E509" s="129" t="str">
        <f t="shared" si="38"/>
        <v>domingo</v>
      </c>
      <c r="F509" s="129" t="s">
        <v>624</v>
      </c>
      <c r="G509" s="185">
        <v>4</v>
      </c>
      <c r="H509" s="129" t="s">
        <v>386</v>
      </c>
      <c r="I509" s="185">
        <v>25</v>
      </c>
      <c r="J509" s="129" t="s">
        <v>375</v>
      </c>
      <c r="K509" s="185">
        <v>1</v>
      </c>
      <c r="L509" s="192">
        <v>20000</v>
      </c>
      <c r="M509" s="127">
        <f>+Ventas[[#This Row],[Precio item]]*Ventas[[#This Row],[Q]]</f>
        <v>20000</v>
      </c>
      <c r="N509" s="127"/>
      <c r="O509" s="127"/>
      <c r="P509" s="148"/>
    </row>
    <row r="510" spans="2:16" x14ac:dyDescent="0.25">
      <c r="B510" s="163"/>
      <c r="C510" s="154">
        <v>43758</v>
      </c>
      <c r="D510" s="160">
        <f>+DAY(Ventas[[#This Row],[FECHA]])</f>
        <v>20</v>
      </c>
      <c r="E510" s="129" t="str">
        <f t="shared" ref="E510:E518" si="39">+TEXT(C510,"dddd")</f>
        <v>domingo</v>
      </c>
      <c r="F510" s="129" t="s">
        <v>624</v>
      </c>
      <c r="G510" s="185">
        <v>4</v>
      </c>
      <c r="H510" s="129" t="s">
        <v>386</v>
      </c>
      <c r="I510" s="185">
        <v>26</v>
      </c>
      <c r="J510" s="129" t="s">
        <v>375</v>
      </c>
      <c r="K510" s="185">
        <v>1</v>
      </c>
      <c r="L510" s="192">
        <v>15000</v>
      </c>
      <c r="M510" s="127">
        <f>+Ventas[[#This Row],[Precio item]]*Ventas[[#This Row],[Q]]</f>
        <v>15000</v>
      </c>
      <c r="N510" s="127"/>
      <c r="O510" s="127"/>
      <c r="P510" s="148"/>
    </row>
    <row r="511" spans="2:16" x14ac:dyDescent="0.25">
      <c r="B511" s="163"/>
      <c r="C511" s="154">
        <v>43758</v>
      </c>
      <c r="D511" s="160">
        <f>+DAY(Ventas[[#This Row],[FECHA]])</f>
        <v>20</v>
      </c>
      <c r="E511" s="129" t="str">
        <f t="shared" si="39"/>
        <v>domingo</v>
      </c>
      <c r="F511" s="129" t="s">
        <v>624</v>
      </c>
      <c r="G511" s="185">
        <v>4</v>
      </c>
      <c r="H511" s="129" t="s">
        <v>386</v>
      </c>
      <c r="I511" s="185">
        <v>26</v>
      </c>
      <c r="J511" s="129" t="s">
        <v>532</v>
      </c>
      <c r="K511" s="185">
        <v>2</v>
      </c>
      <c r="L511" s="192">
        <v>2500</v>
      </c>
      <c r="M511" s="127">
        <f>+Ventas[[#This Row],[Precio item]]*Ventas[[#This Row],[Q]]</f>
        <v>5000</v>
      </c>
      <c r="N511" s="127"/>
      <c r="O511" s="127"/>
      <c r="P511" s="148"/>
    </row>
    <row r="512" spans="2:16" x14ac:dyDescent="0.25">
      <c r="B512" s="163"/>
      <c r="C512" s="154">
        <v>43758</v>
      </c>
      <c r="D512" s="160">
        <f>+DAY(Ventas[[#This Row],[FECHA]])</f>
        <v>20</v>
      </c>
      <c r="E512" s="129" t="str">
        <f t="shared" si="39"/>
        <v>domingo</v>
      </c>
      <c r="F512" s="129" t="s">
        <v>624</v>
      </c>
      <c r="G512" s="185">
        <v>4</v>
      </c>
      <c r="H512" s="129" t="s">
        <v>386</v>
      </c>
      <c r="I512" s="185">
        <v>27</v>
      </c>
      <c r="J512" s="129" t="s">
        <v>467</v>
      </c>
      <c r="K512" s="185">
        <v>4</v>
      </c>
      <c r="L512" s="192">
        <v>800</v>
      </c>
      <c r="M512" s="127">
        <f>+Ventas[[#This Row],[Precio item]]*Ventas[[#This Row],[Q]]</f>
        <v>3200</v>
      </c>
      <c r="N512" s="127" t="s">
        <v>534</v>
      </c>
      <c r="O512" s="127"/>
      <c r="P512" s="148"/>
    </row>
    <row r="513" spans="2:16" x14ac:dyDescent="0.25">
      <c r="B513" s="163"/>
      <c r="C513" s="154">
        <v>43758</v>
      </c>
      <c r="D513" s="160">
        <f>+DAY(Ventas[[#This Row],[FECHA]])</f>
        <v>20</v>
      </c>
      <c r="E513" s="129" t="str">
        <f t="shared" si="39"/>
        <v>domingo</v>
      </c>
      <c r="F513" s="129" t="s">
        <v>624</v>
      </c>
      <c r="G513" s="185">
        <v>4</v>
      </c>
      <c r="H513" s="129" t="s">
        <v>386</v>
      </c>
      <c r="I513" s="185">
        <v>27</v>
      </c>
      <c r="J513" s="129" t="s">
        <v>533</v>
      </c>
      <c r="K513" s="185">
        <v>1</v>
      </c>
      <c r="L513" s="192">
        <v>5800</v>
      </c>
      <c r="M513" s="127">
        <f>+Ventas[[#This Row],[Precio item]]*Ventas[[#This Row],[Q]]</f>
        <v>5800</v>
      </c>
      <c r="N513" s="127" t="s">
        <v>534</v>
      </c>
      <c r="O513" s="127"/>
      <c r="P513" s="148"/>
    </row>
    <row r="514" spans="2:16" x14ac:dyDescent="0.25">
      <c r="B514" s="163"/>
      <c r="C514" s="154">
        <v>43758</v>
      </c>
      <c r="D514" s="160">
        <f>+DAY(Ventas[[#This Row],[FECHA]])</f>
        <v>20</v>
      </c>
      <c r="E514" s="129" t="str">
        <f t="shared" si="39"/>
        <v>domingo</v>
      </c>
      <c r="F514" s="129" t="s">
        <v>624</v>
      </c>
      <c r="G514" s="185">
        <v>4</v>
      </c>
      <c r="H514" s="129" t="s">
        <v>386</v>
      </c>
      <c r="I514" s="185">
        <v>28</v>
      </c>
      <c r="J514" s="129" t="s">
        <v>375</v>
      </c>
      <c r="K514" s="185">
        <v>1</v>
      </c>
      <c r="L514" s="192">
        <v>40000</v>
      </c>
      <c r="M514" s="127">
        <f>+Ventas[[#This Row],[Precio item]]*Ventas[[#This Row],[Q]]</f>
        <v>40000</v>
      </c>
      <c r="N514" s="127"/>
      <c r="O514" s="127"/>
      <c r="P514" s="148"/>
    </row>
    <row r="515" spans="2:16" x14ac:dyDescent="0.25">
      <c r="B515" s="163"/>
      <c r="C515" s="154">
        <v>43758</v>
      </c>
      <c r="D515" s="160">
        <f>+DAY(Ventas[[#This Row],[FECHA]])</f>
        <v>20</v>
      </c>
      <c r="E515" s="129" t="str">
        <f t="shared" si="39"/>
        <v>domingo</v>
      </c>
      <c r="F515" s="129" t="s">
        <v>624</v>
      </c>
      <c r="G515" s="185">
        <v>4</v>
      </c>
      <c r="H515" s="129" t="s">
        <v>386</v>
      </c>
      <c r="I515" s="185">
        <v>29</v>
      </c>
      <c r="J515" s="129" t="s">
        <v>358</v>
      </c>
      <c r="K515" s="185">
        <v>2</v>
      </c>
      <c r="L515" s="192">
        <v>8000</v>
      </c>
      <c r="M515" s="127">
        <f>+Ventas[[#This Row],[Precio item]]*Ventas[[#This Row],[Q]]</f>
        <v>16000</v>
      </c>
      <c r="N515" s="127" t="s">
        <v>519</v>
      </c>
      <c r="O515" s="127"/>
      <c r="P515" s="148"/>
    </row>
    <row r="516" spans="2:16" x14ac:dyDescent="0.25">
      <c r="B516" s="163"/>
      <c r="C516" s="154">
        <v>43758</v>
      </c>
      <c r="D516" s="160">
        <f>+DAY(Ventas[[#This Row],[FECHA]])</f>
        <v>20</v>
      </c>
      <c r="E516" s="129" t="str">
        <f t="shared" si="39"/>
        <v>domingo</v>
      </c>
      <c r="F516" s="129" t="s">
        <v>624</v>
      </c>
      <c r="G516" s="185">
        <v>4</v>
      </c>
      <c r="H516" s="129" t="s">
        <v>386</v>
      </c>
      <c r="I516" s="185">
        <v>29</v>
      </c>
      <c r="J516" s="129" t="s">
        <v>389</v>
      </c>
      <c r="K516" s="185">
        <v>1</v>
      </c>
      <c r="L516" s="192">
        <v>12000</v>
      </c>
      <c r="M516" s="127">
        <f>+Ventas[[#This Row],[Precio item]]*Ventas[[#This Row],[Q]]</f>
        <v>12000</v>
      </c>
      <c r="N516" s="127"/>
      <c r="O516" s="127"/>
      <c r="P516" s="148"/>
    </row>
    <row r="517" spans="2:16" x14ac:dyDescent="0.25">
      <c r="B517" s="163"/>
      <c r="C517" s="154">
        <v>43758</v>
      </c>
      <c r="D517" s="160">
        <f>+DAY(Ventas[[#This Row],[FECHA]])</f>
        <v>20</v>
      </c>
      <c r="E517" s="129" t="str">
        <f t="shared" si="39"/>
        <v>domingo</v>
      </c>
      <c r="F517" s="129" t="s">
        <v>624</v>
      </c>
      <c r="G517" s="185">
        <v>4</v>
      </c>
      <c r="H517" s="129" t="s">
        <v>386</v>
      </c>
      <c r="I517" s="185">
        <v>29</v>
      </c>
      <c r="J517" s="129" t="s">
        <v>367</v>
      </c>
      <c r="K517" s="185">
        <v>1</v>
      </c>
      <c r="L517" s="192">
        <v>4000</v>
      </c>
      <c r="M517" s="127">
        <f>+Ventas[[#This Row],[Precio item]]*Ventas[[#This Row],[Q]]</f>
        <v>4000</v>
      </c>
      <c r="N517" s="127"/>
      <c r="O517" s="127"/>
      <c r="P517" s="148"/>
    </row>
    <row r="518" spans="2:16" x14ac:dyDescent="0.25">
      <c r="B518" s="163"/>
      <c r="C518" s="154">
        <v>43758</v>
      </c>
      <c r="D518" s="160">
        <f>+DAY(Ventas[[#This Row],[FECHA]])</f>
        <v>20</v>
      </c>
      <c r="E518" s="129" t="str">
        <f t="shared" si="39"/>
        <v>domingo</v>
      </c>
      <c r="F518" s="129" t="s">
        <v>624</v>
      </c>
      <c r="G518" s="185">
        <v>4</v>
      </c>
      <c r="H518" s="129" t="s">
        <v>386</v>
      </c>
      <c r="I518" s="185">
        <v>29</v>
      </c>
      <c r="J518" s="129" t="s">
        <v>535</v>
      </c>
      <c r="K518" s="185">
        <v>1</v>
      </c>
      <c r="L518" s="192">
        <v>12000</v>
      </c>
      <c r="M518" s="127">
        <f>+Ventas[[#This Row],[Precio item]]*Ventas[[#This Row],[Q]]</f>
        <v>12000</v>
      </c>
      <c r="N518" s="127"/>
      <c r="O518" s="127"/>
      <c r="P518" s="148"/>
    </row>
    <row r="519" spans="2:16" x14ac:dyDescent="0.25">
      <c r="B519" s="163"/>
      <c r="C519" s="154">
        <v>43758</v>
      </c>
      <c r="D519" s="160">
        <f>+DAY(Ventas[[#This Row],[FECHA]])</f>
        <v>20</v>
      </c>
      <c r="E519" s="129" t="str">
        <f t="shared" ref="E519:E527" si="40">+TEXT(C519,"dddd")</f>
        <v>domingo</v>
      </c>
      <c r="F519" s="129" t="s">
        <v>624</v>
      </c>
      <c r="G519" s="185">
        <v>4</v>
      </c>
      <c r="H519" s="129" t="s">
        <v>386</v>
      </c>
      <c r="I519" s="185">
        <v>30</v>
      </c>
      <c r="J519" s="129" t="s">
        <v>375</v>
      </c>
      <c r="K519" s="185">
        <v>1</v>
      </c>
      <c r="L519" s="192">
        <v>50000</v>
      </c>
      <c r="M519" s="127">
        <f>+Ventas[[#This Row],[Precio item]]*Ventas[[#This Row],[Q]]</f>
        <v>50000</v>
      </c>
      <c r="N519" s="127"/>
      <c r="O519" s="127"/>
      <c r="P519" s="148"/>
    </row>
    <row r="520" spans="2:16" x14ac:dyDescent="0.25">
      <c r="B520" s="163"/>
      <c r="C520" s="154">
        <v>43758</v>
      </c>
      <c r="D520" s="160">
        <f>+DAY(Ventas[[#This Row],[FECHA]])</f>
        <v>20</v>
      </c>
      <c r="E520" s="129" t="str">
        <f t="shared" si="40"/>
        <v>domingo</v>
      </c>
      <c r="F520" s="129" t="s">
        <v>624</v>
      </c>
      <c r="G520" s="185">
        <v>4</v>
      </c>
      <c r="H520" s="129" t="s">
        <v>386</v>
      </c>
      <c r="I520" s="185">
        <v>31</v>
      </c>
      <c r="J520" s="129" t="s">
        <v>375</v>
      </c>
      <c r="K520" s="185">
        <v>3</v>
      </c>
      <c r="L520" s="192">
        <v>25000</v>
      </c>
      <c r="M520" s="127">
        <f>+Ventas[[#This Row],[Precio item]]*Ventas[[#This Row],[Q]]</f>
        <v>75000</v>
      </c>
      <c r="N520" s="127"/>
      <c r="O520" s="127"/>
      <c r="P520" s="148"/>
    </row>
    <row r="521" spans="2:16" x14ac:dyDescent="0.25">
      <c r="B521" s="163"/>
      <c r="C521" s="154">
        <v>43758</v>
      </c>
      <c r="D521" s="160">
        <f>+DAY(Ventas[[#This Row],[FECHA]])</f>
        <v>20</v>
      </c>
      <c r="E521" s="129" t="str">
        <f>+TEXT(C521,"dddd")</f>
        <v>domingo</v>
      </c>
      <c r="F521" s="129" t="s">
        <v>624</v>
      </c>
      <c r="G521" s="185">
        <v>4</v>
      </c>
      <c r="H521" s="129" t="s">
        <v>386</v>
      </c>
      <c r="I521" s="185">
        <v>31</v>
      </c>
      <c r="J521" s="129" t="s">
        <v>367</v>
      </c>
      <c r="K521" s="185">
        <v>1</v>
      </c>
      <c r="L521" s="192">
        <v>4000</v>
      </c>
      <c r="M521" s="127">
        <f>+Ventas[[#This Row],[Precio item]]*Ventas[[#This Row],[Q]]</f>
        <v>4000</v>
      </c>
      <c r="N521" s="127"/>
      <c r="O521" s="127"/>
      <c r="P521" s="148"/>
    </row>
    <row r="522" spans="2:16" x14ac:dyDescent="0.25">
      <c r="B522" s="163"/>
      <c r="C522" s="154">
        <v>43758</v>
      </c>
      <c r="D522" s="160">
        <f>+DAY(Ventas[[#This Row],[FECHA]])</f>
        <v>20</v>
      </c>
      <c r="E522" s="129" t="str">
        <f>+TEXT(C522,"dddd")</f>
        <v>domingo</v>
      </c>
      <c r="F522" s="129" t="s">
        <v>624</v>
      </c>
      <c r="G522" s="185">
        <v>4</v>
      </c>
      <c r="H522" s="129" t="s">
        <v>386</v>
      </c>
      <c r="I522" s="185">
        <v>31</v>
      </c>
      <c r="J522" s="129" t="s">
        <v>368</v>
      </c>
      <c r="K522" s="185">
        <v>1</v>
      </c>
      <c r="L522" s="192">
        <v>2000</v>
      </c>
      <c r="M522" s="127">
        <f>+Ventas[[#This Row],[Precio item]]*Ventas[[#This Row],[Q]]</f>
        <v>2000</v>
      </c>
      <c r="N522" s="127"/>
      <c r="O522" s="127"/>
      <c r="P522" s="148"/>
    </row>
    <row r="523" spans="2:16" x14ac:dyDescent="0.25">
      <c r="B523" s="163"/>
      <c r="C523" s="154">
        <v>43758</v>
      </c>
      <c r="D523" s="160">
        <f>+DAY(Ventas[[#This Row],[FECHA]])</f>
        <v>20</v>
      </c>
      <c r="E523" s="129" t="str">
        <f t="shared" si="40"/>
        <v>domingo</v>
      </c>
      <c r="F523" s="129" t="s">
        <v>624</v>
      </c>
      <c r="G523" s="185">
        <v>4</v>
      </c>
      <c r="H523" s="129" t="s">
        <v>386</v>
      </c>
      <c r="I523" s="185">
        <v>32</v>
      </c>
      <c r="J523" s="129" t="s">
        <v>536</v>
      </c>
      <c r="K523" s="185">
        <v>1</v>
      </c>
      <c r="L523" s="192">
        <v>11000</v>
      </c>
      <c r="M523" s="127">
        <f>+Ventas[[#This Row],[Precio item]]*Ventas[[#This Row],[Q]]</f>
        <v>11000</v>
      </c>
      <c r="N523" s="127"/>
      <c r="O523" s="127"/>
      <c r="P523" s="148"/>
    </row>
    <row r="524" spans="2:16" x14ac:dyDescent="0.25">
      <c r="B524" s="163"/>
      <c r="C524" s="154">
        <v>43758</v>
      </c>
      <c r="D524" s="160">
        <f>+DAY(Ventas[[#This Row],[FECHA]])</f>
        <v>20</v>
      </c>
      <c r="E524" s="129" t="str">
        <f t="shared" si="40"/>
        <v>domingo</v>
      </c>
      <c r="F524" s="129" t="s">
        <v>624</v>
      </c>
      <c r="G524" s="185">
        <v>4</v>
      </c>
      <c r="H524" s="129" t="s">
        <v>386</v>
      </c>
      <c r="I524" s="185">
        <v>32</v>
      </c>
      <c r="J524" s="129" t="s">
        <v>368</v>
      </c>
      <c r="K524" s="185">
        <v>1</v>
      </c>
      <c r="L524" s="192">
        <v>2000</v>
      </c>
      <c r="M524" s="127">
        <f>+Ventas[[#This Row],[Precio item]]*Ventas[[#This Row],[Q]]</f>
        <v>2000</v>
      </c>
      <c r="N524" s="127"/>
      <c r="O524" s="127"/>
      <c r="P524" s="148"/>
    </row>
    <row r="525" spans="2:16" x14ac:dyDescent="0.25">
      <c r="B525" s="163"/>
      <c r="C525" s="154">
        <v>43758</v>
      </c>
      <c r="D525" s="160">
        <f>+DAY(Ventas[[#This Row],[FECHA]])</f>
        <v>20</v>
      </c>
      <c r="E525" s="129" t="str">
        <f t="shared" si="40"/>
        <v>domingo</v>
      </c>
      <c r="F525" s="129" t="s">
        <v>624</v>
      </c>
      <c r="G525" s="185">
        <v>4</v>
      </c>
      <c r="H525" s="129" t="s">
        <v>386</v>
      </c>
      <c r="I525" s="185">
        <v>33</v>
      </c>
      <c r="J525" s="129" t="s">
        <v>524</v>
      </c>
      <c r="K525" s="185">
        <v>1</v>
      </c>
      <c r="L525" s="192">
        <v>15000</v>
      </c>
      <c r="M525" s="127">
        <f>+Ventas[[#This Row],[Precio item]]*Ventas[[#This Row],[Q]]</f>
        <v>15000</v>
      </c>
      <c r="N525" s="127"/>
      <c r="O525" s="127"/>
      <c r="P525" s="148"/>
    </row>
    <row r="526" spans="2:16" x14ac:dyDescent="0.25">
      <c r="B526" s="163"/>
      <c r="C526" s="154">
        <v>43758</v>
      </c>
      <c r="D526" s="160">
        <f>+DAY(Ventas[[#This Row],[FECHA]])</f>
        <v>20</v>
      </c>
      <c r="E526" s="129" t="str">
        <f t="shared" si="40"/>
        <v>domingo</v>
      </c>
      <c r="F526" s="129" t="s">
        <v>624</v>
      </c>
      <c r="G526" s="185">
        <v>4</v>
      </c>
      <c r="H526" s="129" t="s">
        <v>386</v>
      </c>
      <c r="I526" s="185">
        <v>33</v>
      </c>
      <c r="J526" s="129" t="s">
        <v>520</v>
      </c>
      <c r="K526" s="185">
        <v>1</v>
      </c>
      <c r="L526" s="192">
        <v>2500</v>
      </c>
      <c r="M526" s="127">
        <f>+Ventas[[#This Row],[Precio item]]*Ventas[[#This Row],[Q]]</f>
        <v>2500</v>
      </c>
      <c r="N526" s="127"/>
      <c r="O526" s="127"/>
      <c r="P526" s="148"/>
    </row>
    <row r="527" spans="2:16" x14ac:dyDescent="0.25">
      <c r="B527" s="163"/>
      <c r="C527" s="154">
        <v>43758</v>
      </c>
      <c r="D527" s="160">
        <f>+DAY(Ventas[[#This Row],[FECHA]])</f>
        <v>20</v>
      </c>
      <c r="E527" s="129" t="str">
        <f t="shared" si="40"/>
        <v>domingo</v>
      </c>
      <c r="F527" s="129" t="s">
        <v>624</v>
      </c>
      <c r="G527" s="185">
        <v>4</v>
      </c>
      <c r="H527" s="129" t="s">
        <v>386</v>
      </c>
      <c r="I527" s="185">
        <v>34</v>
      </c>
      <c r="J527" s="129" t="s">
        <v>524</v>
      </c>
      <c r="K527" s="185">
        <v>1</v>
      </c>
      <c r="L527" s="192">
        <v>15000</v>
      </c>
      <c r="M527" s="127">
        <f>+Ventas[[#This Row],[Precio item]]*Ventas[[#This Row],[Q]]</f>
        <v>15000</v>
      </c>
      <c r="N527" s="127"/>
      <c r="O527" s="127"/>
      <c r="P527" s="148"/>
    </row>
    <row r="528" spans="2:16" x14ac:dyDescent="0.25">
      <c r="B528" s="163"/>
      <c r="C528" s="154">
        <v>43758</v>
      </c>
      <c r="D528" s="160">
        <f>+DAY(Ventas[[#This Row],[FECHA]])</f>
        <v>20</v>
      </c>
      <c r="E528" s="129" t="str">
        <f t="shared" ref="E528:E545" si="41">+TEXT(C528,"dddd")</f>
        <v>domingo</v>
      </c>
      <c r="F528" s="129" t="s">
        <v>624</v>
      </c>
      <c r="G528" s="185">
        <v>4</v>
      </c>
      <c r="H528" s="129" t="s">
        <v>386</v>
      </c>
      <c r="I528" s="185">
        <v>34</v>
      </c>
      <c r="J528" s="129" t="s">
        <v>366</v>
      </c>
      <c r="K528" s="185">
        <v>1</v>
      </c>
      <c r="L528" s="192">
        <v>25000</v>
      </c>
      <c r="M528" s="127">
        <f>+Ventas[[#This Row],[Precio item]]*Ventas[[#This Row],[Q]]</f>
        <v>25000</v>
      </c>
      <c r="N528" s="127"/>
      <c r="O528" s="127"/>
      <c r="P528" s="148"/>
    </row>
    <row r="529" spans="2:16" x14ac:dyDescent="0.25">
      <c r="B529" s="163"/>
      <c r="C529" s="154">
        <v>43758</v>
      </c>
      <c r="D529" s="160">
        <f>+DAY(Ventas[[#This Row],[FECHA]])</f>
        <v>20</v>
      </c>
      <c r="E529" s="129" t="str">
        <f t="shared" si="41"/>
        <v>domingo</v>
      </c>
      <c r="F529" s="129" t="s">
        <v>624</v>
      </c>
      <c r="G529" s="185">
        <v>4</v>
      </c>
      <c r="H529" s="129" t="s">
        <v>386</v>
      </c>
      <c r="I529" s="185">
        <v>34</v>
      </c>
      <c r="J529" s="129" t="s">
        <v>368</v>
      </c>
      <c r="K529" s="185">
        <v>1</v>
      </c>
      <c r="L529" s="192">
        <v>2000</v>
      </c>
      <c r="M529" s="127">
        <f>+Ventas[[#This Row],[Precio item]]*Ventas[[#This Row],[Q]]</f>
        <v>2000</v>
      </c>
      <c r="N529" s="127"/>
      <c r="O529" s="127"/>
      <c r="P529" s="148"/>
    </row>
    <row r="530" spans="2:16" x14ac:dyDescent="0.25">
      <c r="B530" s="163"/>
      <c r="C530" s="154">
        <v>43758</v>
      </c>
      <c r="D530" s="160">
        <f>+DAY(Ventas[[#This Row],[FECHA]])</f>
        <v>20</v>
      </c>
      <c r="E530" s="129" t="str">
        <f t="shared" si="41"/>
        <v>domingo</v>
      </c>
      <c r="F530" s="129" t="s">
        <v>624</v>
      </c>
      <c r="G530" s="185">
        <v>4</v>
      </c>
      <c r="H530" s="129" t="s">
        <v>386</v>
      </c>
      <c r="I530" s="185">
        <v>35</v>
      </c>
      <c r="J530" s="129" t="s">
        <v>375</v>
      </c>
      <c r="K530" s="185">
        <v>1</v>
      </c>
      <c r="L530" s="192">
        <v>15000</v>
      </c>
      <c r="M530" s="127">
        <f>+Ventas[[#This Row],[Precio item]]*Ventas[[#This Row],[Q]]</f>
        <v>15000</v>
      </c>
      <c r="N530" s="127"/>
      <c r="O530" s="127"/>
      <c r="P530" s="148"/>
    </row>
    <row r="531" spans="2:16" x14ac:dyDescent="0.25">
      <c r="B531" s="163"/>
      <c r="C531" s="154">
        <v>43758</v>
      </c>
      <c r="D531" s="160">
        <f>+DAY(Ventas[[#This Row],[FECHA]])</f>
        <v>20</v>
      </c>
      <c r="E531" s="129" t="str">
        <f t="shared" si="41"/>
        <v>domingo</v>
      </c>
      <c r="F531" s="129" t="s">
        <v>624</v>
      </c>
      <c r="G531" s="185">
        <v>4</v>
      </c>
      <c r="H531" s="129" t="s">
        <v>386</v>
      </c>
      <c r="I531" s="185">
        <v>35</v>
      </c>
      <c r="J531" s="129" t="s">
        <v>368</v>
      </c>
      <c r="K531" s="185">
        <v>1</v>
      </c>
      <c r="L531" s="192">
        <v>2000</v>
      </c>
      <c r="M531" s="127">
        <f>+Ventas[[#This Row],[Precio item]]*Ventas[[#This Row],[Q]]</f>
        <v>2000</v>
      </c>
      <c r="N531" s="127"/>
      <c r="O531" s="127"/>
      <c r="P531" s="148"/>
    </row>
    <row r="532" spans="2:16" x14ac:dyDescent="0.25">
      <c r="B532" s="163"/>
      <c r="C532" s="154">
        <v>43758</v>
      </c>
      <c r="D532" s="160">
        <f>+DAY(Ventas[[#This Row],[FECHA]])</f>
        <v>20</v>
      </c>
      <c r="E532" s="129" t="str">
        <f t="shared" si="41"/>
        <v>domingo</v>
      </c>
      <c r="F532" s="129" t="s">
        <v>624</v>
      </c>
      <c r="G532" s="185">
        <v>4</v>
      </c>
      <c r="H532" s="129" t="s">
        <v>386</v>
      </c>
      <c r="I532" s="185">
        <v>36</v>
      </c>
      <c r="J532" s="129" t="s">
        <v>416</v>
      </c>
      <c r="K532" s="185">
        <v>1</v>
      </c>
      <c r="L532" s="192">
        <v>25000</v>
      </c>
      <c r="M532" s="127">
        <f>+Ventas[[#This Row],[Precio item]]*Ventas[[#This Row],[Q]]</f>
        <v>25000</v>
      </c>
      <c r="N532" s="127"/>
      <c r="O532" s="127"/>
      <c r="P532" s="148"/>
    </row>
    <row r="533" spans="2:16" x14ac:dyDescent="0.25">
      <c r="B533" s="163"/>
      <c r="C533" s="154">
        <v>43758</v>
      </c>
      <c r="D533" s="160">
        <f>+DAY(Ventas[[#This Row],[FECHA]])</f>
        <v>20</v>
      </c>
      <c r="E533" s="129" t="str">
        <f t="shared" si="41"/>
        <v>domingo</v>
      </c>
      <c r="F533" s="129" t="s">
        <v>624</v>
      </c>
      <c r="G533" s="185">
        <v>4</v>
      </c>
      <c r="H533" s="129" t="s">
        <v>386</v>
      </c>
      <c r="I533" s="185">
        <v>36</v>
      </c>
      <c r="J533" s="129" t="s">
        <v>358</v>
      </c>
      <c r="K533" s="185">
        <v>1</v>
      </c>
      <c r="L533" s="192">
        <v>10000</v>
      </c>
      <c r="M533" s="127">
        <f>+Ventas[[#This Row],[Precio item]]*Ventas[[#This Row],[Q]]</f>
        <v>10000</v>
      </c>
      <c r="N533" s="127" t="s">
        <v>427</v>
      </c>
      <c r="O533" s="127"/>
      <c r="P533" s="148"/>
    </row>
    <row r="534" spans="2:16" x14ac:dyDescent="0.25">
      <c r="B534" s="163"/>
      <c r="C534" s="154">
        <v>43758</v>
      </c>
      <c r="D534" s="160">
        <f>+DAY(Ventas[[#This Row],[FECHA]])</f>
        <v>20</v>
      </c>
      <c r="E534" s="129" t="str">
        <f t="shared" si="41"/>
        <v>domingo</v>
      </c>
      <c r="F534" s="129" t="s">
        <v>624</v>
      </c>
      <c r="G534" s="185">
        <v>4</v>
      </c>
      <c r="H534" s="129" t="s">
        <v>386</v>
      </c>
      <c r="I534" s="185">
        <v>36</v>
      </c>
      <c r="J534" s="129" t="s">
        <v>524</v>
      </c>
      <c r="K534" s="185">
        <v>1</v>
      </c>
      <c r="L534" s="192">
        <v>20000</v>
      </c>
      <c r="M534" s="127">
        <f>+Ventas[[#This Row],[Precio item]]*Ventas[[#This Row],[Q]]</f>
        <v>20000</v>
      </c>
      <c r="N534" s="127"/>
      <c r="O534" s="127"/>
      <c r="P534" s="148"/>
    </row>
    <row r="535" spans="2:16" x14ac:dyDescent="0.25">
      <c r="B535" s="163"/>
      <c r="C535" s="154">
        <f>+C450+1</f>
        <v>43759</v>
      </c>
      <c r="D535" s="160">
        <f>+DAY(Ventas[[#This Row],[FECHA]])</f>
        <v>21</v>
      </c>
      <c r="E535" s="129" t="str">
        <f t="shared" si="41"/>
        <v>lunes</v>
      </c>
      <c r="F535" s="129" t="s">
        <v>626</v>
      </c>
      <c r="G535" s="185">
        <v>5</v>
      </c>
      <c r="H535" s="129" t="s">
        <v>221</v>
      </c>
      <c r="I535" s="185"/>
      <c r="J535" s="129"/>
      <c r="K535" s="185"/>
      <c r="L535" s="192"/>
      <c r="M535" s="192">
        <v>350000</v>
      </c>
      <c r="N535" s="127" t="s">
        <v>466</v>
      </c>
      <c r="O535" s="127"/>
      <c r="P535" s="148"/>
    </row>
    <row r="536" spans="2:16" x14ac:dyDescent="0.25">
      <c r="B536" s="163"/>
      <c r="C536" s="154">
        <f t="shared" ref="C536:C570" si="42">+C535+1</f>
        <v>43760</v>
      </c>
      <c r="D536" s="160">
        <f>+DAY(Ventas[[#This Row],[FECHA]])</f>
        <v>22</v>
      </c>
      <c r="E536" s="129" t="str">
        <f t="shared" si="41"/>
        <v>martes</v>
      </c>
      <c r="F536" s="129" t="s">
        <v>626</v>
      </c>
      <c r="G536" s="185">
        <v>5</v>
      </c>
      <c r="H536" s="129" t="s">
        <v>221</v>
      </c>
      <c r="I536" s="185"/>
      <c r="J536" s="129"/>
      <c r="K536" s="185"/>
      <c r="L536" s="192"/>
      <c r="M536" s="192">
        <v>380000</v>
      </c>
      <c r="N536" s="127"/>
      <c r="O536" s="127"/>
      <c r="P536" s="148"/>
    </row>
    <row r="537" spans="2:16" x14ac:dyDescent="0.25">
      <c r="B537" s="163"/>
      <c r="C537" s="154">
        <f t="shared" si="42"/>
        <v>43761</v>
      </c>
      <c r="D537" s="160">
        <f>+DAY(Ventas[[#This Row],[FECHA]])</f>
        <v>23</v>
      </c>
      <c r="E537" s="129" t="str">
        <f t="shared" si="41"/>
        <v>miércoles</v>
      </c>
      <c r="F537" s="129" t="s">
        <v>626</v>
      </c>
      <c r="G537" s="185">
        <v>5</v>
      </c>
      <c r="H537" s="129" t="s">
        <v>221</v>
      </c>
      <c r="I537" s="185"/>
      <c r="J537" s="129"/>
      <c r="K537" s="185"/>
      <c r="L537" s="192"/>
      <c r="M537" s="127">
        <v>550000</v>
      </c>
      <c r="N537" s="127"/>
      <c r="O537" s="127"/>
      <c r="P537" s="148"/>
    </row>
    <row r="538" spans="2:16" x14ac:dyDescent="0.25">
      <c r="B538" s="163"/>
      <c r="C538" s="154">
        <f t="shared" si="42"/>
        <v>43762</v>
      </c>
      <c r="D538" s="160">
        <f>+DAY(Ventas[[#This Row],[FECHA]])</f>
        <v>24</v>
      </c>
      <c r="E538" s="129" t="str">
        <f t="shared" si="41"/>
        <v>jueves</v>
      </c>
      <c r="F538" s="129" t="s">
        <v>626</v>
      </c>
      <c r="G538" s="185">
        <v>5</v>
      </c>
      <c r="H538" s="129" t="s">
        <v>221</v>
      </c>
      <c r="I538" s="185"/>
      <c r="J538" s="129"/>
      <c r="K538" s="185"/>
      <c r="L538" s="192"/>
      <c r="M538" s="127">
        <v>380000</v>
      </c>
      <c r="N538" s="127"/>
      <c r="O538" s="127"/>
      <c r="P538" s="148"/>
    </row>
    <row r="539" spans="2:16" x14ac:dyDescent="0.25">
      <c r="B539" s="163"/>
      <c r="C539" s="154">
        <f t="shared" si="42"/>
        <v>43763</v>
      </c>
      <c r="D539" s="160">
        <f>+DAY(Ventas[[#This Row],[FECHA]])</f>
        <v>25</v>
      </c>
      <c r="E539" s="129" t="str">
        <f t="shared" si="41"/>
        <v>viernes</v>
      </c>
      <c r="F539" s="129" t="s">
        <v>624</v>
      </c>
      <c r="G539" s="185">
        <v>5</v>
      </c>
      <c r="H539" s="129" t="s">
        <v>221</v>
      </c>
      <c r="I539" s="185"/>
      <c r="J539" s="129"/>
      <c r="K539" s="185"/>
      <c r="L539" s="192"/>
      <c r="M539" s="127">
        <v>1200000</v>
      </c>
      <c r="N539" s="127"/>
      <c r="O539" s="127"/>
      <c r="P539" s="148"/>
    </row>
    <row r="540" spans="2:16" x14ac:dyDescent="0.25">
      <c r="B540" s="163"/>
      <c r="C540" s="154">
        <f t="shared" si="42"/>
        <v>43764</v>
      </c>
      <c r="D540" s="160">
        <f>+DAY(Ventas[[#This Row],[FECHA]])</f>
        <v>26</v>
      </c>
      <c r="E540" s="129" t="str">
        <f t="shared" si="41"/>
        <v>sábado</v>
      </c>
      <c r="F540" s="129" t="s">
        <v>624</v>
      </c>
      <c r="G540" s="185">
        <v>5</v>
      </c>
      <c r="H540" s="129" t="s">
        <v>221</v>
      </c>
      <c r="I540" s="185"/>
      <c r="J540" s="129"/>
      <c r="K540" s="185"/>
      <c r="L540" s="192"/>
      <c r="M540" s="127">
        <f>770000-100000-15000</f>
        <v>655000</v>
      </c>
      <c r="N540" s="127"/>
      <c r="O540" s="127"/>
      <c r="P540" s="148"/>
    </row>
    <row r="541" spans="2:16" x14ac:dyDescent="0.25">
      <c r="B541" s="163"/>
      <c r="C541" s="154">
        <f t="shared" si="42"/>
        <v>43765</v>
      </c>
      <c r="D541" s="160">
        <f>+DAY(Ventas[[#This Row],[FECHA]])</f>
        <v>27</v>
      </c>
      <c r="E541" s="129" t="str">
        <f t="shared" si="41"/>
        <v>domingo</v>
      </c>
      <c r="F541" s="129" t="s">
        <v>624</v>
      </c>
      <c r="G541" s="185">
        <v>5</v>
      </c>
      <c r="H541" s="129" t="s">
        <v>221</v>
      </c>
      <c r="I541" s="185"/>
      <c r="J541" s="129"/>
      <c r="K541" s="185"/>
      <c r="L541" s="192"/>
      <c r="M541" s="127">
        <v>1200000</v>
      </c>
      <c r="N541" s="127"/>
      <c r="O541" s="127"/>
      <c r="P541" s="148"/>
    </row>
    <row r="542" spans="2:16" x14ac:dyDescent="0.25">
      <c r="B542" s="163"/>
      <c r="C542" s="154">
        <f t="shared" si="42"/>
        <v>43766</v>
      </c>
      <c r="D542" s="160">
        <f>+DAY(Ventas[[#This Row],[FECHA]])</f>
        <v>28</v>
      </c>
      <c r="E542" s="129" t="str">
        <f t="shared" si="41"/>
        <v>lunes</v>
      </c>
      <c r="F542" s="129" t="s">
        <v>626</v>
      </c>
      <c r="G542" s="185">
        <v>6</v>
      </c>
      <c r="H542" s="129" t="s">
        <v>221</v>
      </c>
      <c r="I542" s="185"/>
      <c r="J542" s="129"/>
      <c r="K542" s="185"/>
      <c r="L542" s="192"/>
      <c r="M542" s="127">
        <v>300000</v>
      </c>
      <c r="N542" s="127"/>
      <c r="O542" s="127"/>
      <c r="P542" s="148"/>
    </row>
    <row r="543" spans="2:16" x14ac:dyDescent="0.25">
      <c r="B543" s="163"/>
      <c r="C543" s="154">
        <f t="shared" si="42"/>
        <v>43767</v>
      </c>
      <c r="D543" s="160">
        <f>+DAY(Ventas[[#This Row],[FECHA]])</f>
        <v>29</v>
      </c>
      <c r="E543" s="129" t="str">
        <f t="shared" si="41"/>
        <v>martes</v>
      </c>
      <c r="F543" s="129" t="s">
        <v>626</v>
      </c>
      <c r="G543" s="185">
        <v>6</v>
      </c>
      <c r="H543" s="129" t="s">
        <v>221</v>
      </c>
      <c r="I543" s="185"/>
      <c r="J543" s="129"/>
      <c r="K543" s="185"/>
      <c r="L543" s="192"/>
      <c r="M543" s="127">
        <v>220000</v>
      </c>
      <c r="N543" s="127"/>
      <c r="O543" s="127"/>
      <c r="P543" s="148"/>
    </row>
    <row r="544" spans="2:16" x14ac:dyDescent="0.25">
      <c r="B544" s="163"/>
      <c r="C544" s="154">
        <f t="shared" si="42"/>
        <v>43768</v>
      </c>
      <c r="D544" s="160">
        <f>+DAY(Ventas[[#This Row],[FECHA]])</f>
        <v>30</v>
      </c>
      <c r="E544" s="129" t="str">
        <f t="shared" si="41"/>
        <v>miércoles</v>
      </c>
      <c r="F544" s="129" t="s">
        <v>626</v>
      </c>
      <c r="G544" s="185">
        <v>6</v>
      </c>
      <c r="H544" s="129" t="s">
        <v>221</v>
      </c>
      <c r="I544" s="185"/>
      <c r="J544" s="129"/>
      <c r="K544" s="185"/>
      <c r="L544" s="192"/>
      <c r="M544" s="127">
        <v>320000</v>
      </c>
      <c r="N544" s="127"/>
      <c r="O544" s="127"/>
      <c r="P544" s="148"/>
    </row>
    <row r="545" spans="2:16" x14ac:dyDescent="0.25">
      <c r="B545" s="163"/>
      <c r="C545" s="154">
        <f t="shared" si="42"/>
        <v>43769</v>
      </c>
      <c r="D545" s="160">
        <f>+DAY(Ventas[[#This Row],[FECHA]])</f>
        <v>31</v>
      </c>
      <c r="E545" s="129" t="str">
        <f t="shared" si="41"/>
        <v>jueves</v>
      </c>
      <c r="F545" s="129" t="s">
        <v>626</v>
      </c>
      <c r="G545" s="185">
        <v>6</v>
      </c>
      <c r="H545" s="129" t="s">
        <v>221</v>
      </c>
      <c r="I545" s="185"/>
      <c r="J545" s="129"/>
      <c r="K545" s="185"/>
      <c r="L545" s="192"/>
      <c r="M545" s="127">
        <v>370000</v>
      </c>
      <c r="N545" s="127"/>
      <c r="O545" s="127"/>
      <c r="P545" s="148"/>
    </row>
    <row r="546" spans="2:16" x14ac:dyDescent="0.25">
      <c r="B546" s="163"/>
      <c r="C546" s="154">
        <f t="shared" si="42"/>
        <v>43770</v>
      </c>
      <c r="D546" s="160">
        <f>+DAY(Ventas[[#This Row],[FECHA]])</f>
        <v>1</v>
      </c>
      <c r="E546" s="129" t="str">
        <f t="shared" ref="E546" si="43">+TEXT(C546,"dddd")</f>
        <v>viernes</v>
      </c>
      <c r="F546" s="129" t="s">
        <v>624</v>
      </c>
      <c r="G546" s="185">
        <v>6</v>
      </c>
      <c r="H546" s="129"/>
      <c r="I546" s="185"/>
      <c r="J546" s="129"/>
      <c r="K546" s="185"/>
      <c r="L546" s="192"/>
      <c r="M546" s="134">
        <v>370000</v>
      </c>
      <c r="N546" s="127"/>
      <c r="O546" s="127"/>
      <c r="P546" s="148"/>
    </row>
    <row r="547" spans="2:16" x14ac:dyDescent="0.25">
      <c r="B547" s="163"/>
      <c r="C547" s="154">
        <f t="shared" si="42"/>
        <v>43771</v>
      </c>
      <c r="D547" s="160">
        <f>+DAY(Ventas[[#This Row],[FECHA]])</f>
        <v>2</v>
      </c>
      <c r="E547" s="129" t="str">
        <f t="shared" ref="E547:E557" si="44">+TEXT(C547,"dddd")</f>
        <v>sábado</v>
      </c>
      <c r="F547" s="129" t="s">
        <v>624</v>
      </c>
      <c r="G547" s="185">
        <v>6</v>
      </c>
      <c r="H547" s="129"/>
      <c r="I547" s="185"/>
      <c r="J547" s="129"/>
      <c r="K547" s="185"/>
      <c r="L547" s="192"/>
      <c r="M547" s="134">
        <v>500000</v>
      </c>
      <c r="N547" s="127"/>
      <c r="O547" s="127"/>
      <c r="P547" s="148"/>
    </row>
    <row r="548" spans="2:16" x14ac:dyDescent="0.25">
      <c r="B548" s="163"/>
      <c r="C548" s="154">
        <f t="shared" si="42"/>
        <v>43772</v>
      </c>
      <c r="D548" s="160">
        <f>+DAY(Ventas[[#This Row],[FECHA]])</f>
        <v>3</v>
      </c>
      <c r="E548" s="129" t="str">
        <f t="shared" si="44"/>
        <v>domingo</v>
      </c>
      <c r="F548" s="129" t="s">
        <v>624</v>
      </c>
      <c r="G548" s="185">
        <v>6</v>
      </c>
      <c r="H548" s="129"/>
      <c r="I548" s="185"/>
      <c r="J548" s="129"/>
      <c r="K548" s="185"/>
      <c r="L548" s="192"/>
      <c r="M548" s="134">
        <v>1700000</v>
      </c>
      <c r="N548" s="127"/>
      <c r="O548" s="127"/>
      <c r="P548" s="148"/>
    </row>
    <row r="549" spans="2:16" x14ac:dyDescent="0.25">
      <c r="B549" s="163"/>
      <c r="C549" s="154">
        <f t="shared" si="42"/>
        <v>43773</v>
      </c>
      <c r="D549" s="160">
        <f>+DAY(Ventas[[#This Row],[FECHA]])</f>
        <v>4</v>
      </c>
      <c r="E549" s="129" t="str">
        <f t="shared" si="44"/>
        <v>lunes</v>
      </c>
      <c r="F549" s="129" t="s">
        <v>624</v>
      </c>
      <c r="G549" s="185">
        <v>7</v>
      </c>
      <c r="H549" s="129"/>
      <c r="I549" s="185"/>
      <c r="J549" s="129"/>
      <c r="K549" s="185"/>
      <c r="L549" s="192"/>
      <c r="M549" s="134">
        <v>600000</v>
      </c>
      <c r="N549" s="127"/>
      <c r="O549" s="127"/>
      <c r="P549" s="148"/>
    </row>
    <row r="550" spans="2:16" x14ac:dyDescent="0.25">
      <c r="B550" s="163"/>
      <c r="C550" s="154">
        <f t="shared" si="42"/>
        <v>43774</v>
      </c>
      <c r="D550" s="160">
        <f>+DAY(Ventas[[#This Row],[FECHA]])</f>
        <v>5</v>
      </c>
      <c r="E550" s="129" t="str">
        <f t="shared" si="44"/>
        <v>martes</v>
      </c>
      <c r="F550" s="129" t="s">
        <v>626</v>
      </c>
      <c r="G550" s="185">
        <v>7</v>
      </c>
      <c r="H550" s="129" t="s">
        <v>357</v>
      </c>
      <c r="I550" s="185"/>
      <c r="J550" s="129"/>
      <c r="K550" s="185"/>
      <c r="L550" s="192"/>
      <c r="M550" s="127">
        <v>194000</v>
      </c>
      <c r="N550" s="127"/>
      <c r="O550" s="127"/>
      <c r="P550" s="148"/>
    </row>
    <row r="551" spans="2:16" x14ac:dyDescent="0.25">
      <c r="B551" s="163"/>
      <c r="C551" s="154">
        <f t="shared" si="42"/>
        <v>43775</v>
      </c>
      <c r="D551" s="160">
        <f>+DAY(Ventas[[#This Row],[FECHA]])</f>
        <v>6</v>
      </c>
      <c r="E551" s="129" t="str">
        <f t="shared" si="44"/>
        <v>miércoles</v>
      </c>
      <c r="F551" s="129" t="s">
        <v>626</v>
      </c>
      <c r="G551" s="185">
        <v>7</v>
      </c>
      <c r="H551" s="129" t="s">
        <v>357</v>
      </c>
      <c r="I551" s="185"/>
      <c r="J551" s="129"/>
      <c r="K551" s="185"/>
      <c r="L551" s="192"/>
      <c r="M551" s="135">
        <v>627000</v>
      </c>
      <c r="N551" s="127"/>
      <c r="O551" s="127"/>
      <c r="P551" s="148"/>
    </row>
    <row r="552" spans="2:16" x14ac:dyDescent="0.25">
      <c r="B552" s="163"/>
      <c r="C552" s="154">
        <f t="shared" si="42"/>
        <v>43776</v>
      </c>
      <c r="D552" s="160">
        <f>+DAY(Ventas[[#This Row],[FECHA]])</f>
        <v>7</v>
      </c>
      <c r="E552" s="129" t="str">
        <f t="shared" si="44"/>
        <v>jueves</v>
      </c>
      <c r="F552" s="129" t="s">
        <v>626</v>
      </c>
      <c r="G552" s="185">
        <v>7</v>
      </c>
      <c r="H552" s="129" t="s">
        <v>357</v>
      </c>
      <c r="I552" s="185"/>
      <c r="J552" s="129"/>
      <c r="K552" s="185"/>
      <c r="L552" s="192"/>
      <c r="M552" s="127">
        <v>332500</v>
      </c>
      <c r="N552" s="127"/>
      <c r="O552" s="127"/>
      <c r="P552" s="148"/>
    </row>
    <row r="553" spans="2:16" x14ac:dyDescent="0.25">
      <c r="B553" s="163"/>
      <c r="C553" s="154">
        <f t="shared" si="42"/>
        <v>43777</v>
      </c>
      <c r="D553" s="160">
        <f>+DAY(Ventas[[#This Row],[FECHA]])</f>
        <v>8</v>
      </c>
      <c r="E553" s="129" t="str">
        <f t="shared" si="44"/>
        <v>viernes</v>
      </c>
      <c r="F553" s="129" t="s">
        <v>624</v>
      </c>
      <c r="G553" s="185">
        <v>7</v>
      </c>
      <c r="H553" s="129" t="s">
        <v>357</v>
      </c>
      <c r="I553" s="185"/>
      <c r="J553" s="129"/>
      <c r="K553" s="185"/>
      <c r="L553" s="192"/>
      <c r="M553" s="127">
        <v>342000</v>
      </c>
      <c r="N553" s="127"/>
      <c r="O553" s="127"/>
      <c r="P553" s="148"/>
    </row>
    <row r="554" spans="2:16" x14ac:dyDescent="0.25">
      <c r="B554" s="163"/>
      <c r="C554" s="154">
        <f t="shared" si="42"/>
        <v>43778</v>
      </c>
      <c r="D554" s="160">
        <f>+DAY(Ventas[[#This Row],[FECHA]])</f>
        <v>9</v>
      </c>
      <c r="E554" s="129" t="str">
        <f t="shared" si="44"/>
        <v>sábado</v>
      </c>
      <c r="F554" s="129" t="s">
        <v>624</v>
      </c>
      <c r="G554" s="185">
        <v>7</v>
      </c>
      <c r="H554" s="129" t="s">
        <v>561</v>
      </c>
      <c r="I554" s="185"/>
      <c r="J554" s="129"/>
      <c r="K554" s="185"/>
      <c r="L554" s="192"/>
      <c r="M554" s="127">
        <f>1350000+175000+40000-13000</f>
        <v>1552000</v>
      </c>
      <c r="N554" s="127"/>
      <c r="O554" s="127"/>
      <c r="P554" s="148"/>
    </row>
    <row r="555" spans="2:16" x14ac:dyDescent="0.25">
      <c r="B555" s="163"/>
      <c r="C555" s="154">
        <f t="shared" si="42"/>
        <v>43779</v>
      </c>
      <c r="D555" s="160">
        <f>+DAY(Ventas[[#This Row],[FECHA]])</f>
        <v>10</v>
      </c>
      <c r="E555" s="129" t="str">
        <f t="shared" si="44"/>
        <v>domingo</v>
      </c>
      <c r="F555" s="129" t="s">
        <v>624</v>
      </c>
      <c r="G555" s="185">
        <v>7</v>
      </c>
      <c r="H555" s="129" t="s">
        <v>561</v>
      </c>
      <c r="I555" s="185"/>
      <c r="J555" s="129"/>
      <c r="K555" s="185"/>
      <c r="L555" s="192"/>
      <c r="M555" s="127">
        <f>950000+240000+500000</f>
        <v>1690000</v>
      </c>
      <c r="N555" s="127"/>
      <c r="O555" s="127"/>
      <c r="P555" s="148"/>
    </row>
    <row r="556" spans="2:16" x14ac:dyDescent="0.25">
      <c r="B556" s="163"/>
      <c r="C556" s="154">
        <f t="shared" si="42"/>
        <v>43780</v>
      </c>
      <c r="D556" s="160">
        <f>+DAY(Ventas[[#This Row],[FECHA]])</f>
        <v>11</v>
      </c>
      <c r="E556" s="129" t="str">
        <f t="shared" si="44"/>
        <v>lunes</v>
      </c>
      <c r="F556" s="129" t="s">
        <v>624</v>
      </c>
      <c r="G556" s="185">
        <v>8</v>
      </c>
      <c r="H556" s="129" t="s">
        <v>357</v>
      </c>
      <c r="I556" s="185"/>
      <c r="J556" s="129"/>
      <c r="K556" s="185"/>
      <c r="L556" s="192"/>
      <c r="M556" s="127">
        <v>700000</v>
      </c>
      <c r="N556" s="127"/>
      <c r="O556" s="127"/>
      <c r="P556" s="148"/>
    </row>
    <row r="557" spans="2:16" x14ac:dyDescent="0.25">
      <c r="B557" s="163"/>
      <c r="C557" s="154">
        <f t="shared" si="42"/>
        <v>43781</v>
      </c>
      <c r="D557" s="160">
        <f>+DAY(Ventas[[#This Row],[FECHA]])</f>
        <v>12</v>
      </c>
      <c r="E557" s="129" t="str">
        <f t="shared" si="44"/>
        <v>martes</v>
      </c>
      <c r="F557" s="129" t="s">
        <v>626</v>
      </c>
      <c r="G557" s="185">
        <v>8</v>
      </c>
      <c r="H557" s="129" t="s">
        <v>357</v>
      </c>
      <c r="I557" s="185"/>
      <c r="J557" s="129"/>
      <c r="K557" s="185"/>
      <c r="L557" s="192"/>
      <c r="M557" s="127">
        <v>122000</v>
      </c>
      <c r="N557" s="127"/>
      <c r="O557" s="127"/>
      <c r="P557" s="148"/>
    </row>
    <row r="558" spans="2:16" x14ac:dyDescent="0.25">
      <c r="B558" s="164"/>
      <c r="C558" s="154">
        <f t="shared" si="42"/>
        <v>43782</v>
      </c>
      <c r="D558" s="160">
        <f>+DAY(Ventas[[#This Row],[FECHA]])</f>
        <v>13</v>
      </c>
      <c r="E558" s="129" t="str">
        <f t="shared" ref="E558" si="45">+TEXT(C558,"dddd")</f>
        <v>miércoles</v>
      </c>
      <c r="F558" s="129" t="s">
        <v>626</v>
      </c>
      <c r="G558" s="185">
        <v>8</v>
      </c>
      <c r="H558" s="129" t="s">
        <v>357</v>
      </c>
      <c r="I558" s="185"/>
      <c r="J558" s="129"/>
      <c r="K558" s="185"/>
      <c r="L558" s="192"/>
      <c r="M558" s="127">
        <v>165000</v>
      </c>
      <c r="N558" s="127"/>
      <c r="O558" s="127"/>
      <c r="P558" s="148"/>
    </row>
    <row r="559" spans="2:16" x14ac:dyDescent="0.25">
      <c r="B559" s="164"/>
      <c r="C559" s="154">
        <f t="shared" si="42"/>
        <v>43783</v>
      </c>
      <c r="D559" s="375">
        <f>+DAY(Ventas[[#This Row],[FECHA]])</f>
        <v>14</v>
      </c>
      <c r="E559" s="154" t="str">
        <f t="shared" ref="E559:E561" si="46">+TEXT(C559,"dddd")</f>
        <v>jueves</v>
      </c>
      <c r="F559" s="154" t="s">
        <v>626</v>
      </c>
      <c r="G559" s="185">
        <v>8</v>
      </c>
      <c r="H559" s="129" t="s">
        <v>357</v>
      </c>
      <c r="I559" s="191"/>
      <c r="J559" s="154"/>
      <c r="K559" s="191"/>
      <c r="L559" s="193"/>
      <c r="M559" s="156">
        <v>61000</v>
      </c>
      <c r="N559" s="156"/>
      <c r="O559" s="156"/>
      <c r="P559" s="157"/>
    </row>
    <row r="560" spans="2:16" x14ac:dyDescent="0.25">
      <c r="B560" s="164"/>
      <c r="C560" s="154">
        <f t="shared" si="42"/>
        <v>43784</v>
      </c>
      <c r="D560" s="375">
        <f>+DAY(Ventas[[#This Row],[FECHA]])</f>
        <v>15</v>
      </c>
      <c r="E560" s="154" t="str">
        <f t="shared" si="46"/>
        <v>viernes</v>
      </c>
      <c r="F560" s="129" t="s">
        <v>624</v>
      </c>
      <c r="G560" s="185">
        <v>8</v>
      </c>
      <c r="H560" s="129" t="s">
        <v>357</v>
      </c>
      <c r="I560" s="191"/>
      <c r="J560" s="154"/>
      <c r="K560" s="191"/>
      <c r="L560" s="193"/>
      <c r="M560" s="376">
        <f>(12.5+51+8+4+18+17+12+17+24+8+12+29+12.5+10)*1000</f>
        <v>235000</v>
      </c>
      <c r="N560" s="156"/>
      <c r="O560" s="156"/>
      <c r="P560" s="157"/>
    </row>
    <row r="561" spans="2:16" x14ac:dyDescent="0.25">
      <c r="B561" s="164"/>
      <c r="C561" s="154">
        <f t="shared" si="42"/>
        <v>43785</v>
      </c>
      <c r="D561" s="375">
        <f>+DAY(Ventas[[#This Row],[FECHA]])</f>
        <v>16</v>
      </c>
      <c r="E561" s="154" t="str">
        <f t="shared" si="46"/>
        <v>sábado</v>
      </c>
      <c r="F561" s="129" t="s">
        <v>624</v>
      </c>
      <c r="G561" s="185">
        <v>8</v>
      </c>
      <c r="H561" s="129" t="s">
        <v>561</v>
      </c>
      <c r="I561" s="191"/>
      <c r="J561" s="154"/>
      <c r="K561" s="191"/>
      <c r="L561" s="193"/>
      <c r="M561" s="156">
        <f>378000+433500</f>
        <v>811500</v>
      </c>
      <c r="N561" s="156"/>
      <c r="O561" s="156"/>
      <c r="P561" s="157"/>
    </row>
    <row r="562" spans="2:16" x14ac:dyDescent="0.25">
      <c r="B562" s="164"/>
      <c r="C562" s="154">
        <f t="shared" si="42"/>
        <v>43786</v>
      </c>
      <c r="D562" s="375">
        <f>+DAY(Ventas[[#This Row],[FECHA]])</f>
        <v>17</v>
      </c>
      <c r="E562" s="154" t="str">
        <f t="shared" ref="E562" si="47">+TEXT(C562,"dddd")</f>
        <v>domingo</v>
      </c>
      <c r="F562" s="129" t="s">
        <v>624</v>
      </c>
      <c r="G562" s="185">
        <v>8</v>
      </c>
      <c r="H562" s="154" t="s">
        <v>561</v>
      </c>
      <c r="I562" s="191"/>
      <c r="J562" s="154"/>
      <c r="K562" s="191"/>
      <c r="L562" s="193"/>
      <c r="M562" s="156">
        <f>+((63+45+40+30+38+20+30+36+39+37+70+70+12+32.5+40)+(84+70.5+24+127+5+33+42+102+20+60+57.5+37.4+36))*1000</f>
        <v>1300900</v>
      </c>
      <c r="N562" s="156"/>
      <c r="O562" s="156"/>
      <c r="P562" s="157"/>
    </row>
    <row r="563" spans="2:16" x14ac:dyDescent="0.25">
      <c r="B563" s="164"/>
      <c r="C563" s="154">
        <f t="shared" si="42"/>
        <v>43787</v>
      </c>
      <c r="D563" s="375">
        <f>+DAY(Ventas[[#This Row],[FECHA]])</f>
        <v>18</v>
      </c>
      <c r="E563" s="154" t="str">
        <f t="shared" ref="E563" si="48">+TEXT(C563,"dddd")</f>
        <v>lunes</v>
      </c>
      <c r="F563" s="154" t="s">
        <v>626</v>
      </c>
      <c r="G563" s="185">
        <v>9</v>
      </c>
      <c r="H563" s="154" t="s">
        <v>221</v>
      </c>
      <c r="I563" s="191"/>
      <c r="J563" s="154"/>
      <c r="K563" s="191"/>
      <c r="L563" s="193"/>
      <c r="M563" s="382">
        <v>350000</v>
      </c>
      <c r="N563" s="382"/>
      <c r="O563" s="382"/>
      <c r="P563" s="383"/>
    </row>
    <row r="564" spans="2:16" x14ac:dyDescent="0.25">
      <c r="B564" s="163"/>
      <c r="C564" s="154">
        <f t="shared" si="42"/>
        <v>43788</v>
      </c>
      <c r="D564" s="375">
        <f>+DAY(Ventas[[#This Row],[FECHA]])</f>
        <v>19</v>
      </c>
      <c r="E564" s="154" t="str">
        <f t="shared" ref="E564:E569" si="49">+TEXT(C564,"dddd")</f>
        <v>martes</v>
      </c>
      <c r="F564" s="154" t="s">
        <v>626</v>
      </c>
      <c r="G564" s="185">
        <v>9</v>
      </c>
      <c r="H564" s="154" t="s">
        <v>221</v>
      </c>
      <c r="I564" s="185"/>
      <c r="J564" s="129"/>
      <c r="K564" s="185"/>
      <c r="L564" s="192"/>
      <c r="M564" s="135">
        <v>220000</v>
      </c>
      <c r="N564" s="127"/>
      <c r="O564" s="127"/>
      <c r="P564" s="148"/>
    </row>
    <row r="565" spans="2:16" x14ac:dyDescent="0.25">
      <c r="B565" s="163"/>
      <c r="C565" s="154">
        <f t="shared" si="42"/>
        <v>43789</v>
      </c>
      <c r="D565" s="375">
        <f>+DAY(Ventas[[#This Row],[FECHA]])</f>
        <v>20</v>
      </c>
      <c r="E565" s="154" t="str">
        <f t="shared" si="49"/>
        <v>miércoles</v>
      </c>
      <c r="F565" s="154" t="s">
        <v>626</v>
      </c>
      <c r="G565" s="185">
        <v>9</v>
      </c>
      <c r="H565" s="154" t="s">
        <v>221</v>
      </c>
      <c r="I565" s="185"/>
      <c r="J565" s="129"/>
      <c r="K565" s="185"/>
      <c r="L565" s="192"/>
      <c r="M565" s="127">
        <v>320000</v>
      </c>
      <c r="N565" s="127"/>
      <c r="O565" s="127"/>
      <c r="P565" s="148"/>
    </row>
    <row r="566" spans="2:16" x14ac:dyDescent="0.25">
      <c r="B566" s="163"/>
      <c r="C566" s="154">
        <f t="shared" si="42"/>
        <v>43790</v>
      </c>
      <c r="D566" s="375">
        <f>+DAY(Ventas[[#This Row],[FECHA]])</f>
        <v>21</v>
      </c>
      <c r="E566" s="154" t="str">
        <f t="shared" si="49"/>
        <v>jueves</v>
      </c>
      <c r="F566" s="154" t="s">
        <v>626</v>
      </c>
      <c r="G566" s="185">
        <v>9</v>
      </c>
      <c r="H566" s="154" t="s">
        <v>221</v>
      </c>
      <c r="I566" s="185"/>
      <c r="J566" s="129"/>
      <c r="K566" s="185"/>
      <c r="L566" s="192"/>
      <c r="M566" s="127">
        <v>216500</v>
      </c>
      <c r="N566" s="127"/>
      <c r="O566" s="127"/>
      <c r="P566" s="148"/>
    </row>
    <row r="567" spans="2:16" x14ac:dyDescent="0.25">
      <c r="B567" s="163"/>
      <c r="C567" s="154">
        <f t="shared" si="42"/>
        <v>43791</v>
      </c>
      <c r="D567" s="375">
        <f>+DAY(Ventas[[#This Row],[FECHA]])</f>
        <v>22</v>
      </c>
      <c r="E567" s="154" t="str">
        <f t="shared" si="49"/>
        <v>viernes</v>
      </c>
      <c r="F567" s="129" t="s">
        <v>624</v>
      </c>
      <c r="G567" s="185">
        <v>9</v>
      </c>
      <c r="H567" s="154" t="s">
        <v>386</v>
      </c>
      <c r="I567" s="185"/>
      <c r="J567" s="129"/>
      <c r="K567" s="185"/>
      <c r="L567" s="192"/>
      <c r="M567" s="127">
        <v>122000</v>
      </c>
      <c r="N567" s="127"/>
      <c r="O567" s="127"/>
      <c r="P567" s="148"/>
    </row>
    <row r="568" spans="2:16" x14ac:dyDescent="0.25">
      <c r="B568" s="163"/>
      <c r="C568" s="154">
        <v>43791</v>
      </c>
      <c r="D568" s="375">
        <v>22</v>
      </c>
      <c r="E568" s="154" t="s">
        <v>336</v>
      </c>
      <c r="F568" s="129" t="s">
        <v>624</v>
      </c>
      <c r="G568" s="185">
        <v>9</v>
      </c>
      <c r="H568" s="154" t="s">
        <v>646</v>
      </c>
      <c r="I568" s="185"/>
      <c r="J568" s="129"/>
      <c r="K568" s="185"/>
      <c r="L568" s="192"/>
      <c r="M568" s="127">
        <v>64000</v>
      </c>
      <c r="N568" s="127"/>
      <c r="O568" s="127"/>
      <c r="P568" s="148"/>
    </row>
    <row r="569" spans="2:16" x14ac:dyDescent="0.25">
      <c r="B569" s="163"/>
      <c r="C569" s="154">
        <f>+C567+1</f>
        <v>43792</v>
      </c>
      <c r="D569" s="375">
        <f>+DAY(Ventas[[#This Row],[FECHA]])</f>
        <v>23</v>
      </c>
      <c r="E569" s="154" t="str">
        <f t="shared" si="49"/>
        <v>sábado</v>
      </c>
      <c r="F569" s="129" t="s">
        <v>624</v>
      </c>
      <c r="G569" s="185">
        <v>9</v>
      </c>
      <c r="H569" s="154" t="s">
        <v>221</v>
      </c>
      <c r="I569" s="185"/>
      <c r="J569" s="129"/>
      <c r="K569" s="185"/>
      <c r="L569" s="192"/>
      <c r="M569" s="127">
        <v>587500</v>
      </c>
      <c r="N569" s="127"/>
      <c r="O569" s="127"/>
      <c r="P569" s="148"/>
    </row>
    <row r="570" spans="2:16" x14ac:dyDescent="0.25">
      <c r="B570" s="164"/>
      <c r="C570" s="154">
        <f t="shared" si="42"/>
        <v>43793</v>
      </c>
      <c r="D570" s="375">
        <f>+DAY(Ventas[[#This Row],[FECHA]])</f>
        <v>24</v>
      </c>
      <c r="E570" s="154" t="str">
        <f t="shared" ref="E570:E573" si="50">+TEXT(C570,"dddd")</f>
        <v>domingo</v>
      </c>
      <c r="F570" s="129" t="s">
        <v>624</v>
      </c>
      <c r="G570" s="185">
        <v>9</v>
      </c>
      <c r="H570" s="154" t="s">
        <v>221</v>
      </c>
      <c r="I570" s="191"/>
      <c r="J570" s="154"/>
      <c r="K570" s="191"/>
      <c r="L570" s="193"/>
      <c r="M570" s="156">
        <f>50000+500000+410000</f>
        <v>960000</v>
      </c>
      <c r="N570" s="156"/>
      <c r="O570" s="156"/>
      <c r="P570" s="157"/>
    </row>
    <row r="571" spans="2:16" x14ac:dyDescent="0.25">
      <c r="B571" s="163"/>
      <c r="C571" s="129">
        <f t="shared" ref="C571:C628" si="51">+C570+1</f>
        <v>43794</v>
      </c>
      <c r="D571" s="160">
        <f>+DAY(C571)</f>
        <v>25</v>
      </c>
      <c r="E571" s="129" t="str">
        <f t="shared" si="50"/>
        <v>lunes</v>
      </c>
      <c r="F571" s="129" t="s">
        <v>626</v>
      </c>
      <c r="G571" s="185">
        <v>10</v>
      </c>
      <c r="H571" s="129" t="s">
        <v>221</v>
      </c>
      <c r="I571" s="185"/>
      <c r="J571" s="129"/>
      <c r="K571" s="185"/>
      <c r="L571" s="192"/>
      <c r="M571" s="127">
        <v>500000</v>
      </c>
      <c r="N571" s="127"/>
      <c r="O571" s="127"/>
      <c r="P571" s="148"/>
    </row>
    <row r="572" spans="2:16" x14ac:dyDescent="0.25">
      <c r="B572" s="163"/>
      <c r="C572" s="129">
        <f t="shared" si="51"/>
        <v>43795</v>
      </c>
      <c r="D572" s="160">
        <f t="shared" ref="D572:D577" si="52">+DAY(C572)</f>
        <v>26</v>
      </c>
      <c r="E572" s="129" t="str">
        <f t="shared" si="50"/>
        <v>martes</v>
      </c>
      <c r="F572" s="129" t="s">
        <v>626</v>
      </c>
      <c r="G572" s="185">
        <v>10</v>
      </c>
      <c r="H572" s="129" t="s">
        <v>221</v>
      </c>
      <c r="I572" s="185"/>
      <c r="J572" s="129"/>
      <c r="K572" s="185"/>
      <c r="L572" s="192"/>
      <c r="M572" s="127">
        <v>400000</v>
      </c>
      <c r="N572" s="127"/>
      <c r="O572" s="127"/>
      <c r="P572" s="148"/>
    </row>
    <row r="573" spans="2:16" x14ac:dyDescent="0.25">
      <c r="B573" s="163"/>
      <c r="C573" s="129">
        <f t="shared" si="51"/>
        <v>43796</v>
      </c>
      <c r="D573" s="160">
        <f t="shared" si="52"/>
        <v>27</v>
      </c>
      <c r="E573" s="129" t="str">
        <f t="shared" si="50"/>
        <v>miércoles</v>
      </c>
      <c r="F573" s="129" t="s">
        <v>626</v>
      </c>
      <c r="G573" s="185">
        <v>10</v>
      </c>
      <c r="H573" s="129" t="s">
        <v>221</v>
      </c>
      <c r="I573" s="185"/>
      <c r="J573" s="129"/>
      <c r="K573" s="185"/>
      <c r="L573" s="192"/>
      <c r="M573" s="127">
        <v>210000</v>
      </c>
      <c r="N573" s="127"/>
      <c r="O573" s="127"/>
      <c r="P573" s="148"/>
    </row>
    <row r="574" spans="2:16" x14ac:dyDescent="0.25">
      <c r="B574" s="163"/>
      <c r="C574" s="129">
        <f t="shared" si="51"/>
        <v>43797</v>
      </c>
      <c r="D574" s="160">
        <f t="shared" si="52"/>
        <v>28</v>
      </c>
      <c r="E574" s="129" t="str">
        <f t="shared" ref="E574" si="53">+TEXT(C574,"dddd")</f>
        <v>jueves</v>
      </c>
      <c r="F574" s="129" t="s">
        <v>626</v>
      </c>
      <c r="G574" s="185">
        <v>10</v>
      </c>
      <c r="H574" s="129" t="s">
        <v>221</v>
      </c>
      <c r="I574" s="185"/>
      <c r="J574" s="129"/>
      <c r="K574" s="185"/>
      <c r="L574" s="192"/>
      <c r="M574" s="127">
        <v>200000</v>
      </c>
      <c r="N574" s="127"/>
      <c r="O574" s="127"/>
      <c r="P574" s="148"/>
    </row>
    <row r="575" spans="2:16" x14ac:dyDescent="0.25">
      <c r="B575" s="163"/>
      <c r="C575" s="129">
        <f t="shared" si="51"/>
        <v>43798</v>
      </c>
      <c r="D575" s="160">
        <f t="shared" si="52"/>
        <v>29</v>
      </c>
      <c r="E575" s="129" t="str">
        <f t="shared" ref="E575" si="54">+TEXT(C575,"dddd")</f>
        <v>viernes</v>
      </c>
      <c r="F575" s="129" t="s">
        <v>624</v>
      </c>
      <c r="G575" s="185">
        <v>10</v>
      </c>
      <c r="H575" s="129" t="s">
        <v>221</v>
      </c>
      <c r="I575" s="185"/>
      <c r="J575" s="129"/>
      <c r="K575" s="185"/>
      <c r="L575" s="192"/>
      <c r="M575" s="127">
        <v>400000</v>
      </c>
      <c r="N575" s="127"/>
      <c r="O575" s="127"/>
      <c r="P575" s="148"/>
    </row>
    <row r="576" spans="2:16" x14ac:dyDescent="0.25">
      <c r="B576" s="163"/>
      <c r="C576" s="129">
        <f t="shared" si="51"/>
        <v>43799</v>
      </c>
      <c r="D576" s="160">
        <f t="shared" si="52"/>
        <v>30</v>
      </c>
      <c r="E576" s="129" t="str">
        <f t="shared" ref="E576:E577" si="55">+TEXT(C576,"dddd")</f>
        <v>sábado</v>
      </c>
      <c r="F576" s="129" t="s">
        <v>624</v>
      </c>
      <c r="G576" s="185">
        <v>10</v>
      </c>
      <c r="H576" s="129" t="s">
        <v>221</v>
      </c>
      <c r="I576" s="185"/>
      <c r="J576" s="129"/>
      <c r="K576" s="185"/>
      <c r="L576" s="192"/>
      <c r="M576" s="127">
        <v>900000</v>
      </c>
      <c r="N576" s="127"/>
      <c r="O576" s="127"/>
      <c r="P576" s="148"/>
    </row>
    <row r="577" spans="2:16" x14ac:dyDescent="0.25">
      <c r="B577" s="164"/>
      <c r="C577" s="154">
        <f t="shared" si="51"/>
        <v>43800</v>
      </c>
      <c r="D577" s="375">
        <f t="shared" si="52"/>
        <v>1</v>
      </c>
      <c r="E577" s="154" t="str">
        <f t="shared" si="55"/>
        <v>domingo</v>
      </c>
      <c r="F577" s="129" t="s">
        <v>624</v>
      </c>
      <c r="G577" s="185">
        <v>10</v>
      </c>
      <c r="H577" s="154" t="s">
        <v>221</v>
      </c>
      <c r="I577" s="191"/>
      <c r="J577" s="154"/>
      <c r="K577" s="191"/>
      <c r="L577" s="193"/>
      <c r="M577" s="156">
        <v>1500000</v>
      </c>
      <c r="N577" s="156"/>
      <c r="O577" s="156"/>
      <c r="P577" s="157"/>
    </row>
    <row r="578" spans="2:16" x14ac:dyDescent="0.25">
      <c r="B578" s="163"/>
      <c r="C578" s="129">
        <f t="shared" si="51"/>
        <v>43801</v>
      </c>
      <c r="D578" s="160">
        <f t="shared" ref="D578" si="56">+DAY(C578)</f>
        <v>2</v>
      </c>
      <c r="E578" s="129" t="str">
        <f t="shared" ref="E578" si="57">+TEXT(C578,"dddd")</f>
        <v>lunes</v>
      </c>
      <c r="F578" s="129" t="s">
        <v>626</v>
      </c>
      <c r="G578" s="393">
        <v>11</v>
      </c>
      <c r="H578" s="129" t="s">
        <v>221</v>
      </c>
      <c r="I578" s="185"/>
      <c r="J578" s="129"/>
      <c r="K578" s="185"/>
      <c r="L578" s="192"/>
      <c r="M578" s="392">
        <v>250000</v>
      </c>
      <c r="N578" s="127"/>
      <c r="O578" s="127"/>
      <c r="P578" s="148"/>
    </row>
    <row r="579" spans="2:16" x14ac:dyDescent="0.25">
      <c r="B579" s="163"/>
      <c r="C579" s="129">
        <f t="shared" si="51"/>
        <v>43802</v>
      </c>
      <c r="D579" s="160">
        <f t="shared" ref="D579:D583" si="58">+DAY(C579)</f>
        <v>3</v>
      </c>
      <c r="E579" s="129" t="str">
        <f t="shared" ref="E579:E583" si="59">+TEXT(C579,"dddd")</f>
        <v>martes</v>
      </c>
      <c r="F579" s="129" t="s">
        <v>626</v>
      </c>
      <c r="G579" s="393">
        <v>11</v>
      </c>
      <c r="H579" s="129" t="s">
        <v>221</v>
      </c>
      <c r="I579" s="185"/>
      <c r="J579" s="129"/>
      <c r="K579" s="185"/>
      <c r="L579" s="192"/>
      <c r="M579" s="392">
        <v>120000</v>
      </c>
      <c r="N579" s="127"/>
      <c r="O579" s="127"/>
      <c r="P579" s="148"/>
    </row>
    <row r="580" spans="2:16" x14ac:dyDescent="0.25">
      <c r="B580" s="163"/>
      <c r="C580" s="129">
        <f t="shared" si="51"/>
        <v>43803</v>
      </c>
      <c r="D580" s="160">
        <f t="shared" si="58"/>
        <v>4</v>
      </c>
      <c r="E580" s="129" t="str">
        <f t="shared" si="59"/>
        <v>miércoles</v>
      </c>
      <c r="F580" s="129" t="s">
        <v>626</v>
      </c>
      <c r="G580" s="393">
        <v>11</v>
      </c>
      <c r="H580" s="129" t="s">
        <v>221</v>
      </c>
      <c r="I580" s="185"/>
      <c r="J580" s="129"/>
      <c r="K580" s="185"/>
      <c r="L580" s="192"/>
      <c r="M580" s="392">
        <v>180000</v>
      </c>
      <c r="N580" s="127"/>
      <c r="O580" s="127"/>
      <c r="P580" s="148"/>
    </row>
    <row r="581" spans="2:16" x14ac:dyDescent="0.25">
      <c r="B581" s="163"/>
      <c r="C581" s="129">
        <f t="shared" si="51"/>
        <v>43804</v>
      </c>
      <c r="D581" s="160">
        <f t="shared" si="58"/>
        <v>5</v>
      </c>
      <c r="E581" s="129" t="str">
        <f t="shared" si="59"/>
        <v>jueves</v>
      </c>
      <c r="F581" s="129" t="s">
        <v>626</v>
      </c>
      <c r="G581" s="393">
        <v>11</v>
      </c>
      <c r="H581" s="129" t="s">
        <v>221</v>
      </c>
      <c r="I581" s="185"/>
      <c r="J581" s="129"/>
      <c r="K581" s="185"/>
      <c r="L581" s="192"/>
      <c r="M581" s="127">
        <v>250000</v>
      </c>
      <c r="N581" s="127"/>
      <c r="O581" s="127"/>
      <c r="P581" s="148"/>
    </row>
    <row r="582" spans="2:16" x14ac:dyDescent="0.25">
      <c r="B582" s="163"/>
      <c r="C582" s="129">
        <f t="shared" si="51"/>
        <v>43805</v>
      </c>
      <c r="D582" s="160">
        <f t="shared" si="58"/>
        <v>6</v>
      </c>
      <c r="E582" s="129" t="str">
        <f t="shared" si="59"/>
        <v>viernes</v>
      </c>
      <c r="F582" s="129" t="s">
        <v>624</v>
      </c>
      <c r="G582" s="393">
        <v>11</v>
      </c>
      <c r="H582" s="129" t="s">
        <v>221</v>
      </c>
      <c r="I582" s="185"/>
      <c r="J582" s="129"/>
      <c r="K582" s="185"/>
      <c r="L582" s="192"/>
      <c r="M582" s="127">
        <v>220000</v>
      </c>
      <c r="N582" s="127"/>
      <c r="O582" s="127"/>
      <c r="P582" s="148"/>
    </row>
    <row r="583" spans="2:16" x14ac:dyDescent="0.25">
      <c r="B583" s="163"/>
      <c r="C583" s="129">
        <f t="shared" si="51"/>
        <v>43806</v>
      </c>
      <c r="D583" s="160">
        <f t="shared" si="58"/>
        <v>7</v>
      </c>
      <c r="E583" s="129" t="str">
        <f t="shared" si="59"/>
        <v>sábado</v>
      </c>
      <c r="F583" s="129" t="s">
        <v>624</v>
      </c>
      <c r="G583" s="393">
        <v>11</v>
      </c>
      <c r="H583" s="129" t="s">
        <v>221</v>
      </c>
      <c r="I583" s="185"/>
      <c r="J583" s="129"/>
      <c r="K583" s="185"/>
      <c r="L583" s="192"/>
      <c r="M583" s="127">
        <v>900000</v>
      </c>
      <c r="N583" s="127"/>
      <c r="O583" s="127"/>
      <c r="P583" s="148"/>
    </row>
    <row r="584" spans="2:16" x14ac:dyDescent="0.25">
      <c r="B584" s="164"/>
      <c r="C584" s="154">
        <f t="shared" si="51"/>
        <v>43807</v>
      </c>
      <c r="D584" s="375">
        <f t="shared" ref="D584" si="60">+DAY(C584)</f>
        <v>8</v>
      </c>
      <c r="E584" s="154" t="str">
        <f t="shared" ref="E584" si="61">+TEXT(C584,"dddd")</f>
        <v>domingo</v>
      </c>
      <c r="F584" s="154" t="s">
        <v>624</v>
      </c>
      <c r="G584" s="393">
        <v>11</v>
      </c>
      <c r="H584" s="154" t="s">
        <v>221</v>
      </c>
      <c r="I584" s="191"/>
      <c r="J584" s="154"/>
      <c r="K584" s="191"/>
      <c r="L584" s="193"/>
      <c r="M584" s="156">
        <v>1200000</v>
      </c>
      <c r="N584" s="156"/>
      <c r="O584" s="156"/>
      <c r="P584" s="157"/>
    </row>
    <row r="585" spans="2:16" x14ac:dyDescent="0.25">
      <c r="B585" s="163"/>
      <c r="C585" s="129">
        <f t="shared" si="51"/>
        <v>43808</v>
      </c>
      <c r="D585" s="160">
        <f t="shared" ref="D585" si="62">+DAY(C585)</f>
        <v>9</v>
      </c>
      <c r="E585" s="129" t="str">
        <f t="shared" ref="E585" si="63">+TEXT(C585,"dddd")</f>
        <v>lunes</v>
      </c>
      <c r="F585" s="129" t="s">
        <v>626</v>
      </c>
      <c r="G585" s="393">
        <v>12</v>
      </c>
      <c r="H585" s="129" t="s">
        <v>221</v>
      </c>
      <c r="I585" s="185"/>
      <c r="J585" s="129"/>
      <c r="K585" s="185"/>
      <c r="L585" s="192"/>
      <c r="M585" s="127">
        <v>140000</v>
      </c>
      <c r="N585" s="127"/>
      <c r="O585" s="127"/>
      <c r="P585" s="148"/>
    </row>
    <row r="586" spans="2:16" x14ac:dyDescent="0.25">
      <c r="B586" s="163"/>
      <c r="C586" s="129">
        <f t="shared" si="51"/>
        <v>43809</v>
      </c>
      <c r="D586" s="160">
        <f t="shared" ref="D586" si="64">+DAY(C586)</f>
        <v>10</v>
      </c>
      <c r="E586" s="129" t="str">
        <f t="shared" ref="E586" si="65">+TEXT(C586,"dddd")</f>
        <v>martes</v>
      </c>
      <c r="F586" s="129" t="s">
        <v>626</v>
      </c>
      <c r="G586" s="393">
        <v>12</v>
      </c>
      <c r="H586" s="129" t="s">
        <v>221</v>
      </c>
      <c r="I586" s="185"/>
      <c r="J586" s="129"/>
      <c r="K586" s="185"/>
      <c r="L586" s="192"/>
      <c r="M586" s="127">
        <v>0</v>
      </c>
      <c r="N586" s="127"/>
      <c r="O586" s="127"/>
      <c r="P586" s="148"/>
    </row>
    <row r="587" spans="2:16" x14ac:dyDescent="0.25">
      <c r="B587" s="163"/>
      <c r="C587" s="129">
        <f t="shared" si="51"/>
        <v>43810</v>
      </c>
      <c r="D587" s="160">
        <f t="shared" ref="D587" si="66">+DAY(C587)</f>
        <v>11</v>
      </c>
      <c r="E587" s="129" t="str">
        <f t="shared" ref="E587" si="67">+TEXT(C587,"dddd")</f>
        <v>miércoles</v>
      </c>
      <c r="F587" s="129" t="s">
        <v>626</v>
      </c>
      <c r="G587" s="393">
        <v>12</v>
      </c>
      <c r="H587" s="129" t="s">
        <v>221</v>
      </c>
      <c r="I587" s="185"/>
      <c r="J587" s="129"/>
      <c r="K587" s="185"/>
      <c r="L587" s="192"/>
      <c r="M587" s="127">
        <v>220000</v>
      </c>
      <c r="N587" s="127"/>
      <c r="O587" s="127"/>
      <c r="P587" s="148"/>
    </row>
    <row r="588" spans="2:16" x14ac:dyDescent="0.25">
      <c r="B588" s="163"/>
      <c r="C588" s="129">
        <f t="shared" si="51"/>
        <v>43811</v>
      </c>
      <c r="D588" s="160">
        <f t="shared" ref="D588" si="68">+DAY(C588)</f>
        <v>12</v>
      </c>
      <c r="E588" s="129" t="str">
        <f t="shared" ref="E588" si="69">+TEXT(C588,"dddd")</f>
        <v>jueves</v>
      </c>
      <c r="F588" s="129" t="s">
        <v>626</v>
      </c>
      <c r="G588" s="393">
        <v>12</v>
      </c>
      <c r="H588" s="129" t="s">
        <v>221</v>
      </c>
      <c r="I588" s="185"/>
      <c r="J588" s="129"/>
      <c r="K588" s="185"/>
      <c r="L588" s="192"/>
      <c r="M588" s="127">
        <v>400000</v>
      </c>
      <c r="N588" s="127"/>
      <c r="O588" s="127"/>
      <c r="P588" s="148"/>
    </row>
    <row r="589" spans="2:16" x14ac:dyDescent="0.25">
      <c r="B589" s="163"/>
      <c r="C589" s="129">
        <f t="shared" si="51"/>
        <v>43812</v>
      </c>
      <c r="D589" s="160">
        <f t="shared" ref="D589:D591" si="70">+DAY(C589)</f>
        <v>13</v>
      </c>
      <c r="E589" s="129" t="str">
        <f t="shared" ref="E589:E591" si="71">+TEXT(C589,"dddd")</f>
        <v>viernes</v>
      </c>
      <c r="F589" s="129" t="s">
        <v>624</v>
      </c>
      <c r="G589" s="393">
        <v>12</v>
      </c>
      <c r="H589" s="129" t="s">
        <v>221</v>
      </c>
      <c r="I589" s="185"/>
      <c r="J589" s="129"/>
      <c r="K589" s="185"/>
      <c r="L589" s="192"/>
      <c r="M589" s="127">
        <v>350000</v>
      </c>
      <c r="N589" s="127"/>
      <c r="O589" s="127"/>
      <c r="P589" s="148"/>
    </row>
    <row r="590" spans="2:16" x14ac:dyDescent="0.25">
      <c r="B590" s="163"/>
      <c r="C590" s="129">
        <f t="shared" si="51"/>
        <v>43813</v>
      </c>
      <c r="D590" s="160">
        <f t="shared" si="70"/>
        <v>14</v>
      </c>
      <c r="E590" s="129" t="str">
        <f t="shared" si="71"/>
        <v>sábado</v>
      </c>
      <c r="F590" s="129" t="s">
        <v>624</v>
      </c>
      <c r="G590" s="393">
        <v>12</v>
      </c>
      <c r="H590" s="129" t="s">
        <v>221</v>
      </c>
      <c r="I590" s="185"/>
      <c r="J590" s="129"/>
      <c r="K590" s="185"/>
      <c r="L590" s="192"/>
      <c r="M590" s="127">
        <v>900000</v>
      </c>
      <c r="N590" s="127"/>
      <c r="O590" s="127"/>
      <c r="P590" s="148"/>
    </row>
    <row r="591" spans="2:16" x14ac:dyDescent="0.25">
      <c r="B591" s="163"/>
      <c r="C591" s="129">
        <f t="shared" si="51"/>
        <v>43814</v>
      </c>
      <c r="D591" s="160">
        <f t="shared" si="70"/>
        <v>15</v>
      </c>
      <c r="E591" s="129" t="str">
        <f t="shared" si="71"/>
        <v>domingo</v>
      </c>
      <c r="F591" s="129" t="s">
        <v>624</v>
      </c>
      <c r="G591" s="393">
        <v>12</v>
      </c>
      <c r="H591" s="129" t="s">
        <v>221</v>
      </c>
      <c r="I591" s="185"/>
      <c r="J591" s="129"/>
      <c r="K591" s="185"/>
      <c r="L591" s="192"/>
      <c r="M591" s="127">
        <v>800000</v>
      </c>
      <c r="N591" s="127"/>
      <c r="O591" s="127"/>
      <c r="P591" s="148"/>
    </row>
    <row r="592" spans="2:16" x14ac:dyDescent="0.25">
      <c r="B592" s="163"/>
      <c r="C592" s="129">
        <f t="shared" si="51"/>
        <v>43815</v>
      </c>
      <c r="D592" s="160">
        <f t="shared" ref="D592" si="72">+DAY(C592)</f>
        <v>16</v>
      </c>
      <c r="E592" s="129" t="str">
        <f t="shared" ref="E592" si="73">+TEXT(C592,"dddd")</f>
        <v>lunes</v>
      </c>
      <c r="F592" s="129" t="s">
        <v>626</v>
      </c>
      <c r="G592" s="393">
        <v>13</v>
      </c>
      <c r="H592" s="129" t="s">
        <v>221</v>
      </c>
      <c r="I592" s="185"/>
      <c r="J592" s="129"/>
      <c r="K592" s="185"/>
      <c r="L592" s="192"/>
      <c r="M592" s="127">
        <v>207200</v>
      </c>
      <c r="N592" s="127"/>
      <c r="O592" s="127"/>
      <c r="P592" s="148"/>
    </row>
    <row r="593" spans="1:16" x14ac:dyDescent="0.25">
      <c r="B593" s="163"/>
      <c r="C593" s="129">
        <f t="shared" si="51"/>
        <v>43816</v>
      </c>
      <c r="D593" s="160">
        <f t="shared" ref="D593:D598" si="74">+DAY(C593)</f>
        <v>17</v>
      </c>
      <c r="E593" s="129" t="str">
        <f t="shared" ref="E593:E598" si="75">+TEXT(C593,"dddd")</f>
        <v>martes</v>
      </c>
      <c r="F593" s="129" t="s">
        <v>626</v>
      </c>
      <c r="G593" s="393">
        <v>13</v>
      </c>
      <c r="H593" s="129" t="s">
        <v>221</v>
      </c>
      <c r="I593" s="185"/>
      <c r="J593" s="129"/>
      <c r="K593" s="185"/>
      <c r="L593" s="192"/>
      <c r="M593" s="127">
        <v>157500</v>
      </c>
      <c r="N593" s="127"/>
      <c r="O593" s="127"/>
      <c r="P593" s="148"/>
    </row>
    <row r="594" spans="1:16" x14ac:dyDescent="0.25">
      <c r="B594" s="163"/>
      <c r="C594" s="129">
        <f t="shared" si="51"/>
        <v>43817</v>
      </c>
      <c r="D594" s="160">
        <f t="shared" si="74"/>
        <v>18</v>
      </c>
      <c r="E594" s="129" t="str">
        <f t="shared" si="75"/>
        <v>miércoles</v>
      </c>
      <c r="F594" s="129" t="s">
        <v>626</v>
      </c>
      <c r="G594" s="393">
        <v>13</v>
      </c>
      <c r="H594" s="129" t="s">
        <v>221</v>
      </c>
      <c r="I594" s="185"/>
      <c r="J594" s="129"/>
      <c r="K594" s="185"/>
      <c r="L594" s="192"/>
      <c r="M594" s="127">
        <v>220000</v>
      </c>
      <c r="N594" s="127"/>
      <c r="O594" s="127"/>
      <c r="P594" s="148"/>
    </row>
    <row r="595" spans="1:16" x14ac:dyDescent="0.25">
      <c r="B595" s="163"/>
      <c r="C595" s="129">
        <f t="shared" si="51"/>
        <v>43818</v>
      </c>
      <c r="D595" s="160">
        <f t="shared" si="74"/>
        <v>19</v>
      </c>
      <c r="E595" s="129" t="str">
        <f t="shared" si="75"/>
        <v>jueves</v>
      </c>
      <c r="F595" s="129" t="s">
        <v>626</v>
      </c>
      <c r="G595" s="393">
        <v>13</v>
      </c>
      <c r="H595" s="129" t="s">
        <v>221</v>
      </c>
      <c r="I595" s="185"/>
      <c r="J595" s="129"/>
      <c r="K595" s="185"/>
      <c r="L595" s="192"/>
      <c r="M595" s="127">
        <v>445500</v>
      </c>
      <c r="N595" s="127"/>
      <c r="O595" s="127"/>
      <c r="P595" s="148"/>
    </row>
    <row r="596" spans="1:16" x14ac:dyDescent="0.25">
      <c r="B596" s="163"/>
      <c r="C596" s="129">
        <f t="shared" si="51"/>
        <v>43819</v>
      </c>
      <c r="D596" s="160">
        <f t="shared" si="74"/>
        <v>20</v>
      </c>
      <c r="E596" s="129" t="str">
        <f t="shared" si="75"/>
        <v>viernes</v>
      </c>
      <c r="F596" s="129" t="s">
        <v>624</v>
      </c>
      <c r="G596" s="393">
        <v>13</v>
      </c>
      <c r="H596" s="129" t="s">
        <v>221</v>
      </c>
      <c r="I596" s="185"/>
      <c r="J596" s="129"/>
      <c r="K596" s="185"/>
      <c r="L596" s="192"/>
      <c r="M596" s="127">
        <v>350000</v>
      </c>
      <c r="N596" s="127"/>
      <c r="O596" s="127"/>
      <c r="P596" s="148"/>
    </row>
    <row r="597" spans="1:16" x14ac:dyDescent="0.25">
      <c r="B597" s="163"/>
      <c r="C597" s="129">
        <f t="shared" si="51"/>
        <v>43820</v>
      </c>
      <c r="D597" s="160">
        <f t="shared" si="74"/>
        <v>21</v>
      </c>
      <c r="E597" s="129" t="str">
        <f t="shared" si="75"/>
        <v>sábado</v>
      </c>
      <c r="F597" s="129" t="s">
        <v>624</v>
      </c>
      <c r="G597" s="393">
        <v>13</v>
      </c>
      <c r="H597" s="129" t="s">
        <v>221</v>
      </c>
      <c r="I597" s="185"/>
      <c r="J597" s="129"/>
      <c r="K597" s="185"/>
      <c r="L597" s="192"/>
      <c r="M597" s="392">
        <v>450000</v>
      </c>
      <c r="N597" s="127"/>
      <c r="O597" s="127"/>
      <c r="P597" s="148"/>
    </row>
    <row r="598" spans="1:16" x14ac:dyDescent="0.25">
      <c r="B598" s="164"/>
      <c r="C598" s="154">
        <f t="shared" si="51"/>
        <v>43821</v>
      </c>
      <c r="D598" s="375">
        <f t="shared" si="74"/>
        <v>22</v>
      </c>
      <c r="E598" s="154" t="str">
        <f t="shared" si="75"/>
        <v>domingo</v>
      </c>
      <c r="F598" s="154" t="s">
        <v>624</v>
      </c>
      <c r="G598" s="393">
        <v>13</v>
      </c>
      <c r="H598" s="154" t="s">
        <v>221</v>
      </c>
      <c r="I598" s="191"/>
      <c r="J598" s="154"/>
      <c r="K598" s="191"/>
      <c r="L598" s="193"/>
      <c r="M598" s="156">
        <v>638500</v>
      </c>
      <c r="N598" s="156"/>
      <c r="O598" s="156"/>
      <c r="P598" s="157"/>
    </row>
    <row r="599" spans="1:16" x14ac:dyDescent="0.25">
      <c r="A599" s="124"/>
      <c r="B599" s="449"/>
      <c r="C599" s="129">
        <f t="shared" si="51"/>
        <v>43822</v>
      </c>
      <c r="D599" s="160">
        <f t="shared" ref="D599:D605" si="76">+DAY(C599)</f>
        <v>23</v>
      </c>
      <c r="E599" s="129" t="str">
        <f t="shared" ref="E599:E605" si="77">+TEXT(C599,"dddd")</f>
        <v>lunes</v>
      </c>
      <c r="F599" s="129" t="s">
        <v>626</v>
      </c>
      <c r="G599" s="393">
        <v>14</v>
      </c>
      <c r="H599" s="450"/>
      <c r="I599" s="451"/>
      <c r="J599" s="450"/>
      <c r="K599" s="451"/>
      <c r="L599" s="452"/>
      <c r="M599" s="392">
        <v>308500</v>
      </c>
      <c r="N599" s="127"/>
      <c r="O599" s="127"/>
      <c r="P599" s="148"/>
    </row>
    <row r="600" spans="1:16" x14ac:dyDescent="0.25">
      <c r="A600" s="124"/>
      <c r="B600" s="449"/>
      <c r="C600" s="129">
        <f t="shared" si="51"/>
        <v>43823</v>
      </c>
      <c r="D600" s="160">
        <f t="shared" si="76"/>
        <v>24</v>
      </c>
      <c r="E600" s="129" t="str">
        <f t="shared" si="77"/>
        <v>martes</v>
      </c>
      <c r="F600" s="129" t="s">
        <v>626</v>
      </c>
      <c r="G600" s="393">
        <v>14</v>
      </c>
      <c r="H600" s="450"/>
      <c r="I600" s="451"/>
      <c r="J600" s="450"/>
      <c r="K600" s="451"/>
      <c r="L600" s="452"/>
      <c r="M600" s="127">
        <v>604000</v>
      </c>
      <c r="N600" s="127"/>
      <c r="O600" s="127"/>
      <c r="P600" s="148"/>
    </row>
    <row r="601" spans="1:16" x14ac:dyDescent="0.25">
      <c r="A601" s="124"/>
      <c r="B601" s="449"/>
      <c r="C601" s="129">
        <f t="shared" si="51"/>
        <v>43824</v>
      </c>
      <c r="D601" s="160">
        <f t="shared" si="76"/>
        <v>25</v>
      </c>
      <c r="E601" s="129" t="str">
        <f t="shared" si="77"/>
        <v>miércoles</v>
      </c>
      <c r="F601" s="129" t="s">
        <v>626</v>
      </c>
      <c r="G601" s="393">
        <v>14</v>
      </c>
      <c r="H601" s="450"/>
      <c r="I601" s="451"/>
      <c r="J601" s="450"/>
      <c r="K601" s="451"/>
      <c r="L601" s="452"/>
      <c r="M601" s="127">
        <v>589500</v>
      </c>
      <c r="N601" s="127"/>
      <c r="O601" s="127"/>
      <c r="P601" s="148"/>
    </row>
    <row r="602" spans="1:16" x14ac:dyDescent="0.25">
      <c r="B602" s="163"/>
      <c r="C602" s="129">
        <f t="shared" si="51"/>
        <v>43825</v>
      </c>
      <c r="D602" s="160">
        <f t="shared" si="76"/>
        <v>26</v>
      </c>
      <c r="E602" s="129" t="str">
        <f t="shared" si="77"/>
        <v>jueves</v>
      </c>
      <c r="F602" s="129" t="s">
        <v>626</v>
      </c>
      <c r="G602" s="393">
        <v>14</v>
      </c>
      <c r="H602" s="129"/>
      <c r="I602" s="185"/>
      <c r="J602" s="129"/>
      <c r="K602" s="185"/>
      <c r="L602" s="192"/>
      <c r="M602" s="392">
        <v>120500</v>
      </c>
      <c r="N602" s="127"/>
      <c r="O602" s="127"/>
      <c r="P602" s="148"/>
    </row>
    <row r="603" spans="1:16" x14ac:dyDescent="0.25">
      <c r="B603" s="163"/>
      <c r="C603" s="129">
        <f t="shared" si="51"/>
        <v>43826</v>
      </c>
      <c r="D603" s="160">
        <f t="shared" si="76"/>
        <v>27</v>
      </c>
      <c r="E603" s="129" t="str">
        <f t="shared" si="77"/>
        <v>viernes</v>
      </c>
      <c r="F603" s="129" t="s">
        <v>626</v>
      </c>
      <c r="G603" s="393">
        <v>14</v>
      </c>
      <c r="H603" s="129"/>
      <c r="I603" s="185"/>
      <c r="J603" s="129"/>
      <c r="K603" s="185"/>
      <c r="L603" s="192"/>
      <c r="M603" s="392">
        <v>82500</v>
      </c>
      <c r="N603" s="127"/>
      <c r="O603" s="127"/>
      <c r="P603" s="148"/>
    </row>
    <row r="604" spans="1:16" x14ac:dyDescent="0.25">
      <c r="B604" s="163"/>
      <c r="C604" s="129">
        <f t="shared" si="51"/>
        <v>43827</v>
      </c>
      <c r="D604" s="160">
        <f t="shared" si="76"/>
        <v>28</v>
      </c>
      <c r="E604" s="129" t="str">
        <f t="shared" si="77"/>
        <v>sábado</v>
      </c>
      <c r="F604" s="129" t="s">
        <v>624</v>
      </c>
      <c r="G604" s="393">
        <v>14</v>
      </c>
      <c r="H604" s="129"/>
      <c r="I604" s="185"/>
      <c r="J604" s="129"/>
      <c r="K604" s="185"/>
      <c r="L604" s="192"/>
      <c r="M604" s="127">
        <v>824000</v>
      </c>
      <c r="N604" s="127"/>
      <c r="O604" s="127"/>
      <c r="P604" s="148"/>
    </row>
    <row r="605" spans="1:16" x14ac:dyDescent="0.25">
      <c r="B605" s="163"/>
      <c r="C605" s="129">
        <f t="shared" si="51"/>
        <v>43828</v>
      </c>
      <c r="D605" s="160">
        <f t="shared" si="76"/>
        <v>29</v>
      </c>
      <c r="E605" s="129" t="str">
        <f t="shared" si="77"/>
        <v>domingo</v>
      </c>
      <c r="F605" s="129" t="s">
        <v>624</v>
      </c>
      <c r="G605" s="393">
        <v>14</v>
      </c>
      <c r="H605" s="129"/>
      <c r="I605" s="185"/>
      <c r="J605" s="129"/>
      <c r="K605" s="185"/>
      <c r="L605" s="192"/>
      <c r="M605" s="127">
        <v>720000</v>
      </c>
      <c r="N605" s="127"/>
      <c r="O605" s="127"/>
      <c r="P605" s="148"/>
    </row>
    <row r="606" spans="1:16" x14ac:dyDescent="0.25">
      <c r="B606" s="164"/>
      <c r="C606" s="154">
        <f t="shared" si="51"/>
        <v>43829</v>
      </c>
      <c r="D606" s="375">
        <f t="shared" ref="D606:D609" si="78">+DAY(C606)</f>
        <v>30</v>
      </c>
      <c r="E606" s="154" t="str">
        <f t="shared" ref="E606:E609" si="79">+TEXT(C606,"dddd")</f>
        <v>lunes</v>
      </c>
      <c r="F606" s="154" t="s">
        <v>626</v>
      </c>
      <c r="G606" s="393">
        <v>15</v>
      </c>
      <c r="H606" s="154"/>
      <c r="I606" s="191"/>
      <c r="J606" s="154"/>
      <c r="K606" s="191"/>
      <c r="L606" s="193"/>
      <c r="M606" s="376">
        <v>149500</v>
      </c>
      <c r="N606" s="156"/>
      <c r="O606" s="156"/>
      <c r="P606" s="157"/>
    </row>
    <row r="607" spans="1:16" x14ac:dyDescent="0.25">
      <c r="B607" s="164"/>
      <c r="C607" s="154">
        <f t="shared" si="51"/>
        <v>43830</v>
      </c>
      <c r="D607" s="375">
        <f t="shared" si="78"/>
        <v>31</v>
      </c>
      <c r="E607" s="154" t="str">
        <f t="shared" si="79"/>
        <v>martes</v>
      </c>
      <c r="F607" s="154" t="s">
        <v>624</v>
      </c>
      <c r="G607" s="393">
        <v>15</v>
      </c>
      <c r="H607" s="154"/>
      <c r="I607" s="191"/>
      <c r="J607" s="154"/>
      <c r="K607" s="191"/>
      <c r="L607" s="193"/>
      <c r="M607" s="453">
        <v>448500</v>
      </c>
      <c r="N607" s="156"/>
      <c r="O607" s="156"/>
      <c r="P607" s="157"/>
    </row>
    <row r="608" spans="1:16" x14ac:dyDescent="0.25">
      <c r="C608" s="154">
        <f>+C607+1</f>
        <v>43831</v>
      </c>
      <c r="D608" s="160">
        <f t="shared" si="78"/>
        <v>1</v>
      </c>
      <c r="E608" s="129" t="str">
        <f t="shared" si="79"/>
        <v>miércoles</v>
      </c>
      <c r="F608" s="217" t="s">
        <v>626</v>
      </c>
      <c r="G608" s="454">
        <v>15</v>
      </c>
      <c r="M608" s="124">
        <v>10000</v>
      </c>
    </row>
    <row r="609" spans="3:13" x14ac:dyDescent="0.25">
      <c r="C609" s="154">
        <f t="shared" si="51"/>
        <v>43832</v>
      </c>
      <c r="D609" s="160">
        <f t="shared" si="78"/>
        <v>2</v>
      </c>
      <c r="E609" s="129" t="str">
        <f t="shared" si="79"/>
        <v>jueves</v>
      </c>
      <c r="F609" s="217" t="s">
        <v>626</v>
      </c>
      <c r="G609" s="454">
        <v>15</v>
      </c>
      <c r="M609" s="124">
        <v>0</v>
      </c>
    </row>
    <row r="610" spans="3:13" x14ac:dyDescent="0.25">
      <c r="C610" s="154">
        <f t="shared" si="51"/>
        <v>43833</v>
      </c>
      <c r="D610" s="160">
        <f t="shared" ref="D610:D613" si="80">+DAY(C610)</f>
        <v>3</v>
      </c>
      <c r="E610" s="129" t="str">
        <f t="shared" ref="E610:E613" si="81">+TEXT(C610,"dddd")</f>
        <v>viernes</v>
      </c>
      <c r="F610" s="217" t="s">
        <v>626</v>
      </c>
      <c r="G610" s="454">
        <v>15</v>
      </c>
      <c r="M610" s="124">
        <v>120000</v>
      </c>
    </row>
    <row r="611" spans="3:13" x14ac:dyDescent="0.25">
      <c r="C611" s="154">
        <f t="shared" si="51"/>
        <v>43834</v>
      </c>
      <c r="D611" s="160">
        <f t="shared" si="80"/>
        <v>4</v>
      </c>
      <c r="E611" s="129" t="str">
        <f t="shared" si="81"/>
        <v>sábado</v>
      </c>
      <c r="F611" s="217" t="s">
        <v>626</v>
      </c>
      <c r="G611" s="454">
        <v>15</v>
      </c>
      <c r="M611" s="124">
        <v>120000</v>
      </c>
    </row>
    <row r="612" spans="3:13" x14ac:dyDescent="0.25">
      <c r="C612" s="154">
        <f t="shared" si="51"/>
        <v>43835</v>
      </c>
      <c r="D612" s="160">
        <f t="shared" si="80"/>
        <v>5</v>
      </c>
      <c r="E612" s="129" t="str">
        <f t="shared" si="81"/>
        <v>domingo</v>
      </c>
      <c r="F612" s="217" t="s">
        <v>626</v>
      </c>
      <c r="G612" s="454">
        <v>15</v>
      </c>
      <c r="M612" s="124">
        <v>700000</v>
      </c>
    </row>
    <row r="613" spans="3:13" x14ac:dyDescent="0.25">
      <c r="C613" s="154">
        <f t="shared" si="51"/>
        <v>43836</v>
      </c>
      <c r="D613" s="160">
        <f t="shared" si="80"/>
        <v>6</v>
      </c>
      <c r="E613" s="129" t="str">
        <f t="shared" si="81"/>
        <v>lunes</v>
      </c>
      <c r="F613" s="217" t="s">
        <v>626</v>
      </c>
      <c r="G613" s="454">
        <v>15</v>
      </c>
      <c r="M613" s="124">
        <v>320000</v>
      </c>
    </row>
    <row r="614" spans="3:13" x14ac:dyDescent="0.25">
      <c r="C614" s="154">
        <f t="shared" si="51"/>
        <v>43837</v>
      </c>
      <c r="D614" s="160">
        <f t="shared" ref="D614:D615" si="82">+DAY(C614)</f>
        <v>7</v>
      </c>
      <c r="E614" s="129" t="str">
        <f t="shared" ref="E614:E615" si="83">+TEXT(C614,"dddd")</f>
        <v>martes</v>
      </c>
      <c r="F614" s="217" t="s">
        <v>626</v>
      </c>
      <c r="G614" s="454">
        <v>15</v>
      </c>
    </row>
    <row r="615" spans="3:13" x14ac:dyDescent="0.25">
      <c r="C615" s="154">
        <f t="shared" si="51"/>
        <v>43838</v>
      </c>
      <c r="D615" s="160">
        <f t="shared" si="82"/>
        <v>8</v>
      </c>
      <c r="E615" s="129" t="str">
        <f t="shared" si="83"/>
        <v>miércoles</v>
      </c>
      <c r="F615" s="217" t="s">
        <v>626</v>
      </c>
      <c r="G615" s="454">
        <v>15</v>
      </c>
    </row>
    <row r="616" spans="3:13" x14ac:dyDescent="0.25">
      <c r="C616" s="154">
        <f t="shared" si="51"/>
        <v>43839</v>
      </c>
      <c r="D616" s="160">
        <f t="shared" ref="D616:D628" si="84">+DAY(C616)</f>
        <v>9</v>
      </c>
      <c r="E616" s="129" t="str">
        <f t="shared" ref="E616:E628" si="85">+TEXT(C616,"dddd")</f>
        <v>jueves</v>
      </c>
      <c r="F616" s="217" t="s">
        <v>626</v>
      </c>
      <c r="G616" s="454">
        <v>15</v>
      </c>
    </row>
    <row r="617" spans="3:13" x14ac:dyDescent="0.25">
      <c r="C617" s="154">
        <f t="shared" si="51"/>
        <v>43840</v>
      </c>
      <c r="D617" s="160">
        <f t="shared" si="84"/>
        <v>10</v>
      </c>
      <c r="E617" s="129" t="str">
        <f t="shared" si="85"/>
        <v>viernes</v>
      </c>
      <c r="F617" s="217" t="s">
        <v>626</v>
      </c>
      <c r="G617" s="454">
        <v>15</v>
      </c>
      <c r="H617"/>
    </row>
    <row r="618" spans="3:13" x14ac:dyDescent="0.25">
      <c r="C618" s="154">
        <f t="shared" si="51"/>
        <v>43841</v>
      </c>
      <c r="D618" s="160">
        <f t="shared" si="84"/>
        <v>11</v>
      </c>
      <c r="E618" s="129" t="str">
        <f t="shared" si="85"/>
        <v>sábado</v>
      </c>
      <c r="F618" s="217" t="s">
        <v>626</v>
      </c>
      <c r="G618" s="454">
        <v>15</v>
      </c>
      <c r="H618"/>
    </row>
    <row r="619" spans="3:13" x14ac:dyDescent="0.25">
      <c r="C619" s="154">
        <f t="shared" si="51"/>
        <v>43842</v>
      </c>
      <c r="D619" s="160">
        <f t="shared" si="84"/>
        <v>12</v>
      </c>
      <c r="E619" s="129" t="str">
        <f t="shared" si="85"/>
        <v>domingo</v>
      </c>
      <c r="F619" s="217" t="s">
        <v>626</v>
      </c>
      <c r="G619" s="454">
        <v>15</v>
      </c>
      <c r="H619"/>
      <c r="M619" s="461">
        <v>770000</v>
      </c>
    </row>
    <row r="620" spans="3:13" x14ac:dyDescent="0.25">
      <c r="C620" s="154">
        <f t="shared" si="51"/>
        <v>43843</v>
      </c>
      <c r="D620" s="160">
        <f t="shared" si="84"/>
        <v>13</v>
      </c>
      <c r="E620" s="129" t="str">
        <f t="shared" si="85"/>
        <v>lunes</v>
      </c>
      <c r="F620" s="217" t="s">
        <v>626</v>
      </c>
      <c r="G620" s="454">
        <v>15</v>
      </c>
      <c r="H620"/>
    </row>
    <row r="621" spans="3:13" x14ac:dyDescent="0.25">
      <c r="C621" s="154">
        <f t="shared" si="51"/>
        <v>43844</v>
      </c>
      <c r="D621" s="160">
        <f t="shared" si="84"/>
        <v>14</v>
      </c>
      <c r="E621" s="129" t="str">
        <f t="shared" si="85"/>
        <v>martes</v>
      </c>
      <c r="F621" s="217" t="s">
        <v>626</v>
      </c>
      <c r="G621" s="454">
        <v>15</v>
      </c>
    </row>
    <row r="622" spans="3:13" x14ac:dyDescent="0.25">
      <c r="C622" s="154">
        <f t="shared" si="51"/>
        <v>43845</v>
      </c>
      <c r="D622" s="160">
        <f t="shared" si="84"/>
        <v>15</v>
      </c>
      <c r="E622" s="129" t="str">
        <f t="shared" si="85"/>
        <v>miércoles</v>
      </c>
      <c r="F622" s="217" t="s">
        <v>626</v>
      </c>
      <c r="G622" s="454">
        <v>15</v>
      </c>
    </row>
    <row r="623" spans="3:13" x14ac:dyDescent="0.25">
      <c r="C623" s="154">
        <f t="shared" si="51"/>
        <v>43846</v>
      </c>
      <c r="D623" s="160">
        <f t="shared" si="84"/>
        <v>16</v>
      </c>
      <c r="E623" s="129" t="str">
        <f t="shared" si="85"/>
        <v>jueves</v>
      </c>
      <c r="F623" s="217" t="s">
        <v>626</v>
      </c>
      <c r="G623" s="454">
        <v>15</v>
      </c>
    </row>
    <row r="624" spans="3:13" x14ac:dyDescent="0.25">
      <c r="C624" s="154">
        <f t="shared" si="51"/>
        <v>43847</v>
      </c>
      <c r="D624" s="160">
        <f t="shared" si="84"/>
        <v>17</v>
      </c>
      <c r="E624" s="129" t="str">
        <f t="shared" si="85"/>
        <v>viernes</v>
      </c>
      <c r="F624" s="217" t="s">
        <v>626</v>
      </c>
      <c r="G624" s="454">
        <v>15</v>
      </c>
      <c r="M624" s="124">
        <v>170000</v>
      </c>
    </row>
    <row r="625" spans="2:13" x14ac:dyDescent="0.25">
      <c r="C625" s="154">
        <f t="shared" si="51"/>
        <v>43848</v>
      </c>
      <c r="D625" s="160">
        <f t="shared" si="84"/>
        <v>18</v>
      </c>
      <c r="E625" s="129" t="str">
        <f t="shared" si="85"/>
        <v>sábado</v>
      </c>
      <c r="F625" s="217" t="s">
        <v>626</v>
      </c>
      <c r="G625" s="454">
        <v>15</v>
      </c>
      <c r="M625" s="461">
        <v>761000</v>
      </c>
    </row>
    <row r="626" spans="2:13" x14ac:dyDescent="0.25">
      <c r="C626" s="154">
        <f t="shared" si="51"/>
        <v>43849</v>
      </c>
      <c r="D626" s="160">
        <f t="shared" si="84"/>
        <v>19</v>
      </c>
      <c r="E626" s="129" t="str">
        <f t="shared" si="85"/>
        <v>domingo</v>
      </c>
      <c r="F626" s="217" t="s">
        <v>626</v>
      </c>
      <c r="G626" s="454">
        <v>15</v>
      </c>
      <c r="M626" s="461">
        <v>770000</v>
      </c>
    </row>
    <row r="627" spans="2:13" x14ac:dyDescent="0.25">
      <c r="C627" s="154">
        <f t="shared" si="51"/>
        <v>43850</v>
      </c>
      <c r="D627" s="160">
        <f t="shared" si="84"/>
        <v>20</v>
      </c>
      <c r="E627" s="129" t="str">
        <f t="shared" si="85"/>
        <v>lunes</v>
      </c>
      <c r="F627" s="217" t="s">
        <v>626</v>
      </c>
      <c r="G627" s="454">
        <v>15</v>
      </c>
    </row>
    <row r="628" spans="2:13" x14ac:dyDescent="0.25">
      <c r="C628" s="154">
        <f t="shared" si="51"/>
        <v>43851</v>
      </c>
      <c r="D628" s="160">
        <f t="shared" si="84"/>
        <v>21</v>
      </c>
      <c r="E628" s="129" t="str">
        <f t="shared" si="85"/>
        <v>martes</v>
      </c>
      <c r="F628" s="217" t="s">
        <v>626</v>
      </c>
      <c r="G628" s="454">
        <v>15</v>
      </c>
    </row>
    <row r="630" spans="2:13" x14ac:dyDescent="0.25">
      <c r="B630" s="9"/>
    </row>
    <row r="631" spans="2:13" x14ac:dyDescent="0.25">
      <c r="B631" s="9"/>
      <c r="I631" s="128">
        <v>25000</v>
      </c>
      <c r="J631" s="128">
        <v>11000</v>
      </c>
    </row>
    <row r="632" spans="2:13" x14ac:dyDescent="0.25">
      <c r="B632" s="9"/>
    </row>
    <row r="633" spans="2:13" x14ac:dyDescent="0.25">
      <c r="B633" s="9"/>
    </row>
    <row r="634" spans="2:13" x14ac:dyDescent="0.25">
      <c r="B634" s="107">
        <v>24000</v>
      </c>
    </row>
    <row r="635" spans="2:13" x14ac:dyDescent="0.25">
      <c r="B635" s="50">
        <v>15000</v>
      </c>
    </row>
    <row r="636" spans="2:13" x14ac:dyDescent="0.25">
      <c r="B636" s="50">
        <v>51000</v>
      </c>
    </row>
    <row r="637" spans="2:13" x14ac:dyDescent="0.25">
      <c r="B637" s="50">
        <v>29000</v>
      </c>
    </row>
    <row r="638" spans="2:13" x14ac:dyDescent="0.25">
      <c r="B638" s="50">
        <v>62000</v>
      </c>
    </row>
    <row r="639" spans="2:13" x14ac:dyDescent="0.25">
      <c r="B639" s="50">
        <v>12000</v>
      </c>
    </row>
    <row r="640" spans="2:13" x14ac:dyDescent="0.25">
      <c r="B640" s="50">
        <v>24000</v>
      </c>
    </row>
    <row r="641" spans="2:2" x14ac:dyDescent="0.25">
      <c r="B641" s="50">
        <v>48500</v>
      </c>
    </row>
    <row r="642" spans="2:2" x14ac:dyDescent="0.25">
      <c r="B642" s="50">
        <v>20000</v>
      </c>
    </row>
    <row r="643" spans="2:2" x14ac:dyDescent="0.25">
      <c r="B643" s="50">
        <v>35000</v>
      </c>
    </row>
    <row r="644" spans="2:2" x14ac:dyDescent="0.25">
      <c r="B644" s="50">
        <v>46000</v>
      </c>
    </row>
    <row r="645" spans="2:2" x14ac:dyDescent="0.25">
      <c r="B645" s="462">
        <v>50000</v>
      </c>
    </row>
    <row r="646" spans="2:2" x14ac:dyDescent="0.25">
      <c r="B646" s="50">
        <v>22500</v>
      </c>
    </row>
    <row r="647" spans="2:2" x14ac:dyDescent="0.25">
      <c r="B647" s="50">
        <v>36000</v>
      </c>
    </row>
    <row r="648" spans="2:2" x14ac:dyDescent="0.25">
      <c r="B648" s="50">
        <v>12000</v>
      </c>
    </row>
    <row r="649" spans="2:2" x14ac:dyDescent="0.25">
      <c r="B649" s="50">
        <v>66500</v>
      </c>
    </row>
    <row r="650" spans="2:2" x14ac:dyDescent="0.25">
      <c r="B650" s="50">
        <v>72500</v>
      </c>
    </row>
    <row r="651" spans="2:2" ht="15.75" thickBot="1" x14ac:dyDescent="0.3">
      <c r="B651" s="122">
        <v>135000</v>
      </c>
    </row>
    <row r="652" spans="2:2" ht="15.75" thickTop="1" x14ac:dyDescent="0.25">
      <c r="B652" s="9">
        <f>+SUM(B634:B651)</f>
        <v>761000</v>
      </c>
    </row>
    <row r="653" spans="2:2" x14ac:dyDescent="0.25">
      <c r="B653" s="9"/>
    </row>
    <row r="654" spans="2:2" x14ac:dyDescent="0.25">
      <c r="B654" s="9"/>
    </row>
    <row r="655" spans="2:2" x14ac:dyDescent="0.25">
      <c r="B655" s="9"/>
    </row>
    <row r="656" spans="2:2" x14ac:dyDescent="0.25">
      <c r="B656" s="107">
        <v>57000</v>
      </c>
    </row>
    <row r="657" spans="2:2" x14ac:dyDescent="0.25">
      <c r="B657" s="50">
        <v>40000</v>
      </c>
    </row>
    <row r="658" spans="2:2" x14ac:dyDescent="0.25">
      <c r="B658" s="50">
        <v>36000</v>
      </c>
    </row>
    <row r="659" spans="2:2" x14ac:dyDescent="0.25">
      <c r="B659" s="50">
        <v>41000</v>
      </c>
    </row>
    <row r="660" spans="2:2" x14ac:dyDescent="0.25">
      <c r="B660" s="50">
        <v>76000</v>
      </c>
    </row>
    <row r="661" spans="2:2" x14ac:dyDescent="0.25">
      <c r="B661" s="50">
        <v>45000</v>
      </c>
    </row>
    <row r="662" spans="2:2" x14ac:dyDescent="0.25">
      <c r="B662" s="50">
        <v>98000</v>
      </c>
    </row>
    <row r="663" spans="2:2" x14ac:dyDescent="0.25">
      <c r="B663" s="50">
        <v>26500</v>
      </c>
    </row>
    <row r="664" spans="2:2" x14ac:dyDescent="0.25">
      <c r="B664" s="50">
        <v>34500</v>
      </c>
    </row>
    <row r="665" spans="2:2" x14ac:dyDescent="0.25">
      <c r="B665" s="50">
        <v>10500</v>
      </c>
    </row>
    <row r="666" spans="2:2" x14ac:dyDescent="0.25">
      <c r="B666" s="50">
        <v>72000</v>
      </c>
    </row>
    <row r="667" spans="2:2" x14ac:dyDescent="0.25">
      <c r="B667" s="50">
        <v>102000</v>
      </c>
    </row>
    <row r="668" spans="2:2" x14ac:dyDescent="0.25">
      <c r="B668" s="50">
        <v>29500</v>
      </c>
    </row>
    <row r="669" spans="2:2" x14ac:dyDescent="0.25">
      <c r="B669" s="50">
        <v>47500</v>
      </c>
    </row>
    <row r="670" spans="2:2" ht="15.75" thickBot="1" x14ac:dyDescent="0.3">
      <c r="B670" s="122">
        <v>54500</v>
      </c>
    </row>
    <row r="671" spans="2:2" ht="15.75" thickTop="1" x14ac:dyDescent="0.25">
      <c r="B671" s="215">
        <f>+SUM(B656:B670)</f>
        <v>770000</v>
      </c>
    </row>
  </sheetData>
  <conditionalFormatting sqref="E228:E422 G288:H321">
    <cfRule type="containsText" dxfId="371" priority="533" operator="containsText" text="sába">
      <formula>NOT(ISERROR(SEARCH("sába",E228)))</formula>
    </cfRule>
    <cfRule type="containsText" dxfId="370" priority="534" operator="containsText" text="dom">
      <formula>NOT(ISERROR(SEARCH("dom",E228)))</formula>
    </cfRule>
  </conditionalFormatting>
  <conditionalFormatting sqref="E556:E562">
    <cfRule type="containsText" dxfId="369" priority="455" operator="containsText" text="sába">
      <formula>NOT(ISERROR(SEARCH("sába",E556)))</formula>
    </cfRule>
    <cfRule type="containsText" dxfId="368" priority="456" operator="containsText" text="dom">
      <formula>NOT(ISERROR(SEARCH("dom",E556)))</formula>
    </cfRule>
  </conditionalFormatting>
  <conditionalFormatting sqref="E567:E570 H570">
    <cfRule type="containsText" dxfId="367" priority="430" operator="containsText" text="dom">
      <formula>NOT(ISERROR(SEARCH("dom",E567)))</formula>
    </cfRule>
  </conditionalFormatting>
  <conditionalFormatting sqref="E570:E571">
    <cfRule type="containsText" dxfId="366" priority="409" operator="containsText" text="sába">
      <formula>NOT(ISERROR(SEARCH("sába",E570)))</formula>
    </cfRule>
    <cfRule type="containsText" dxfId="365" priority="410" operator="containsText" text="dom">
      <formula>NOT(ISERROR(SEARCH("dom",E570)))</formula>
    </cfRule>
  </conditionalFormatting>
  <conditionalFormatting sqref="E571:E572">
    <cfRule type="containsText" dxfId="364" priority="405" operator="containsText" text="sába">
      <formula>NOT(ISERROR(SEARCH("sába",E571)))</formula>
    </cfRule>
    <cfRule type="containsText" dxfId="363" priority="406" operator="containsText" text="dom">
      <formula>NOT(ISERROR(SEARCH("dom",E571)))</formula>
    </cfRule>
  </conditionalFormatting>
  <conditionalFormatting sqref="E572:E573">
    <cfRule type="containsText" dxfId="362" priority="401" operator="containsText" text="sába">
      <formula>NOT(ISERROR(SEARCH("sába",E572)))</formula>
    </cfRule>
    <cfRule type="containsText" dxfId="361" priority="402" operator="containsText" text="dom">
      <formula>NOT(ISERROR(SEARCH("dom",E572)))</formula>
    </cfRule>
  </conditionalFormatting>
  <conditionalFormatting sqref="E573:E574">
    <cfRule type="containsText" dxfId="360" priority="396" operator="containsText" text="dom">
      <formula>NOT(ISERROR(SEARCH("dom",E573)))</formula>
    </cfRule>
    <cfRule type="containsText" dxfId="359" priority="395" operator="containsText" text="sába">
      <formula>NOT(ISERROR(SEARCH("sába",E573)))</formula>
    </cfRule>
  </conditionalFormatting>
  <conditionalFormatting sqref="E574:E575">
    <cfRule type="containsText" dxfId="358" priority="390" operator="containsText" text="dom">
      <formula>NOT(ISERROR(SEARCH("dom",E574)))</formula>
    </cfRule>
    <cfRule type="containsText" dxfId="357" priority="389" operator="containsText" text="sába">
      <formula>NOT(ISERROR(SEARCH("sába",E574)))</formula>
    </cfRule>
  </conditionalFormatting>
  <conditionalFormatting sqref="E575:E576">
    <cfRule type="containsText" dxfId="356" priority="384" operator="containsText" text="dom">
      <formula>NOT(ISERROR(SEARCH("dom",E575)))</formula>
    </cfRule>
    <cfRule type="containsText" dxfId="355" priority="383" operator="containsText" text="sába">
      <formula>NOT(ISERROR(SEARCH("sába",E575)))</formula>
    </cfRule>
  </conditionalFormatting>
  <conditionalFormatting sqref="E576:E577">
    <cfRule type="containsText" dxfId="354" priority="378" operator="containsText" text="dom">
      <formula>NOT(ISERROR(SEARCH("dom",E576)))</formula>
    </cfRule>
    <cfRule type="containsText" dxfId="353" priority="377" operator="containsText" text="sába">
      <formula>NOT(ISERROR(SEARCH("sába",E576)))</formula>
    </cfRule>
  </conditionalFormatting>
  <conditionalFormatting sqref="E577:E583">
    <cfRule type="containsText" dxfId="352" priority="368" operator="containsText" text="dom">
      <formula>NOT(ISERROR(SEARCH("dom",E577)))</formula>
    </cfRule>
    <cfRule type="containsText" dxfId="351" priority="367" operator="containsText" text="sába">
      <formula>NOT(ISERROR(SEARCH("sába",E577)))</formula>
    </cfRule>
  </conditionalFormatting>
  <conditionalFormatting sqref="E578:E584">
    <cfRule type="containsText" dxfId="350" priority="355" operator="containsText" text="sába">
      <formula>NOT(ISERROR(SEARCH("sába",E578)))</formula>
    </cfRule>
    <cfRule type="containsText" dxfId="349" priority="356" operator="containsText" text="dom">
      <formula>NOT(ISERROR(SEARCH("dom",E578)))</formula>
    </cfRule>
  </conditionalFormatting>
  <conditionalFormatting sqref="E584:E585 H585">
    <cfRule type="containsText" dxfId="348" priority="350" operator="containsText" text="dom">
      <formula>NOT(ISERROR(SEARCH("dom",E584)))</formula>
    </cfRule>
  </conditionalFormatting>
  <conditionalFormatting sqref="E585">
    <cfRule type="containsText" dxfId="347" priority="343" operator="containsText" text="sába">
      <formula>NOT(ISERROR(SEARCH("sába",E585)))</formula>
    </cfRule>
    <cfRule type="containsText" dxfId="346" priority="344" operator="containsText" text="dom">
      <formula>NOT(ISERROR(SEARCH("dom",E585)))</formula>
    </cfRule>
  </conditionalFormatting>
  <conditionalFormatting sqref="E585:E586 H585:H586">
    <cfRule type="containsText" dxfId="345" priority="336" operator="containsText" text="dom">
      <formula>NOT(ISERROR(SEARCH("dom",E585)))</formula>
    </cfRule>
  </conditionalFormatting>
  <conditionalFormatting sqref="E586">
    <cfRule type="containsText" dxfId="344" priority="329" operator="containsText" text="sába">
      <formula>NOT(ISERROR(SEARCH("sába",E586)))</formula>
    </cfRule>
    <cfRule type="containsText" dxfId="343" priority="330" operator="containsText" text="dom">
      <formula>NOT(ISERROR(SEARCH("dom",E586)))</formula>
    </cfRule>
  </conditionalFormatting>
  <conditionalFormatting sqref="E586:E587 H586:H587">
    <cfRule type="containsText" dxfId="342" priority="318" operator="containsText" text="dom">
      <formula>NOT(ISERROR(SEARCH("dom",E586)))</formula>
    </cfRule>
  </conditionalFormatting>
  <conditionalFormatting sqref="E587">
    <cfRule type="containsText" dxfId="341" priority="312" operator="containsText" text="dom">
      <formula>NOT(ISERROR(SEARCH("dom",E587)))</formula>
    </cfRule>
    <cfRule type="containsText" dxfId="340" priority="311" operator="containsText" text="sába">
      <formula>NOT(ISERROR(SEARCH("sába",E587)))</formula>
    </cfRule>
  </conditionalFormatting>
  <conditionalFormatting sqref="E587:E591 H587:H591">
    <cfRule type="containsText" dxfId="339" priority="306" operator="containsText" text="dom">
      <formula>NOT(ISERROR(SEARCH("dom",E587)))</formula>
    </cfRule>
  </conditionalFormatting>
  <conditionalFormatting sqref="E588:E591">
    <cfRule type="containsText" dxfId="338" priority="299" operator="containsText" text="sába">
      <formula>NOT(ISERROR(SEARCH("sába",E588)))</formula>
    </cfRule>
    <cfRule type="containsText" dxfId="337" priority="300" operator="containsText" text="dom">
      <formula>NOT(ISERROR(SEARCH("dom",E588)))</formula>
    </cfRule>
  </conditionalFormatting>
  <conditionalFormatting sqref="E588:E595 H588:H598 E596:F598">
    <cfRule type="containsText" dxfId="336" priority="291" operator="containsText" text="sába">
      <formula>NOT(ISERROR(SEARCH("sába",E588)))</formula>
    </cfRule>
    <cfRule type="containsText" dxfId="335" priority="292" operator="containsText" text="dom">
      <formula>NOT(ISERROR(SEARCH("dom",E588)))</formula>
    </cfRule>
  </conditionalFormatting>
  <conditionalFormatting sqref="E592:E598 H592:H598">
    <cfRule type="containsText" dxfId="334" priority="290" operator="containsText" text="dom">
      <formula>NOT(ISERROR(SEARCH("dom",E592)))</formula>
    </cfRule>
  </conditionalFormatting>
  <conditionalFormatting sqref="E592:E598">
    <cfRule type="containsText" dxfId="333" priority="284" operator="containsText" text="dom">
      <formula>NOT(ISERROR(SEARCH("dom",E592)))</formula>
    </cfRule>
    <cfRule type="containsText" dxfId="332" priority="283" operator="containsText" text="sába">
      <formula>NOT(ISERROR(SEARCH("sába",E592)))</formula>
    </cfRule>
  </conditionalFormatting>
  <conditionalFormatting sqref="E592:E603 E604:F605">
    <cfRule type="containsText" dxfId="331" priority="253" operator="containsText" text="sába">
      <formula>NOT(ISERROR(SEARCH("sába",E592)))</formula>
    </cfRule>
    <cfRule type="containsText" dxfId="330" priority="254" operator="containsText" text="dom">
      <formula>NOT(ISERROR(SEARCH("dom",E592)))</formula>
    </cfRule>
  </conditionalFormatting>
  <conditionalFormatting sqref="E599:E603 E604:F605">
    <cfRule type="containsText" dxfId="329" priority="252" operator="containsText" text="dom">
      <formula>NOT(ISERROR(SEARCH("dom",E599)))</formula>
    </cfRule>
    <cfRule type="containsText" dxfId="328" priority="251" operator="containsText" text="sába">
      <formula>NOT(ISERROR(SEARCH("sába",E599)))</formula>
    </cfRule>
  </conditionalFormatting>
  <conditionalFormatting sqref="E599:E605">
    <cfRule type="containsText" dxfId="327" priority="247" operator="containsText" text="sába">
      <formula>NOT(ISERROR(SEARCH("sába",E599)))</formula>
    </cfRule>
    <cfRule type="containsText" dxfId="326" priority="249" operator="containsText" text="sába">
      <formula>NOT(ISERROR(SEARCH("sába",E599)))</formula>
    </cfRule>
    <cfRule type="containsText" dxfId="325" priority="250" operator="containsText" text="dom">
      <formula>NOT(ISERROR(SEARCH("dom",E599)))</formula>
    </cfRule>
    <cfRule type="containsText" dxfId="324" priority="248" operator="containsText" text="dom">
      <formula>NOT(ISERROR(SEARCH("dom",E599)))</formula>
    </cfRule>
  </conditionalFormatting>
  <conditionalFormatting sqref="E599:E606">
    <cfRule type="containsText" dxfId="323" priority="228" operator="containsText" text="dom">
      <formula>NOT(ISERROR(SEARCH("dom",E599)))</formula>
    </cfRule>
    <cfRule type="containsText" dxfId="322" priority="227" operator="containsText" text="sába">
      <formula>NOT(ISERROR(SEARCH("sába",E599)))</formula>
    </cfRule>
  </conditionalFormatting>
  <conditionalFormatting sqref="E606">
    <cfRule type="containsText" dxfId="321" priority="223" operator="containsText" text="sába">
      <formula>NOT(ISERROR(SEARCH("sába",E606)))</formula>
    </cfRule>
    <cfRule type="containsText" dxfId="320" priority="226" operator="containsText" text="dom">
      <formula>NOT(ISERROR(SEARCH("dom",E606)))</formula>
    </cfRule>
    <cfRule type="containsText" dxfId="319" priority="221" operator="containsText" text="sába">
      <formula>NOT(ISERROR(SEARCH("sába",E606)))</formula>
    </cfRule>
    <cfRule type="containsText" dxfId="318" priority="224" operator="containsText" text="dom">
      <formula>NOT(ISERROR(SEARCH("dom",E606)))</formula>
    </cfRule>
    <cfRule type="containsText" dxfId="317" priority="225" operator="containsText" text="sába">
      <formula>NOT(ISERROR(SEARCH("sába",E606)))</formula>
    </cfRule>
    <cfRule type="containsText" dxfId="316" priority="222" operator="containsText" text="dom">
      <formula>NOT(ISERROR(SEARCH("dom",E606)))</formula>
    </cfRule>
  </conditionalFormatting>
  <conditionalFormatting sqref="E606:E607">
    <cfRule type="containsText" dxfId="315" priority="202" operator="containsText" text="dom">
      <formula>NOT(ISERROR(SEARCH("dom",E606)))</formula>
    </cfRule>
    <cfRule type="containsText" dxfId="314" priority="201" operator="containsText" text="sába">
      <formula>NOT(ISERROR(SEARCH("sába",E606)))</formula>
    </cfRule>
  </conditionalFormatting>
  <conditionalFormatting sqref="E607">
    <cfRule type="containsText" dxfId="313" priority="200" operator="containsText" text="dom">
      <formula>NOT(ISERROR(SEARCH("dom",E607)))</formula>
    </cfRule>
    <cfRule type="containsText" dxfId="312" priority="196" operator="containsText" text="dom">
      <formula>NOT(ISERROR(SEARCH("dom",E607)))</formula>
    </cfRule>
    <cfRule type="containsText" dxfId="311" priority="199" operator="containsText" text="sába">
      <formula>NOT(ISERROR(SEARCH("sába",E607)))</formula>
    </cfRule>
    <cfRule type="containsText" dxfId="310" priority="198" operator="containsText" text="dom">
      <formula>NOT(ISERROR(SEARCH("dom",E607)))</formula>
    </cfRule>
    <cfRule type="containsText" dxfId="309" priority="195" operator="containsText" text="sába">
      <formula>NOT(ISERROR(SEARCH("sába",E607)))</formula>
    </cfRule>
    <cfRule type="containsText" dxfId="308" priority="197" operator="containsText" text="sába">
      <formula>NOT(ISERROR(SEARCH("sába",E607)))</formula>
    </cfRule>
    <cfRule type="containsText" dxfId="307" priority="193" operator="containsText" text="sába">
      <formula>NOT(ISERROR(SEARCH("sába",E607)))</formula>
    </cfRule>
    <cfRule type="containsText" dxfId="306" priority="194" operator="containsText" text="dom">
      <formula>NOT(ISERROR(SEARCH("dom",E607)))</formula>
    </cfRule>
  </conditionalFormatting>
  <conditionalFormatting sqref="E608">
    <cfRule type="containsText" dxfId="305" priority="171" operator="containsText" text="sába">
      <formula>NOT(ISERROR(SEARCH("sába",E608)))</formula>
    </cfRule>
    <cfRule type="containsText" dxfId="304" priority="169" operator="containsText" text="sába">
      <formula>NOT(ISERROR(SEARCH("sába",E608)))</formula>
    </cfRule>
    <cfRule type="containsText" dxfId="303" priority="176" operator="containsText" text="dom">
      <formula>NOT(ISERROR(SEARCH("dom",E608)))</formula>
    </cfRule>
    <cfRule type="containsText" dxfId="302" priority="175" operator="containsText" text="sába">
      <formula>NOT(ISERROR(SEARCH("sába",E608)))</formula>
    </cfRule>
    <cfRule type="containsText" dxfId="301" priority="174" operator="containsText" text="dom">
      <formula>NOT(ISERROR(SEARCH("dom",E608)))</formula>
    </cfRule>
    <cfRule type="containsText" dxfId="300" priority="173" operator="containsText" text="sába">
      <formula>NOT(ISERROR(SEARCH("sába",E608)))</formula>
    </cfRule>
    <cfRule type="containsText" dxfId="299" priority="172" operator="containsText" text="dom">
      <formula>NOT(ISERROR(SEARCH("dom",E608)))</formula>
    </cfRule>
    <cfRule type="containsText" dxfId="298" priority="170" operator="containsText" text="dom">
      <formula>NOT(ISERROR(SEARCH("dom",E608)))</formula>
    </cfRule>
  </conditionalFormatting>
  <conditionalFormatting sqref="E608:E628">
    <cfRule type="containsText" dxfId="297" priority="149" operator="containsText" text="sába">
      <formula>NOT(ISERROR(SEARCH("sába",E608)))</formula>
    </cfRule>
    <cfRule type="containsText" dxfId="296" priority="150" operator="containsText" text="dom">
      <formula>NOT(ISERROR(SEARCH("dom",E608)))</formula>
    </cfRule>
  </conditionalFormatting>
  <conditionalFormatting sqref="E609:E628">
    <cfRule type="containsText" dxfId="295" priority="141" operator="containsText" text="sába">
      <formula>NOT(ISERROR(SEARCH("sába",E609)))</formula>
    </cfRule>
    <cfRule type="containsText" dxfId="294" priority="142" operator="containsText" text="dom">
      <formula>NOT(ISERROR(SEARCH("dom",E609)))</formula>
    </cfRule>
    <cfRule type="containsText" dxfId="293" priority="143" operator="containsText" text="sába">
      <formula>NOT(ISERROR(SEARCH("sába",E609)))</formula>
    </cfRule>
    <cfRule type="containsText" dxfId="292" priority="144" operator="containsText" text="dom">
      <formula>NOT(ISERROR(SEARCH("dom",E609)))</formula>
    </cfRule>
    <cfRule type="containsText" dxfId="291" priority="145" operator="containsText" text="sába">
      <formula>NOT(ISERROR(SEARCH("sába",E609)))</formula>
    </cfRule>
    <cfRule type="containsText" dxfId="290" priority="146" operator="containsText" text="dom">
      <formula>NOT(ISERROR(SEARCH("dom",E609)))</formula>
    </cfRule>
    <cfRule type="containsText" dxfId="289" priority="147" operator="containsText" text="sába">
      <formula>NOT(ISERROR(SEARCH("sába",E609)))</formula>
    </cfRule>
    <cfRule type="containsText" dxfId="288" priority="148" operator="containsText" text="dom">
      <formula>NOT(ISERROR(SEARCH("dom",E609)))</formula>
    </cfRule>
  </conditionalFormatting>
  <conditionalFormatting sqref="E618">
    <cfRule type="containsText" dxfId="287" priority="46" operator="containsText" text="dom">
      <formula>NOT(ISERROR(SEARCH("dom",E618)))</formula>
    </cfRule>
    <cfRule type="containsText" dxfId="286" priority="45" operator="containsText" text="sába">
      <formula>NOT(ISERROR(SEARCH("sába",E618)))</formula>
    </cfRule>
    <cfRule type="containsText" dxfId="285" priority="44" operator="containsText" text="dom">
      <formula>NOT(ISERROR(SEARCH("dom",E618)))</formula>
    </cfRule>
    <cfRule type="containsText" dxfId="284" priority="43" operator="containsText" text="sába">
      <formula>NOT(ISERROR(SEARCH("sába",E618)))</formula>
    </cfRule>
    <cfRule type="containsText" dxfId="283" priority="41" operator="containsText" text="sába">
      <formula>NOT(ISERROR(SEARCH("sába",E618)))</formula>
    </cfRule>
    <cfRule type="containsText" dxfId="282" priority="40" operator="containsText" text="dom">
      <formula>NOT(ISERROR(SEARCH("dom",E618)))</formula>
    </cfRule>
    <cfRule type="containsText" dxfId="281" priority="39" operator="containsText" text="sába">
      <formula>NOT(ISERROR(SEARCH("sába",E618)))</formula>
    </cfRule>
    <cfRule type="containsText" dxfId="280" priority="42" operator="containsText" text="dom">
      <formula>NOT(ISERROR(SEARCH("dom",E618)))</formula>
    </cfRule>
  </conditionalFormatting>
  <conditionalFormatting sqref="E17:G64">
    <cfRule type="containsText" dxfId="279" priority="521" operator="containsText" text="sába">
      <formula>NOT(ISERROR(SEARCH("sába",E17)))</formula>
    </cfRule>
  </conditionalFormatting>
  <conditionalFormatting sqref="E38:G38">
    <cfRule type="containsText" dxfId="278" priority="522" operator="containsText" text="dom">
      <formula>NOT(ISERROR(SEARCH("dom",E38)))</formula>
    </cfRule>
  </conditionalFormatting>
  <conditionalFormatting sqref="E618:G618">
    <cfRule type="containsText" dxfId="277" priority="33" operator="containsText" text="sába">
      <formula>NOT(ISERROR(SEARCH("sába",E618)))</formula>
    </cfRule>
    <cfRule type="containsText" dxfId="276" priority="34" operator="containsText" text="dom">
      <formula>NOT(ISERROR(SEARCH("dom",E618)))</formula>
    </cfRule>
  </conditionalFormatting>
  <conditionalFormatting sqref="E584:H584">
    <cfRule type="containsText" dxfId="275" priority="361" operator="containsText" text="sába">
      <formula>NOT(ISERROR(SEARCH("sába",E584)))</formula>
    </cfRule>
    <cfRule type="containsText" dxfId="274" priority="362" operator="containsText" text="dom">
      <formula>NOT(ISERROR(SEARCH("dom",E584)))</formula>
    </cfRule>
  </conditionalFormatting>
  <conditionalFormatting sqref="E1:L3 L4:L5 E4:I16 J4:K228 G5:G228 F6:F81 L11:L127 E17:G37 I17:I42 E39:G64 E43:I169 L129:L153 L155:L206 G170:I206 E170:E214 I207 G207:H214 G208:I214 L208:L228 E215:I227 G228:I228 G229:L287 J288:L288 G289:L422 E423:L449 G483:H484 G485:L488 H487:H489 G489:H489 G490:L493 G495:L534 E535:L555 H559:L561 I562:L563 E563:H566 E564:L566 G567:L569 I570:L570 F571:L573 G571:H577 I574:L578 E579:E581 G579:L581 E582:L583 E589:F591 H589:L591 I592:L592 E593:E595 H593:L598 E596:F598 G602:L605 H606:L609 E610:L617 E615:G628 E619:L1048576">
    <cfRule type="containsText" dxfId="273" priority="536" operator="containsText" text="dom">
      <formula>NOT(ISERROR(SEARCH("dom",E1)))</formula>
    </cfRule>
  </conditionalFormatting>
  <conditionalFormatting sqref="E618:L618">
    <cfRule type="containsText" dxfId="272" priority="48" operator="containsText" text="dom">
      <formula>NOT(ISERROR(SEARCH("dom",E618)))</formula>
    </cfRule>
    <cfRule type="containsText" dxfId="271" priority="47" operator="containsText" text="sába">
      <formula>NOT(ISERROR(SEARCH("sába",E618)))</formula>
    </cfRule>
  </conditionalFormatting>
  <conditionalFormatting sqref="F170:F214 F450:F534">
    <cfRule type="containsText" dxfId="270" priority="479" operator="containsText" text="sába">
      <formula>NOT(ISERROR(SEARCH("sába",F170)))</formula>
    </cfRule>
    <cfRule type="containsText" dxfId="269" priority="480" operator="containsText" text="dom">
      <formula>NOT(ISERROR(SEARCH("dom",F170)))</formula>
    </cfRule>
  </conditionalFormatting>
  <conditionalFormatting sqref="F228:F422">
    <cfRule type="containsText" dxfId="268" priority="475" operator="containsText" text="sába">
      <formula>NOT(ISERROR(SEARCH("sába",F228)))</formula>
    </cfRule>
    <cfRule type="containsText" dxfId="267" priority="476" operator="containsText" text="dom">
      <formula>NOT(ISERROR(SEARCH("dom",F228)))</formula>
    </cfRule>
  </conditionalFormatting>
  <conditionalFormatting sqref="F556:F562">
    <cfRule type="containsText" dxfId="266" priority="448" operator="containsText" text="dom">
      <formula>NOT(ISERROR(SEARCH("dom",F556)))</formula>
    </cfRule>
    <cfRule type="containsText" dxfId="265" priority="447" operator="containsText" text="sába">
      <formula>NOT(ISERROR(SEARCH("sába",F556)))</formula>
    </cfRule>
  </conditionalFormatting>
  <conditionalFormatting sqref="F567:F570">
    <cfRule type="containsText" dxfId="264" priority="412" operator="containsText" text="dom">
      <formula>NOT(ISERROR(SEARCH("dom",F567)))</formula>
    </cfRule>
    <cfRule type="containsText" dxfId="263" priority="411" operator="containsText" text="sába">
      <formula>NOT(ISERROR(SEARCH("sába",F567)))</formula>
    </cfRule>
  </conditionalFormatting>
  <conditionalFormatting sqref="F575:F591">
    <cfRule type="containsText" dxfId="262" priority="295" operator="containsText" text="sába">
      <formula>NOT(ISERROR(SEARCH("sába",F575)))</formula>
    </cfRule>
    <cfRule type="containsText" dxfId="261" priority="296" operator="containsText" text="dom">
      <formula>NOT(ISERROR(SEARCH("dom",F575)))</formula>
    </cfRule>
  </conditionalFormatting>
  <conditionalFormatting sqref="F589:F607">
    <cfRule type="containsText" dxfId="260" priority="122" operator="containsText" text="dom">
      <formula>NOT(ISERROR(SEARCH("dom",F589)))</formula>
    </cfRule>
    <cfRule type="containsText" dxfId="259" priority="121" operator="containsText" text="sába">
      <formula>NOT(ISERROR(SEARCH("sába",F589)))</formula>
    </cfRule>
  </conditionalFormatting>
  <conditionalFormatting sqref="F596:F598">
    <cfRule type="containsText" dxfId="258" priority="280" operator="containsText" text="dom">
      <formula>NOT(ISERROR(SEARCH("dom",F596)))</formula>
    </cfRule>
    <cfRule type="containsText" dxfId="257" priority="279" operator="containsText" text="sába">
      <formula>NOT(ISERROR(SEARCH("sába",F596)))</formula>
    </cfRule>
  </conditionalFormatting>
  <conditionalFormatting sqref="F604:F605">
    <cfRule type="containsText" dxfId="256" priority="244" operator="containsText" text="dom">
      <formula>NOT(ISERROR(SEARCH("dom",F604)))</formula>
    </cfRule>
    <cfRule type="containsText" dxfId="255" priority="243" operator="containsText" text="sába">
      <formula>NOT(ISERROR(SEARCH("sába",F604)))</formula>
    </cfRule>
  </conditionalFormatting>
  <conditionalFormatting sqref="F607">
    <cfRule type="containsText" dxfId="254" priority="118" operator="containsText" text="dom">
      <formula>NOT(ISERROR(SEARCH("dom",F607)))</formula>
    </cfRule>
    <cfRule type="containsText" dxfId="253" priority="119" operator="containsText" text="sába">
      <formula>NOT(ISERROR(SEARCH("sába",F607)))</formula>
    </cfRule>
    <cfRule type="containsText" dxfId="252" priority="120" operator="containsText" text="dom">
      <formula>NOT(ISERROR(SEARCH("dom",F607)))</formula>
    </cfRule>
    <cfRule type="containsText" dxfId="251" priority="115" operator="containsText" text="sába">
      <formula>NOT(ISERROR(SEARCH("sába",F607)))</formula>
    </cfRule>
    <cfRule type="containsText" dxfId="250" priority="116" operator="containsText" text="dom">
      <formula>NOT(ISERROR(SEARCH("dom",F607)))</formula>
    </cfRule>
    <cfRule type="containsText" dxfId="249" priority="117" operator="containsText" text="sába">
      <formula>NOT(ISERROR(SEARCH("sába",F607)))</formula>
    </cfRule>
  </conditionalFormatting>
  <conditionalFormatting sqref="F608:G628">
    <cfRule type="containsText" dxfId="248" priority="82" operator="containsText" text="dom">
      <formula>NOT(ISERROR(SEARCH("dom",F608)))</formula>
    </cfRule>
    <cfRule type="containsText" dxfId="247" priority="81" operator="containsText" text="sába">
      <formula>NOT(ISERROR(SEARCH("sába",F608)))</formula>
    </cfRule>
  </conditionalFormatting>
  <conditionalFormatting sqref="F574:H574">
    <cfRule type="containsText" dxfId="246" priority="397" operator="containsText" text="sába">
      <formula>NOT(ISERROR(SEARCH("sába",F574)))</formula>
    </cfRule>
    <cfRule type="containsText" dxfId="245" priority="398" operator="containsText" text="dom">
      <formula>NOT(ISERROR(SEARCH("dom",F574)))</formula>
    </cfRule>
  </conditionalFormatting>
  <conditionalFormatting sqref="G558:G561 G556:L558 H558:H560">
    <cfRule type="containsText" dxfId="244" priority="481" operator="containsText" text="sába">
      <formula>NOT(ISERROR(SEARCH("sába",G556)))</formula>
    </cfRule>
  </conditionalFormatting>
  <conditionalFormatting sqref="G559:G562">
    <cfRule type="containsText" dxfId="243" priority="452" operator="containsText" text="dom">
      <formula>NOT(ISERROR(SEARCH("dom",G559)))</formula>
    </cfRule>
    <cfRule type="containsText" dxfId="242" priority="451" operator="containsText" text="sába">
      <formula>NOT(ISERROR(SEARCH("sába",G559)))</formula>
    </cfRule>
  </conditionalFormatting>
  <conditionalFormatting sqref="G562">
    <cfRule type="containsText" dxfId="241" priority="450" operator="containsText" text="dom">
      <formula>NOT(ISERROR(SEARCH("dom",G562)))</formula>
    </cfRule>
    <cfRule type="containsText" dxfId="240" priority="449" operator="containsText" text="sába">
      <formula>NOT(ISERROR(SEARCH("sába",G562)))</formula>
    </cfRule>
  </conditionalFormatting>
  <conditionalFormatting sqref="G570">
    <cfRule type="containsText" dxfId="239" priority="413" operator="containsText" text="sába">
      <formula>NOT(ISERROR(SEARCH("sába",G570)))</formula>
    </cfRule>
    <cfRule type="containsText" dxfId="238" priority="415" operator="containsText" text="sába">
      <formula>NOT(ISERROR(SEARCH("sába",G570)))</formula>
    </cfRule>
    <cfRule type="containsText" dxfId="237" priority="416" operator="containsText" text="dom">
      <formula>NOT(ISERROR(SEARCH("dom",G570)))</formula>
    </cfRule>
    <cfRule type="containsText" dxfId="236" priority="417" operator="containsText" text="sába">
      <formula>NOT(ISERROR(SEARCH("sába",G570)))</formula>
    </cfRule>
    <cfRule type="containsText" dxfId="235" priority="418" operator="containsText" text="dom">
      <formula>NOT(ISERROR(SEARCH("dom",G570)))</formula>
    </cfRule>
    <cfRule type="containsText" dxfId="234" priority="414" operator="containsText" text="dom">
      <formula>NOT(ISERROR(SEARCH("dom",G570)))</formula>
    </cfRule>
  </conditionalFormatting>
  <conditionalFormatting sqref="G578:G584">
    <cfRule type="containsText" dxfId="233" priority="369" operator="containsText" text="sába">
      <formula>NOT(ISERROR(SEARCH("sába",G578)))</formula>
    </cfRule>
  </conditionalFormatting>
  <conditionalFormatting sqref="G585:G598">
    <cfRule type="containsText" dxfId="232" priority="264" operator="containsText" text="dom">
      <formula>NOT(ISERROR(SEARCH("dom",G585)))</formula>
    </cfRule>
    <cfRule type="containsText" dxfId="231" priority="265" operator="containsText" text="sába">
      <formula>NOT(ISERROR(SEARCH("sába",G585)))</formula>
    </cfRule>
    <cfRule type="containsText" dxfId="230" priority="266" operator="containsText" text="dom">
      <formula>NOT(ISERROR(SEARCH("dom",G585)))</formula>
    </cfRule>
    <cfRule type="containsText" dxfId="229" priority="259" operator="containsText" text="sába">
      <formula>NOT(ISERROR(SEARCH("sába",G585)))</formula>
    </cfRule>
    <cfRule type="containsText" dxfId="228" priority="260" operator="containsText" text="dom">
      <formula>NOT(ISERROR(SEARCH("dom",G585)))</formula>
    </cfRule>
    <cfRule type="containsText" dxfId="227" priority="261" operator="containsText" text="sába">
      <formula>NOT(ISERROR(SEARCH("sába",G585)))</formula>
    </cfRule>
    <cfRule type="containsText" dxfId="226" priority="262" operator="containsText" text="dom">
      <formula>NOT(ISERROR(SEARCH("dom",G585)))</formula>
    </cfRule>
    <cfRule type="containsText" dxfId="225" priority="263" operator="containsText" text="sába">
      <formula>NOT(ISERROR(SEARCH("sába",G585)))</formula>
    </cfRule>
  </conditionalFormatting>
  <conditionalFormatting sqref="G585:G605">
    <cfRule type="containsText" dxfId="224" priority="114" operator="containsText" text="dom">
      <formula>NOT(ISERROR(SEARCH("dom",G585)))</formula>
    </cfRule>
    <cfRule type="containsText" dxfId="223" priority="113" operator="containsText" text="sába">
      <formula>NOT(ISERROR(SEARCH("sába",G585)))</formula>
    </cfRule>
  </conditionalFormatting>
  <conditionalFormatting sqref="G599:G605">
    <cfRule type="containsText" dxfId="222" priority="107" operator="containsText" text="sába">
      <formula>NOT(ISERROR(SEARCH("sába",G599)))</formula>
    </cfRule>
    <cfRule type="containsText" dxfId="221" priority="108" operator="containsText" text="dom">
      <formula>NOT(ISERROR(SEARCH("dom",G599)))</formula>
    </cfRule>
    <cfRule type="containsText" dxfId="220" priority="109" operator="containsText" text="sába">
      <formula>NOT(ISERROR(SEARCH("sába",G599)))</formula>
    </cfRule>
    <cfRule type="containsText" dxfId="219" priority="110" operator="containsText" text="dom">
      <formula>NOT(ISERROR(SEARCH("dom",G599)))</formula>
    </cfRule>
    <cfRule type="containsText" dxfId="218" priority="111" operator="containsText" text="sába">
      <formula>NOT(ISERROR(SEARCH("sába",G599)))</formula>
    </cfRule>
    <cfRule type="containsText" dxfId="217" priority="112" operator="containsText" text="dom">
      <formula>NOT(ISERROR(SEARCH("dom",G599)))</formula>
    </cfRule>
  </conditionalFormatting>
  <conditionalFormatting sqref="G599:G607">
    <cfRule type="containsText" dxfId="216" priority="103" operator="containsText" text="sába">
      <formula>NOT(ISERROR(SEARCH("sába",G599)))</formula>
    </cfRule>
    <cfRule type="containsText" dxfId="215" priority="104" operator="containsText" text="dom">
      <formula>NOT(ISERROR(SEARCH("dom",G599)))</formula>
    </cfRule>
  </conditionalFormatting>
  <conditionalFormatting sqref="G600:G605">
    <cfRule type="containsText" dxfId="214" priority="233" operator="containsText" text="sába">
      <formula>NOT(ISERROR(SEARCH("sába",G600)))</formula>
    </cfRule>
    <cfRule type="containsText" dxfId="213" priority="232" operator="containsText" text="dom">
      <formula>NOT(ISERROR(SEARCH("dom",G600)))</formula>
    </cfRule>
    <cfRule type="containsText" dxfId="212" priority="237" operator="containsText" text="sába">
      <formula>NOT(ISERROR(SEARCH("sába",G600)))</formula>
    </cfRule>
    <cfRule type="containsText" dxfId="211" priority="236" operator="containsText" text="dom">
      <formula>NOT(ISERROR(SEARCH("dom",G600)))</formula>
    </cfRule>
    <cfRule type="containsText" dxfId="210" priority="235" operator="containsText" text="sába">
      <formula>NOT(ISERROR(SEARCH("sába",G600)))</formula>
    </cfRule>
    <cfRule type="containsText" dxfId="209" priority="238" operator="containsText" text="dom">
      <formula>NOT(ISERROR(SEARCH("dom",G600)))</formula>
    </cfRule>
    <cfRule type="containsText" dxfId="208" priority="234" operator="containsText" text="dom">
      <formula>NOT(ISERROR(SEARCH("dom",G600)))</formula>
    </cfRule>
    <cfRule type="containsText" dxfId="207" priority="239" operator="containsText" text="sába">
      <formula>NOT(ISERROR(SEARCH("sába",G600)))</formula>
    </cfRule>
    <cfRule type="containsText" dxfId="206" priority="231" operator="containsText" text="sába">
      <formula>NOT(ISERROR(SEARCH("sába",G600)))</formula>
    </cfRule>
    <cfRule type="containsText" dxfId="205" priority="240" operator="containsText" text="dom">
      <formula>NOT(ISERROR(SEARCH("dom",G600)))</formula>
    </cfRule>
  </conditionalFormatting>
  <conditionalFormatting sqref="G606:G607">
    <cfRule type="containsText" dxfId="204" priority="97" operator="containsText" text="sába">
      <formula>NOT(ISERROR(SEARCH("sába",G606)))</formula>
    </cfRule>
    <cfRule type="containsText" dxfId="203" priority="98" operator="containsText" text="dom">
      <formula>NOT(ISERROR(SEARCH("dom",G606)))</formula>
    </cfRule>
    <cfRule type="containsText" dxfId="202" priority="99" operator="containsText" text="sába">
      <formula>NOT(ISERROR(SEARCH("sába",G606)))</formula>
    </cfRule>
    <cfRule type="containsText" dxfId="201" priority="100" operator="containsText" text="dom">
      <formula>NOT(ISERROR(SEARCH("dom",G606)))</formula>
    </cfRule>
    <cfRule type="containsText" dxfId="200" priority="101" operator="containsText" text="sába">
      <formula>NOT(ISERROR(SEARCH("sába",G606)))</formula>
    </cfRule>
    <cfRule type="containsText" dxfId="199" priority="102" operator="containsText" text="dom">
      <formula>NOT(ISERROR(SEARCH("dom",G606)))</formula>
    </cfRule>
    <cfRule type="containsText" dxfId="198" priority="87" operator="containsText" text="sába">
      <formula>NOT(ISERROR(SEARCH("sába",G606)))</formula>
    </cfRule>
    <cfRule type="containsText" dxfId="197" priority="83" operator="containsText" text="sába">
      <formula>NOT(ISERROR(SEARCH("sába",G606)))</formula>
    </cfRule>
    <cfRule type="containsText" dxfId="196" priority="84" operator="containsText" text="dom">
      <formula>NOT(ISERROR(SEARCH("dom",G606)))</formula>
    </cfRule>
    <cfRule type="containsText" dxfId="195" priority="85" operator="containsText" text="sába">
      <formula>NOT(ISERROR(SEARCH("sába",G606)))</formula>
    </cfRule>
    <cfRule type="containsText" dxfId="194" priority="86" operator="containsText" text="dom">
      <formula>NOT(ISERROR(SEARCH("dom",G606)))</formula>
    </cfRule>
    <cfRule type="containsText" dxfId="193" priority="88" operator="containsText" text="dom">
      <formula>NOT(ISERROR(SEARCH("dom",G606)))</formula>
    </cfRule>
    <cfRule type="containsText" dxfId="192" priority="89" operator="containsText" text="sába">
      <formula>NOT(ISERROR(SEARCH("sába",G606)))</formula>
    </cfRule>
    <cfRule type="containsText" dxfId="191" priority="90" operator="containsText" text="dom">
      <formula>NOT(ISERROR(SEARCH("dom",G606)))</formula>
    </cfRule>
    <cfRule type="containsText" dxfId="190" priority="91" operator="containsText" text="sába">
      <formula>NOT(ISERROR(SEARCH("sába",G606)))</formula>
    </cfRule>
    <cfRule type="containsText" dxfId="189" priority="92" operator="containsText" text="dom">
      <formula>NOT(ISERROR(SEARCH("dom",G606)))</formula>
    </cfRule>
    <cfRule type="containsText" dxfId="188" priority="93" operator="containsText" text="sába">
      <formula>NOT(ISERROR(SEARCH("sába",G606)))</formula>
    </cfRule>
    <cfRule type="containsText" dxfId="187" priority="94" operator="containsText" text="dom">
      <formula>NOT(ISERROR(SEARCH("dom",G606)))</formula>
    </cfRule>
    <cfRule type="containsText" dxfId="186" priority="95" operator="containsText" text="sába">
      <formula>NOT(ISERROR(SEARCH("sába",G606)))</formula>
    </cfRule>
    <cfRule type="containsText" dxfId="185" priority="96" operator="containsText" text="dom">
      <formula>NOT(ISERROR(SEARCH("dom",G606)))</formula>
    </cfRule>
  </conditionalFormatting>
  <conditionalFormatting sqref="G607">
    <cfRule type="containsText" dxfId="184" priority="181" operator="containsText" text="sába">
      <formula>NOT(ISERROR(SEARCH("sába",G607)))</formula>
    </cfRule>
    <cfRule type="containsText" dxfId="183" priority="186" operator="containsText" text="dom">
      <formula>NOT(ISERROR(SEARCH("dom",G607)))</formula>
    </cfRule>
    <cfRule type="containsText" dxfId="182" priority="187" operator="containsText" text="sába">
      <formula>NOT(ISERROR(SEARCH("sába",G607)))</formula>
    </cfRule>
    <cfRule type="containsText" dxfId="181" priority="188" operator="containsText" text="dom">
      <formula>NOT(ISERROR(SEARCH("dom",G607)))</formula>
    </cfRule>
    <cfRule type="containsText" dxfId="180" priority="203" operator="containsText" text="sába">
      <formula>NOT(ISERROR(SEARCH("sába",G607)))</formula>
    </cfRule>
    <cfRule type="containsText" dxfId="179" priority="185" operator="containsText" text="sába">
      <formula>NOT(ISERROR(SEARCH("sába",G607)))</formula>
    </cfRule>
    <cfRule type="containsText" dxfId="178" priority="179" operator="containsText" text="sába">
      <formula>NOT(ISERROR(SEARCH("sába",G607)))</formula>
    </cfRule>
    <cfRule type="containsText" dxfId="177" priority="180" operator="containsText" text="dom">
      <formula>NOT(ISERROR(SEARCH("dom",G607)))</formula>
    </cfRule>
    <cfRule type="containsText" dxfId="176" priority="184" operator="containsText" text="dom">
      <formula>NOT(ISERROR(SEARCH("dom",G607)))</formula>
    </cfRule>
    <cfRule type="containsText" dxfId="175" priority="183" operator="containsText" text="sába">
      <formula>NOT(ISERROR(SEARCH("sába",G607)))</formula>
    </cfRule>
    <cfRule type="containsText" dxfId="174" priority="182" operator="containsText" text="dom">
      <formula>NOT(ISERROR(SEARCH("dom",G607)))</formula>
    </cfRule>
    <cfRule type="containsText" dxfId="173" priority="204" operator="containsText" text="dom">
      <formula>NOT(ISERROR(SEARCH("dom",G607)))</formula>
    </cfRule>
  </conditionalFormatting>
  <conditionalFormatting sqref="G608:G628">
    <cfRule type="containsText" dxfId="172" priority="53" operator="containsText" text="sába">
      <formula>NOT(ISERROR(SEARCH("sába",G608)))</formula>
    </cfRule>
    <cfRule type="containsText" dxfId="171" priority="77" operator="containsText" text="sába">
      <formula>NOT(ISERROR(SEARCH("sába",G608)))</formula>
    </cfRule>
    <cfRule type="containsText" dxfId="170" priority="49" operator="containsText" text="sába">
      <formula>NOT(ISERROR(SEARCH("sába",G608)))</formula>
    </cfRule>
    <cfRule type="containsText" dxfId="169" priority="50" operator="containsText" text="dom">
      <formula>NOT(ISERROR(SEARCH("dom",G608)))</formula>
    </cfRule>
    <cfRule type="containsText" dxfId="168" priority="51" operator="containsText" text="sába">
      <formula>NOT(ISERROR(SEARCH("sába",G608)))</formula>
    </cfRule>
    <cfRule type="containsText" dxfId="167" priority="52" operator="containsText" text="dom">
      <formula>NOT(ISERROR(SEARCH("dom",G608)))</formula>
    </cfRule>
    <cfRule type="containsText" dxfId="166" priority="55" operator="containsText" text="sába">
      <formula>NOT(ISERROR(SEARCH("sába",G608)))</formula>
    </cfRule>
    <cfRule type="containsText" dxfId="165" priority="56" operator="containsText" text="dom">
      <formula>NOT(ISERROR(SEARCH("dom",G608)))</formula>
    </cfRule>
    <cfRule type="containsText" dxfId="164" priority="57" operator="containsText" text="sába">
      <formula>NOT(ISERROR(SEARCH("sába",G608)))</formula>
    </cfRule>
    <cfRule type="containsText" dxfId="163" priority="58" operator="containsText" text="dom">
      <formula>NOT(ISERROR(SEARCH("dom",G608)))</formula>
    </cfRule>
    <cfRule type="containsText" dxfId="162" priority="59" operator="containsText" text="sába">
      <formula>NOT(ISERROR(SEARCH("sába",G608)))</formula>
    </cfRule>
    <cfRule type="containsText" dxfId="161" priority="60" operator="containsText" text="dom">
      <formula>NOT(ISERROR(SEARCH("dom",G608)))</formula>
    </cfRule>
    <cfRule type="containsText" dxfId="160" priority="61" operator="containsText" text="sába">
      <formula>NOT(ISERROR(SEARCH("sába",G608)))</formula>
    </cfRule>
    <cfRule type="containsText" dxfId="159" priority="62" operator="containsText" text="dom">
      <formula>NOT(ISERROR(SEARCH("dom",G608)))</formula>
    </cfRule>
    <cfRule type="containsText" dxfId="158" priority="63" operator="containsText" text="sába">
      <formula>NOT(ISERROR(SEARCH("sába",G608)))</formula>
    </cfRule>
    <cfRule type="containsText" dxfId="157" priority="64" operator="containsText" text="dom">
      <formula>NOT(ISERROR(SEARCH("dom",G608)))</formula>
    </cfRule>
    <cfRule type="containsText" dxfId="156" priority="65" operator="containsText" text="sába">
      <formula>NOT(ISERROR(SEARCH("sába",G608)))</formula>
    </cfRule>
    <cfRule type="containsText" dxfId="155" priority="66" operator="containsText" text="dom">
      <formula>NOT(ISERROR(SEARCH("dom",G608)))</formula>
    </cfRule>
    <cfRule type="containsText" dxfId="154" priority="67" operator="containsText" text="sába">
      <formula>NOT(ISERROR(SEARCH("sába",G608)))</formula>
    </cfRule>
    <cfRule type="containsText" dxfId="153" priority="68" operator="containsText" text="dom">
      <formula>NOT(ISERROR(SEARCH("dom",G608)))</formula>
    </cfRule>
    <cfRule type="containsText" dxfId="152" priority="69" operator="containsText" text="sába">
      <formula>NOT(ISERROR(SEARCH("sába",G608)))</formula>
    </cfRule>
    <cfRule type="containsText" dxfId="151" priority="70" operator="containsText" text="dom">
      <formula>NOT(ISERROR(SEARCH("dom",G608)))</formula>
    </cfRule>
    <cfRule type="containsText" dxfId="150" priority="71" operator="containsText" text="sába">
      <formula>NOT(ISERROR(SEARCH("sába",G608)))</formula>
    </cfRule>
    <cfRule type="containsText" dxfId="149" priority="72" operator="containsText" text="dom">
      <formula>NOT(ISERROR(SEARCH("dom",G608)))</formula>
    </cfRule>
    <cfRule type="containsText" dxfId="148" priority="73" operator="containsText" text="sába">
      <formula>NOT(ISERROR(SEARCH("sába",G608)))</formula>
    </cfRule>
    <cfRule type="containsText" dxfId="147" priority="74" operator="containsText" text="dom">
      <formula>NOT(ISERROR(SEARCH("dom",G608)))</formula>
    </cfRule>
    <cfRule type="containsText" dxfId="146" priority="75" operator="containsText" text="sába">
      <formula>NOT(ISERROR(SEARCH("sába",G608)))</formula>
    </cfRule>
    <cfRule type="containsText" dxfId="145" priority="76" operator="containsText" text="dom">
      <formula>NOT(ISERROR(SEARCH("dom",G608)))</formula>
    </cfRule>
    <cfRule type="containsText" dxfId="144" priority="78" operator="containsText" text="dom">
      <formula>NOT(ISERROR(SEARCH("dom",G608)))</formula>
    </cfRule>
    <cfRule type="containsText" dxfId="143" priority="79" operator="containsText" text="sába">
      <formula>NOT(ISERROR(SEARCH("sába",G608)))</formula>
    </cfRule>
    <cfRule type="containsText" dxfId="142" priority="80" operator="containsText" text="dom">
      <formula>NOT(ISERROR(SEARCH("dom",G608)))</formula>
    </cfRule>
    <cfRule type="containsText" dxfId="141" priority="54" operator="containsText" text="dom">
      <formula>NOT(ISERROR(SEARCH("dom",G608)))</formula>
    </cfRule>
  </conditionalFormatting>
  <conditionalFormatting sqref="G618">
    <cfRule type="containsText" dxfId="140" priority="2" operator="containsText" text="dom">
      <formula>NOT(ISERROR(SEARCH("dom",G618)))</formula>
    </cfRule>
    <cfRule type="containsText" dxfId="139" priority="24" operator="containsText" text="dom">
      <formula>NOT(ISERROR(SEARCH("dom",G618)))</formula>
    </cfRule>
    <cfRule type="containsText" dxfId="138" priority="23" operator="containsText" text="sába">
      <formula>NOT(ISERROR(SEARCH("sába",G618)))</formula>
    </cfRule>
    <cfRule type="containsText" dxfId="137" priority="22" operator="containsText" text="dom">
      <formula>NOT(ISERROR(SEARCH("dom",G618)))</formula>
    </cfRule>
    <cfRule type="containsText" dxfId="136" priority="19" operator="containsText" text="sába">
      <formula>NOT(ISERROR(SEARCH("sába",G618)))</formula>
    </cfRule>
    <cfRule type="containsText" dxfId="135" priority="20" operator="containsText" text="dom">
      <formula>NOT(ISERROR(SEARCH("dom",G618)))</formula>
    </cfRule>
    <cfRule type="containsText" dxfId="134" priority="3" operator="containsText" text="sába">
      <formula>NOT(ISERROR(SEARCH("sába",G618)))</formula>
    </cfRule>
    <cfRule type="containsText" dxfId="133" priority="4" operator="containsText" text="dom">
      <formula>NOT(ISERROR(SEARCH("dom",G618)))</formula>
    </cfRule>
    <cfRule type="containsText" dxfId="132" priority="5" operator="containsText" text="sába">
      <formula>NOT(ISERROR(SEARCH("sába",G618)))</formula>
    </cfRule>
    <cfRule type="containsText" dxfId="131" priority="6" operator="containsText" text="dom">
      <formula>NOT(ISERROR(SEARCH("dom",G618)))</formula>
    </cfRule>
    <cfRule type="containsText" dxfId="130" priority="12" operator="containsText" text="dom">
      <formula>NOT(ISERROR(SEARCH("dom",G618)))</formula>
    </cfRule>
    <cfRule type="containsText" dxfId="129" priority="26" operator="containsText" text="dom">
      <formula>NOT(ISERROR(SEARCH("dom",G618)))</formula>
    </cfRule>
    <cfRule type="containsText" dxfId="128" priority="25" operator="containsText" text="sába">
      <formula>NOT(ISERROR(SEARCH("sába",G618)))</formula>
    </cfRule>
    <cfRule type="containsText" dxfId="127" priority="7" operator="containsText" text="sába">
      <formula>NOT(ISERROR(SEARCH("sába",G618)))</formula>
    </cfRule>
    <cfRule type="containsText" dxfId="126" priority="8" operator="containsText" text="dom">
      <formula>NOT(ISERROR(SEARCH("dom",G618)))</formula>
    </cfRule>
    <cfRule type="containsText" dxfId="125" priority="9" operator="containsText" text="sába">
      <formula>NOT(ISERROR(SEARCH("sába",G618)))</formula>
    </cfRule>
    <cfRule type="containsText" dxfId="124" priority="10" operator="containsText" text="dom">
      <formula>NOT(ISERROR(SEARCH("dom",G618)))</formula>
    </cfRule>
    <cfRule type="containsText" dxfId="123" priority="11" operator="containsText" text="sába">
      <formula>NOT(ISERROR(SEARCH("sába",G618)))</formula>
    </cfRule>
    <cfRule type="containsText" dxfId="122" priority="1" operator="containsText" text="sába">
      <formula>NOT(ISERROR(SEARCH("sába",G618)))</formula>
    </cfRule>
    <cfRule type="containsText" dxfId="121" priority="13" operator="containsText" text="sába">
      <formula>NOT(ISERROR(SEARCH("sába",G618)))</formula>
    </cfRule>
    <cfRule type="containsText" dxfId="120" priority="14" operator="containsText" text="dom">
      <formula>NOT(ISERROR(SEARCH("dom",G618)))</formula>
    </cfRule>
    <cfRule type="containsText" dxfId="119" priority="15" operator="containsText" text="sába">
      <formula>NOT(ISERROR(SEARCH("sába",G618)))</formula>
    </cfRule>
    <cfRule type="containsText" dxfId="118" priority="21" operator="containsText" text="sába">
      <formula>NOT(ISERROR(SEARCH("sába",G618)))</formula>
    </cfRule>
    <cfRule type="containsText" dxfId="117" priority="16" operator="containsText" text="dom">
      <formula>NOT(ISERROR(SEARCH("dom",G618)))</formula>
    </cfRule>
    <cfRule type="containsText" dxfId="116" priority="17" operator="containsText" text="sába">
      <formula>NOT(ISERROR(SEARCH("sába",G618)))</formula>
    </cfRule>
    <cfRule type="containsText" dxfId="115" priority="18" operator="containsText" text="dom">
      <formula>NOT(ISERROR(SEARCH("dom",G618)))</formula>
    </cfRule>
    <cfRule type="containsText" dxfId="114" priority="32" operator="containsText" text="dom">
      <formula>NOT(ISERROR(SEARCH("dom",G618)))</formula>
    </cfRule>
    <cfRule type="containsText" dxfId="113" priority="31" operator="containsText" text="sába">
      <formula>NOT(ISERROR(SEARCH("sába",G618)))</formula>
    </cfRule>
    <cfRule type="containsText" dxfId="112" priority="30" operator="containsText" text="dom">
      <formula>NOT(ISERROR(SEARCH("dom",G618)))</formula>
    </cfRule>
    <cfRule type="containsText" dxfId="111" priority="29" operator="containsText" text="sába">
      <formula>NOT(ISERROR(SEARCH("sába",G618)))</formula>
    </cfRule>
    <cfRule type="containsText" dxfId="110" priority="28" operator="containsText" text="dom">
      <formula>NOT(ISERROR(SEARCH("dom",G618)))</formula>
    </cfRule>
    <cfRule type="containsText" dxfId="109" priority="27" operator="containsText" text="sába">
      <formula>NOT(ISERROR(SEARCH("sába",G618)))</formula>
    </cfRule>
  </conditionalFormatting>
  <conditionalFormatting sqref="G494:H494">
    <cfRule type="containsText" dxfId="108" priority="488" operator="containsText" text="dom">
      <formula>NOT(ISERROR(SEARCH("dom",G494)))</formula>
    </cfRule>
    <cfRule type="containsText" dxfId="107" priority="487" operator="containsText" text="sába">
      <formula>NOT(ISERROR(SEARCH("sába",G494)))</formula>
    </cfRule>
  </conditionalFormatting>
  <conditionalFormatting sqref="G575:H583 G578:G584">
    <cfRule type="containsText" dxfId="106" priority="372" operator="containsText" text="dom">
      <formula>NOT(ISERROR(SEARCH("dom",G575)))</formula>
    </cfRule>
    <cfRule type="containsText" dxfId="105" priority="371" operator="containsText" text="sába">
      <formula>NOT(ISERROR(SEARCH("sába",G575)))</formula>
    </cfRule>
  </conditionalFormatting>
  <conditionalFormatting sqref="G578:H583 G578:G584">
    <cfRule type="containsText" dxfId="104" priority="370" operator="containsText" text="dom">
      <formula>NOT(ISERROR(SEARCH("dom",G578)))</formula>
    </cfRule>
  </conditionalFormatting>
  <conditionalFormatting sqref="G578:H584">
    <cfRule type="containsText" dxfId="103" priority="359" operator="containsText" text="sába">
      <formula>NOT(ISERROR(SEARCH("sába",G578)))</formula>
    </cfRule>
  </conditionalFormatting>
  <conditionalFormatting sqref="G584:H584">
    <cfRule type="containsText" dxfId="102" priority="360" operator="containsText" text="dom">
      <formula>NOT(ISERROR(SEARCH("dom",G584)))</formula>
    </cfRule>
    <cfRule type="containsText" dxfId="101" priority="358" operator="containsText" text="dom">
      <formula>NOT(ISERROR(SEARCH("dom",G584)))</formula>
    </cfRule>
    <cfRule type="containsText" dxfId="100" priority="357" operator="containsText" text="sába">
      <formula>NOT(ISERROR(SEARCH("sába",G584)))</formula>
    </cfRule>
  </conditionalFormatting>
  <conditionalFormatting sqref="G289:L422 G5:G228 F6:F81 E43:I169 H559:L561 G571:H577 G579:L581 E582:L583 E579:E581 E589:F591 H589:L591 E593:E595 H593:L598 E596:F598 G602:L605 E610:L617 E615:G628 E619:L1048576 E1:L3 L4:L5 E4:I16 J4:K228 L11:L127 I17:I42 L129:L153 L155:L206 G170:I206 E170:E214 I207 G207:H214 G208:I214 L208:L228 E215:I227 G228:I228 G229:L287 J288:L288 E423:L449 G483:H484 G485:L488 H487:H489 G489:H489 G490:L493 G495:L534 E535:L555 I562:L563 E563:H566 E564:L566 G567:L569 I570:L570 F571:L573 I574:L578 I592:L592 H606:L609">
    <cfRule type="containsText" dxfId="99" priority="535" operator="containsText" text="sába">
      <formula>NOT(ISERROR(SEARCH("sába",E1)))</formula>
    </cfRule>
  </conditionalFormatting>
  <conditionalFormatting sqref="G450:L482 E450:E534">
    <cfRule type="containsText" dxfId="98" priority="483" operator="containsText" text="sába">
      <formula>NOT(ISERROR(SEARCH("sába",E450)))</formula>
    </cfRule>
    <cfRule type="containsText" dxfId="97" priority="484" operator="containsText" text="dom">
      <formula>NOT(ISERROR(SEARCH("dom",E450)))</formula>
    </cfRule>
  </conditionalFormatting>
  <conditionalFormatting sqref="G556:L558 H558:H560 G558:G561">
    <cfRule type="containsText" dxfId="96" priority="482" operator="containsText" text="dom">
      <formula>NOT(ISERROR(SEARCH("dom",G556)))</formula>
    </cfRule>
  </conditionalFormatting>
  <conditionalFormatting sqref="H17:H101">
    <cfRule type="containsText" dxfId="95" priority="511" operator="containsText" text="sába">
      <formula>NOT(ISERROR(SEARCH("sába",H17)))</formula>
    </cfRule>
    <cfRule type="containsText" dxfId="94" priority="512" operator="containsText" text="dom">
      <formula>NOT(ISERROR(SEARCH("dom",H17)))</formula>
    </cfRule>
  </conditionalFormatting>
  <conditionalFormatting sqref="H562">
    <cfRule type="containsText" dxfId="93" priority="459" operator="containsText" text="sába">
      <formula>NOT(ISERROR(SEARCH("sába",H562)))</formula>
    </cfRule>
    <cfRule type="containsText" dxfId="92" priority="460" operator="containsText" text="dom">
      <formula>NOT(ISERROR(SEARCH("dom",H562)))</formula>
    </cfRule>
  </conditionalFormatting>
  <conditionalFormatting sqref="H570 E567:E570">
    <cfRule type="containsText" dxfId="91" priority="429" operator="containsText" text="sába">
      <formula>NOT(ISERROR(SEARCH("sába",E567)))</formula>
    </cfRule>
  </conditionalFormatting>
  <conditionalFormatting sqref="H570">
    <cfRule type="containsText" dxfId="90" priority="427" operator="containsText" text="sába">
      <formula>NOT(ISERROR(SEARCH("sába",H570)))</formula>
    </cfRule>
    <cfRule type="containsText" dxfId="89" priority="428" operator="containsText" text="dom">
      <formula>NOT(ISERROR(SEARCH("dom",H570)))</formula>
    </cfRule>
  </conditionalFormatting>
  <conditionalFormatting sqref="H585 E584:E585">
    <cfRule type="containsText" dxfId="88" priority="349" operator="containsText" text="sába">
      <formula>NOT(ISERROR(SEARCH("sába",E584)))</formula>
    </cfRule>
  </conditionalFormatting>
  <conditionalFormatting sqref="H585">
    <cfRule type="containsText" dxfId="87" priority="348" operator="containsText" text="dom">
      <formula>NOT(ISERROR(SEARCH("dom",H585)))</formula>
    </cfRule>
    <cfRule type="containsText" dxfId="86" priority="347" operator="containsText" text="sába">
      <formula>NOT(ISERROR(SEARCH("sába",H585)))</formula>
    </cfRule>
  </conditionalFormatting>
  <conditionalFormatting sqref="H585:H586 E585:E586">
    <cfRule type="containsText" dxfId="85" priority="335" operator="containsText" text="sába">
      <formula>NOT(ISERROR(SEARCH("sába",E585)))</formula>
    </cfRule>
  </conditionalFormatting>
  <conditionalFormatting sqref="H586">
    <cfRule type="containsText" dxfId="84" priority="334" operator="containsText" text="dom">
      <formula>NOT(ISERROR(SEARCH("dom",H586)))</formula>
    </cfRule>
    <cfRule type="containsText" dxfId="83" priority="333" operator="containsText" text="sába">
      <formula>NOT(ISERROR(SEARCH("sába",H586)))</formula>
    </cfRule>
  </conditionalFormatting>
  <conditionalFormatting sqref="H586:H587 E586:E587">
    <cfRule type="containsText" dxfId="82" priority="317" operator="containsText" text="sába">
      <formula>NOT(ISERROR(SEARCH("sába",E586)))</formula>
    </cfRule>
  </conditionalFormatting>
  <conditionalFormatting sqref="H587">
    <cfRule type="containsText" dxfId="81" priority="316" operator="containsText" text="dom">
      <formula>NOT(ISERROR(SEARCH("dom",H587)))</formula>
    </cfRule>
    <cfRule type="containsText" dxfId="80" priority="315" operator="containsText" text="sába">
      <formula>NOT(ISERROR(SEARCH("sába",H587)))</formula>
    </cfRule>
  </conditionalFormatting>
  <conditionalFormatting sqref="H587:H591 E587:E591">
    <cfRule type="containsText" dxfId="79" priority="305" operator="containsText" text="sába">
      <formula>NOT(ISERROR(SEARCH("sába",E587)))</formula>
    </cfRule>
  </conditionalFormatting>
  <conditionalFormatting sqref="H588:H591">
    <cfRule type="containsText" dxfId="78" priority="304" operator="containsText" text="dom">
      <formula>NOT(ISERROR(SEARCH("dom",H588)))</formula>
    </cfRule>
    <cfRule type="containsText" dxfId="77" priority="303" operator="containsText" text="sába">
      <formula>NOT(ISERROR(SEARCH("sába",H588)))</formula>
    </cfRule>
  </conditionalFormatting>
  <conditionalFormatting sqref="H592:H598 E592:E598">
    <cfRule type="containsText" dxfId="76" priority="289" operator="containsText" text="sába">
      <formula>NOT(ISERROR(SEARCH("sába",E592)))</formula>
    </cfRule>
  </conditionalFormatting>
  <conditionalFormatting sqref="H592:H598">
    <cfRule type="containsText" dxfId="75" priority="286" operator="containsText" text="dom">
      <formula>NOT(ISERROR(SEARCH("dom",H592)))</formula>
    </cfRule>
    <cfRule type="containsText" dxfId="74" priority="285" operator="containsText" text="sába">
      <formula>NOT(ISERROR(SEARCH("sába",H592)))</formula>
    </cfRule>
    <cfRule type="containsText" dxfId="73" priority="287" operator="containsText" text="sába">
      <formula>NOT(ISERROR(SEARCH("sába",H592)))</formula>
    </cfRule>
    <cfRule type="containsText" dxfId="72" priority="288" operator="containsText" text="dom">
      <formula>NOT(ISERROR(SEARCH("dom",H592)))</formula>
    </cfRule>
  </conditionalFormatting>
  <conditionalFormatting sqref="I288">
    <cfRule type="containsText" dxfId="71" priority="525" operator="containsText" text="sába">
      <formula>NOT(ISERROR(SEARCH("sába",I288)))</formula>
    </cfRule>
    <cfRule type="containsText" dxfId="70" priority="526" operator="containsText" text="dom">
      <formula>NOT(ISERROR(SEARCH("dom",I288)))</formula>
    </cfRule>
  </conditionalFormatting>
  <conditionalFormatting sqref="I483:L484">
    <cfRule type="containsText" dxfId="69" priority="491" operator="containsText" text="sába">
      <formula>NOT(ISERROR(SEARCH("sába",I483)))</formula>
    </cfRule>
    <cfRule type="containsText" dxfId="68" priority="492" operator="containsText" text="dom">
      <formula>NOT(ISERROR(SEARCH("dom",I483)))</formula>
    </cfRule>
  </conditionalFormatting>
  <conditionalFormatting sqref="I489:L489">
    <cfRule type="containsText" dxfId="67" priority="489" operator="containsText" text="sába">
      <formula>NOT(ISERROR(SEARCH("sába",I489)))</formula>
    </cfRule>
    <cfRule type="containsText" dxfId="66" priority="490" operator="containsText" text="dom">
      <formula>NOT(ISERROR(SEARCH("dom",I489)))</formula>
    </cfRule>
  </conditionalFormatting>
  <conditionalFormatting sqref="I494:L494">
    <cfRule type="containsText" dxfId="65" priority="486" operator="containsText" text="dom">
      <formula>NOT(ISERROR(SEARCH("dom",I494)))</formula>
    </cfRule>
    <cfRule type="containsText" dxfId="64" priority="485" operator="containsText" text="sába">
      <formula>NOT(ISERROR(SEARCH("sába",I494)))</formula>
    </cfRule>
  </conditionalFormatting>
  <conditionalFormatting sqref="I584:L588">
    <cfRule type="containsText" dxfId="63" priority="338" operator="containsText" text="dom">
      <formula>NOT(ISERROR(SEARCH("dom",I584)))</formula>
    </cfRule>
    <cfRule type="containsText" dxfId="62" priority="337" operator="containsText" text="sába">
      <formula>NOT(ISERROR(SEARCH("sába",I584)))</formula>
    </cfRule>
  </conditionalFormatting>
  <conditionalFormatting sqref="M535:M536">
    <cfRule type="containsText" dxfId="61" priority="495" operator="containsText" text="sába">
      <formula>NOT(ISERROR(SEARCH("sába",M535)))</formula>
    </cfRule>
    <cfRule type="containsText" dxfId="60" priority="496" operator="containsText" text="dom">
      <formula>NOT(ISERROR(SEARCH("dom",M535)))</formula>
    </cfRule>
  </conditionalFormatting>
  <conditionalFormatting sqref="W6:W12">
    <cfRule type="containsText" dxfId="59" priority="529" operator="containsText" text="sába">
      <formula>NOT(ISERROR(SEARCH("sába",W6)))</formula>
    </cfRule>
    <cfRule type="containsText" dxfId="58" priority="530" operator="containsText" text="dom">
      <formula>NOT(ISERROR(SEARCH("dom",W6)))</formula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C6:D6"/>
  <sheetViews>
    <sheetView workbookViewId="0"/>
  </sheetViews>
  <sheetFormatPr baseColWidth="10" defaultRowHeight="15" x14ac:dyDescent="0.25"/>
  <cols>
    <col min="3" max="3" width="35.28515625" bestFit="1" customWidth="1"/>
  </cols>
  <sheetData>
    <row r="6" spans="3:4" x14ac:dyDescent="0.25">
      <c r="C6" s="249" t="s">
        <v>541</v>
      </c>
      <c r="D6" s="2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D123"/>
  <sheetViews>
    <sheetView showGridLines="0" zoomScale="85" zoomScaleNormal="85" workbookViewId="0">
      <selection activeCell="L44" sqref="L44"/>
    </sheetView>
  </sheetViews>
  <sheetFormatPr baseColWidth="10" defaultColWidth="11.42578125" defaultRowHeight="15" outlineLevelRow="1" x14ac:dyDescent="0.25"/>
  <cols>
    <col min="1" max="1" width="11" customWidth="1"/>
    <col min="2" max="2" width="4.42578125" customWidth="1"/>
    <col min="3" max="3" width="7.42578125" customWidth="1"/>
    <col min="4" max="4" width="12.5703125" bestFit="1" customWidth="1"/>
    <col min="5" max="5" width="21.28515625" style="47" bestFit="1" customWidth="1"/>
    <col min="6" max="6" width="19.7109375" style="47" bestFit="1" customWidth="1"/>
    <col min="7" max="7" width="19.7109375" bestFit="1" customWidth="1"/>
    <col min="8" max="8" width="12.140625" bestFit="1" customWidth="1"/>
    <col min="9" max="9" width="2.85546875" style="394" customWidth="1"/>
    <col min="10" max="10" width="17.28515625" customWidth="1"/>
    <col min="11" max="11" width="18.85546875" bestFit="1" customWidth="1"/>
    <col min="12" max="12" width="13.140625" customWidth="1"/>
    <col min="13" max="13" width="18.5703125" bestFit="1" customWidth="1"/>
    <col min="14" max="14" width="17.85546875" bestFit="1" customWidth="1"/>
    <col min="15" max="15" width="14.5703125" bestFit="1" customWidth="1"/>
    <col min="16" max="16" width="8.5703125" bestFit="1" customWidth="1"/>
    <col min="17" max="17" width="18.140625" customWidth="1"/>
    <col min="18" max="18" width="14.28515625" bestFit="1" customWidth="1"/>
    <col min="19" max="19" width="8.140625" bestFit="1" customWidth="1"/>
    <col min="20" max="20" width="17.42578125" bestFit="1" customWidth="1"/>
    <col min="21" max="21" width="17.140625" customWidth="1"/>
    <col min="22" max="22" width="19.5703125" customWidth="1"/>
    <col min="23" max="23" width="12.85546875" customWidth="1"/>
    <col min="24" max="24" width="14.28515625" customWidth="1"/>
    <col min="25" max="25" width="19.28515625" customWidth="1"/>
    <col min="26" max="26" width="12.85546875" customWidth="1"/>
    <col min="27" max="27" width="16" customWidth="1"/>
    <col min="28" max="28" width="19.28515625" customWidth="1"/>
    <col min="29" max="29" width="12.85546875" customWidth="1"/>
    <col min="30" max="30" width="16" customWidth="1"/>
    <col min="31" max="31" width="19.28515625" customWidth="1"/>
    <col min="32" max="32" width="12.85546875" customWidth="1"/>
    <col min="33" max="33" width="16" customWidth="1"/>
    <col min="34" max="34" width="19.28515625" customWidth="1"/>
    <col min="35" max="35" width="12.85546875" customWidth="1"/>
    <col min="36" max="37" width="16" customWidth="1"/>
  </cols>
  <sheetData>
    <row r="1" spans="1:30" outlineLevel="1" x14ac:dyDescent="0.25">
      <c r="D1" t="s">
        <v>296</v>
      </c>
      <c r="E1" s="132" t="s">
        <v>444</v>
      </c>
      <c r="K1" t="s">
        <v>444</v>
      </c>
      <c r="L1" t="s">
        <v>446</v>
      </c>
    </row>
    <row r="2" spans="1:30" outlineLevel="1" x14ac:dyDescent="0.25">
      <c r="D2" s="158" t="s">
        <v>351</v>
      </c>
      <c r="E2" t="s">
        <v>443</v>
      </c>
      <c r="K2" t="s">
        <v>445</v>
      </c>
      <c r="L2" t="s">
        <v>447</v>
      </c>
    </row>
    <row r="3" spans="1:30" outlineLevel="1" x14ac:dyDescent="0.25">
      <c r="E3"/>
    </row>
    <row r="4" spans="1:30" x14ac:dyDescent="0.25">
      <c r="D4" s="158" t="s">
        <v>453</v>
      </c>
      <c r="E4" s="158" t="s">
        <v>55</v>
      </c>
      <c r="F4"/>
    </row>
    <row r="5" spans="1:30" x14ac:dyDescent="0.25">
      <c r="D5" s="253" t="s">
        <v>297</v>
      </c>
      <c r="E5" s="123" t="s">
        <v>651</v>
      </c>
      <c r="F5" s="389" t="s">
        <v>558</v>
      </c>
      <c r="G5" s="389" t="s">
        <v>319</v>
      </c>
      <c r="H5" s="389" t="s">
        <v>318</v>
      </c>
      <c r="I5" s="395"/>
      <c r="J5" s="389"/>
      <c r="AB5" s="211" t="s">
        <v>560</v>
      </c>
      <c r="AC5" s="211" t="s">
        <v>319</v>
      </c>
      <c r="AD5" s="211" t="s">
        <v>318</v>
      </c>
    </row>
    <row r="6" spans="1:30" hidden="1" outlineLevel="1" x14ac:dyDescent="0.25">
      <c r="A6" s="190"/>
      <c r="D6" s="47">
        <v>1</v>
      </c>
      <c r="E6" s="145">
        <v>1500000</v>
      </c>
      <c r="F6" s="145">
        <v>370000</v>
      </c>
      <c r="G6" s="145">
        <v>229800</v>
      </c>
      <c r="H6" s="145"/>
      <c r="I6" s="396"/>
      <c r="J6" s="145"/>
      <c r="AB6" s="43" t="s">
        <v>474</v>
      </c>
      <c r="AC6" s="233" t="s">
        <v>476</v>
      </c>
      <c r="AD6" s="1"/>
    </row>
    <row r="7" spans="1:30" hidden="1" outlineLevel="1" x14ac:dyDescent="0.25">
      <c r="A7" s="190"/>
      <c r="D7" s="47">
        <v>2</v>
      </c>
      <c r="E7" s="145">
        <v>250000</v>
      </c>
      <c r="F7" s="145">
        <v>500000</v>
      </c>
      <c r="G7" s="145">
        <v>238000</v>
      </c>
      <c r="H7" s="145"/>
      <c r="I7" s="396"/>
      <c r="J7" s="145"/>
      <c r="AB7" s="43" t="s">
        <v>474</v>
      </c>
      <c r="AC7" s="233" t="s">
        <v>476</v>
      </c>
      <c r="AD7" s="1"/>
    </row>
    <row r="8" spans="1:30" hidden="1" outlineLevel="1" x14ac:dyDescent="0.25">
      <c r="A8" s="190"/>
      <c r="D8" s="47">
        <v>3</v>
      </c>
      <c r="E8" s="145">
        <v>120000</v>
      </c>
      <c r="F8" s="145">
        <v>1700000</v>
      </c>
      <c r="G8" s="145">
        <v>238000</v>
      </c>
      <c r="H8" s="145"/>
      <c r="I8" s="396"/>
      <c r="J8" s="145"/>
      <c r="AB8" s="43" t="s">
        <v>474</v>
      </c>
      <c r="AC8" s="231" t="s">
        <v>476</v>
      </c>
      <c r="AD8" s="1"/>
    </row>
    <row r="9" spans="1:30" hidden="1" outlineLevel="1" x14ac:dyDescent="0.25">
      <c r="A9" s="190"/>
      <c r="D9" s="47">
        <v>4</v>
      </c>
      <c r="E9" s="145">
        <v>180000</v>
      </c>
      <c r="F9" s="145">
        <v>600000</v>
      </c>
      <c r="G9" s="145">
        <v>420500</v>
      </c>
      <c r="H9" s="145"/>
      <c r="I9" s="396"/>
      <c r="J9" s="145"/>
      <c r="AB9" s="43" t="s">
        <v>474</v>
      </c>
      <c r="AC9" s="231" t="s">
        <v>476</v>
      </c>
      <c r="AD9" s="1"/>
    </row>
    <row r="10" spans="1:30" hidden="1" outlineLevel="1" x14ac:dyDescent="0.25">
      <c r="A10" s="190"/>
      <c r="D10" s="47">
        <v>5</v>
      </c>
      <c r="E10" s="145">
        <v>250000</v>
      </c>
      <c r="F10" s="145">
        <v>194000</v>
      </c>
      <c r="G10" s="145">
        <v>1210300</v>
      </c>
      <c r="H10" s="145"/>
      <c r="I10" s="396"/>
      <c r="J10" s="145"/>
      <c r="AB10" s="43" t="s">
        <v>474</v>
      </c>
      <c r="AC10" s="231" t="s">
        <v>476</v>
      </c>
      <c r="AD10" s="1"/>
    </row>
    <row r="11" spans="1:30" hidden="1" outlineLevel="1" x14ac:dyDescent="0.25">
      <c r="A11" s="190"/>
      <c r="D11" s="47">
        <v>6</v>
      </c>
      <c r="E11" s="145">
        <v>220000</v>
      </c>
      <c r="F11" s="145">
        <v>627000</v>
      </c>
      <c r="G11" s="145">
        <v>1345600</v>
      </c>
      <c r="H11" s="145"/>
      <c r="I11" s="396"/>
      <c r="J11" s="145"/>
      <c r="AB11" s="43" t="s">
        <v>474</v>
      </c>
      <c r="AC11" s="231" t="s">
        <v>476</v>
      </c>
      <c r="AD11" s="1"/>
    </row>
    <row r="12" spans="1:30" hidden="1" outlineLevel="1" x14ac:dyDescent="0.25">
      <c r="A12" s="190"/>
      <c r="D12" s="47">
        <v>7</v>
      </c>
      <c r="E12" s="145">
        <v>900000</v>
      </c>
      <c r="F12" s="145">
        <v>332500</v>
      </c>
      <c r="G12" s="145">
        <v>603500</v>
      </c>
      <c r="H12" s="145"/>
      <c r="I12" s="396"/>
      <c r="J12" s="145"/>
      <c r="AC12" s="229" t="s">
        <v>476</v>
      </c>
      <c r="AD12" s="1"/>
    </row>
    <row r="13" spans="1:30" hidden="1" outlineLevel="1" x14ac:dyDescent="0.25">
      <c r="A13" s="190"/>
      <c r="D13" s="47">
        <v>8</v>
      </c>
      <c r="E13" s="145">
        <v>1200000</v>
      </c>
      <c r="F13" s="145">
        <v>342000</v>
      </c>
      <c r="G13" s="145">
        <v>426300</v>
      </c>
      <c r="H13" s="145"/>
      <c r="I13" s="396"/>
      <c r="J13" s="145"/>
      <c r="AC13" s="229" t="s">
        <v>476</v>
      </c>
      <c r="AD13" s="1"/>
    </row>
    <row r="14" spans="1:30" hidden="1" outlineLevel="1" x14ac:dyDescent="0.25">
      <c r="D14" s="47">
        <v>9</v>
      </c>
      <c r="E14" s="145">
        <v>140000</v>
      </c>
      <c r="F14" s="145">
        <v>1552000</v>
      </c>
      <c r="G14" s="145">
        <v>134000</v>
      </c>
      <c r="H14" s="145"/>
      <c r="I14" s="396"/>
      <c r="J14" s="145"/>
      <c r="AC14" s="229" t="s">
        <v>476</v>
      </c>
      <c r="AD14" s="1"/>
    </row>
    <row r="15" spans="1:30" hidden="1" outlineLevel="1" x14ac:dyDescent="0.25">
      <c r="D15" s="47">
        <v>10</v>
      </c>
      <c r="E15" s="145">
        <v>0</v>
      </c>
      <c r="F15" s="145">
        <v>1690000</v>
      </c>
      <c r="G15" s="145">
        <v>85500</v>
      </c>
      <c r="H15" s="145"/>
      <c r="I15" s="396"/>
      <c r="J15" s="145"/>
      <c r="AC15" s="229" t="s">
        <v>476</v>
      </c>
      <c r="AD15" s="1"/>
    </row>
    <row r="16" spans="1:30" hidden="1" outlineLevel="1" x14ac:dyDescent="0.25">
      <c r="D16" s="47">
        <v>11</v>
      </c>
      <c r="E16" s="145">
        <v>220000</v>
      </c>
      <c r="F16" s="145">
        <v>700000</v>
      </c>
      <c r="G16" s="145">
        <v>427900</v>
      </c>
      <c r="H16" s="145"/>
      <c r="I16" s="396"/>
      <c r="J16" s="145"/>
      <c r="AC16" s="227" t="s">
        <v>476</v>
      </c>
      <c r="AD16" s="1"/>
    </row>
    <row r="17" spans="3:30" hidden="1" outlineLevel="1" x14ac:dyDescent="0.25">
      <c r="D17" s="47">
        <v>12</v>
      </c>
      <c r="E17" s="145">
        <v>400000</v>
      </c>
      <c r="F17" s="145">
        <v>122000</v>
      </c>
      <c r="G17" s="145">
        <v>664500</v>
      </c>
      <c r="H17" s="145"/>
      <c r="I17" s="396"/>
      <c r="J17" s="145"/>
      <c r="AC17" s="227" t="s">
        <v>476</v>
      </c>
      <c r="AD17" s="1"/>
    </row>
    <row r="18" spans="3:30" hidden="1" outlineLevel="1" x14ac:dyDescent="0.25">
      <c r="D18" s="47">
        <v>13</v>
      </c>
      <c r="E18" s="145">
        <v>350000</v>
      </c>
      <c r="F18" s="145">
        <v>165000</v>
      </c>
      <c r="G18" s="145">
        <v>1283500</v>
      </c>
      <c r="H18" s="145"/>
      <c r="I18" s="396"/>
      <c r="J18" s="145"/>
      <c r="AC18" s="227" t="s">
        <v>476</v>
      </c>
      <c r="AD18" s="1"/>
    </row>
    <row r="19" spans="3:30" hidden="1" outlineLevel="1" x14ac:dyDescent="0.25">
      <c r="D19" s="47">
        <v>14</v>
      </c>
      <c r="E19" s="145">
        <v>900000</v>
      </c>
      <c r="F19" s="145">
        <v>61000</v>
      </c>
      <c r="G19" s="145">
        <v>622000</v>
      </c>
      <c r="H19" s="145"/>
      <c r="I19" s="396"/>
      <c r="J19" s="145"/>
      <c r="AC19" s="2" t="s">
        <v>475</v>
      </c>
      <c r="AD19" s="1"/>
    </row>
    <row r="20" spans="3:30" hidden="1" outlineLevel="1" x14ac:dyDescent="0.25">
      <c r="D20" s="47">
        <v>15</v>
      </c>
      <c r="E20" s="145">
        <v>800000</v>
      </c>
      <c r="F20" s="145">
        <v>235000</v>
      </c>
      <c r="G20" s="145">
        <v>227000</v>
      </c>
      <c r="H20" s="145"/>
      <c r="I20" s="396"/>
      <c r="J20" s="145"/>
      <c r="AC20" s="2" t="s">
        <v>475</v>
      </c>
      <c r="AD20" s="1"/>
    </row>
    <row r="21" spans="3:30" hidden="1" outlineLevel="1" x14ac:dyDescent="0.25">
      <c r="D21" s="47">
        <v>16</v>
      </c>
      <c r="E21" s="145">
        <v>207200</v>
      </c>
      <c r="F21" s="145">
        <v>811500</v>
      </c>
      <c r="G21" s="145">
        <v>385300</v>
      </c>
      <c r="H21" s="145"/>
      <c r="I21" s="396"/>
      <c r="J21" s="145"/>
      <c r="AC21" s="2" t="s">
        <v>475</v>
      </c>
      <c r="AD21" s="1"/>
    </row>
    <row r="22" spans="3:30" hidden="1" outlineLevel="1" x14ac:dyDescent="0.25">
      <c r="D22" s="47">
        <v>17</v>
      </c>
      <c r="E22" s="145">
        <v>157500</v>
      </c>
      <c r="F22" s="145">
        <v>1300900</v>
      </c>
      <c r="G22" s="145">
        <v>250800</v>
      </c>
      <c r="H22" s="145"/>
      <c r="I22" s="396"/>
      <c r="J22" s="145"/>
      <c r="AC22" s="2" t="s">
        <v>475</v>
      </c>
      <c r="AD22" s="1"/>
    </row>
    <row r="23" spans="3:30" hidden="1" outlineLevel="1" x14ac:dyDescent="0.25">
      <c r="D23" s="47">
        <v>18</v>
      </c>
      <c r="E23" s="145">
        <v>220000</v>
      </c>
      <c r="F23" s="145">
        <v>350000</v>
      </c>
      <c r="G23" s="145">
        <v>363500</v>
      </c>
      <c r="H23" s="145"/>
      <c r="I23" s="396"/>
      <c r="J23" s="145"/>
      <c r="AC23" s="2" t="s">
        <v>475</v>
      </c>
      <c r="AD23" s="1"/>
    </row>
    <row r="24" spans="3:30" hidden="1" outlineLevel="1" x14ac:dyDescent="0.25">
      <c r="C24" s="199"/>
      <c r="D24" s="47">
        <v>19</v>
      </c>
      <c r="E24" s="145">
        <v>445500</v>
      </c>
      <c r="F24" s="145">
        <v>220000</v>
      </c>
      <c r="G24" s="145">
        <v>720000</v>
      </c>
      <c r="H24" s="145"/>
      <c r="I24" s="396"/>
      <c r="J24" s="145"/>
      <c r="AC24" s="21" t="s">
        <v>477</v>
      </c>
      <c r="AD24" s="1"/>
    </row>
    <row r="25" spans="3:30" hidden="1" outlineLevel="1" x14ac:dyDescent="0.25">
      <c r="D25" s="47">
        <v>20</v>
      </c>
      <c r="E25" s="145">
        <v>350000</v>
      </c>
      <c r="F25" s="145">
        <v>320000</v>
      </c>
      <c r="G25" s="145">
        <v>1550500</v>
      </c>
      <c r="H25" s="145"/>
      <c r="I25" s="396"/>
      <c r="J25" s="145"/>
      <c r="AC25" s="2" t="s">
        <v>475</v>
      </c>
      <c r="AD25" s="1"/>
    </row>
    <row r="26" spans="3:30" hidden="1" outlineLevel="1" x14ac:dyDescent="0.25">
      <c r="D26" s="47">
        <v>21</v>
      </c>
      <c r="E26" s="145">
        <v>450000</v>
      </c>
      <c r="F26" s="145">
        <v>216500</v>
      </c>
      <c r="G26" s="145">
        <v>350000</v>
      </c>
      <c r="H26" s="145"/>
      <c r="I26" s="396"/>
      <c r="J26" s="145"/>
      <c r="AC26" s="43" t="s">
        <v>474</v>
      </c>
      <c r="AD26" s="1"/>
    </row>
    <row r="27" spans="3:30" hidden="1" outlineLevel="1" x14ac:dyDescent="0.25">
      <c r="D27" s="47">
        <v>22</v>
      </c>
      <c r="E27" s="145">
        <v>638500</v>
      </c>
      <c r="F27" s="145">
        <v>186000</v>
      </c>
      <c r="G27" s="145">
        <v>380000</v>
      </c>
      <c r="H27" s="145">
        <v>572000</v>
      </c>
      <c r="I27" s="396"/>
      <c r="J27" s="145"/>
      <c r="AC27" s="43" t="s">
        <v>474</v>
      </c>
      <c r="AD27" s="43" t="s">
        <v>474</v>
      </c>
    </row>
    <row r="28" spans="3:30" hidden="1" outlineLevel="1" x14ac:dyDescent="0.25">
      <c r="D28" s="47">
        <v>23</v>
      </c>
      <c r="E28" s="145">
        <v>308500</v>
      </c>
      <c r="F28" s="145">
        <v>587500</v>
      </c>
      <c r="G28" s="145">
        <v>550000</v>
      </c>
      <c r="H28" s="145">
        <v>142000</v>
      </c>
      <c r="I28" s="396"/>
      <c r="J28" s="145"/>
      <c r="AC28" s="43" t="s">
        <v>474</v>
      </c>
      <c r="AD28" s="1" t="s">
        <v>475</v>
      </c>
    </row>
    <row r="29" spans="3:30" hidden="1" outlineLevel="1" x14ac:dyDescent="0.25">
      <c r="D29" s="47">
        <v>24</v>
      </c>
      <c r="E29" s="145">
        <v>604000</v>
      </c>
      <c r="F29" s="145">
        <v>960000</v>
      </c>
      <c r="G29" s="145">
        <v>380000</v>
      </c>
      <c r="H29" s="145">
        <v>393000</v>
      </c>
      <c r="I29" s="396"/>
      <c r="J29" s="145"/>
      <c r="AC29" s="43" t="s">
        <v>474</v>
      </c>
      <c r="AD29" s="1" t="s">
        <v>475</v>
      </c>
    </row>
    <row r="30" spans="3:30" hidden="1" outlineLevel="1" x14ac:dyDescent="0.25">
      <c r="D30" s="47">
        <v>25</v>
      </c>
      <c r="E30" s="145">
        <v>589500</v>
      </c>
      <c r="F30" s="145">
        <v>500000</v>
      </c>
      <c r="G30" s="145">
        <v>1200000</v>
      </c>
      <c r="H30" s="145">
        <v>419500</v>
      </c>
      <c r="I30" s="396"/>
      <c r="J30" s="145"/>
      <c r="AC30" s="43" t="s">
        <v>474</v>
      </c>
      <c r="AD30" s="1" t="s">
        <v>475</v>
      </c>
    </row>
    <row r="31" spans="3:30" hidden="1" outlineLevel="1" x14ac:dyDescent="0.25">
      <c r="D31" s="47">
        <v>26</v>
      </c>
      <c r="E31" s="145">
        <v>120500</v>
      </c>
      <c r="F31" s="145">
        <v>400000</v>
      </c>
      <c r="G31" s="145">
        <v>655000</v>
      </c>
      <c r="H31" s="145">
        <v>315000</v>
      </c>
      <c r="I31" s="396"/>
      <c r="J31" s="145"/>
      <c r="AC31" s="43" t="s">
        <v>474</v>
      </c>
      <c r="AD31" s="1" t="s">
        <v>475</v>
      </c>
    </row>
    <row r="32" spans="3:30" hidden="1" outlineLevel="1" x14ac:dyDescent="0.25">
      <c r="D32" s="47">
        <v>27</v>
      </c>
      <c r="E32" s="145">
        <v>82500</v>
      </c>
      <c r="F32" s="145">
        <v>210000</v>
      </c>
      <c r="G32" s="145">
        <v>1200000</v>
      </c>
      <c r="H32" s="145">
        <v>421000</v>
      </c>
      <c r="I32" s="396"/>
      <c r="J32" s="145"/>
      <c r="AC32" s="43" t="s">
        <v>474</v>
      </c>
      <c r="AD32" s="1" t="s">
        <v>475</v>
      </c>
    </row>
    <row r="33" spans="4:30" hidden="1" outlineLevel="1" x14ac:dyDescent="0.25">
      <c r="D33" s="47">
        <v>28</v>
      </c>
      <c r="E33" s="145">
        <v>824000</v>
      </c>
      <c r="F33" s="145">
        <v>200000</v>
      </c>
      <c r="G33" s="145">
        <v>300000</v>
      </c>
      <c r="H33" s="145">
        <v>951500</v>
      </c>
      <c r="I33" s="396"/>
      <c r="J33" s="145"/>
      <c r="AC33" s="43" t="s">
        <v>474</v>
      </c>
      <c r="AD33" s="1" t="s">
        <v>475</v>
      </c>
    </row>
    <row r="34" spans="4:30" hidden="1" outlineLevel="1" x14ac:dyDescent="0.25">
      <c r="D34" s="47">
        <v>29</v>
      </c>
      <c r="E34" s="145">
        <v>720000</v>
      </c>
      <c r="F34" s="145">
        <v>400000</v>
      </c>
      <c r="G34" s="145">
        <v>220000</v>
      </c>
      <c r="H34" s="145">
        <v>658000</v>
      </c>
      <c r="I34" s="396"/>
      <c r="J34" s="145"/>
      <c r="AC34" s="43" t="s">
        <v>474</v>
      </c>
      <c r="AD34" s="1" t="s">
        <v>475</v>
      </c>
    </row>
    <row r="35" spans="4:30" hidden="1" outlineLevel="1" x14ac:dyDescent="0.25">
      <c r="D35" s="47">
        <v>30</v>
      </c>
      <c r="E35" s="145">
        <v>149500</v>
      </c>
      <c r="F35" s="145">
        <v>900000</v>
      </c>
      <c r="G35" s="145">
        <v>320000</v>
      </c>
      <c r="H35" s="145">
        <v>183210</v>
      </c>
      <c r="I35" s="396"/>
      <c r="J35" s="145"/>
      <c r="AC35" s="43" t="s">
        <v>474</v>
      </c>
      <c r="AD35" s="233" t="s">
        <v>476</v>
      </c>
    </row>
    <row r="36" spans="4:30" hidden="1" outlineLevel="1" x14ac:dyDescent="0.25">
      <c r="D36" s="47">
        <v>31</v>
      </c>
      <c r="E36" s="145">
        <v>448500</v>
      </c>
      <c r="F36" s="145"/>
      <c r="G36" s="145">
        <v>370000</v>
      </c>
      <c r="H36" s="145"/>
      <c r="I36" s="396"/>
      <c r="J36" s="145"/>
      <c r="AC36" s="1"/>
      <c r="AD36" s="1"/>
    </row>
    <row r="37" spans="4:30" hidden="1" outlineLevel="1" x14ac:dyDescent="0.25">
      <c r="D37" s="47" t="s">
        <v>317</v>
      </c>
      <c r="E37" s="145">
        <v>13745700</v>
      </c>
      <c r="F37" s="145">
        <v>16752900</v>
      </c>
      <c r="G37" s="145">
        <v>17351500</v>
      </c>
      <c r="H37" s="145">
        <v>4055210</v>
      </c>
      <c r="I37" s="396"/>
      <c r="J37" s="145"/>
      <c r="AC37" s="213">
        <v>11855040</v>
      </c>
      <c r="AD37" s="213">
        <v>4055210</v>
      </c>
    </row>
    <row r="38" spans="4:30" collapsed="1" x14ac:dyDescent="0.25">
      <c r="D38" s="257">
        <f>+D6</f>
        <v>1</v>
      </c>
      <c r="E38" s="165">
        <f t="shared" ref="E38:E42" si="0">+E6</f>
        <v>1500000</v>
      </c>
      <c r="F38" s="258">
        <f>+F6</f>
        <v>370000</v>
      </c>
      <c r="G38" s="259">
        <f>+G6</f>
        <v>229800</v>
      </c>
      <c r="H38" s="259">
        <f t="shared" ref="G38:H68" si="1">+H6</f>
        <v>0</v>
      </c>
      <c r="I38" s="396"/>
      <c r="J38" s="145"/>
    </row>
    <row r="39" spans="4:30" ht="18.75" x14ac:dyDescent="0.3">
      <c r="D39" s="254">
        <f>+D7</f>
        <v>2</v>
      </c>
      <c r="E39" s="145">
        <f t="shared" si="0"/>
        <v>250000</v>
      </c>
      <c r="F39" s="137">
        <f t="shared" ref="E39:F67" si="2">+F7</f>
        <v>500000</v>
      </c>
      <c r="G39" s="145">
        <f t="shared" si="1"/>
        <v>238000</v>
      </c>
      <c r="H39" s="145">
        <f t="shared" si="1"/>
        <v>0</v>
      </c>
      <c r="I39" s="396"/>
      <c r="J39" s="145"/>
      <c r="K39" s="279" t="str">
        <f>+E5</f>
        <v>dic</v>
      </c>
      <c r="L39" s="205" t="s">
        <v>320</v>
      </c>
      <c r="M39" s="205" t="s">
        <v>321</v>
      </c>
      <c r="N39" s="279" t="str">
        <f>+F5</f>
        <v>nov</v>
      </c>
      <c r="O39" s="205" t="s">
        <v>320</v>
      </c>
      <c r="P39" s="205" t="s">
        <v>321</v>
      </c>
      <c r="Q39" s="279" t="str">
        <f>+G5</f>
        <v>oct</v>
      </c>
      <c r="R39" s="205" t="s">
        <v>320</v>
      </c>
      <c r="S39" s="205" t="s">
        <v>321</v>
      </c>
      <c r="T39" s="279" t="str">
        <f>+H5</f>
        <v>sep</v>
      </c>
      <c r="V39" s="105" t="s">
        <v>325</v>
      </c>
    </row>
    <row r="40" spans="4:30" x14ac:dyDescent="0.25">
      <c r="D40" s="254">
        <f t="shared" ref="D40:E49" si="3">+D8</f>
        <v>3</v>
      </c>
      <c r="E40" s="145">
        <f t="shared" si="0"/>
        <v>120000</v>
      </c>
      <c r="F40" s="165">
        <f t="shared" si="2"/>
        <v>1700000</v>
      </c>
      <c r="G40" s="145">
        <f t="shared" si="1"/>
        <v>238000</v>
      </c>
      <c r="H40" s="145">
        <f t="shared" si="1"/>
        <v>0</v>
      </c>
      <c r="I40" s="396"/>
      <c r="J40" s="145"/>
      <c r="K40" s="265">
        <f>+AVERAGE(E39:E42)</f>
        <v>200000</v>
      </c>
      <c r="L40" s="176">
        <f>+K40-N40</f>
        <v>-79857.142857142841</v>
      </c>
      <c r="M40" s="172">
        <f>+K40/N40-1</f>
        <v>-0.28534966819806018</v>
      </c>
      <c r="N40" s="265">
        <f>+AVERAGE(F42:F44,F49:F51,F55:F58,F62:F65)</f>
        <v>279857.14285714284</v>
      </c>
      <c r="O40" s="176">
        <f>+N40-Q40</f>
        <v>-36153.968253968284</v>
      </c>
      <c r="P40" s="172">
        <f>+N40/Q40-1</f>
        <v>-0.11440726918382427</v>
      </c>
      <c r="Q40" s="265">
        <f>+AVERAGE(G38:G40,G44:G47,G52:G54,G58:G61,G65:G68)</f>
        <v>316011.11111111112</v>
      </c>
      <c r="R40" s="176">
        <f>+Q40-T40</f>
        <v>25469.111111111124</v>
      </c>
      <c r="S40" s="172">
        <f>+Q40/T40-1</f>
        <v>8.7660686272935218E-2</v>
      </c>
      <c r="T40" s="261">
        <f>+AVERAGE(H60:H63,H67)</f>
        <v>290542</v>
      </c>
      <c r="V40" s="105" t="s">
        <v>326</v>
      </c>
    </row>
    <row r="41" spans="4:30" x14ac:dyDescent="0.25">
      <c r="D41" s="254">
        <f t="shared" si="3"/>
        <v>4</v>
      </c>
      <c r="E41" s="145">
        <f t="shared" si="0"/>
        <v>180000</v>
      </c>
      <c r="F41" s="268">
        <f t="shared" si="2"/>
        <v>600000</v>
      </c>
      <c r="G41" s="136">
        <f t="shared" si="1"/>
        <v>420500</v>
      </c>
      <c r="H41" s="145">
        <f t="shared" si="1"/>
        <v>0</v>
      </c>
      <c r="I41" s="396"/>
      <c r="J41" s="145"/>
      <c r="K41" s="262">
        <f>+AVERAGE(E43)</f>
        <v>220000</v>
      </c>
      <c r="L41" s="381">
        <f>+K41-N41</f>
        <v>-86600</v>
      </c>
      <c r="M41" s="173">
        <f t="shared" ref="M41:M44" si="4">+K41/N41-1</f>
        <v>-0.2824527071102414</v>
      </c>
      <c r="N41" s="262">
        <f>+AVERAGE(F38,F45,F52,F59,F66)</f>
        <v>306600</v>
      </c>
      <c r="O41" s="381">
        <f>+N41-Q41</f>
        <v>-296375</v>
      </c>
      <c r="P41" s="173">
        <f t="shared" ref="P41:P43" si="5">+N41/Q41-1</f>
        <v>-0.49152120734690496</v>
      </c>
      <c r="Q41" s="262">
        <f>+AVERAGE(G41,G48,G55,G62)</f>
        <v>602975</v>
      </c>
      <c r="R41" s="177">
        <f>+Q41-T41</f>
        <v>181975</v>
      </c>
      <c r="S41" s="173">
        <f t="shared" ref="S41:S43" si="6">+Q41/T41-1</f>
        <v>0.43224465558194769</v>
      </c>
      <c r="T41" s="262">
        <f>+H64</f>
        <v>421000</v>
      </c>
      <c r="V41" t="s">
        <v>327</v>
      </c>
    </row>
    <row r="42" spans="4:30" x14ac:dyDescent="0.25">
      <c r="D42" s="254">
        <f t="shared" si="3"/>
        <v>5</v>
      </c>
      <c r="E42" s="145">
        <f t="shared" si="0"/>
        <v>250000</v>
      </c>
      <c r="F42" s="145">
        <f t="shared" si="2"/>
        <v>194000</v>
      </c>
      <c r="G42" s="137">
        <f t="shared" si="1"/>
        <v>1210300</v>
      </c>
      <c r="H42" s="145">
        <f t="shared" si="1"/>
        <v>0</v>
      </c>
      <c r="I42" s="396"/>
      <c r="J42" s="145"/>
      <c r="K42" s="263">
        <f t="shared" ref="K42:K43" si="7">+AVERAGE(E44)</f>
        <v>900000</v>
      </c>
      <c r="L42" s="380">
        <f>+K42-N42</f>
        <v>29800</v>
      </c>
      <c r="M42" s="174">
        <f t="shared" si="4"/>
        <v>3.424500114916107E-2</v>
      </c>
      <c r="N42" s="263">
        <f>+AVERAGE(F39,F46,F53,F60,F67)</f>
        <v>870200</v>
      </c>
      <c r="O42" s="380">
        <f>+N42-Q42</f>
        <v>57750</v>
      </c>
      <c r="P42" s="174">
        <f t="shared" si="5"/>
        <v>7.1081297310603642E-2</v>
      </c>
      <c r="Q42" s="263">
        <f>+AVERAGE(G42,G49,G56,G63)</f>
        <v>812450</v>
      </c>
      <c r="R42" s="266">
        <f>+Q42-T42</f>
        <v>-139050</v>
      </c>
      <c r="S42" s="174">
        <f t="shared" si="6"/>
        <v>-0.14613767735155014</v>
      </c>
      <c r="T42" s="263">
        <f>+H65</f>
        <v>951500</v>
      </c>
      <c r="V42" t="s">
        <v>328</v>
      </c>
    </row>
    <row r="43" spans="4:30" x14ac:dyDescent="0.25">
      <c r="D43" s="254">
        <f t="shared" si="3"/>
        <v>6</v>
      </c>
      <c r="E43" s="274">
        <f>+E11</f>
        <v>220000</v>
      </c>
      <c r="F43" s="145">
        <f t="shared" si="2"/>
        <v>627000</v>
      </c>
      <c r="G43" s="165">
        <f t="shared" si="1"/>
        <v>1345600</v>
      </c>
      <c r="H43" s="145">
        <f t="shared" si="1"/>
        <v>0</v>
      </c>
      <c r="I43" s="396"/>
      <c r="J43" s="145"/>
      <c r="K43" s="264">
        <f t="shared" si="7"/>
        <v>1200000</v>
      </c>
      <c r="L43" s="271">
        <f>+K43-N43</f>
        <v>-212725</v>
      </c>
      <c r="M43" s="272">
        <f t="shared" si="4"/>
        <v>-0.15057778406979416</v>
      </c>
      <c r="N43" s="264">
        <f>+AVERAGE(F40,F47,F54,F61)</f>
        <v>1412725</v>
      </c>
      <c r="O43" s="271">
        <f>+N43-Q43</f>
        <v>67825</v>
      </c>
      <c r="P43" s="272">
        <f t="shared" si="5"/>
        <v>5.0431258829652714E-2</v>
      </c>
      <c r="Q43" s="264">
        <f>+AVERAGE(G43,G50,G57,G64)</f>
        <v>1344900</v>
      </c>
      <c r="R43" s="179">
        <f>+Q43-T43</f>
        <v>729900</v>
      </c>
      <c r="S43" s="175">
        <f t="shared" si="6"/>
        <v>1.1868292682926831</v>
      </c>
      <c r="T43" s="264">
        <f>+AVERAGE(H59,H66)</f>
        <v>615000</v>
      </c>
      <c r="V43" t="s">
        <v>329</v>
      </c>
    </row>
    <row r="44" spans="4:30" x14ac:dyDescent="0.25">
      <c r="D44" s="254">
        <f t="shared" si="3"/>
        <v>7</v>
      </c>
      <c r="E44" s="276">
        <f>+E12</f>
        <v>900000</v>
      </c>
      <c r="F44" s="145">
        <f t="shared" si="2"/>
        <v>332500</v>
      </c>
      <c r="G44" s="145">
        <f t="shared" si="1"/>
        <v>603500</v>
      </c>
      <c r="H44" s="145">
        <f t="shared" si="1"/>
        <v>0</v>
      </c>
      <c r="I44" s="396"/>
      <c r="J44" s="145"/>
      <c r="K44" s="269">
        <f>+AVERAGE(F41,F48)</f>
        <v>650000</v>
      </c>
      <c r="L44" s="379">
        <f>+K44-N44</f>
        <v>0</v>
      </c>
      <c r="M44" s="270">
        <f t="shared" si="4"/>
        <v>0</v>
      </c>
      <c r="N44" s="269">
        <f>+AVERAGE(F41,F48)</f>
        <v>650000</v>
      </c>
      <c r="O44" s="379">
        <f>+N44-Q44</f>
        <v>28000</v>
      </c>
      <c r="P44" s="270">
        <f t="shared" ref="P44" si="8">+N44/Q44-1</f>
        <v>4.5016077170418001E-2</v>
      </c>
      <c r="Q44" s="269">
        <f>+G51</f>
        <v>622000</v>
      </c>
    </row>
    <row r="45" spans="4:30" x14ac:dyDescent="0.25">
      <c r="D45" s="254">
        <f t="shared" si="3"/>
        <v>8</v>
      </c>
      <c r="E45" s="165">
        <f t="shared" si="3"/>
        <v>1200000</v>
      </c>
      <c r="F45" s="274">
        <f t="shared" si="2"/>
        <v>342000</v>
      </c>
      <c r="G45" s="145">
        <f t="shared" si="1"/>
        <v>426300</v>
      </c>
      <c r="H45" s="145">
        <f t="shared" si="1"/>
        <v>0</v>
      </c>
      <c r="I45" s="396"/>
      <c r="J45" s="145"/>
    </row>
    <row r="46" spans="4:30" x14ac:dyDescent="0.25">
      <c r="D46" s="254">
        <f t="shared" si="3"/>
        <v>9</v>
      </c>
      <c r="E46" s="145">
        <f t="shared" si="3"/>
        <v>140000</v>
      </c>
      <c r="F46" s="276">
        <f t="shared" si="2"/>
        <v>1552000</v>
      </c>
      <c r="G46" s="145">
        <f t="shared" si="1"/>
        <v>134000</v>
      </c>
      <c r="H46" s="145">
        <f t="shared" si="1"/>
        <v>0</v>
      </c>
      <c r="I46" s="396"/>
      <c r="J46" s="145"/>
    </row>
    <row r="47" spans="4:30" x14ac:dyDescent="0.25">
      <c r="D47" s="254">
        <f t="shared" si="3"/>
        <v>10</v>
      </c>
      <c r="E47" s="145">
        <f t="shared" si="3"/>
        <v>0</v>
      </c>
      <c r="F47" s="165">
        <f t="shared" si="2"/>
        <v>1690000</v>
      </c>
      <c r="G47" s="145">
        <f t="shared" si="1"/>
        <v>85500</v>
      </c>
      <c r="H47" s="145">
        <f t="shared" si="1"/>
        <v>0</v>
      </c>
      <c r="I47" s="396"/>
      <c r="J47" s="145" t="s">
        <v>652</v>
      </c>
      <c r="K47" s="261">
        <f>+SUM(K41:K43)</f>
        <v>2320000</v>
      </c>
      <c r="L47" s="176">
        <f>+K47-N47</f>
        <v>-269525</v>
      </c>
      <c r="M47" s="172">
        <f>+K47/N47-1</f>
        <v>-0.10408279510721075</v>
      </c>
      <c r="N47" s="261">
        <f>+SUM(N41:N43)</f>
        <v>2589525</v>
      </c>
      <c r="O47" s="176">
        <f>+N47-Q47</f>
        <v>-170800</v>
      </c>
      <c r="P47" s="172">
        <f>+N47/Q47-1</f>
        <v>-6.1876771756948945E-2</v>
      </c>
      <c r="Q47" s="261">
        <f>+SUM(Q41:Q43)</f>
        <v>2760325</v>
      </c>
      <c r="R47" s="176">
        <f>+Q47-T47</f>
        <v>772825</v>
      </c>
      <c r="S47" s="172">
        <f>+Q47/T47-1</f>
        <v>0.38884276729559741</v>
      </c>
      <c r="T47" s="261">
        <f>+SUM(T41:T43)</f>
        <v>1987500</v>
      </c>
    </row>
    <row r="48" spans="4:30" x14ac:dyDescent="0.25">
      <c r="D48" s="254">
        <f t="shared" si="3"/>
        <v>11</v>
      </c>
      <c r="E48" s="145">
        <f t="shared" si="3"/>
        <v>220000</v>
      </c>
      <c r="F48" s="268">
        <f t="shared" si="2"/>
        <v>700000</v>
      </c>
      <c r="G48" s="136">
        <f t="shared" si="1"/>
        <v>427900</v>
      </c>
      <c r="H48" s="145">
        <f t="shared" si="1"/>
        <v>0</v>
      </c>
      <c r="I48" s="396"/>
    </row>
    <row r="49" spans="1:13" x14ac:dyDescent="0.25">
      <c r="D49" s="254">
        <f t="shared" si="3"/>
        <v>12</v>
      </c>
      <c r="E49" s="145">
        <f>+E17</f>
        <v>400000</v>
      </c>
      <c r="F49" s="145">
        <f t="shared" si="2"/>
        <v>122000</v>
      </c>
      <c r="G49" s="166">
        <f t="shared" si="1"/>
        <v>664500</v>
      </c>
      <c r="H49" s="145">
        <f t="shared" si="1"/>
        <v>0</v>
      </c>
      <c r="I49" s="396"/>
      <c r="J49" s="145"/>
    </row>
    <row r="50" spans="1:13" x14ac:dyDescent="0.25">
      <c r="D50" s="254">
        <f t="shared" ref="D50" si="9">+D18</f>
        <v>13</v>
      </c>
      <c r="E50" s="274">
        <f>+E18</f>
        <v>350000</v>
      </c>
      <c r="F50" s="145">
        <f t="shared" si="2"/>
        <v>165000</v>
      </c>
      <c r="G50" s="167">
        <f t="shared" si="1"/>
        <v>1283500</v>
      </c>
      <c r="H50" s="145">
        <f t="shared" si="1"/>
        <v>0</v>
      </c>
      <c r="I50" s="396"/>
      <c r="J50" s="145"/>
    </row>
    <row r="51" spans="1:13" x14ac:dyDescent="0.25">
      <c r="A51" s="133"/>
      <c r="B51" s="133"/>
      <c r="C51" s="133"/>
      <c r="D51" s="254">
        <f t="shared" ref="D51:E51" si="10">+D19</f>
        <v>14</v>
      </c>
      <c r="E51" s="276">
        <f t="shared" si="10"/>
        <v>900000</v>
      </c>
      <c r="F51" s="273">
        <f t="shared" si="2"/>
        <v>61000</v>
      </c>
      <c r="G51" s="267">
        <f t="shared" si="1"/>
        <v>622000</v>
      </c>
      <c r="H51" s="145">
        <f t="shared" si="1"/>
        <v>0</v>
      </c>
      <c r="I51" s="396"/>
      <c r="J51" s="145"/>
    </row>
    <row r="52" spans="1:13" x14ac:dyDescent="0.25">
      <c r="A52" s="133"/>
      <c r="B52" s="133"/>
      <c r="C52" s="133"/>
      <c r="D52" s="254">
        <f t="shared" ref="D52:E53" si="11">+D20</f>
        <v>15</v>
      </c>
      <c r="E52" s="165">
        <f t="shared" si="11"/>
        <v>800000</v>
      </c>
      <c r="F52" s="274">
        <f t="shared" si="2"/>
        <v>235000</v>
      </c>
      <c r="G52" s="168">
        <f t="shared" si="1"/>
        <v>227000</v>
      </c>
      <c r="H52" s="168">
        <f t="shared" si="1"/>
        <v>0</v>
      </c>
      <c r="I52" s="397"/>
      <c r="J52" s="168"/>
    </row>
    <row r="53" spans="1:13" x14ac:dyDescent="0.25">
      <c r="A53" s="133">
        <v>0</v>
      </c>
      <c r="B53" s="133"/>
      <c r="C53" s="133"/>
      <c r="D53" s="254">
        <f t="shared" ref="D53" si="12">+D21</f>
        <v>16</v>
      </c>
      <c r="E53" s="145">
        <f t="shared" si="11"/>
        <v>207200</v>
      </c>
      <c r="F53" s="276">
        <f t="shared" si="2"/>
        <v>811500</v>
      </c>
      <c r="G53" s="145">
        <f t="shared" si="1"/>
        <v>385300</v>
      </c>
      <c r="H53" s="145">
        <f t="shared" si="1"/>
        <v>0</v>
      </c>
      <c r="I53" s="396"/>
      <c r="J53" s="145"/>
    </row>
    <row r="54" spans="1:13" x14ac:dyDescent="0.25">
      <c r="A54" s="133">
        <v>0</v>
      </c>
      <c r="B54" s="133"/>
      <c r="C54" s="133"/>
      <c r="D54" s="254">
        <f t="shared" ref="D54:E54" si="13">+D22</f>
        <v>17</v>
      </c>
      <c r="E54" s="145">
        <f t="shared" si="13"/>
        <v>157500</v>
      </c>
      <c r="F54" s="275">
        <f t="shared" si="2"/>
        <v>1300900</v>
      </c>
      <c r="G54" s="145">
        <f t="shared" si="1"/>
        <v>250800</v>
      </c>
      <c r="H54" s="145">
        <f t="shared" si="1"/>
        <v>0</v>
      </c>
      <c r="I54" s="396"/>
      <c r="J54" s="145"/>
    </row>
    <row r="55" spans="1:13" x14ac:dyDescent="0.25">
      <c r="A55" s="133">
        <v>0</v>
      </c>
      <c r="B55" s="133"/>
      <c r="C55" s="133"/>
      <c r="D55" s="254">
        <f t="shared" ref="D55:E55" si="14">+D23</f>
        <v>18</v>
      </c>
      <c r="E55" s="145">
        <f t="shared" si="14"/>
        <v>220000</v>
      </c>
      <c r="F55" s="273">
        <f t="shared" si="2"/>
        <v>350000</v>
      </c>
      <c r="G55" s="136">
        <f t="shared" si="1"/>
        <v>363500</v>
      </c>
      <c r="H55" s="145">
        <f t="shared" si="1"/>
        <v>0</v>
      </c>
      <c r="I55" s="396"/>
      <c r="J55" s="145"/>
      <c r="K55">
        <v>332000</v>
      </c>
    </row>
    <row r="56" spans="1:13" x14ac:dyDescent="0.25">
      <c r="A56" s="133">
        <v>0</v>
      </c>
      <c r="B56" s="133"/>
      <c r="C56" s="133"/>
      <c r="D56" s="254">
        <f t="shared" ref="D56:E56" si="15">+D24</f>
        <v>19</v>
      </c>
      <c r="E56" s="145">
        <f t="shared" si="15"/>
        <v>445500</v>
      </c>
      <c r="F56" s="273">
        <f t="shared" si="2"/>
        <v>220000</v>
      </c>
      <c r="G56" s="137">
        <f t="shared" si="1"/>
        <v>720000</v>
      </c>
      <c r="H56" s="145">
        <f t="shared" si="1"/>
        <v>0</v>
      </c>
      <c r="I56" s="396"/>
      <c r="J56" s="145"/>
    </row>
    <row r="57" spans="1:13" x14ac:dyDescent="0.25">
      <c r="A57" s="133">
        <v>0</v>
      </c>
      <c r="B57" s="133"/>
      <c r="C57" s="133"/>
      <c r="D57" s="254">
        <f t="shared" ref="D57:E57" si="16">+D25</f>
        <v>20</v>
      </c>
      <c r="E57" s="274">
        <f t="shared" si="16"/>
        <v>350000</v>
      </c>
      <c r="F57" s="273">
        <f t="shared" si="2"/>
        <v>320000</v>
      </c>
      <c r="G57" s="165">
        <f t="shared" si="1"/>
        <v>1550500</v>
      </c>
      <c r="H57" s="145">
        <f t="shared" si="1"/>
        <v>0</v>
      </c>
      <c r="I57" s="396"/>
      <c r="J57" s="145"/>
    </row>
    <row r="58" spans="1:13" x14ac:dyDescent="0.25">
      <c r="A58" s="133">
        <v>0</v>
      </c>
      <c r="B58" s="133"/>
      <c r="C58" s="133"/>
      <c r="D58" s="254">
        <f t="shared" ref="D58:E58" si="17">+D26</f>
        <v>21</v>
      </c>
      <c r="E58" s="276">
        <f t="shared" si="17"/>
        <v>450000</v>
      </c>
      <c r="F58" s="273">
        <f t="shared" si="2"/>
        <v>216500</v>
      </c>
      <c r="G58" s="145">
        <f t="shared" si="1"/>
        <v>350000</v>
      </c>
      <c r="H58" s="145">
        <f t="shared" si="1"/>
        <v>0</v>
      </c>
      <c r="I58" s="396"/>
      <c r="J58" s="145"/>
    </row>
    <row r="59" spans="1:13" x14ac:dyDescent="0.25">
      <c r="A59" s="133">
        <v>0</v>
      </c>
      <c r="B59" s="133"/>
      <c r="C59" s="133"/>
      <c r="D59" s="254">
        <f t="shared" ref="D59:E59" si="18">+D27</f>
        <v>22</v>
      </c>
      <c r="E59" s="165">
        <f t="shared" si="18"/>
        <v>638500</v>
      </c>
      <c r="F59" s="274">
        <f t="shared" si="2"/>
        <v>186000</v>
      </c>
      <c r="G59" s="145">
        <f t="shared" si="1"/>
        <v>380000</v>
      </c>
      <c r="H59" s="165">
        <f t="shared" si="1"/>
        <v>572000</v>
      </c>
      <c r="I59" s="396"/>
      <c r="J59" s="145"/>
    </row>
    <row r="60" spans="1:13" x14ac:dyDescent="0.25">
      <c r="A60" s="133">
        <v>0</v>
      </c>
      <c r="B60" s="133"/>
      <c r="C60" s="133"/>
      <c r="D60" s="254">
        <f t="shared" ref="D60:E61" si="19">+D28</f>
        <v>23</v>
      </c>
      <c r="E60" s="145">
        <f t="shared" si="19"/>
        <v>308500</v>
      </c>
      <c r="F60" s="276">
        <f t="shared" si="2"/>
        <v>587500</v>
      </c>
      <c r="G60" s="145">
        <f t="shared" si="1"/>
        <v>550000</v>
      </c>
      <c r="H60" s="145">
        <f t="shared" si="1"/>
        <v>142000</v>
      </c>
      <c r="I60" s="396"/>
      <c r="J60" s="145"/>
    </row>
    <row r="61" spans="1:13" x14ac:dyDescent="0.25">
      <c r="A61" s="133">
        <v>0</v>
      </c>
      <c r="B61" s="133"/>
      <c r="C61" s="133"/>
      <c r="D61" s="254">
        <f t="shared" ref="D61" si="20">+D29</f>
        <v>24</v>
      </c>
      <c r="E61" s="145">
        <f t="shared" si="19"/>
        <v>604000</v>
      </c>
      <c r="F61" s="275">
        <f t="shared" si="2"/>
        <v>960000</v>
      </c>
      <c r="G61" s="145">
        <f t="shared" si="1"/>
        <v>380000</v>
      </c>
      <c r="H61" s="145">
        <f t="shared" si="1"/>
        <v>393000</v>
      </c>
      <c r="I61" s="396"/>
      <c r="J61" s="145"/>
    </row>
    <row r="62" spans="1:13" x14ac:dyDescent="0.25">
      <c r="A62" s="133">
        <v>0</v>
      </c>
      <c r="B62" s="133"/>
      <c r="C62" s="133"/>
      <c r="D62" s="254">
        <f t="shared" ref="D62" si="21">+D30</f>
        <v>25</v>
      </c>
      <c r="E62" s="268">
        <f t="shared" si="2"/>
        <v>589500</v>
      </c>
      <c r="F62" s="273">
        <f t="shared" si="2"/>
        <v>500000</v>
      </c>
      <c r="G62" s="136">
        <f t="shared" si="1"/>
        <v>1200000</v>
      </c>
      <c r="H62" s="145">
        <f t="shared" si="1"/>
        <v>419500</v>
      </c>
      <c r="I62" s="396"/>
      <c r="J62" s="145"/>
      <c r="M62" t="s">
        <v>349</v>
      </c>
    </row>
    <row r="63" spans="1:13" x14ac:dyDescent="0.25">
      <c r="A63" s="133">
        <v>0</v>
      </c>
      <c r="B63" s="133"/>
      <c r="C63" s="133"/>
      <c r="D63" s="254">
        <f t="shared" ref="D63:E63" si="22">+D31</f>
        <v>26</v>
      </c>
      <c r="E63" s="145">
        <f t="shared" si="22"/>
        <v>120500</v>
      </c>
      <c r="F63" s="273">
        <f t="shared" si="2"/>
        <v>400000</v>
      </c>
      <c r="G63" s="137">
        <f t="shared" si="1"/>
        <v>655000</v>
      </c>
      <c r="H63" s="145">
        <f t="shared" si="1"/>
        <v>315000</v>
      </c>
      <c r="I63" s="396"/>
      <c r="J63" s="145"/>
    </row>
    <row r="64" spans="1:13" x14ac:dyDescent="0.25">
      <c r="A64" s="133">
        <v>0</v>
      </c>
      <c r="B64" s="133"/>
      <c r="C64" s="133"/>
      <c r="D64" s="254">
        <f t="shared" ref="D64:E64" si="23">+D32</f>
        <v>27</v>
      </c>
      <c r="E64" s="274">
        <f t="shared" si="23"/>
        <v>82500</v>
      </c>
      <c r="F64" s="273">
        <f t="shared" si="2"/>
        <v>210000</v>
      </c>
      <c r="G64" s="165">
        <f t="shared" si="1"/>
        <v>1200000</v>
      </c>
      <c r="H64" s="136">
        <f t="shared" si="1"/>
        <v>421000</v>
      </c>
      <c r="I64" s="396"/>
      <c r="J64" s="145"/>
    </row>
    <row r="65" spans="1:10" ht="18.75" x14ac:dyDescent="0.3">
      <c r="A65" s="133">
        <v>0</v>
      </c>
      <c r="B65" s="133"/>
      <c r="C65" s="133"/>
      <c r="D65" s="254">
        <f t="shared" ref="D65:E65" si="24">+D33</f>
        <v>28</v>
      </c>
      <c r="E65" s="276">
        <f t="shared" si="24"/>
        <v>824000</v>
      </c>
      <c r="F65" s="273">
        <f t="shared" si="2"/>
        <v>200000</v>
      </c>
      <c r="G65" s="252">
        <f t="shared" si="1"/>
        <v>300000</v>
      </c>
      <c r="H65" s="137">
        <f t="shared" si="1"/>
        <v>951500</v>
      </c>
      <c r="I65" s="396"/>
      <c r="J65" s="145"/>
    </row>
    <row r="66" spans="1:10" ht="21" x14ac:dyDescent="0.35">
      <c r="A66" s="133">
        <v>0</v>
      </c>
      <c r="B66" s="133"/>
      <c r="C66" s="133"/>
      <c r="D66" s="254">
        <f t="shared" ref="D66" si="25">+D34</f>
        <v>29</v>
      </c>
      <c r="E66" s="165">
        <f>+E34</f>
        <v>720000</v>
      </c>
      <c r="F66" s="391">
        <f t="shared" si="2"/>
        <v>400000</v>
      </c>
      <c r="G66" s="145">
        <f t="shared" si="1"/>
        <v>220000</v>
      </c>
      <c r="H66" s="165">
        <f t="shared" si="1"/>
        <v>658000</v>
      </c>
      <c r="I66" s="396"/>
      <c r="J66" s="145"/>
    </row>
    <row r="67" spans="1:10" x14ac:dyDescent="0.25">
      <c r="A67" s="133">
        <v>0</v>
      </c>
      <c r="B67" s="133"/>
      <c r="C67" s="133"/>
      <c r="D67" s="254">
        <f>+D35</f>
        <v>30</v>
      </c>
      <c r="E67" s="145">
        <f t="shared" ref="E67:E68" si="26">+E35</f>
        <v>149500</v>
      </c>
      <c r="F67" s="276">
        <f t="shared" si="2"/>
        <v>900000</v>
      </c>
      <c r="G67" s="145">
        <f t="shared" ref="G67" si="27">+G35</f>
        <v>320000</v>
      </c>
      <c r="H67" s="145">
        <f t="shared" si="1"/>
        <v>183210</v>
      </c>
      <c r="I67" s="396"/>
      <c r="J67" s="145"/>
    </row>
    <row r="68" spans="1:10" ht="15.75" thickBot="1" x14ac:dyDescent="0.3">
      <c r="D68" s="255">
        <f t="shared" ref="D68" si="28">+D36</f>
        <v>31</v>
      </c>
      <c r="E68" s="256">
        <f t="shared" si="26"/>
        <v>448500</v>
      </c>
      <c r="F68" s="260"/>
      <c r="G68" s="256">
        <f t="shared" si="1"/>
        <v>370000</v>
      </c>
      <c r="H68" s="260"/>
      <c r="I68" s="396"/>
      <c r="J68" s="145"/>
    </row>
    <row r="69" spans="1:10" x14ac:dyDescent="0.25">
      <c r="E69" s="145"/>
      <c r="F69" s="145"/>
    </row>
    <row r="70" spans="1:10" x14ac:dyDescent="0.25">
      <c r="D70" t="s">
        <v>323</v>
      </c>
      <c r="E70" s="145">
        <f>+E37</f>
        <v>13745700</v>
      </c>
      <c r="F70" s="145"/>
    </row>
    <row r="71" spans="1:10" ht="23.25" x14ac:dyDescent="0.35">
      <c r="D71" t="s">
        <v>324</v>
      </c>
      <c r="E71" s="202">
        <f>+SUM(E38:E68)</f>
        <v>13745700</v>
      </c>
      <c r="F71" s="277">
        <f>+F37</f>
        <v>16752900</v>
      </c>
      <c r="G71" s="277">
        <f>+G37</f>
        <v>17351500</v>
      </c>
      <c r="H71" s="277"/>
      <c r="I71" s="398"/>
      <c r="J71" s="277"/>
    </row>
    <row r="72" spans="1:10" x14ac:dyDescent="0.25">
      <c r="E72" s="278">
        <f>+E71/F71-1</f>
        <v>-0.17950325018355029</v>
      </c>
    </row>
    <row r="73" spans="1:10" x14ac:dyDescent="0.25">
      <c r="E73" s="1">
        <f>+E71-F71</f>
        <v>-3007200</v>
      </c>
      <c r="F73"/>
    </row>
    <row r="74" spans="1:10" x14ac:dyDescent="0.25">
      <c r="E74"/>
      <c r="F74"/>
    </row>
    <row r="75" spans="1:10" x14ac:dyDescent="0.25">
      <c r="E75" s="145"/>
    </row>
    <row r="78" spans="1:10" x14ac:dyDescent="0.25">
      <c r="D78" s="158" t="s">
        <v>351</v>
      </c>
      <c r="E78" t="s">
        <v>443</v>
      </c>
    </row>
    <row r="79" spans="1:10" x14ac:dyDescent="0.25">
      <c r="D79" s="158" t="s">
        <v>255</v>
      </c>
      <c r="E79" s="123" t="s">
        <v>319</v>
      </c>
    </row>
    <row r="80" spans="1:10" x14ac:dyDescent="0.25">
      <c r="D80" s="158" t="s">
        <v>316</v>
      </c>
      <c r="E80" s="159">
        <v>13</v>
      </c>
    </row>
    <row r="81" spans="4:6" x14ac:dyDescent="0.25">
      <c r="E81"/>
    </row>
    <row r="82" spans="4:6" x14ac:dyDescent="0.25">
      <c r="D82" s="158" t="s">
        <v>542</v>
      </c>
      <c r="E82" t="s">
        <v>453</v>
      </c>
      <c r="F82"/>
    </row>
    <row r="83" spans="4:6" x14ac:dyDescent="0.25">
      <c r="D83" s="159">
        <v>1</v>
      </c>
      <c r="E83" s="1">
        <v>106500</v>
      </c>
      <c r="F83"/>
    </row>
    <row r="84" spans="4:6" x14ac:dyDescent="0.25">
      <c r="D84" s="159">
        <v>2</v>
      </c>
      <c r="E84" s="1">
        <v>31000</v>
      </c>
      <c r="F84"/>
    </row>
    <row r="85" spans="4:6" x14ac:dyDescent="0.25">
      <c r="D85" s="159">
        <v>3</v>
      </c>
      <c r="E85" s="1">
        <v>20000</v>
      </c>
      <c r="F85"/>
    </row>
    <row r="86" spans="4:6" x14ac:dyDescent="0.25">
      <c r="D86" s="159">
        <v>4</v>
      </c>
      <c r="E86" s="1">
        <v>30000</v>
      </c>
      <c r="F86"/>
    </row>
    <row r="87" spans="4:6" x14ac:dyDescent="0.25">
      <c r="D87" s="159">
        <v>5</v>
      </c>
      <c r="E87" s="1">
        <v>41000</v>
      </c>
      <c r="F87"/>
    </row>
    <row r="88" spans="4:6" x14ac:dyDescent="0.25">
      <c r="D88" s="159">
        <v>6</v>
      </c>
      <c r="E88" s="1">
        <v>50000</v>
      </c>
      <c r="F88"/>
    </row>
    <row r="89" spans="4:6" x14ac:dyDescent="0.25">
      <c r="D89" s="159">
        <v>7</v>
      </c>
      <c r="E89" s="1">
        <v>52000</v>
      </c>
      <c r="F89"/>
    </row>
    <row r="90" spans="4:6" x14ac:dyDescent="0.25">
      <c r="D90" s="159">
        <v>8</v>
      </c>
      <c r="E90" s="1">
        <v>69000</v>
      </c>
      <c r="F90"/>
    </row>
    <row r="91" spans="4:6" x14ac:dyDescent="0.25">
      <c r="D91" s="159">
        <v>9</v>
      </c>
      <c r="E91" s="1">
        <v>67000</v>
      </c>
      <c r="F91"/>
    </row>
    <row r="92" spans="4:6" x14ac:dyDescent="0.25">
      <c r="D92" s="159">
        <v>10</v>
      </c>
      <c r="E92" s="1">
        <v>70000</v>
      </c>
      <c r="F92"/>
    </row>
    <row r="93" spans="4:6" x14ac:dyDescent="0.25">
      <c r="D93" s="159">
        <v>11</v>
      </c>
      <c r="E93" s="1">
        <v>144000</v>
      </c>
      <c r="F93"/>
    </row>
    <row r="94" spans="4:6" x14ac:dyDescent="0.25">
      <c r="D94" s="159">
        <v>12</v>
      </c>
      <c r="E94" s="1">
        <v>70500</v>
      </c>
      <c r="F94"/>
    </row>
    <row r="95" spans="4:6" x14ac:dyDescent="0.25">
      <c r="D95" s="159">
        <v>13</v>
      </c>
      <c r="E95" s="1">
        <v>100000</v>
      </c>
      <c r="F95"/>
    </row>
    <row r="96" spans="4:6" x14ac:dyDescent="0.25">
      <c r="D96" s="159">
        <v>14</v>
      </c>
      <c r="E96" s="1">
        <v>35000</v>
      </c>
      <c r="F96"/>
    </row>
    <row r="97" spans="4:6" x14ac:dyDescent="0.25">
      <c r="D97" s="159">
        <v>15</v>
      </c>
      <c r="E97" s="1">
        <v>15000</v>
      </c>
      <c r="F97"/>
    </row>
    <row r="98" spans="4:6" x14ac:dyDescent="0.25">
      <c r="D98" s="159">
        <v>16</v>
      </c>
      <c r="E98" s="1">
        <v>132500</v>
      </c>
      <c r="F98"/>
    </row>
    <row r="99" spans="4:6" x14ac:dyDescent="0.25">
      <c r="D99" s="159">
        <v>17</v>
      </c>
      <c r="E99" s="1">
        <v>44000</v>
      </c>
      <c r="F99"/>
    </row>
    <row r="100" spans="4:6" x14ac:dyDescent="0.25">
      <c r="D100" s="159">
        <v>18</v>
      </c>
      <c r="E100" s="1">
        <v>60500</v>
      </c>
      <c r="F100"/>
    </row>
    <row r="101" spans="4:6" x14ac:dyDescent="0.25">
      <c r="D101" s="159">
        <v>19</v>
      </c>
      <c r="E101" s="1">
        <v>36500</v>
      </c>
      <c r="F101"/>
    </row>
    <row r="102" spans="4:6" x14ac:dyDescent="0.25">
      <c r="D102" s="159">
        <v>20</v>
      </c>
      <c r="E102" s="1">
        <v>62000</v>
      </c>
      <c r="F102"/>
    </row>
    <row r="103" spans="4:6" x14ac:dyDescent="0.25">
      <c r="D103" s="159">
        <v>21</v>
      </c>
      <c r="E103" s="1">
        <v>47000</v>
      </c>
      <c r="F103"/>
    </row>
    <row r="104" spans="4:6" x14ac:dyDescent="0.25">
      <c r="D104" s="159" t="s">
        <v>317</v>
      </c>
      <c r="E104" s="1">
        <v>1283500</v>
      </c>
      <c r="F104"/>
    </row>
    <row r="105" spans="4:6" x14ac:dyDescent="0.25">
      <c r="E105"/>
      <c r="F105"/>
    </row>
    <row r="106" spans="4:6" x14ac:dyDescent="0.25">
      <c r="E106"/>
      <c r="F106"/>
    </row>
    <row r="107" spans="4:6" x14ac:dyDescent="0.25">
      <c r="E107"/>
      <c r="F107"/>
    </row>
    <row r="108" spans="4:6" x14ac:dyDescent="0.25">
      <c r="E108"/>
      <c r="F108"/>
    </row>
    <row r="109" spans="4:6" x14ac:dyDescent="0.25">
      <c r="E109"/>
      <c r="F109"/>
    </row>
    <row r="110" spans="4:6" x14ac:dyDescent="0.25">
      <c r="E110"/>
      <c r="F110"/>
    </row>
    <row r="111" spans="4:6" x14ac:dyDescent="0.25">
      <c r="E111"/>
      <c r="F111"/>
    </row>
    <row r="112" spans="4:6" x14ac:dyDescent="0.25">
      <c r="E112"/>
      <c r="F112"/>
    </row>
    <row r="113" spans="5:6" x14ac:dyDescent="0.25">
      <c r="E113"/>
      <c r="F113"/>
    </row>
    <row r="114" spans="5:6" x14ac:dyDescent="0.25">
      <c r="E114"/>
      <c r="F114"/>
    </row>
    <row r="115" spans="5:6" x14ac:dyDescent="0.25">
      <c r="E115"/>
      <c r="F115"/>
    </row>
    <row r="116" spans="5:6" x14ac:dyDescent="0.25">
      <c r="E116"/>
    </row>
    <row r="117" spans="5:6" x14ac:dyDescent="0.25">
      <c r="E117"/>
    </row>
    <row r="118" spans="5:6" x14ac:dyDescent="0.25">
      <c r="E118"/>
    </row>
    <row r="119" spans="5:6" x14ac:dyDescent="0.25">
      <c r="E119"/>
    </row>
    <row r="120" spans="5:6" x14ac:dyDescent="0.25">
      <c r="E120"/>
    </row>
    <row r="121" spans="5:6" x14ac:dyDescent="0.25">
      <c r="E121"/>
    </row>
    <row r="122" spans="5:6" x14ac:dyDescent="0.25">
      <c r="E122"/>
    </row>
    <row r="123" spans="5:6" x14ac:dyDescent="0.25">
      <c r="E123"/>
    </row>
  </sheetData>
  <pageMargins left="0.7" right="0.7" top="0.75" bottom="0.75" header="0.3" footer="0.3"/>
  <pageSetup paperSize="9" orientation="portrait" horizontalDpi="300" verticalDpi="300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E235"/>
  <sheetViews>
    <sheetView workbookViewId="0"/>
  </sheetViews>
  <sheetFormatPr baseColWidth="10" defaultRowHeight="15" x14ac:dyDescent="0.25"/>
  <cols>
    <col min="2" max="2" width="8.42578125" bestFit="1" customWidth="1"/>
    <col min="3" max="3" width="13.85546875" customWidth="1"/>
    <col min="4" max="4" width="16.5703125" bestFit="1" customWidth="1"/>
  </cols>
  <sheetData>
    <row r="1" spans="1:4" x14ac:dyDescent="0.25">
      <c r="A1" s="149" t="s">
        <v>255</v>
      </c>
      <c r="B1" s="150" t="s">
        <v>316</v>
      </c>
      <c r="C1" s="240" t="s">
        <v>350</v>
      </c>
      <c r="D1" s="239" t="s">
        <v>513</v>
      </c>
    </row>
    <row r="2" spans="1:4" x14ac:dyDescent="0.25">
      <c r="A2" s="241">
        <v>43730</v>
      </c>
      <c r="B2" s="242">
        <f>+DAY(A2)</f>
        <v>22</v>
      </c>
      <c r="C2" s="182" t="str">
        <f>+TEXT(A2,"dddd")</f>
        <v>domingo</v>
      </c>
    </row>
    <row r="3" spans="1:4" x14ac:dyDescent="0.25">
      <c r="A3" s="241">
        <f>+A2+1</f>
        <v>43731</v>
      </c>
      <c r="B3" s="242">
        <f t="shared" ref="B3:B29" si="0">+DAY(A3)</f>
        <v>23</v>
      </c>
      <c r="C3" s="182" t="str">
        <f t="shared" ref="C3:C29" si="1">+TEXT(A3,"dddd")</f>
        <v>lunes</v>
      </c>
    </row>
    <row r="4" spans="1:4" x14ac:dyDescent="0.25">
      <c r="A4" s="241">
        <f t="shared" ref="A4:A29" si="2">+A3+1</f>
        <v>43732</v>
      </c>
      <c r="B4" s="242">
        <f t="shared" si="0"/>
        <v>24</v>
      </c>
      <c r="C4" s="182" t="str">
        <f t="shared" si="1"/>
        <v>martes</v>
      </c>
    </row>
    <row r="5" spans="1:4" x14ac:dyDescent="0.25">
      <c r="A5" s="241">
        <f t="shared" si="2"/>
        <v>43733</v>
      </c>
      <c r="B5" s="242">
        <f t="shared" si="0"/>
        <v>25</v>
      </c>
      <c r="C5" s="182" t="str">
        <f t="shared" si="1"/>
        <v>miércoles</v>
      </c>
    </row>
    <row r="6" spans="1:4" x14ac:dyDescent="0.25">
      <c r="A6" s="241">
        <f t="shared" si="2"/>
        <v>43734</v>
      </c>
      <c r="B6" s="242">
        <f t="shared" si="0"/>
        <v>26</v>
      </c>
      <c r="C6" s="182" t="str">
        <f t="shared" si="1"/>
        <v>jueves</v>
      </c>
    </row>
    <row r="7" spans="1:4" x14ac:dyDescent="0.25">
      <c r="A7" s="241">
        <f t="shared" si="2"/>
        <v>43735</v>
      </c>
      <c r="B7" s="242">
        <f t="shared" si="0"/>
        <v>27</v>
      </c>
      <c r="C7" s="182" t="str">
        <f t="shared" si="1"/>
        <v>viernes</v>
      </c>
    </row>
    <row r="8" spans="1:4" x14ac:dyDescent="0.25">
      <c r="A8" s="241">
        <f t="shared" si="2"/>
        <v>43736</v>
      </c>
      <c r="B8" s="242">
        <f t="shared" si="0"/>
        <v>28</v>
      </c>
      <c r="C8" s="182" t="str">
        <f t="shared" si="1"/>
        <v>sábado</v>
      </c>
    </row>
    <row r="9" spans="1:4" x14ac:dyDescent="0.25">
      <c r="A9" s="241">
        <f t="shared" si="2"/>
        <v>43737</v>
      </c>
      <c r="B9" s="242">
        <f t="shared" si="0"/>
        <v>29</v>
      </c>
      <c r="C9" s="182" t="str">
        <f t="shared" si="1"/>
        <v>domingo</v>
      </c>
    </row>
    <row r="10" spans="1:4" x14ac:dyDescent="0.25">
      <c r="A10" s="241">
        <f t="shared" si="2"/>
        <v>43738</v>
      </c>
      <c r="B10" s="242">
        <f t="shared" si="0"/>
        <v>30</v>
      </c>
      <c r="C10" s="182" t="str">
        <f t="shared" si="1"/>
        <v>lunes</v>
      </c>
    </row>
    <row r="11" spans="1:4" x14ac:dyDescent="0.25">
      <c r="A11" s="241">
        <f t="shared" si="2"/>
        <v>43739</v>
      </c>
      <c r="B11" s="242">
        <f t="shared" si="0"/>
        <v>1</v>
      </c>
      <c r="C11" s="182" t="str">
        <f t="shared" si="1"/>
        <v>martes</v>
      </c>
    </row>
    <row r="12" spans="1:4" x14ac:dyDescent="0.25">
      <c r="A12" s="241">
        <f t="shared" si="2"/>
        <v>43740</v>
      </c>
      <c r="B12" s="242">
        <f t="shared" si="0"/>
        <v>2</v>
      </c>
      <c r="C12" s="182" t="str">
        <f t="shared" si="1"/>
        <v>miércoles</v>
      </c>
    </row>
    <row r="13" spans="1:4" x14ac:dyDescent="0.25">
      <c r="A13" s="241">
        <f t="shared" si="2"/>
        <v>43741</v>
      </c>
      <c r="B13" s="242">
        <f t="shared" si="0"/>
        <v>3</v>
      </c>
      <c r="C13" s="182" t="str">
        <f t="shared" si="1"/>
        <v>jueves</v>
      </c>
    </row>
    <row r="14" spans="1:4" x14ac:dyDescent="0.25">
      <c r="A14" s="241">
        <f t="shared" si="2"/>
        <v>43742</v>
      </c>
      <c r="B14" s="242">
        <f t="shared" si="0"/>
        <v>4</v>
      </c>
      <c r="C14" s="182" t="str">
        <f t="shared" si="1"/>
        <v>viernes</v>
      </c>
    </row>
    <row r="15" spans="1:4" x14ac:dyDescent="0.25">
      <c r="A15" s="241">
        <f t="shared" si="2"/>
        <v>43743</v>
      </c>
      <c r="B15" s="242">
        <f t="shared" si="0"/>
        <v>5</v>
      </c>
      <c r="C15" s="182" t="str">
        <f t="shared" si="1"/>
        <v>sábado</v>
      </c>
    </row>
    <row r="16" spans="1:4" x14ac:dyDescent="0.25">
      <c r="A16" s="241">
        <f t="shared" si="2"/>
        <v>43744</v>
      </c>
      <c r="B16" s="242">
        <f t="shared" si="0"/>
        <v>6</v>
      </c>
      <c r="C16" s="182" t="str">
        <f t="shared" si="1"/>
        <v>domingo</v>
      </c>
    </row>
    <row r="17" spans="1:4" x14ac:dyDescent="0.25">
      <c r="A17" s="241">
        <f t="shared" si="2"/>
        <v>43745</v>
      </c>
      <c r="B17" s="242">
        <f t="shared" si="0"/>
        <v>7</v>
      </c>
      <c r="C17" s="182" t="str">
        <f t="shared" si="1"/>
        <v>lunes</v>
      </c>
    </row>
    <row r="18" spans="1:4" x14ac:dyDescent="0.25">
      <c r="A18" s="241">
        <f t="shared" si="2"/>
        <v>43746</v>
      </c>
      <c r="B18" s="242">
        <f t="shared" si="0"/>
        <v>8</v>
      </c>
      <c r="C18" s="182" t="str">
        <f t="shared" si="1"/>
        <v>martes</v>
      </c>
    </row>
    <row r="19" spans="1:4" x14ac:dyDescent="0.25">
      <c r="A19" s="241">
        <f t="shared" si="2"/>
        <v>43747</v>
      </c>
      <c r="B19" s="242">
        <f t="shared" si="0"/>
        <v>9</v>
      </c>
      <c r="C19" s="182" t="str">
        <f t="shared" si="1"/>
        <v>miércoles</v>
      </c>
    </row>
    <row r="20" spans="1:4" x14ac:dyDescent="0.25">
      <c r="A20" s="241">
        <f t="shared" si="2"/>
        <v>43748</v>
      </c>
      <c r="B20" s="242">
        <f t="shared" si="0"/>
        <v>10</v>
      </c>
      <c r="C20" s="182" t="str">
        <f t="shared" si="1"/>
        <v>jueves</v>
      </c>
    </row>
    <row r="21" spans="1:4" x14ac:dyDescent="0.25">
      <c r="A21" s="241">
        <f t="shared" si="2"/>
        <v>43749</v>
      </c>
      <c r="B21" s="242">
        <f t="shared" si="0"/>
        <v>11</v>
      </c>
      <c r="C21" s="182" t="str">
        <f t="shared" si="1"/>
        <v>viernes</v>
      </c>
    </row>
    <row r="22" spans="1:4" x14ac:dyDescent="0.25">
      <c r="A22" s="241">
        <f t="shared" si="2"/>
        <v>43750</v>
      </c>
      <c r="B22" s="242">
        <f t="shared" si="0"/>
        <v>12</v>
      </c>
      <c r="C22" s="182" t="str">
        <f t="shared" si="1"/>
        <v>sábado</v>
      </c>
    </row>
    <row r="23" spans="1:4" x14ac:dyDescent="0.25">
      <c r="A23" s="241">
        <f t="shared" si="2"/>
        <v>43751</v>
      </c>
      <c r="B23" s="242">
        <f t="shared" si="0"/>
        <v>13</v>
      </c>
      <c r="C23" s="182" t="str">
        <f t="shared" si="1"/>
        <v>domingo</v>
      </c>
    </row>
    <row r="24" spans="1:4" x14ac:dyDescent="0.25">
      <c r="A24" s="241">
        <f t="shared" si="2"/>
        <v>43752</v>
      </c>
      <c r="B24" s="242">
        <f t="shared" si="0"/>
        <v>14</v>
      </c>
      <c r="C24" s="182" t="str">
        <f t="shared" si="1"/>
        <v>lunes</v>
      </c>
    </row>
    <row r="25" spans="1:4" x14ac:dyDescent="0.25">
      <c r="A25" s="241">
        <f t="shared" si="2"/>
        <v>43753</v>
      </c>
      <c r="B25" s="242">
        <f t="shared" si="0"/>
        <v>15</v>
      </c>
      <c r="C25" s="182" t="str">
        <f t="shared" si="1"/>
        <v>martes</v>
      </c>
    </row>
    <row r="26" spans="1:4" x14ac:dyDescent="0.25">
      <c r="A26" s="241">
        <f t="shared" si="2"/>
        <v>43754</v>
      </c>
      <c r="B26" s="242">
        <f t="shared" si="0"/>
        <v>16</v>
      </c>
      <c r="C26" s="182" t="str">
        <f t="shared" si="1"/>
        <v>miércoles</v>
      </c>
    </row>
    <row r="27" spans="1:4" x14ac:dyDescent="0.25">
      <c r="A27" s="241">
        <f t="shared" si="2"/>
        <v>43755</v>
      </c>
      <c r="B27" s="242">
        <f t="shared" si="0"/>
        <v>17</v>
      </c>
      <c r="C27" s="182" t="str">
        <f t="shared" si="1"/>
        <v>jueves</v>
      </c>
    </row>
    <row r="28" spans="1:4" x14ac:dyDescent="0.25">
      <c r="A28" s="241">
        <f t="shared" si="2"/>
        <v>43756</v>
      </c>
      <c r="B28" s="242">
        <f t="shared" si="0"/>
        <v>18</v>
      </c>
      <c r="C28" s="182" t="str">
        <f t="shared" si="1"/>
        <v>viernes</v>
      </c>
    </row>
    <row r="29" spans="1:4" x14ac:dyDescent="0.25">
      <c r="A29" s="243">
        <f t="shared" si="2"/>
        <v>43757</v>
      </c>
      <c r="B29" s="244">
        <f t="shared" si="0"/>
        <v>19</v>
      </c>
      <c r="C29" s="245" t="str">
        <f t="shared" si="1"/>
        <v>sábado</v>
      </c>
    </row>
    <row r="30" spans="1:4" x14ac:dyDescent="0.25">
      <c r="A30" s="241">
        <f t="shared" ref="A30:A35" si="3">+A29+1</f>
        <v>43758</v>
      </c>
      <c r="B30" s="242">
        <f t="shared" ref="B30:B35" si="4">+DAY(A30)</f>
        <v>20</v>
      </c>
      <c r="C30" s="182" t="str">
        <f t="shared" ref="C30:C35" si="5">+TEXT(A30,"dddd")</f>
        <v>domingo</v>
      </c>
    </row>
    <row r="31" spans="1:4" x14ac:dyDescent="0.25">
      <c r="A31" s="241">
        <f t="shared" si="3"/>
        <v>43759</v>
      </c>
      <c r="B31" s="242">
        <f t="shared" si="4"/>
        <v>21</v>
      </c>
      <c r="C31" s="182" t="str">
        <f t="shared" si="5"/>
        <v>lunes</v>
      </c>
      <c r="D31" t="s">
        <v>514</v>
      </c>
    </row>
    <row r="32" spans="1:4" x14ac:dyDescent="0.25">
      <c r="A32" s="243">
        <f t="shared" si="3"/>
        <v>43760</v>
      </c>
      <c r="B32" s="244">
        <f t="shared" si="4"/>
        <v>22</v>
      </c>
      <c r="C32" s="245" t="str">
        <f t="shared" si="5"/>
        <v>martes</v>
      </c>
    </row>
    <row r="33" spans="1:5" x14ac:dyDescent="0.25">
      <c r="A33" s="241">
        <f t="shared" si="3"/>
        <v>43761</v>
      </c>
      <c r="B33" s="242">
        <f t="shared" si="4"/>
        <v>23</v>
      </c>
      <c r="C33" s="182" t="str">
        <f t="shared" si="5"/>
        <v>miércoles</v>
      </c>
    </row>
    <row r="34" spans="1:5" x14ac:dyDescent="0.25">
      <c r="A34" s="241">
        <f t="shared" si="3"/>
        <v>43762</v>
      </c>
      <c r="B34" s="242">
        <f t="shared" si="4"/>
        <v>24</v>
      </c>
      <c r="C34" s="182" t="str">
        <f t="shared" si="5"/>
        <v>jueves</v>
      </c>
    </row>
    <row r="35" spans="1:5" x14ac:dyDescent="0.25">
      <c r="A35" s="243">
        <f t="shared" si="3"/>
        <v>43763</v>
      </c>
      <c r="B35" s="244">
        <f t="shared" si="4"/>
        <v>25</v>
      </c>
      <c r="C35" s="245" t="str">
        <f t="shared" si="5"/>
        <v>viernes</v>
      </c>
    </row>
    <row r="45" spans="1:5" x14ac:dyDescent="0.25">
      <c r="E45" s="246"/>
    </row>
    <row r="49" spans="5:5" x14ac:dyDescent="0.25">
      <c r="E49" s="247"/>
    </row>
    <row r="51" spans="5:5" x14ac:dyDescent="0.25">
      <c r="E51" s="247"/>
    </row>
    <row r="53" spans="5:5" x14ac:dyDescent="0.25">
      <c r="E53" s="246"/>
    </row>
    <row r="57" spans="5:5" x14ac:dyDescent="0.25">
      <c r="E57" s="247"/>
    </row>
    <row r="59" spans="5:5" x14ac:dyDescent="0.25">
      <c r="E59" s="247"/>
    </row>
    <row r="61" spans="5:5" x14ac:dyDescent="0.25">
      <c r="E61" s="246"/>
    </row>
    <row r="65" spans="5:5" x14ac:dyDescent="0.25">
      <c r="E65" s="247"/>
    </row>
    <row r="67" spans="5:5" x14ac:dyDescent="0.25">
      <c r="E67" s="247"/>
    </row>
    <row r="69" spans="5:5" x14ac:dyDescent="0.25">
      <c r="E69" s="246"/>
    </row>
    <row r="73" spans="5:5" x14ac:dyDescent="0.25">
      <c r="E73" s="247"/>
    </row>
    <row r="75" spans="5:5" x14ac:dyDescent="0.25">
      <c r="E75" s="247"/>
    </row>
    <row r="77" spans="5:5" x14ac:dyDescent="0.25">
      <c r="E77" s="246"/>
    </row>
    <row r="81" spans="5:5" x14ac:dyDescent="0.25">
      <c r="E81" s="247"/>
    </row>
    <row r="83" spans="5:5" x14ac:dyDescent="0.25">
      <c r="E83" s="247"/>
    </row>
    <row r="85" spans="5:5" x14ac:dyDescent="0.25">
      <c r="E85" s="246"/>
    </row>
    <row r="89" spans="5:5" x14ac:dyDescent="0.25">
      <c r="E89" s="247"/>
    </row>
    <row r="91" spans="5:5" x14ac:dyDescent="0.25">
      <c r="E91" s="247"/>
    </row>
    <row r="93" spans="5:5" x14ac:dyDescent="0.25">
      <c r="E93" s="246"/>
    </row>
    <row r="97" spans="5:5" x14ac:dyDescent="0.25">
      <c r="E97" s="247"/>
    </row>
    <row r="99" spans="5:5" x14ac:dyDescent="0.25">
      <c r="E99" s="247"/>
    </row>
    <row r="101" spans="5:5" x14ac:dyDescent="0.25">
      <c r="E101" s="246"/>
    </row>
    <row r="105" spans="5:5" x14ac:dyDescent="0.25">
      <c r="E105" s="247"/>
    </row>
    <row r="107" spans="5:5" x14ac:dyDescent="0.25">
      <c r="E107" s="247"/>
    </row>
    <row r="109" spans="5:5" x14ac:dyDescent="0.25">
      <c r="E109" s="246"/>
    </row>
    <row r="113" spans="5:5" x14ac:dyDescent="0.25">
      <c r="E113" s="247"/>
    </row>
    <row r="115" spans="5:5" x14ac:dyDescent="0.25">
      <c r="E115" s="247"/>
    </row>
    <row r="117" spans="5:5" x14ac:dyDescent="0.25">
      <c r="E117" s="246"/>
    </row>
    <row r="121" spans="5:5" x14ac:dyDescent="0.25">
      <c r="E121" s="247"/>
    </row>
    <row r="123" spans="5:5" x14ac:dyDescent="0.25">
      <c r="E123" s="247"/>
    </row>
    <row r="125" spans="5:5" x14ac:dyDescent="0.25">
      <c r="E125" s="246"/>
    </row>
    <row r="129" spans="5:5" x14ac:dyDescent="0.25">
      <c r="E129" s="247"/>
    </row>
    <row r="131" spans="5:5" x14ac:dyDescent="0.25">
      <c r="E131" s="247"/>
    </row>
    <row r="133" spans="5:5" x14ac:dyDescent="0.25">
      <c r="E133" s="246"/>
    </row>
    <row r="137" spans="5:5" x14ac:dyDescent="0.25">
      <c r="E137" s="247"/>
    </row>
    <row r="139" spans="5:5" x14ac:dyDescent="0.25">
      <c r="E139" s="247"/>
    </row>
    <row r="141" spans="5:5" x14ac:dyDescent="0.25">
      <c r="E141" s="246"/>
    </row>
    <row r="145" spans="5:5" x14ac:dyDescent="0.25">
      <c r="E145" s="247"/>
    </row>
    <row r="147" spans="5:5" x14ac:dyDescent="0.25">
      <c r="E147" s="247"/>
    </row>
    <row r="149" spans="5:5" x14ac:dyDescent="0.25">
      <c r="E149" s="246"/>
    </row>
    <row r="153" spans="5:5" x14ac:dyDescent="0.25">
      <c r="E153" s="247"/>
    </row>
    <row r="155" spans="5:5" x14ac:dyDescent="0.25">
      <c r="E155" s="247"/>
    </row>
    <row r="157" spans="5:5" x14ac:dyDescent="0.25">
      <c r="E157" s="246"/>
    </row>
    <row r="161" spans="5:5" x14ac:dyDescent="0.25">
      <c r="E161" s="247"/>
    </row>
    <row r="163" spans="5:5" x14ac:dyDescent="0.25">
      <c r="E163" s="247"/>
    </row>
    <row r="165" spans="5:5" x14ac:dyDescent="0.25">
      <c r="E165" s="246"/>
    </row>
    <row r="169" spans="5:5" x14ac:dyDescent="0.25">
      <c r="E169" s="247"/>
    </row>
    <row r="171" spans="5:5" x14ac:dyDescent="0.25">
      <c r="E171" s="247"/>
    </row>
    <row r="173" spans="5:5" x14ac:dyDescent="0.25">
      <c r="E173" s="246"/>
    </row>
    <row r="177" spans="5:5" x14ac:dyDescent="0.25">
      <c r="E177" s="247"/>
    </row>
    <row r="179" spans="5:5" x14ac:dyDescent="0.25">
      <c r="E179" s="247"/>
    </row>
    <row r="181" spans="5:5" x14ac:dyDescent="0.25">
      <c r="E181" s="246"/>
    </row>
    <row r="185" spans="5:5" x14ac:dyDescent="0.25">
      <c r="E185" s="247"/>
    </row>
    <row r="187" spans="5:5" x14ac:dyDescent="0.25">
      <c r="E187" s="247"/>
    </row>
    <row r="189" spans="5:5" x14ac:dyDescent="0.25">
      <c r="E189" s="246"/>
    </row>
    <row r="193" spans="5:5" x14ac:dyDescent="0.25">
      <c r="E193" s="247"/>
    </row>
    <row r="195" spans="5:5" x14ac:dyDescent="0.25">
      <c r="E195" s="247"/>
    </row>
    <row r="197" spans="5:5" x14ac:dyDescent="0.25">
      <c r="E197" s="246"/>
    </row>
    <row r="201" spans="5:5" x14ac:dyDescent="0.25">
      <c r="E201" s="247"/>
    </row>
    <row r="203" spans="5:5" x14ac:dyDescent="0.25">
      <c r="E203" s="247"/>
    </row>
    <row r="205" spans="5:5" x14ac:dyDescent="0.25">
      <c r="E205" s="246"/>
    </row>
    <row r="209" spans="5:5" x14ac:dyDescent="0.25">
      <c r="E209" s="247"/>
    </row>
    <row r="211" spans="5:5" x14ac:dyDescent="0.25">
      <c r="E211" s="247"/>
    </row>
    <row r="213" spans="5:5" x14ac:dyDescent="0.25">
      <c r="E213" s="246"/>
    </row>
    <row r="217" spans="5:5" x14ac:dyDescent="0.25">
      <c r="E217" s="247"/>
    </row>
    <row r="219" spans="5:5" x14ac:dyDescent="0.25">
      <c r="E219" s="247"/>
    </row>
    <row r="221" spans="5:5" x14ac:dyDescent="0.25">
      <c r="E221" s="246"/>
    </row>
    <row r="225" spans="5:5" x14ac:dyDescent="0.25">
      <c r="E225" s="247"/>
    </row>
    <row r="227" spans="5:5" x14ac:dyDescent="0.25">
      <c r="E227" s="247"/>
    </row>
    <row r="229" spans="5:5" x14ac:dyDescent="0.25">
      <c r="E229" s="246"/>
    </row>
    <row r="233" spans="5:5" x14ac:dyDescent="0.25">
      <c r="E233" s="247"/>
    </row>
    <row r="235" spans="5:5" x14ac:dyDescent="0.25">
      <c r="E235" s="247"/>
    </row>
  </sheetData>
  <conditionalFormatting sqref="C1:C35">
    <cfRule type="containsText" dxfId="57" priority="1" operator="containsText" text="sába">
      <formula>NOT(ISERROR(SEARCH("sába",C1)))</formula>
    </cfRule>
    <cfRule type="containsText" dxfId="56" priority="2" operator="containsText" text="dom">
      <formula>NOT(ISERROR(SEARCH("dom",C1)))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K12"/>
  <sheetViews>
    <sheetView workbookViewId="0"/>
  </sheetViews>
  <sheetFormatPr baseColWidth="10" defaultRowHeight="15" x14ac:dyDescent="0.25"/>
  <cols>
    <col min="2" max="2" width="11.42578125" style="47"/>
    <col min="6" max="6" width="25.42578125" bestFit="1" customWidth="1"/>
  </cols>
  <sheetData>
    <row r="2" spans="2:11" x14ac:dyDescent="0.25">
      <c r="F2" t="s">
        <v>506</v>
      </c>
      <c r="G2" t="s">
        <v>499</v>
      </c>
      <c r="H2" t="s">
        <v>500</v>
      </c>
      <c r="I2" t="s">
        <v>501</v>
      </c>
      <c r="J2" t="s">
        <v>502</v>
      </c>
      <c r="K2" t="s">
        <v>503</v>
      </c>
    </row>
    <row r="3" spans="2:11" x14ac:dyDescent="0.25">
      <c r="D3" t="s">
        <v>508</v>
      </c>
    </row>
    <row r="4" spans="2:11" x14ac:dyDescent="0.25">
      <c r="K4" t="s">
        <v>504</v>
      </c>
    </row>
    <row r="5" spans="2:11" x14ac:dyDescent="0.25">
      <c r="B5" s="47" t="s">
        <v>498</v>
      </c>
    </row>
    <row r="6" spans="2:11" x14ac:dyDescent="0.25">
      <c r="B6" s="47" t="s">
        <v>499</v>
      </c>
    </row>
    <row r="7" spans="2:11" x14ac:dyDescent="0.25">
      <c r="B7" s="47" t="s">
        <v>505</v>
      </c>
      <c r="C7" t="s">
        <v>507</v>
      </c>
    </row>
    <row r="8" spans="2:11" x14ac:dyDescent="0.25">
      <c r="B8" s="47" t="s">
        <v>501</v>
      </c>
      <c r="C8" t="s">
        <v>509</v>
      </c>
    </row>
    <row r="9" spans="2:11" x14ac:dyDescent="0.25">
      <c r="B9" s="47" t="s">
        <v>502</v>
      </c>
      <c r="C9" s="199" t="s">
        <v>510</v>
      </c>
    </row>
    <row r="10" spans="2:11" x14ac:dyDescent="0.25">
      <c r="B10" s="47" t="s">
        <v>503</v>
      </c>
      <c r="C10" t="s">
        <v>511</v>
      </c>
    </row>
    <row r="11" spans="2:11" x14ac:dyDescent="0.25">
      <c r="B11" s="47" t="s">
        <v>504</v>
      </c>
      <c r="C11" t="s">
        <v>512</v>
      </c>
    </row>
    <row r="12" spans="2:11" x14ac:dyDescent="0.25">
      <c r="B12" s="47" t="s">
        <v>515</v>
      </c>
      <c r="C12" t="s">
        <v>516</v>
      </c>
      <c r="D12" t="s">
        <v>517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4:I12"/>
  <sheetViews>
    <sheetView workbookViewId="0"/>
  </sheetViews>
  <sheetFormatPr baseColWidth="10" defaultRowHeight="15" x14ac:dyDescent="0.25"/>
  <cols>
    <col min="7" max="7" width="3.28515625" bestFit="1" customWidth="1"/>
    <col min="8" max="8" width="22.140625" bestFit="1" customWidth="1"/>
  </cols>
  <sheetData>
    <row r="4" spans="4:9" x14ac:dyDescent="0.25">
      <c r="D4" s="219">
        <v>43773</v>
      </c>
      <c r="E4" s="160">
        <v>4</v>
      </c>
      <c r="F4" s="129" t="str">
        <f>+TEXT(D4,"dddd")</f>
        <v>lunes</v>
      </c>
      <c r="G4" t="s">
        <v>461</v>
      </c>
    </row>
    <row r="5" spans="4:9" x14ac:dyDescent="0.25">
      <c r="D5" s="218">
        <v>43774</v>
      </c>
      <c r="E5" s="216">
        <v>5</v>
      </c>
      <c r="F5" s="217" t="str">
        <f t="shared" ref="F5:F12" si="0">+TEXT(D5,"dddd")</f>
        <v>martes</v>
      </c>
      <c r="G5" t="s">
        <v>461</v>
      </c>
    </row>
    <row r="6" spans="4:9" x14ac:dyDescent="0.25">
      <c r="D6" s="219">
        <v>43775</v>
      </c>
      <c r="E6" s="160">
        <v>6</v>
      </c>
      <c r="F6" s="129" t="str">
        <f t="shared" si="0"/>
        <v>miércoles</v>
      </c>
      <c r="G6" t="s">
        <v>461</v>
      </c>
    </row>
    <row r="7" spans="4:9" x14ac:dyDescent="0.25">
      <c r="D7" s="218">
        <v>43776</v>
      </c>
      <c r="E7" s="216">
        <v>7</v>
      </c>
      <c r="F7" s="217" t="str">
        <f t="shared" si="0"/>
        <v>jueves</v>
      </c>
      <c r="G7" t="s">
        <v>462</v>
      </c>
    </row>
    <row r="8" spans="4:9" x14ac:dyDescent="0.25">
      <c r="D8" s="219">
        <v>43777</v>
      </c>
      <c r="E8" s="160">
        <v>16</v>
      </c>
      <c r="F8" s="129" t="str">
        <f t="shared" si="0"/>
        <v>viernes</v>
      </c>
      <c r="G8" t="s">
        <v>462</v>
      </c>
    </row>
    <row r="9" spans="4:9" x14ac:dyDescent="0.25">
      <c r="D9" s="218">
        <v>43778</v>
      </c>
      <c r="E9" s="216">
        <v>17</v>
      </c>
      <c r="F9" s="217" t="str">
        <f t="shared" si="0"/>
        <v>sábado</v>
      </c>
      <c r="G9" t="s">
        <v>462</v>
      </c>
      <c r="H9" t="s">
        <v>464</v>
      </c>
      <c r="I9" t="s">
        <v>463</v>
      </c>
    </row>
    <row r="10" spans="4:9" x14ac:dyDescent="0.25">
      <c r="D10" s="219">
        <v>43779</v>
      </c>
      <c r="E10" s="160">
        <v>18</v>
      </c>
      <c r="F10" s="129" t="str">
        <f t="shared" si="0"/>
        <v>domingo</v>
      </c>
      <c r="G10" t="s">
        <v>465</v>
      </c>
    </row>
    <row r="11" spans="4:9" x14ac:dyDescent="0.25">
      <c r="D11" s="218">
        <v>43780</v>
      </c>
      <c r="E11" s="216">
        <v>19</v>
      </c>
      <c r="F11" s="217" t="str">
        <f t="shared" si="0"/>
        <v>lunes</v>
      </c>
    </row>
    <row r="12" spans="4:9" x14ac:dyDescent="0.25">
      <c r="D12" s="219">
        <v>43781</v>
      </c>
      <c r="E12" s="160">
        <v>20</v>
      </c>
      <c r="F12" s="129" t="str">
        <f t="shared" si="0"/>
        <v>martes</v>
      </c>
    </row>
  </sheetData>
  <conditionalFormatting sqref="F4:F12">
    <cfRule type="containsText" dxfId="55" priority="1" operator="containsText" text="sába">
      <formula>NOT(ISERROR(SEARCH("sába",F4)))</formula>
    </cfRule>
    <cfRule type="containsText" dxfId="54" priority="2" operator="containsText" text="dom">
      <formula>NOT(ISERROR(SEARCH("dom",F4)))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H74"/>
  <sheetViews>
    <sheetView topLeftCell="A4" workbookViewId="0"/>
  </sheetViews>
  <sheetFormatPr baseColWidth="10" defaultColWidth="0" defaultRowHeight="15" outlineLevelRow="1" x14ac:dyDescent="0.25"/>
  <cols>
    <col min="1" max="1" width="11" customWidth="1"/>
    <col min="2" max="2" width="4.42578125" customWidth="1"/>
    <col min="3" max="3" width="7.42578125" customWidth="1"/>
    <col min="4" max="4" width="12.5703125" bestFit="1" customWidth="1"/>
    <col min="5" max="5" width="23.42578125" style="47" bestFit="1" customWidth="1"/>
    <col min="6" max="6" width="9.140625" style="47" customWidth="1"/>
    <col min="7" max="7" width="15.7109375" customWidth="1"/>
    <col min="8" max="8" width="18.85546875" bestFit="1" customWidth="1"/>
    <col min="9" max="9" width="18.5703125" bestFit="1" customWidth="1"/>
    <col min="10" max="10" width="15.7109375" customWidth="1"/>
    <col min="11" max="11" width="17.140625" customWidth="1"/>
    <col min="12" max="12" width="17.42578125" customWidth="1"/>
    <col min="13" max="13" width="15.7109375" hidden="1" customWidth="1"/>
    <col min="14" max="14" width="18.140625" hidden="1" customWidth="1"/>
    <col min="15" max="15" width="12.85546875" hidden="1" customWidth="1"/>
    <col min="16" max="16" width="27.42578125" hidden="1" customWidth="1"/>
    <col min="17" max="17" width="12.85546875" hidden="1" customWidth="1"/>
    <col min="18" max="18" width="17.140625" hidden="1" customWidth="1"/>
    <col min="19" max="19" width="19.5703125" hidden="1" customWidth="1"/>
    <col min="20" max="20" width="12.85546875" hidden="1" customWidth="1"/>
    <col min="21" max="21" width="14.28515625" hidden="1" customWidth="1"/>
    <col min="22" max="22" width="19.28515625" hidden="1" customWidth="1"/>
    <col min="23" max="23" width="12.85546875" hidden="1" customWidth="1"/>
    <col min="24" max="24" width="16" hidden="1" customWidth="1"/>
    <col min="25" max="25" width="19.28515625" hidden="1" customWidth="1"/>
    <col min="26" max="26" width="12.85546875" hidden="1" customWidth="1"/>
    <col min="27" max="27" width="16" hidden="1" customWidth="1"/>
    <col min="28" max="28" width="19.28515625" hidden="1" customWidth="1"/>
    <col min="29" max="29" width="12.85546875" hidden="1" customWidth="1"/>
    <col min="30" max="30" width="16" hidden="1" customWidth="1"/>
    <col min="31" max="31" width="19.28515625" hidden="1" customWidth="1"/>
    <col min="32" max="32" width="12.85546875" hidden="1" customWidth="1"/>
    <col min="33" max="34" width="16" hidden="1" customWidth="1"/>
    <col min="35" max="16384" width="11.42578125" hidden="1"/>
  </cols>
  <sheetData>
    <row r="1" spans="1:10" hidden="1" outlineLevel="1" x14ac:dyDescent="0.25">
      <c r="D1" t="s">
        <v>296</v>
      </c>
      <c r="E1" s="132" t="s">
        <v>444</v>
      </c>
      <c r="H1" t="s">
        <v>444</v>
      </c>
      <c r="I1" t="s">
        <v>446</v>
      </c>
    </row>
    <row r="2" spans="1:10" hidden="1" outlineLevel="1" x14ac:dyDescent="0.25">
      <c r="D2" s="158" t="s">
        <v>351</v>
      </c>
      <c r="E2" t="s">
        <v>443</v>
      </c>
      <c r="H2" t="s">
        <v>445</v>
      </c>
      <c r="I2" t="s">
        <v>447</v>
      </c>
    </row>
    <row r="3" spans="1:10" hidden="1" outlineLevel="1" x14ac:dyDescent="0.25">
      <c r="E3"/>
    </row>
    <row r="4" spans="1:10" collapsed="1" x14ac:dyDescent="0.25">
      <c r="D4" s="158" t="s">
        <v>297</v>
      </c>
      <c r="E4" t="s">
        <v>482</v>
      </c>
      <c r="F4"/>
    </row>
    <row r="5" spans="1:10" x14ac:dyDescent="0.25">
      <c r="D5" s="497">
        <v>1</v>
      </c>
      <c r="E5" s="496"/>
      <c r="F5"/>
      <c r="H5" s="211" t="s">
        <v>297</v>
      </c>
      <c r="I5" s="211" t="s">
        <v>319</v>
      </c>
      <c r="J5" s="211" t="s">
        <v>318</v>
      </c>
    </row>
    <row r="6" spans="1:10" outlineLevel="1" x14ac:dyDescent="0.25">
      <c r="A6" s="190" t="s">
        <v>434</v>
      </c>
      <c r="D6" s="497">
        <v>2</v>
      </c>
      <c r="E6" s="496"/>
      <c r="F6"/>
      <c r="H6" s="232">
        <v>1</v>
      </c>
      <c r="I6" s="233" t="s">
        <v>476</v>
      </c>
      <c r="J6" s="1"/>
    </row>
    <row r="7" spans="1:10" outlineLevel="1" x14ac:dyDescent="0.25">
      <c r="A7" s="190" t="s">
        <v>434</v>
      </c>
      <c r="D7" s="497">
        <v>3</v>
      </c>
      <c r="E7" s="496"/>
      <c r="F7"/>
      <c r="H7" s="232">
        <v>2</v>
      </c>
      <c r="I7" s="233" t="s">
        <v>476</v>
      </c>
      <c r="J7" s="1"/>
    </row>
    <row r="8" spans="1:10" outlineLevel="1" x14ac:dyDescent="0.25">
      <c r="A8" s="190" t="s">
        <v>435</v>
      </c>
      <c r="D8" s="497">
        <v>4</v>
      </c>
      <c r="E8" s="496"/>
      <c r="F8"/>
      <c r="H8" s="230">
        <v>3</v>
      </c>
      <c r="I8" s="231" t="s">
        <v>476</v>
      </c>
      <c r="J8" s="1"/>
    </row>
    <row r="9" spans="1:10" outlineLevel="1" x14ac:dyDescent="0.25">
      <c r="A9" s="190" t="s">
        <v>435</v>
      </c>
      <c r="D9" s="497">
        <v>5</v>
      </c>
      <c r="E9" s="496"/>
      <c r="F9"/>
      <c r="H9" s="230">
        <v>4</v>
      </c>
      <c r="I9" s="231" t="s">
        <v>476</v>
      </c>
      <c r="J9" s="1"/>
    </row>
    <row r="10" spans="1:10" outlineLevel="1" x14ac:dyDescent="0.25">
      <c r="A10" s="190" t="s">
        <v>435</v>
      </c>
      <c r="D10" s="497">
        <v>6</v>
      </c>
      <c r="E10" s="496"/>
      <c r="F10"/>
      <c r="H10" s="230">
        <v>5</v>
      </c>
      <c r="I10" s="231" t="s">
        <v>476</v>
      </c>
      <c r="J10" s="1"/>
    </row>
    <row r="11" spans="1:10" outlineLevel="1" x14ac:dyDescent="0.25">
      <c r="A11" s="190" t="s">
        <v>436</v>
      </c>
      <c r="D11" s="497">
        <v>7</v>
      </c>
      <c r="E11" s="496"/>
      <c r="F11"/>
      <c r="H11" s="230">
        <v>6</v>
      </c>
      <c r="I11" s="231" t="s">
        <v>476</v>
      </c>
      <c r="J11" s="1"/>
    </row>
    <row r="12" spans="1:10" outlineLevel="1" x14ac:dyDescent="0.25">
      <c r="A12" s="190" t="s">
        <v>436</v>
      </c>
      <c r="D12" s="497">
        <v>8</v>
      </c>
      <c r="E12" s="496"/>
      <c r="F12"/>
      <c r="H12" s="228">
        <v>7</v>
      </c>
      <c r="I12" s="229" t="s">
        <v>476</v>
      </c>
      <c r="J12" s="1"/>
    </row>
    <row r="13" spans="1:10" outlineLevel="1" x14ac:dyDescent="0.25">
      <c r="A13" s="190" t="s">
        <v>436</v>
      </c>
      <c r="D13" s="497">
        <v>9</v>
      </c>
      <c r="E13" s="496"/>
      <c r="F13"/>
      <c r="H13" s="228">
        <v>8</v>
      </c>
      <c r="I13" s="229" t="s">
        <v>476</v>
      </c>
      <c r="J13" s="1"/>
    </row>
    <row r="14" spans="1:10" outlineLevel="1" x14ac:dyDescent="0.25">
      <c r="A14" t="s">
        <v>437</v>
      </c>
      <c r="D14" s="497">
        <v>10</v>
      </c>
      <c r="E14" s="496"/>
      <c r="F14"/>
      <c r="H14" s="228">
        <v>9</v>
      </c>
      <c r="I14" s="229" t="s">
        <v>476</v>
      </c>
      <c r="J14" s="1"/>
    </row>
    <row r="15" spans="1:10" outlineLevel="1" x14ac:dyDescent="0.25">
      <c r="A15" t="s">
        <v>437</v>
      </c>
      <c r="D15" s="497">
        <v>11</v>
      </c>
      <c r="E15" s="496"/>
      <c r="F15"/>
      <c r="H15" s="228">
        <v>10</v>
      </c>
      <c r="I15" s="229" t="s">
        <v>476</v>
      </c>
      <c r="J15" s="1"/>
    </row>
    <row r="16" spans="1:10" outlineLevel="1" x14ac:dyDescent="0.25">
      <c r="A16" t="s">
        <v>437</v>
      </c>
      <c r="D16" s="497">
        <v>12</v>
      </c>
      <c r="E16" s="496"/>
      <c r="F16"/>
      <c r="H16" s="226">
        <v>11</v>
      </c>
      <c r="I16" s="227" t="s">
        <v>476</v>
      </c>
      <c r="J16" s="1"/>
    </row>
    <row r="17" spans="1:10" outlineLevel="1" x14ac:dyDescent="0.25">
      <c r="A17" t="s">
        <v>438</v>
      </c>
      <c r="D17" s="497">
        <v>13</v>
      </c>
      <c r="E17" s="496">
        <v>21</v>
      </c>
      <c r="F17"/>
      <c r="H17" s="226">
        <v>12</v>
      </c>
      <c r="I17" s="227" t="s">
        <v>476</v>
      </c>
      <c r="J17" s="1"/>
    </row>
    <row r="18" spans="1:10" outlineLevel="1" x14ac:dyDescent="0.25">
      <c r="A18" t="s">
        <v>438</v>
      </c>
      <c r="D18" s="497">
        <v>14</v>
      </c>
      <c r="E18" s="496">
        <v>14</v>
      </c>
      <c r="F18"/>
      <c r="H18" s="226">
        <v>13</v>
      </c>
      <c r="I18" s="227" t="s">
        <v>476</v>
      </c>
      <c r="J18" s="1"/>
    </row>
    <row r="19" spans="1:10" outlineLevel="1" x14ac:dyDescent="0.25">
      <c r="A19" t="s">
        <v>439</v>
      </c>
      <c r="D19" s="497">
        <v>15</v>
      </c>
      <c r="E19" s="496">
        <v>19</v>
      </c>
      <c r="F19"/>
      <c r="H19" s="226">
        <v>14</v>
      </c>
      <c r="I19" s="227" t="s">
        <v>476</v>
      </c>
      <c r="J19" s="1"/>
    </row>
    <row r="20" spans="1:10" outlineLevel="1" x14ac:dyDescent="0.25">
      <c r="A20" t="s">
        <v>440</v>
      </c>
      <c r="D20" s="497">
        <v>16</v>
      </c>
      <c r="E20" s="496">
        <v>19</v>
      </c>
      <c r="F20"/>
      <c r="H20" s="159">
        <v>15</v>
      </c>
      <c r="I20" s="2" t="s">
        <v>475</v>
      </c>
      <c r="J20" s="1"/>
    </row>
    <row r="21" spans="1:10" outlineLevel="1" x14ac:dyDescent="0.25">
      <c r="A21" t="s">
        <v>440</v>
      </c>
      <c r="D21" s="497">
        <v>17</v>
      </c>
      <c r="E21" s="496">
        <v>14</v>
      </c>
      <c r="F21"/>
      <c r="H21" s="225">
        <v>16</v>
      </c>
      <c r="I21" s="21" t="s">
        <v>476</v>
      </c>
      <c r="J21" s="1"/>
    </row>
    <row r="22" spans="1:10" outlineLevel="1" x14ac:dyDescent="0.25">
      <c r="A22" t="s">
        <v>440</v>
      </c>
      <c r="D22" s="497">
        <v>18</v>
      </c>
      <c r="E22" s="496">
        <v>15</v>
      </c>
      <c r="F22"/>
      <c r="H22" s="159">
        <v>17</v>
      </c>
      <c r="I22" s="2" t="s">
        <v>475</v>
      </c>
      <c r="J22" s="1"/>
    </row>
    <row r="23" spans="1:10" outlineLevel="1" x14ac:dyDescent="0.25">
      <c r="A23" t="s">
        <v>441</v>
      </c>
      <c r="D23" s="498">
        <v>19</v>
      </c>
      <c r="E23" s="496"/>
      <c r="F23"/>
      <c r="H23" s="159">
        <v>18</v>
      </c>
      <c r="I23" s="2" t="s">
        <v>475</v>
      </c>
      <c r="J23" s="1"/>
    </row>
    <row r="24" spans="1:10" outlineLevel="1" x14ac:dyDescent="0.25">
      <c r="A24" t="s">
        <v>441</v>
      </c>
      <c r="C24" s="199" t="s">
        <v>442</v>
      </c>
      <c r="D24" s="497">
        <v>20</v>
      </c>
      <c r="E24" s="496">
        <v>36</v>
      </c>
      <c r="F24"/>
      <c r="H24" s="200">
        <v>19</v>
      </c>
      <c r="I24" s="1" t="s">
        <v>477</v>
      </c>
      <c r="J24" s="1"/>
    </row>
    <row r="25" spans="1:10" outlineLevel="1" x14ac:dyDescent="0.25">
      <c r="D25" s="497">
        <v>21</v>
      </c>
      <c r="E25" s="496"/>
      <c r="F25"/>
      <c r="H25" s="225">
        <v>20</v>
      </c>
      <c r="I25" s="21" t="s">
        <v>476</v>
      </c>
      <c r="J25" s="1"/>
    </row>
    <row r="26" spans="1:10" outlineLevel="1" x14ac:dyDescent="0.25">
      <c r="D26" s="497">
        <v>22</v>
      </c>
      <c r="E26" s="496"/>
      <c r="F26"/>
      <c r="H26" s="159">
        <v>21</v>
      </c>
      <c r="I26" s="43" t="s">
        <v>474</v>
      </c>
      <c r="J26" s="1"/>
    </row>
    <row r="27" spans="1:10" outlineLevel="1" x14ac:dyDescent="0.25">
      <c r="D27" s="497">
        <v>23</v>
      </c>
      <c r="E27" s="496">
        <v>7</v>
      </c>
      <c r="F27"/>
      <c r="H27" s="159">
        <v>22</v>
      </c>
      <c r="I27" s="1"/>
      <c r="J27" s="43" t="s">
        <v>474</v>
      </c>
    </row>
    <row r="28" spans="1:10" outlineLevel="1" x14ac:dyDescent="0.25">
      <c r="D28" s="497">
        <v>24</v>
      </c>
      <c r="E28" s="496">
        <v>14</v>
      </c>
      <c r="F28"/>
      <c r="H28" s="159">
        <v>23</v>
      </c>
      <c r="I28" s="1"/>
      <c r="J28" s="1" t="s">
        <v>475</v>
      </c>
    </row>
    <row r="29" spans="1:10" outlineLevel="1" x14ac:dyDescent="0.25">
      <c r="D29" s="497">
        <v>25</v>
      </c>
      <c r="E29" s="496">
        <v>17</v>
      </c>
      <c r="F29"/>
      <c r="H29" s="159">
        <v>24</v>
      </c>
      <c r="I29" s="1"/>
      <c r="J29" s="1" t="s">
        <v>475</v>
      </c>
    </row>
    <row r="30" spans="1:10" outlineLevel="1" x14ac:dyDescent="0.25">
      <c r="D30" s="497">
        <v>26</v>
      </c>
      <c r="E30" s="496">
        <v>10</v>
      </c>
      <c r="F30"/>
      <c r="H30" s="159">
        <v>25</v>
      </c>
      <c r="I30" s="1"/>
      <c r="J30" s="1" t="s">
        <v>475</v>
      </c>
    </row>
    <row r="31" spans="1:10" outlineLevel="1" x14ac:dyDescent="0.25">
      <c r="D31" s="497">
        <v>27</v>
      </c>
      <c r="E31" s="496">
        <v>15</v>
      </c>
      <c r="F31"/>
      <c r="H31" s="159">
        <v>26</v>
      </c>
      <c r="I31" s="1"/>
      <c r="J31" s="1" t="s">
        <v>475</v>
      </c>
    </row>
    <row r="32" spans="1:10" outlineLevel="1" x14ac:dyDescent="0.25">
      <c r="D32" s="497">
        <v>28</v>
      </c>
      <c r="E32" s="496">
        <v>29</v>
      </c>
      <c r="F32"/>
      <c r="H32" s="159">
        <v>27</v>
      </c>
      <c r="I32" s="1"/>
      <c r="J32" s="1" t="s">
        <v>475</v>
      </c>
    </row>
    <row r="33" spans="4:11" outlineLevel="1" x14ac:dyDescent="0.25">
      <c r="D33" s="497">
        <v>29</v>
      </c>
      <c r="E33" s="496">
        <v>19</v>
      </c>
      <c r="F33"/>
      <c r="H33" s="159">
        <v>28</v>
      </c>
      <c r="I33" s="1"/>
      <c r="J33" s="1" t="s">
        <v>475</v>
      </c>
    </row>
    <row r="34" spans="4:11" outlineLevel="1" x14ac:dyDescent="0.25">
      <c r="D34" s="497">
        <v>30</v>
      </c>
      <c r="E34" s="496"/>
      <c r="F34"/>
      <c r="H34" s="159">
        <v>29</v>
      </c>
      <c r="I34" s="1"/>
      <c r="J34" s="1" t="s">
        <v>475</v>
      </c>
    </row>
    <row r="35" spans="4:11" outlineLevel="1" x14ac:dyDescent="0.25">
      <c r="D35" s="497">
        <v>31</v>
      </c>
      <c r="E35" s="496"/>
      <c r="F35"/>
      <c r="H35" s="159">
        <v>30</v>
      </c>
      <c r="I35" s="1"/>
      <c r="J35" s="233" t="s">
        <v>476</v>
      </c>
    </row>
    <row r="36" spans="4:11" outlineLevel="1" x14ac:dyDescent="0.25">
      <c r="D36" s="159" t="s">
        <v>317</v>
      </c>
      <c r="E36" s="1">
        <v>36</v>
      </c>
      <c r="F36"/>
      <c r="H36" s="159">
        <v>31</v>
      </c>
      <c r="I36" s="1"/>
      <c r="J36" s="1"/>
    </row>
    <row r="37" spans="4:11" outlineLevel="1" x14ac:dyDescent="0.25">
      <c r="E37"/>
      <c r="F37"/>
      <c r="H37" s="212" t="s">
        <v>317</v>
      </c>
      <c r="I37" s="213">
        <v>11855040</v>
      </c>
      <c r="J37" s="213">
        <v>4055210</v>
      </c>
    </row>
    <row r="38" spans="4:11" x14ac:dyDescent="0.25">
      <c r="D38" s="203">
        <f>+D6</f>
        <v>2</v>
      </c>
      <c r="E38" s="145">
        <f>+E6</f>
        <v>0</v>
      </c>
      <c r="F38" s="145">
        <f t="shared" ref="F38:F67" si="0">+F6</f>
        <v>0</v>
      </c>
    </row>
    <row r="39" spans="4:11" ht="18.75" x14ac:dyDescent="0.3">
      <c r="D39" s="203">
        <f>+D7</f>
        <v>3</v>
      </c>
      <c r="E39" s="145">
        <f>+E7</f>
        <v>0</v>
      </c>
      <c r="F39" s="145">
        <f t="shared" si="0"/>
        <v>0</v>
      </c>
      <c r="H39" s="205" t="s">
        <v>320</v>
      </c>
      <c r="I39" s="205" t="s">
        <v>321</v>
      </c>
      <c r="J39" s="206">
        <f>+E5</f>
        <v>0</v>
      </c>
      <c r="K39" s="206">
        <f>+F5</f>
        <v>0</v>
      </c>
    </row>
    <row r="40" spans="4:11" x14ac:dyDescent="0.25">
      <c r="D40" s="203">
        <f t="shared" ref="D40:E55" si="1">+D8</f>
        <v>4</v>
      </c>
      <c r="E40" s="145">
        <f t="shared" si="1"/>
        <v>0</v>
      </c>
      <c r="F40" s="145">
        <f t="shared" si="0"/>
        <v>0</v>
      </c>
      <c r="H40" s="176">
        <f>+J40-K40</f>
        <v>4.3636363636363633</v>
      </c>
      <c r="I40" s="172" t="e">
        <f>+J40/K40-1</f>
        <v>#DIV/0!</v>
      </c>
      <c r="J40" s="169">
        <f>+AVERAGE(E38:E40,E44:E47,E52:E54,E58)</f>
        <v>4.3636363636363633</v>
      </c>
      <c r="K40" s="170">
        <f>+AVERAGE(F60:F63)</f>
        <v>0</v>
      </c>
    </row>
    <row r="41" spans="4:11" x14ac:dyDescent="0.25">
      <c r="D41" s="203">
        <f t="shared" si="1"/>
        <v>5</v>
      </c>
      <c r="E41" s="136">
        <f t="shared" si="1"/>
        <v>0</v>
      </c>
      <c r="F41" s="145">
        <f t="shared" si="0"/>
        <v>0</v>
      </c>
      <c r="H41" s="177">
        <f>+J41-K41</f>
        <v>0</v>
      </c>
      <c r="I41" s="173" t="e">
        <f>+J41/K41-1</f>
        <v>#DIV/0!</v>
      </c>
      <c r="J41" s="210">
        <f>+AVERAGE(E41,E48,E55)</f>
        <v>0</v>
      </c>
      <c r="K41" s="210">
        <f>+F64</f>
        <v>0</v>
      </c>
    </row>
    <row r="42" spans="4:11" x14ac:dyDescent="0.25">
      <c r="D42" s="203">
        <f t="shared" si="1"/>
        <v>6</v>
      </c>
      <c r="E42" s="137">
        <f t="shared" si="1"/>
        <v>0</v>
      </c>
      <c r="F42" s="145">
        <f t="shared" si="0"/>
        <v>0</v>
      </c>
      <c r="H42" s="178">
        <f>+J42-K42</f>
        <v>19</v>
      </c>
      <c r="I42" s="174" t="e">
        <f>+J42/K42-1</f>
        <v>#DIV/0!</v>
      </c>
      <c r="J42" s="209">
        <f>+AVERAGE(E42,E49,E56)</f>
        <v>19</v>
      </c>
      <c r="K42" s="209">
        <f>+F65</f>
        <v>0</v>
      </c>
    </row>
    <row r="43" spans="4:11" x14ac:dyDescent="0.25">
      <c r="D43" s="203">
        <f t="shared" si="1"/>
        <v>7</v>
      </c>
      <c r="E43" s="165">
        <f t="shared" si="1"/>
        <v>0</v>
      </c>
      <c r="F43" s="145">
        <f t="shared" si="0"/>
        <v>0</v>
      </c>
      <c r="H43" s="179">
        <f>+J43-K43</f>
        <v>8.25</v>
      </c>
      <c r="I43" s="175" t="e">
        <f>+J43/K43-1</f>
        <v>#DIV/0!</v>
      </c>
      <c r="J43" s="171">
        <f>+AVERAGE(E43,E50,E51,E57)</f>
        <v>8.25</v>
      </c>
      <c r="K43" s="171">
        <f>+AVERAGE(F59,F66)</f>
        <v>0</v>
      </c>
    </row>
    <row r="44" spans="4:11" x14ac:dyDescent="0.25">
      <c r="D44" s="203">
        <f t="shared" si="1"/>
        <v>8</v>
      </c>
      <c r="E44" s="145">
        <f t="shared" si="1"/>
        <v>0</v>
      </c>
      <c r="F44" s="145">
        <f t="shared" si="0"/>
        <v>0</v>
      </c>
      <c r="I44" s="47"/>
      <c r="J44" s="47"/>
      <c r="K44" s="47"/>
    </row>
    <row r="45" spans="4:11" x14ac:dyDescent="0.25">
      <c r="D45" s="203">
        <f t="shared" si="1"/>
        <v>9</v>
      </c>
      <c r="E45" s="145">
        <f t="shared" si="1"/>
        <v>0</v>
      </c>
      <c r="F45" s="145">
        <f t="shared" si="0"/>
        <v>0</v>
      </c>
    </row>
    <row r="46" spans="4:11" x14ac:dyDescent="0.25">
      <c r="D46" s="203">
        <f t="shared" si="1"/>
        <v>10</v>
      </c>
      <c r="E46" s="145">
        <f t="shared" si="1"/>
        <v>0</v>
      </c>
      <c r="F46" s="145">
        <f t="shared" si="0"/>
        <v>0</v>
      </c>
      <c r="H46" s="180" t="s">
        <v>311</v>
      </c>
      <c r="I46" s="181" t="e">
        <f>#REF!</f>
        <v>#REF!</v>
      </c>
      <c r="K46" s="180" t="s">
        <v>195</v>
      </c>
    </row>
    <row r="47" spans="4:11" x14ac:dyDescent="0.25">
      <c r="D47" s="203">
        <f t="shared" si="1"/>
        <v>11</v>
      </c>
      <c r="E47" s="145">
        <f t="shared" si="1"/>
        <v>0</v>
      </c>
      <c r="F47" s="145">
        <f t="shared" si="0"/>
        <v>0</v>
      </c>
      <c r="H47" s="180" t="s">
        <v>310</v>
      </c>
      <c r="I47" s="181" t="e">
        <f>#REF!</f>
        <v>#REF!</v>
      </c>
      <c r="K47" s="181" t="e">
        <f>#REF!</f>
        <v>#REF!</v>
      </c>
    </row>
    <row r="48" spans="4:11" x14ac:dyDescent="0.25">
      <c r="D48" s="203">
        <f t="shared" si="1"/>
        <v>12</v>
      </c>
      <c r="E48" s="136">
        <f t="shared" si="1"/>
        <v>0</v>
      </c>
      <c r="F48" s="145">
        <f t="shared" si="0"/>
        <v>0</v>
      </c>
    </row>
    <row r="49" spans="1:11" x14ac:dyDescent="0.25">
      <c r="D49" s="203">
        <f t="shared" si="1"/>
        <v>13</v>
      </c>
      <c r="E49" s="166">
        <f t="shared" si="1"/>
        <v>21</v>
      </c>
      <c r="F49" s="145">
        <f t="shared" si="0"/>
        <v>0</v>
      </c>
    </row>
    <row r="50" spans="1:11" x14ac:dyDescent="0.25">
      <c r="D50" s="203">
        <f t="shared" si="1"/>
        <v>14</v>
      </c>
      <c r="E50" s="167">
        <f t="shared" si="1"/>
        <v>14</v>
      </c>
      <c r="F50" s="145">
        <f t="shared" si="0"/>
        <v>0</v>
      </c>
    </row>
    <row r="51" spans="1:11" x14ac:dyDescent="0.25">
      <c r="A51" s="133"/>
      <c r="B51" s="133"/>
      <c r="C51" s="133"/>
      <c r="D51" s="203">
        <f t="shared" si="1"/>
        <v>15</v>
      </c>
      <c r="E51" s="167">
        <f>+E19</f>
        <v>19</v>
      </c>
      <c r="F51" s="145">
        <f t="shared" si="0"/>
        <v>0</v>
      </c>
      <c r="K51" s="105" t="s">
        <v>325</v>
      </c>
    </row>
    <row r="52" spans="1:11" x14ac:dyDescent="0.25">
      <c r="A52" s="133"/>
      <c r="B52" s="133"/>
      <c r="C52" s="133"/>
      <c r="D52" s="204">
        <f t="shared" si="1"/>
        <v>16</v>
      </c>
      <c r="E52" s="168">
        <f>+E20</f>
        <v>19</v>
      </c>
      <c r="F52" s="168">
        <f t="shared" si="0"/>
        <v>0</v>
      </c>
      <c r="K52" s="105" t="s">
        <v>326</v>
      </c>
    </row>
    <row r="53" spans="1:11" x14ac:dyDescent="0.25">
      <c r="A53" s="133">
        <v>0</v>
      </c>
      <c r="B53" s="133"/>
      <c r="C53" s="133"/>
      <c r="D53" s="203">
        <f t="shared" si="1"/>
        <v>17</v>
      </c>
      <c r="E53" s="145">
        <f>+E21</f>
        <v>14</v>
      </c>
      <c r="F53" s="145">
        <f t="shared" si="0"/>
        <v>0</v>
      </c>
      <c r="K53" t="s">
        <v>327</v>
      </c>
    </row>
    <row r="54" spans="1:11" x14ac:dyDescent="0.25">
      <c r="A54" s="133">
        <v>0</v>
      </c>
      <c r="B54" s="133"/>
      <c r="C54" s="133"/>
      <c r="D54" s="203">
        <f t="shared" si="1"/>
        <v>18</v>
      </c>
      <c r="E54" s="145">
        <f t="shared" si="1"/>
        <v>15</v>
      </c>
      <c r="F54" s="145">
        <f t="shared" si="0"/>
        <v>0</v>
      </c>
      <c r="K54" t="s">
        <v>328</v>
      </c>
    </row>
    <row r="55" spans="1:11" x14ac:dyDescent="0.25">
      <c r="A55" s="133">
        <v>0</v>
      </c>
      <c r="B55" s="133"/>
      <c r="C55" s="133"/>
      <c r="D55" s="203">
        <f t="shared" si="1"/>
        <v>19</v>
      </c>
      <c r="E55" s="136">
        <f t="shared" si="1"/>
        <v>0</v>
      </c>
      <c r="F55" s="145">
        <f t="shared" si="0"/>
        <v>0</v>
      </c>
      <c r="K55" t="s">
        <v>329</v>
      </c>
    </row>
    <row r="56" spans="1:11" x14ac:dyDescent="0.25">
      <c r="A56" s="133">
        <v>0</v>
      </c>
      <c r="B56" s="133"/>
      <c r="C56" s="133"/>
      <c r="D56" s="203">
        <f t="shared" ref="D56:E68" si="2">+D24</f>
        <v>20</v>
      </c>
      <c r="E56" s="137">
        <f t="shared" si="2"/>
        <v>36</v>
      </c>
      <c r="F56" s="145">
        <f t="shared" si="0"/>
        <v>0</v>
      </c>
    </row>
    <row r="57" spans="1:11" x14ac:dyDescent="0.25">
      <c r="A57" s="133">
        <v>0</v>
      </c>
      <c r="B57" s="133"/>
      <c r="C57" s="133"/>
      <c r="D57" s="203">
        <f t="shared" si="2"/>
        <v>21</v>
      </c>
      <c r="E57" s="165">
        <f t="shared" si="2"/>
        <v>0</v>
      </c>
      <c r="F57" s="145">
        <f t="shared" si="0"/>
        <v>0</v>
      </c>
    </row>
    <row r="58" spans="1:11" ht="27.75" x14ac:dyDescent="0.65">
      <c r="A58" s="133">
        <v>0</v>
      </c>
      <c r="B58" s="133"/>
      <c r="C58" s="133"/>
      <c r="D58" s="203">
        <f t="shared" si="2"/>
        <v>22</v>
      </c>
      <c r="E58" s="201">
        <f t="shared" si="2"/>
        <v>0</v>
      </c>
      <c r="F58" s="145">
        <f t="shared" si="0"/>
        <v>0</v>
      </c>
    </row>
    <row r="59" spans="1:11" x14ac:dyDescent="0.25">
      <c r="A59" s="133">
        <v>0</v>
      </c>
      <c r="B59" s="133"/>
      <c r="C59" s="133"/>
      <c r="D59" s="203">
        <f t="shared" si="2"/>
        <v>23</v>
      </c>
      <c r="E59" s="145">
        <f>+$J$40</f>
        <v>4.3636363636363633</v>
      </c>
      <c r="F59" s="165">
        <f t="shared" si="0"/>
        <v>0</v>
      </c>
    </row>
    <row r="60" spans="1:11" x14ac:dyDescent="0.25">
      <c r="A60" s="133">
        <v>0</v>
      </c>
      <c r="B60" s="133"/>
      <c r="C60" s="133"/>
      <c r="D60" s="203">
        <f t="shared" si="2"/>
        <v>24</v>
      </c>
      <c r="E60" s="145">
        <f>+$J$40</f>
        <v>4.3636363636363633</v>
      </c>
      <c r="F60" s="145">
        <f t="shared" si="0"/>
        <v>0</v>
      </c>
    </row>
    <row r="61" spans="1:11" x14ac:dyDescent="0.25">
      <c r="A61" s="133">
        <v>0</v>
      </c>
      <c r="B61" s="133"/>
      <c r="C61" s="133"/>
      <c r="D61" s="203">
        <f t="shared" si="2"/>
        <v>25</v>
      </c>
      <c r="E61" s="145">
        <f>+$J$40</f>
        <v>4.3636363636363633</v>
      </c>
      <c r="F61" s="145">
        <f t="shared" si="0"/>
        <v>0</v>
      </c>
    </row>
    <row r="62" spans="1:11" x14ac:dyDescent="0.25">
      <c r="A62" s="133">
        <v>0</v>
      </c>
      <c r="B62" s="133"/>
      <c r="C62" s="133"/>
      <c r="D62" s="203">
        <f t="shared" si="2"/>
        <v>26</v>
      </c>
      <c r="E62" s="136">
        <f>+$J$41</f>
        <v>0</v>
      </c>
      <c r="F62" s="145">
        <f t="shared" si="0"/>
        <v>0</v>
      </c>
      <c r="J62" t="s">
        <v>349</v>
      </c>
    </row>
    <row r="63" spans="1:11" x14ac:dyDescent="0.25">
      <c r="A63" s="133">
        <v>0</v>
      </c>
      <c r="B63" s="133"/>
      <c r="C63" s="133"/>
      <c r="D63" s="203">
        <f t="shared" si="2"/>
        <v>27</v>
      </c>
      <c r="E63" s="137">
        <f>+$J$42</f>
        <v>19</v>
      </c>
      <c r="F63" s="145">
        <f t="shared" si="0"/>
        <v>0</v>
      </c>
    </row>
    <row r="64" spans="1:11" x14ac:dyDescent="0.25">
      <c r="A64" s="133">
        <v>0</v>
      </c>
      <c r="B64" s="133"/>
      <c r="C64" s="133"/>
      <c r="D64" s="203">
        <f t="shared" si="2"/>
        <v>28</v>
      </c>
      <c r="E64" s="165">
        <f>+$J$43</f>
        <v>8.25</v>
      </c>
      <c r="F64" s="136">
        <f t="shared" si="0"/>
        <v>0</v>
      </c>
    </row>
    <row r="65" spans="1:7" x14ac:dyDescent="0.25">
      <c r="A65" s="133">
        <v>0</v>
      </c>
      <c r="B65" s="133"/>
      <c r="C65" s="133"/>
      <c r="D65" s="203">
        <f t="shared" si="2"/>
        <v>29</v>
      </c>
      <c r="E65" s="145">
        <f>+$J$40</f>
        <v>4.3636363636363633</v>
      </c>
      <c r="F65" s="137">
        <f t="shared" si="0"/>
        <v>0</v>
      </c>
    </row>
    <row r="66" spans="1:7" x14ac:dyDescent="0.25">
      <c r="A66" s="133">
        <v>0</v>
      </c>
      <c r="B66" s="133"/>
      <c r="C66" s="133"/>
      <c r="D66" s="203">
        <f t="shared" si="2"/>
        <v>30</v>
      </c>
      <c r="E66" s="145">
        <f>+$J$40</f>
        <v>4.3636363636363633</v>
      </c>
      <c r="F66" s="165">
        <f t="shared" si="0"/>
        <v>0</v>
      </c>
    </row>
    <row r="67" spans="1:7" x14ac:dyDescent="0.25">
      <c r="A67" s="133">
        <v>0</v>
      </c>
      <c r="B67" s="133"/>
      <c r="C67" s="133"/>
      <c r="D67" s="204">
        <f t="shared" si="2"/>
        <v>31</v>
      </c>
      <c r="E67" s="145">
        <f>+$J$40</f>
        <v>4.3636363636363633</v>
      </c>
      <c r="F67" s="168">
        <f t="shared" si="0"/>
        <v>0</v>
      </c>
    </row>
    <row r="68" spans="1:7" x14ac:dyDescent="0.25">
      <c r="D68" s="203" t="str">
        <f t="shared" si="2"/>
        <v>Total general</v>
      </c>
      <c r="E68" s="145">
        <f>+$J$40</f>
        <v>4.3636363636363633</v>
      </c>
      <c r="F68" s="145"/>
    </row>
    <row r="69" spans="1:7" x14ac:dyDescent="0.25">
      <c r="E69" s="145"/>
      <c r="F69" s="145"/>
    </row>
    <row r="70" spans="1:7" x14ac:dyDescent="0.25">
      <c r="D70" t="s">
        <v>323</v>
      </c>
      <c r="E70" s="145">
        <f>+E37</f>
        <v>0</v>
      </c>
      <c r="F70" s="145">
        <f>+F37</f>
        <v>0</v>
      </c>
      <c r="G70" s="145"/>
    </row>
    <row r="72" spans="1:7" ht="23.25" x14ac:dyDescent="0.35">
      <c r="D72" t="s">
        <v>324</v>
      </c>
      <c r="E72" s="202">
        <f>+SUM(E38:E68)</f>
        <v>195.79545454545462</v>
      </c>
      <c r="F72" s="202">
        <f>+F70</f>
        <v>0</v>
      </c>
    </row>
    <row r="73" spans="1:7" ht="23.25" x14ac:dyDescent="0.35">
      <c r="E73" s="202">
        <v>23681750</v>
      </c>
    </row>
    <row r="74" spans="1:7" x14ac:dyDescent="0.25">
      <c r="E74" s="145">
        <f>+E72-E73</f>
        <v>-23681554.204545453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W43"/>
  <sheetViews>
    <sheetView topLeftCell="C24" workbookViewId="0">
      <selection activeCell="M32" sqref="M32"/>
    </sheetView>
  </sheetViews>
  <sheetFormatPr baseColWidth="10" defaultColWidth="11.42578125" defaultRowHeight="15" outlineLevelRow="1" x14ac:dyDescent="0.25"/>
  <cols>
    <col min="1" max="1" width="12.5703125" customWidth="1"/>
    <col min="2" max="2" width="10.42578125" style="47" bestFit="1" customWidth="1"/>
    <col min="3" max="3" width="12" style="47" bestFit="1" customWidth="1"/>
    <col min="4" max="5" width="12" bestFit="1" customWidth="1"/>
    <col min="6" max="6" width="13.85546875" customWidth="1"/>
    <col min="7" max="9" width="12" bestFit="1" customWidth="1"/>
    <col min="10" max="13" width="12.7109375" customWidth="1"/>
    <col min="14" max="16" width="12" bestFit="1" customWidth="1"/>
    <col min="17" max="17" width="10.42578125" bestFit="1" customWidth="1"/>
    <col min="18" max="18" width="15.28515625" customWidth="1"/>
    <col min="19" max="19" width="14.140625" bestFit="1" customWidth="1"/>
    <col min="20" max="20" width="20.42578125" bestFit="1" customWidth="1"/>
    <col min="21" max="22" width="13" bestFit="1" customWidth="1"/>
    <col min="23" max="23" width="12" bestFit="1" customWidth="1"/>
    <col min="24" max="24" width="13" bestFit="1" customWidth="1"/>
    <col min="25" max="29" width="12" bestFit="1" customWidth="1"/>
    <col min="16370" max="16384" width="5.28515625" customWidth="1"/>
  </cols>
  <sheetData>
    <row r="1" spans="1:23" ht="26.25" x14ac:dyDescent="0.4">
      <c r="F1" s="327" t="s">
        <v>618</v>
      </c>
      <c r="W1" s="105" t="s">
        <v>573</v>
      </c>
    </row>
    <row r="2" spans="1:23" x14ac:dyDescent="0.25">
      <c r="C2" s="46"/>
      <c r="I2" s="158" t="s">
        <v>55</v>
      </c>
      <c r="V2" s="294" t="s">
        <v>56</v>
      </c>
      <c r="W2" s="295">
        <f>'PE (2)'!K2</f>
        <v>2310000</v>
      </c>
    </row>
    <row r="3" spans="1:23" x14ac:dyDescent="0.25">
      <c r="A3" s="1"/>
      <c r="C3" s="46"/>
      <c r="D3" t="s">
        <v>620</v>
      </c>
      <c r="E3" t="s">
        <v>621</v>
      </c>
      <c r="F3" t="s">
        <v>619</v>
      </c>
      <c r="I3" s="389" t="s">
        <v>318</v>
      </c>
      <c r="J3" s="389" t="s">
        <v>319</v>
      </c>
      <c r="K3" s="389" t="s">
        <v>558</v>
      </c>
      <c r="L3" s="389" t="s">
        <v>651</v>
      </c>
      <c r="M3" s="123" t="s">
        <v>317</v>
      </c>
      <c r="V3" s="294" t="s">
        <v>2</v>
      </c>
      <c r="W3" s="293">
        <f>'PE (2)'!K3</f>
        <v>2500000</v>
      </c>
    </row>
    <row r="4" spans="1:23" x14ac:dyDescent="0.25">
      <c r="A4" s="1"/>
      <c r="C4" s="46"/>
      <c r="D4" s="499">
        <v>43730</v>
      </c>
      <c r="E4" s="499">
        <v>43830</v>
      </c>
      <c r="F4" s="500">
        <v>51905310</v>
      </c>
      <c r="H4" s="399" t="s">
        <v>653</v>
      </c>
      <c r="I4" s="500">
        <v>4055210</v>
      </c>
      <c r="J4" s="500">
        <v>17351500</v>
      </c>
      <c r="K4" s="500">
        <v>16752900</v>
      </c>
      <c r="L4" s="500">
        <v>13745700</v>
      </c>
      <c r="M4" s="500">
        <v>51905310</v>
      </c>
      <c r="S4" s="158" t="s">
        <v>448</v>
      </c>
      <c r="T4" s="128" t="s">
        <v>443</v>
      </c>
      <c r="V4" s="294" t="s">
        <v>11</v>
      </c>
      <c r="W4" s="169">
        <f>'PE (2)'!K4</f>
        <v>0</v>
      </c>
    </row>
    <row r="5" spans="1:23" x14ac:dyDescent="0.25">
      <c r="A5" s="1"/>
      <c r="C5" s="46"/>
      <c r="S5" s="253" t="s">
        <v>350</v>
      </c>
      <c r="T5" t="s">
        <v>450</v>
      </c>
      <c r="V5" s="294" t="s">
        <v>10</v>
      </c>
      <c r="W5" s="169">
        <f>'PE (2)'!K5</f>
        <v>780000</v>
      </c>
    </row>
    <row r="6" spans="1:23" ht="30" x14ac:dyDescent="0.25">
      <c r="A6" s="474" t="s">
        <v>449</v>
      </c>
      <c r="B6" s="474"/>
      <c r="C6" s="328" t="s">
        <v>480</v>
      </c>
      <c r="D6" s="328" t="s">
        <v>481</v>
      </c>
      <c r="E6" s="328" t="s">
        <v>479</v>
      </c>
      <c r="F6" s="328" t="s">
        <v>478</v>
      </c>
      <c r="G6" s="328" t="s">
        <v>557</v>
      </c>
      <c r="H6" s="328" t="s">
        <v>559</v>
      </c>
      <c r="I6" s="328" t="s">
        <v>615</v>
      </c>
      <c r="J6" s="328" t="s">
        <v>616</v>
      </c>
      <c r="K6" s="328" t="s">
        <v>647</v>
      </c>
      <c r="L6" s="328" t="s">
        <v>648</v>
      </c>
      <c r="M6" s="328" t="s">
        <v>649</v>
      </c>
      <c r="N6" s="328" t="s">
        <v>650</v>
      </c>
      <c r="O6" s="328" t="s">
        <v>654</v>
      </c>
      <c r="P6" s="328" t="s">
        <v>688</v>
      </c>
      <c r="Q6" s="328" t="s">
        <v>689</v>
      </c>
      <c r="W6" s="1">
        <f>+SUM(W2:W5)</f>
        <v>5590000</v>
      </c>
    </row>
    <row r="7" spans="1:23" outlineLevel="1" x14ac:dyDescent="0.25">
      <c r="A7" s="158" t="s">
        <v>322</v>
      </c>
      <c r="B7" s="158" t="s">
        <v>449</v>
      </c>
      <c r="C7"/>
      <c r="S7" s="158" t="s">
        <v>297</v>
      </c>
      <c r="T7" t="s">
        <v>237</v>
      </c>
      <c r="U7" s="402">
        <v>0.3</v>
      </c>
      <c r="V7" s="402">
        <f>100%-U7</f>
        <v>0.7</v>
      </c>
    </row>
    <row r="8" spans="1:23" outlineLevel="1" x14ac:dyDescent="0.25">
      <c r="A8" s="253" t="s">
        <v>297</v>
      </c>
      <c r="B8" s="128">
        <v>0</v>
      </c>
      <c r="C8" s="128">
        <v>1</v>
      </c>
      <c r="D8" s="128">
        <v>2</v>
      </c>
      <c r="E8" s="128">
        <v>3</v>
      </c>
      <c r="F8" s="128">
        <v>4</v>
      </c>
      <c r="G8" s="128">
        <v>5</v>
      </c>
      <c r="H8" s="128">
        <v>6</v>
      </c>
      <c r="I8" s="128">
        <v>7</v>
      </c>
      <c r="J8" s="128">
        <v>8</v>
      </c>
      <c r="K8" s="128">
        <v>9</v>
      </c>
      <c r="L8" s="128">
        <v>10</v>
      </c>
      <c r="M8" s="128">
        <v>11</v>
      </c>
      <c r="N8" s="128">
        <v>12</v>
      </c>
      <c r="O8" s="128">
        <v>13</v>
      </c>
      <c r="P8" s="128">
        <v>14</v>
      </c>
      <c r="Q8" s="128">
        <v>15</v>
      </c>
      <c r="S8" s="400" t="s">
        <v>319</v>
      </c>
      <c r="T8" s="1">
        <v>11041300</v>
      </c>
      <c r="U8" s="107">
        <f>+$U$7*T8</f>
        <v>3312390</v>
      </c>
      <c r="V8" s="107">
        <f>+T8-U8</f>
        <v>7728910</v>
      </c>
    </row>
    <row r="9" spans="1:23" ht="15.75" outlineLevel="1" thickBot="1" x14ac:dyDescent="0.3">
      <c r="A9" s="159" t="s">
        <v>332</v>
      </c>
      <c r="B9" s="145"/>
      <c r="C9" s="407">
        <v>142000</v>
      </c>
      <c r="D9" s="408">
        <v>183210</v>
      </c>
      <c r="E9" s="233">
        <v>603500</v>
      </c>
      <c r="F9" s="411">
        <v>622000</v>
      </c>
      <c r="G9" s="233">
        <v>350000</v>
      </c>
      <c r="H9" s="233">
        <v>300000</v>
      </c>
      <c r="I9" s="414">
        <v>600000</v>
      </c>
      <c r="J9" s="414">
        <v>700000</v>
      </c>
      <c r="K9" s="413">
        <v>350000</v>
      </c>
      <c r="L9" s="413">
        <v>500000</v>
      </c>
      <c r="M9" s="1">
        <v>250000</v>
      </c>
      <c r="N9" s="1">
        <v>140000</v>
      </c>
      <c r="O9" s="1">
        <v>207200</v>
      </c>
      <c r="P9" s="1">
        <v>308500</v>
      </c>
      <c r="Q9" s="1">
        <v>149500</v>
      </c>
      <c r="S9" s="400" t="s">
        <v>558</v>
      </c>
      <c r="T9" s="1">
        <v>11534900</v>
      </c>
      <c r="U9" s="106">
        <f t="shared" ref="U9:U10" si="0">+$U$7*T9</f>
        <v>3460470</v>
      </c>
      <c r="V9" s="106">
        <f>+T9-U9</f>
        <v>8074430</v>
      </c>
      <c r="W9" s="43">
        <f>+V9-W6</f>
        <v>2484430</v>
      </c>
    </row>
    <row r="10" spans="1:23" outlineLevel="1" x14ac:dyDescent="0.25">
      <c r="A10" s="159" t="s">
        <v>333</v>
      </c>
      <c r="B10" s="145"/>
      <c r="C10" s="407">
        <v>393000</v>
      </c>
      <c r="D10" s="233">
        <v>229800</v>
      </c>
      <c r="E10" s="233">
        <v>426300</v>
      </c>
      <c r="F10" s="233">
        <v>227000</v>
      </c>
      <c r="G10" s="233">
        <v>380000</v>
      </c>
      <c r="H10" s="233">
        <v>220000</v>
      </c>
      <c r="I10" s="413">
        <v>194000</v>
      </c>
      <c r="J10" s="413">
        <v>122000</v>
      </c>
      <c r="K10" s="413">
        <v>220000</v>
      </c>
      <c r="L10" s="413">
        <v>400000</v>
      </c>
      <c r="M10" s="1">
        <v>120000</v>
      </c>
      <c r="N10" s="1">
        <v>0</v>
      </c>
      <c r="O10" s="1">
        <v>157500</v>
      </c>
      <c r="P10" s="455">
        <v>604000</v>
      </c>
      <c r="Q10" s="455">
        <v>448500</v>
      </c>
      <c r="S10" s="400" t="s">
        <v>317</v>
      </c>
      <c r="T10" s="1">
        <v>22576200</v>
      </c>
      <c r="U10" s="50">
        <f t="shared" si="0"/>
        <v>6772860</v>
      </c>
      <c r="V10" s="50">
        <f>+T10-U10</f>
        <v>15803340</v>
      </c>
    </row>
    <row r="11" spans="1:23" outlineLevel="1" x14ac:dyDescent="0.25">
      <c r="A11" s="159" t="s">
        <v>334</v>
      </c>
      <c r="B11" s="145"/>
      <c r="C11" s="407">
        <v>419500</v>
      </c>
      <c r="D11" s="233">
        <v>238000</v>
      </c>
      <c r="E11" s="233">
        <v>134000</v>
      </c>
      <c r="F11" s="233">
        <v>385300</v>
      </c>
      <c r="G11" s="233">
        <v>550000</v>
      </c>
      <c r="H11" s="233">
        <v>320000</v>
      </c>
      <c r="I11" s="413">
        <v>627000</v>
      </c>
      <c r="J11" s="413">
        <v>165000</v>
      </c>
      <c r="K11" s="413">
        <v>320000</v>
      </c>
      <c r="L11" s="413">
        <v>210000</v>
      </c>
      <c r="M11" s="1">
        <v>180000</v>
      </c>
      <c r="N11" s="1">
        <v>220000</v>
      </c>
      <c r="O11" s="1">
        <v>220000</v>
      </c>
      <c r="P11" s="455">
        <v>589500</v>
      </c>
      <c r="Q11" s="1"/>
      <c r="W11" s="9"/>
    </row>
    <row r="12" spans="1:23" outlineLevel="1" x14ac:dyDescent="0.25">
      <c r="A12" s="159" t="s">
        <v>335</v>
      </c>
      <c r="B12" s="145"/>
      <c r="C12" s="407">
        <v>315000</v>
      </c>
      <c r="D12" s="233">
        <v>238000</v>
      </c>
      <c r="E12" s="233">
        <v>85500</v>
      </c>
      <c r="F12" s="233">
        <v>250800</v>
      </c>
      <c r="G12" s="233">
        <v>380000</v>
      </c>
      <c r="H12" s="233">
        <v>370000</v>
      </c>
      <c r="I12" s="413">
        <v>332500</v>
      </c>
      <c r="J12" s="413">
        <v>61000</v>
      </c>
      <c r="K12" s="413">
        <v>216500</v>
      </c>
      <c r="L12" s="413">
        <v>200000</v>
      </c>
      <c r="M12" s="1">
        <v>250000</v>
      </c>
      <c r="N12" s="1">
        <v>400000</v>
      </c>
      <c r="O12" s="1">
        <v>445500</v>
      </c>
      <c r="P12" s="1">
        <v>120500</v>
      </c>
      <c r="Q12" s="1"/>
    </row>
    <row r="13" spans="1:23" outlineLevel="1" x14ac:dyDescent="0.25">
      <c r="A13" s="159" t="s">
        <v>336</v>
      </c>
      <c r="B13" s="326"/>
      <c r="C13" s="408">
        <v>421000</v>
      </c>
      <c r="D13" s="410">
        <v>420500</v>
      </c>
      <c r="E13" s="410">
        <v>427900</v>
      </c>
      <c r="F13" s="410">
        <v>363500</v>
      </c>
      <c r="G13" s="410">
        <v>1200000</v>
      </c>
      <c r="H13" s="415">
        <v>370000</v>
      </c>
      <c r="I13" s="415">
        <v>342000</v>
      </c>
      <c r="J13" s="415">
        <v>235000</v>
      </c>
      <c r="K13" s="415">
        <v>186000</v>
      </c>
      <c r="L13" s="415">
        <v>400000</v>
      </c>
      <c r="M13" s="2">
        <v>220000</v>
      </c>
      <c r="N13" s="2">
        <v>350000</v>
      </c>
      <c r="O13" s="2">
        <v>350000</v>
      </c>
      <c r="P13" s="2">
        <v>82500</v>
      </c>
      <c r="Q13" s="2"/>
    </row>
    <row r="14" spans="1:23" outlineLevel="1" x14ac:dyDescent="0.25">
      <c r="A14" s="325" t="s">
        <v>337</v>
      </c>
      <c r="B14" s="326"/>
      <c r="C14" s="408">
        <v>951500</v>
      </c>
      <c r="D14" s="410">
        <v>1210300</v>
      </c>
      <c r="E14" s="412">
        <v>664500</v>
      </c>
      <c r="F14" s="410">
        <v>720000</v>
      </c>
      <c r="G14" s="410">
        <v>655000</v>
      </c>
      <c r="H14" s="415">
        <v>500000</v>
      </c>
      <c r="I14" s="415">
        <v>1552000</v>
      </c>
      <c r="J14" s="415">
        <v>811500</v>
      </c>
      <c r="K14" s="415">
        <v>587500</v>
      </c>
      <c r="L14" s="415">
        <v>900000</v>
      </c>
      <c r="M14" s="2">
        <v>900000</v>
      </c>
      <c r="N14" s="2">
        <v>900000</v>
      </c>
      <c r="O14" s="2">
        <v>450000</v>
      </c>
      <c r="P14" s="2">
        <v>824000</v>
      </c>
      <c r="Q14" s="2"/>
    </row>
    <row r="15" spans="1:23" outlineLevel="1" x14ac:dyDescent="0.25">
      <c r="A15" s="325" t="s">
        <v>338</v>
      </c>
      <c r="B15" s="409">
        <v>572000</v>
      </c>
      <c r="C15" s="408">
        <v>658000</v>
      </c>
      <c r="D15" s="410">
        <v>1345600</v>
      </c>
      <c r="E15" s="412">
        <v>1283500</v>
      </c>
      <c r="F15" s="410">
        <v>1550500</v>
      </c>
      <c r="G15" s="410">
        <v>1200000</v>
      </c>
      <c r="H15" s="415">
        <v>1700000</v>
      </c>
      <c r="I15" s="415">
        <v>1690000</v>
      </c>
      <c r="J15" s="415">
        <v>1300900</v>
      </c>
      <c r="K15" s="415">
        <v>960000</v>
      </c>
      <c r="L15" s="2">
        <v>1500000</v>
      </c>
      <c r="M15" s="2">
        <v>1200000</v>
      </c>
      <c r="N15" s="2">
        <v>800000</v>
      </c>
      <c r="O15" s="2">
        <v>638500</v>
      </c>
      <c r="P15" s="2">
        <v>720000</v>
      </c>
      <c r="Q15" s="2"/>
    </row>
    <row r="16" spans="1:23" outlineLevel="1" x14ac:dyDescent="0.25">
      <c r="A16" s="159" t="s">
        <v>317</v>
      </c>
      <c r="B16" s="145">
        <v>572000</v>
      </c>
      <c r="C16" s="1">
        <v>3300000</v>
      </c>
      <c r="D16" s="1">
        <v>3865410</v>
      </c>
      <c r="E16" s="1">
        <v>3625200</v>
      </c>
      <c r="F16" s="1">
        <v>4119100</v>
      </c>
      <c r="G16" s="1">
        <v>4715000</v>
      </c>
      <c r="H16" s="1">
        <v>3780000</v>
      </c>
      <c r="I16" s="1">
        <v>5337500</v>
      </c>
      <c r="J16" s="1">
        <v>3395400</v>
      </c>
      <c r="K16" s="1">
        <v>2840000</v>
      </c>
      <c r="L16" s="1">
        <v>4110000</v>
      </c>
      <c r="M16" s="1">
        <v>3120000</v>
      </c>
      <c r="N16" s="1">
        <v>2810000</v>
      </c>
      <c r="O16" s="1">
        <v>2468700</v>
      </c>
      <c r="P16" s="1">
        <v>3249000</v>
      </c>
      <c r="Q16" s="1">
        <v>598000</v>
      </c>
      <c r="S16" s="158" t="s">
        <v>448</v>
      </c>
      <c r="T16" s="128" t="s">
        <v>443</v>
      </c>
    </row>
    <row r="17" spans="1:23" s="47" customFormat="1" outlineLevel="1" x14ac:dyDescent="0.25">
      <c r="C17" s="47" t="s">
        <v>617</v>
      </c>
      <c r="D17" s="114">
        <f t="shared" ref="D17:I17" si="1">+D16/C16-1</f>
        <v>0.17133636363636362</v>
      </c>
      <c r="E17" s="114">
        <f t="shared" si="1"/>
        <v>-6.214347249062846E-2</v>
      </c>
      <c r="F17" s="114">
        <f t="shared" si="1"/>
        <v>0.1362407591305308</v>
      </c>
      <c r="G17" s="114">
        <f t="shared" si="1"/>
        <v>0.14466752445922659</v>
      </c>
      <c r="H17" s="114">
        <f t="shared" si="1"/>
        <v>-0.19830328738069991</v>
      </c>
      <c r="I17" s="114">
        <f t="shared" si="1"/>
        <v>0.41203703703703698</v>
      </c>
      <c r="J17" s="114">
        <f>+J16/I16-1</f>
        <v>-0.36385948477751762</v>
      </c>
      <c r="K17" s="114">
        <f>+K16/J16-1</f>
        <v>-0.16357424751133887</v>
      </c>
      <c r="L17" s="114">
        <f t="shared" ref="L17:N17" si="2">+L16/K16-1</f>
        <v>0.44718309859154926</v>
      </c>
      <c r="M17" s="114">
        <f t="shared" si="2"/>
        <v>-0.24087591240875916</v>
      </c>
      <c r="N17" s="114">
        <f t="shared" si="2"/>
        <v>-9.9358974358974339E-2</v>
      </c>
      <c r="O17" s="114">
        <f>+O16/N16-1</f>
        <v>-0.12145907473309614</v>
      </c>
      <c r="P17" s="114">
        <f>+P16/O16-1</f>
        <v>0.31607728764126874</v>
      </c>
      <c r="S17"/>
      <c r="T17"/>
      <c r="U17"/>
      <c r="V17"/>
      <c r="W17"/>
    </row>
    <row r="18" spans="1:23" ht="27.75" customHeight="1" outlineLevel="1" x14ac:dyDescent="0.25">
      <c r="B18"/>
      <c r="C18"/>
      <c r="D18" s="1"/>
      <c r="E18" s="234"/>
      <c r="F18" s="1"/>
      <c r="G18" s="1"/>
      <c r="H18" s="1"/>
      <c r="I18" s="1"/>
      <c r="J18" s="9"/>
      <c r="K18" s="9"/>
      <c r="L18" s="9"/>
      <c r="M18" s="9"/>
      <c r="S18" s="158" t="s">
        <v>297</v>
      </c>
      <c r="T18" t="s">
        <v>237</v>
      </c>
      <c r="U18" s="402">
        <v>0.6</v>
      </c>
      <c r="V18" s="402">
        <v>0.4</v>
      </c>
    </row>
    <row r="19" spans="1:23" outlineLevel="1" x14ac:dyDescent="0.25">
      <c r="B19"/>
      <c r="C19" s="401">
        <f>+SUM(C13:C15)</f>
        <v>2030500</v>
      </c>
      <c r="D19" s="401">
        <f t="shared" ref="D19:O19" si="3">+SUM(D13:D15)</f>
        <v>2976400</v>
      </c>
      <c r="E19" s="401">
        <f t="shared" si="3"/>
        <v>2375900</v>
      </c>
      <c r="F19" s="401">
        <f t="shared" si="3"/>
        <v>2634000</v>
      </c>
      <c r="G19" s="401">
        <f t="shared" si="3"/>
        <v>3055000</v>
      </c>
      <c r="H19" s="401">
        <f t="shared" si="3"/>
        <v>2570000</v>
      </c>
      <c r="I19" s="401">
        <f t="shared" si="3"/>
        <v>3584000</v>
      </c>
      <c r="J19" s="401">
        <f t="shared" si="3"/>
        <v>2347400</v>
      </c>
      <c r="K19" s="401">
        <f t="shared" si="3"/>
        <v>1733500</v>
      </c>
      <c r="L19" s="401">
        <f t="shared" si="3"/>
        <v>2800000</v>
      </c>
      <c r="M19" s="401">
        <f t="shared" si="3"/>
        <v>2320000</v>
      </c>
      <c r="N19" s="401">
        <f t="shared" si="3"/>
        <v>2050000</v>
      </c>
      <c r="O19" s="401">
        <f t="shared" si="3"/>
        <v>1438500</v>
      </c>
      <c r="S19" s="400" t="s">
        <v>319</v>
      </c>
      <c r="T19" s="1">
        <v>17351500</v>
      </c>
      <c r="U19" s="1"/>
    </row>
    <row r="20" spans="1:23" outlineLevel="1" x14ac:dyDescent="0.25">
      <c r="S20" s="400" t="s">
        <v>558</v>
      </c>
      <c r="T20" s="1">
        <v>16752900</v>
      </c>
      <c r="U20" s="1"/>
    </row>
    <row r="21" spans="1:23" ht="30" outlineLevel="1" x14ac:dyDescent="0.25">
      <c r="A21" s="474" t="s">
        <v>622</v>
      </c>
      <c r="B21" s="474"/>
      <c r="C21" s="328" t="s">
        <v>480</v>
      </c>
      <c r="D21" s="328" t="s">
        <v>481</v>
      </c>
      <c r="E21" s="328" t="s">
        <v>479</v>
      </c>
      <c r="F21" s="328" t="s">
        <v>478</v>
      </c>
      <c r="G21" s="328" t="s">
        <v>557</v>
      </c>
      <c r="H21" s="328" t="s">
        <v>559</v>
      </c>
      <c r="I21" s="328" t="s">
        <v>615</v>
      </c>
      <c r="J21" s="328" t="s">
        <v>616</v>
      </c>
      <c r="K21" s="328" t="s">
        <v>647</v>
      </c>
      <c r="L21" s="328" t="s">
        <v>648</v>
      </c>
      <c r="M21" s="328" t="s">
        <v>649</v>
      </c>
      <c r="N21" s="328" t="s">
        <v>650</v>
      </c>
      <c r="O21" s="328" t="s">
        <v>654</v>
      </c>
      <c r="P21" s="328" t="s">
        <v>688</v>
      </c>
      <c r="Q21" s="328" t="s">
        <v>689</v>
      </c>
      <c r="S21" s="400" t="s">
        <v>317</v>
      </c>
      <c r="T21" s="1">
        <v>34104400</v>
      </c>
      <c r="U21" s="1"/>
    </row>
    <row r="22" spans="1:23" outlineLevel="1" x14ac:dyDescent="0.25">
      <c r="A22" s="333" t="s">
        <v>297</v>
      </c>
      <c r="B22" s="329">
        <v>0</v>
      </c>
      <c r="C22" s="329">
        <v>1</v>
      </c>
      <c r="D22" s="329">
        <v>2</v>
      </c>
      <c r="E22" s="329">
        <v>3</v>
      </c>
      <c r="F22" s="329">
        <v>4</v>
      </c>
      <c r="G22" s="329">
        <v>5</v>
      </c>
      <c r="H22" s="329">
        <v>6</v>
      </c>
      <c r="I22" s="329">
        <v>7</v>
      </c>
      <c r="J22" s="329">
        <v>8</v>
      </c>
      <c r="K22" s="329">
        <v>9</v>
      </c>
      <c r="L22" s="329">
        <v>10</v>
      </c>
      <c r="M22" s="329">
        <v>11</v>
      </c>
      <c r="N22" s="329">
        <v>12</v>
      </c>
      <c r="O22" s="329">
        <v>12</v>
      </c>
      <c r="P22" s="329">
        <v>14</v>
      </c>
      <c r="Q22" s="329">
        <v>15</v>
      </c>
      <c r="U22" s="1"/>
    </row>
    <row r="23" spans="1:23" x14ac:dyDescent="0.25">
      <c r="A23" s="330" t="s">
        <v>332</v>
      </c>
      <c r="B23" s="334" t="s">
        <v>623</v>
      </c>
      <c r="C23" s="334"/>
      <c r="D23" s="334">
        <f t="shared" ref="D23:J30" si="4">+D9/C9-1</f>
        <v>0.29021126760563387</v>
      </c>
      <c r="E23" s="334">
        <f t="shared" si="4"/>
        <v>2.2940341684405872</v>
      </c>
      <c r="F23" s="334">
        <f t="shared" si="4"/>
        <v>3.0654515327257714E-2</v>
      </c>
      <c r="G23" s="334">
        <f t="shared" si="4"/>
        <v>-0.43729903536977488</v>
      </c>
      <c r="H23" s="334">
        <f t="shared" si="4"/>
        <v>-0.1428571428571429</v>
      </c>
      <c r="I23" s="334">
        <f t="shared" si="4"/>
        <v>1</v>
      </c>
      <c r="J23" s="334">
        <f t="shared" si="4"/>
        <v>0.16666666666666674</v>
      </c>
      <c r="K23" s="386">
        <f>+K9/J9-1</f>
        <v>-0.5</v>
      </c>
      <c r="L23" s="386">
        <f>+L9/K9-1</f>
        <v>0.4285714285714286</v>
      </c>
      <c r="M23" s="386">
        <f>+M9/L9-1</f>
        <v>-0.5</v>
      </c>
      <c r="N23" s="386">
        <f>+N9/M9-1</f>
        <v>-0.43999999999999995</v>
      </c>
      <c r="O23" s="386">
        <f>+O9/N9-1</f>
        <v>0.48</v>
      </c>
      <c r="P23" s="386">
        <f t="shared" ref="P23:Q23" si="5">+P9/O9-1</f>
        <v>0.48889961389961401</v>
      </c>
      <c r="Q23" s="386">
        <f t="shared" si="5"/>
        <v>-0.51539708265802275</v>
      </c>
      <c r="U23" s="1"/>
    </row>
    <row r="24" spans="1:23" x14ac:dyDescent="0.25">
      <c r="A24" s="330" t="s">
        <v>333</v>
      </c>
      <c r="B24" s="334" t="s">
        <v>623</v>
      </c>
      <c r="C24" s="334"/>
      <c r="D24" s="334">
        <f t="shared" si="4"/>
        <v>-0.41526717557251913</v>
      </c>
      <c r="E24" s="334">
        <f t="shared" si="4"/>
        <v>0.85509138381201044</v>
      </c>
      <c r="F24" s="334">
        <f t="shared" si="4"/>
        <v>-0.46751114238798963</v>
      </c>
      <c r="G24" s="334">
        <f t="shared" si="4"/>
        <v>0.67400881057268713</v>
      </c>
      <c r="H24" s="334">
        <f t="shared" si="4"/>
        <v>-0.42105263157894735</v>
      </c>
      <c r="I24" s="334">
        <f t="shared" si="4"/>
        <v>-0.11818181818181817</v>
      </c>
      <c r="J24" s="334">
        <f t="shared" si="4"/>
        <v>-0.37113402061855671</v>
      </c>
      <c r="K24" s="334">
        <f t="shared" ref="K24:O30" si="6">+K10/J10-1</f>
        <v>0.80327868852459017</v>
      </c>
      <c r="L24" s="334">
        <f t="shared" si="6"/>
        <v>0.81818181818181812</v>
      </c>
      <c r="M24" s="334">
        <f t="shared" si="6"/>
        <v>-0.7</v>
      </c>
      <c r="N24" s="334">
        <f t="shared" si="6"/>
        <v>-1</v>
      </c>
      <c r="O24" s="403" t="str">
        <f>IFERROR(O10/N10-1,"Abierto")</f>
        <v>Abierto</v>
      </c>
      <c r="P24" s="386">
        <f t="shared" ref="P24:Q29" si="7">+P10/O10-1</f>
        <v>2.8349206349206351</v>
      </c>
      <c r="Q24" s="386">
        <f t="shared" si="7"/>
        <v>-0.25745033112582782</v>
      </c>
    </row>
    <row r="25" spans="1:23" x14ac:dyDescent="0.25">
      <c r="A25" s="330" t="s">
        <v>334</v>
      </c>
      <c r="B25" s="334" t="s">
        <v>623</v>
      </c>
      <c r="C25" s="334"/>
      <c r="D25" s="334">
        <f t="shared" si="4"/>
        <v>-0.43265792610250298</v>
      </c>
      <c r="E25" s="334">
        <f t="shared" si="4"/>
        <v>-0.43697478991596639</v>
      </c>
      <c r="F25" s="334">
        <f t="shared" si="4"/>
        <v>1.8753731343283584</v>
      </c>
      <c r="G25" s="334">
        <f t="shared" si="4"/>
        <v>0.42745912276148457</v>
      </c>
      <c r="H25" s="334">
        <f t="shared" si="4"/>
        <v>-0.41818181818181821</v>
      </c>
      <c r="I25" s="334">
        <f t="shared" si="4"/>
        <v>0.95937500000000009</v>
      </c>
      <c r="J25" s="334">
        <f t="shared" si="4"/>
        <v>-0.73684210526315796</v>
      </c>
      <c r="K25" s="334">
        <f t="shared" si="6"/>
        <v>0.93939393939393945</v>
      </c>
      <c r="L25" s="334">
        <f t="shared" si="6"/>
        <v>-0.34375</v>
      </c>
      <c r="M25" s="334">
        <f t="shared" si="6"/>
        <v>-0.1428571428571429</v>
      </c>
      <c r="N25" s="334">
        <f t="shared" si="6"/>
        <v>0.22222222222222232</v>
      </c>
      <c r="O25" s="334">
        <f t="shared" si="6"/>
        <v>0</v>
      </c>
      <c r="P25" s="334">
        <f t="shared" si="7"/>
        <v>1.6795454545454547</v>
      </c>
      <c r="Q25" s="390"/>
    </row>
    <row r="26" spans="1:23" x14ac:dyDescent="0.25">
      <c r="A26" s="330" t="s">
        <v>335</v>
      </c>
      <c r="B26" s="334" t="s">
        <v>623</v>
      </c>
      <c r="C26" s="334"/>
      <c r="D26" s="334">
        <f t="shared" si="4"/>
        <v>-0.24444444444444446</v>
      </c>
      <c r="E26" s="334">
        <f t="shared" si="4"/>
        <v>-0.64075630252100835</v>
      </c>
      <c r="F26" s="334">
        <f t="shared" si="4"/>
        <v>1.9333333333333331</v>
      </c>
      <c r="G26" s="334">
        <f t="shared" si="4"/>
        <v>0.51515151515151514</v>
      </c>
      <c r="H26" s="334">
        <f t="shared" si="4"/>
        <v>-2.6315789473684181E-2</v>
      </c>
      <c r="I26" s="334">
        <f t="shared" si="4"/>
        <v>-0.10135135135135132</v>
      </c>
      <c r="J26" s="334">
        <f t="shared" si="4"/>
        <v>-0.81654135338345868</v>
      </c>
      <c r="K26" s="390">
        <f t="shared" si="6"/>
        <v>2.5491803278688523</v>
      </c>
      <c r="L26" s="390">
        <f t="shared" si="6"/>
        <v>-7.6212471131639759E-2</v>
      </c>
      <c r="M26" s="390">
        <f t="shared" si="6"/>
        <v>0.25</v>
      </c>
      <c r="N26" s="390">
        <f t="shared" si="6"/>
        <v>0.60000000000000009</v>
      </c>
      <c r="O26" s="390">
        <f t="shared" si="6"/>
        <v>0.11375000000000002</v>
      </c>
      <c r="P26" s="390">
        <f t="shared" si="7"/>
        <v>-0.72951739618406286</v>
      </c>
      <c r="Q26" s="334"/>
    </row>
    <row r="27" spans="1:23" x14ac:dyDescent="0.25">
      <c r="A27" s="330" t="s">
        <v>336</v>
      </c>
      <c r="B27" s="334" t="s">
        <v>623</v>
      </c>
      <c r="C27" s="334"/>
      <c r="D27" s="334">
        <f t="shared" si="4"/>
        <v>-1.1876484560570111E-3</v>
      </c>
      <c r="E27" s="334">
        <f t="shared" si="4"/>
        <v>1.7598097502972587E-2</v>
      </c>
      <c r="F27" s="334">
        <f t="shared" si="4"/>
        <v>-0.15050245384435612</v>
      </c>
      <c r="G27" s="334">
        <f t="shared" si="4"/>
        <v>2.3012379642365888</v>
      </c>
      <c r="H27" s="334">
        <f t="shared" si="4"/>
        <v>-0.69166666666666665</v>
      </c>
      <c r="I27" s="334">
        <f t="shared" si="4"/>
        <v>-7.567567567567568E-2</v>
      </c>
      <c r="J27" s="334">
        <f t="shared" si="4"/>
        <v>-0.3128654970760234</v>
      </c>
      <c r="K27" s="334">
        <f t="shared" si="6"/>
        <v>-0.20851063829787231</v>
      </c>
      <c r="L27" s="334">
        <f t="shared" si="6"/>
        <v>1.150537634408602</v>
      </c>
      <c r="M27" s="334">
        <f t="shared" si="6"/>
        <v>-0.44999999999999996</v>
      </c>
      <c r="N27" s="334">
        <f t="shared" si="6"/>
        <v>0.59090909090909083</v>
      </c>
      <c r="O27" s="334">
        <f t="shared" si="6"/>
        <v>0</v>
      </c>
      <c r="P27" s="334">
        <f t="shared" si="7"/>
        <v>-0.76428571428571423</v>
      </c>
      <c r="Q27" s="334"/>
    </row>
    <row r="28" spans="1:23" x14ac:dyDescent="0.25">
      <c r="A28" s="331" t="s">
        <v>337</v>
      </c>
      <c r="B28" s="335" t="s">
        <v>623</v>
      </c>
      <c r="C28" s="335"/>
      <c r="D28" s="335">
        <f t="shared" si="4"/>
        <v>0.271991592222806</v>
      </c>
      <c r="E28" s="335">
        <f t="shared" si="4"/>
        <v>-0.45096257126332318</v>
      </c>
      <c r="F28" s="335">
        <f t="shared" si="4"/>
        <v>8.3521444695259683E-2</v>
      </c>
      <c r="G28" s="335">
        <f t="shared" si="4"/>
        <v>-9.027777777777779E-2</v>
      </c>
      <c r="H28" s="335">
        <f t="shared" si="4"/>
        <v>-0.23664122137404575</v>
      </c>
      <c r="I28" s="335">
        <f t="shared" si="4"/>
        <v>2.1040000000000001</v>
      </c>
      <c r="J28" s="334">
        <f t="shared" si="4"/>
        <v>-0.47712628865979378</v>
      </c>
      <c r="K28" s="334">
        <f t="shared" si="6"/>
        <v>-0.27603203943314847</v>
      </c>
      <c r="L28" s="334">
        <f t="shared" si="6"/>
        <v>0.53191489361702127</v>
      </c>
      <c r="M28" s="334">
        <f t="shared" si="6"/>
        <v>0</v>
      </c>
      <c r="N28" s="334">
        <f t="shared" si="6"/>
        <v>0</v>
      </c>
      <c r="O28" s="334">
        <f t="shared" si="6"/>
        <v>-0.5</v>
      </c>
      <c r="P28" s="334">
        <f t="shared" si="7"/>
        <v>0.83111111111111113</v>
      </c>
      <c r="Q28" s="334"/>
    </row>
    <row r="29" spans="1:23" ht="15.75" thickBot="1" x14ac:dyDescent="0.3">
      <c r="A29" s="331" t="s">
        <v>338</v>
      </c>
      <c r="B29" s="335" t="s">
        <v>623</v>
      </c>
      <c r="C29" s="335">
        <f>+C15/B15-1</f>
        <v>0.15034965034965042</v>
      </c>
      <c r="D29" s="335">
        <f t="shared" si="4"/>
        <v>1.0449848024316108</v>
      </c>
      <c r="E29" s="335">
        <f t="shared" si="4"/>
        <v>-4.6150416171224729E-2</v>
      </c>
      <c r="F29" s="335">
        <f t="shared" si="4"/>
        <v>0.20802493182703552</v>
      </c>
      <c r="G29" s="335">
        <f t="shared" si="4"/>
        <v>-0.22605611093195743</v>
      </c>
      <c r="H29" s="335">
        <f t="shared" si="4"/>
        <v>0.41666666666666674</v>
      </c>
      <c r="I29" s="335">
        <f t="shared" si="4"/>
        <v>-5.8823529411764497E-3</v>
      </c>
      <c r="J29" s="385">
        <f t="shared" si="4"/>
        <v>-0.23023668639053252</v>
      </c>
      <c r="K29" s="385">
        <f t="shared" si="6"/>
        <v>-0.26204935044968869</v>
      </c>
      <c r="L29" s="385">
        <f t="shared" si="6"/>
        <v>0.5625</v>
      </c>
      <c r="M29" s="385">
        <f t="shared" si="6"/>
        <v>-0.19999999999999996</v>
      </c>
      <c r="N29" s="385">
        <f t="shared" si="6"/>
        <v>-0.33333333333333337</v>
      </c>
      <c r="O29" s="385">
        <f t="shared" si="6"/>
        <v>-0.20187500000000003</v>
      </c>
      <c r="P29" s="385">
        <f t="shared" si="7"/>
        <v>0.1276429130775254</v>
      </c>
      <c r="Q29" s="385"/>
    </row>
    <row r="30" spans="1:23" ht="15.75" thickTop="1" x14ac:dyDescent="0.25">
      <c r="A30" s="332" t="s">
        <v>317</v>
      </c>
      <c r="B30" s="336" t="s">
        <v>623</v>
      </c>
      <c r="C30" s="336"/>
      <c r="D30" s="336">
        <f t="shared" si="4"/>
        <v>0.17133636363636362</v>
      </c>
      <c r="E30" s="336">
        <f t="shared" si="4"/>
        <v>-6.214347249062846E-2</v>
      </c>
      <c r="F30" s="336">
        <f t="shared" si="4"/>
        <v>0.1362407591305308</v>
      </c>
      <c r="G30" s="336">
        <f t="shared" si="4"/>
        <v>0.14466752445922659</v>
      </c>
      <c r="H30" s="336">
        <f t="shared" si="4"/>
        <v>-0.19830328738069991</v>
      </c>
      <c r="I30" s="336">
        <f t="shared" si="4"/>
        <v>0.41203703703703698</v>
      </c>
      <c r="J30" s="384">
        <f t="shared" si="4"/>
        <v>-0.36385948477751762</v>
      </c>
      <c r="K30" s="384">
        <f t="shared" si="6"/>
        <v>-0.16357424751133887</v>
      </c>
      <c r="L30" s="384">
        <f t="shared" si="6"/>
        <v>0.44718309859154926</v>
      </c>
      <c r="M30" s="384">
        <f>+M16/L16-1</f>
        <v>-0.24087591240875916</v>
      </c>
      <c r="N30" s="384">
        <f>+N16/M16-1</f>
        <v>-9.9358974358974339E-2</v>
      </c>
      <c r="O30" s="384">
        <f>+O16/N16-1</f>
        <v>-0.12145907473309614</v>
      </c>
      <c r="P30" s="384">
        <f t="shared" ref="P30" si="8">+P16/O16-1</f>
        <v>0.31607728764126874</v>
      </c>
      <c r="Q30" s="384"/>
    </row>
    <row r="31" spans="1:23" x14ac:dyDescent="0.25">
      <c r="I31" s="9"/>
    </row>
    <row r="32" spans="1:23" x14ac:dyDescent="0.25">
      <c r="I32" s="9"/>
    </row>
    <row r="34" spans="1:17" ht="30" x14ac:dyDescent="0.25">
      <c r="A34" s="474"/>
      <c r="B34" s="474"/>
      <c r="C34" s="328" t="s">
        <v>480</v>
      </c>
      <c r="D34" s="328" t="s">
        <v>481</v>
      </c>
      <c r="E34" s="328" t="s">
        <v>479</v>
      </c>
      <c r="F34" s="328" t="s">
        <v>478</v>
      </c>
      <c r="G34" s="328" t="s">
        <v>557</v>
      </c>
      <c r="H34" s="328" t="s">
        <v>559</v>
      </c>
      <c r="I34" s="328" t="s">
        <v>615</v>
      </c>
      <c r="J34" s="328" t="s">
        <v>616</v>
      </c>
      <c r="K34" s="328" t="s">
        <v>647</v>
      </c>
      <c r="L34" s="328" t="s">
        <v>648</v>
      </c>
      <c r="M34" s="328" t="s">
        <v>649</v>
      </c>
      <c r="N34" s="328" t="s">
        <v>650</v>
      </c>
      <c r="O34" s="328" t="s">
        <v>654</v>
      </c>
      <c r="P34" s="328" t="s">
        <v>688</v>
      </c>
      <c r="Q34" s="328" t="s">
        <v>689</v>
      </c>
    </row>
    <row r="35" spans="1:17" x14ac:dyDescent="0.25">
      <c r="A35" s="333" t="s">
        <v>297</v>
      </c>
      <c r="B35" s="329">
        <v>0</v>
      </c>
      <c r="C35" s="329">
        <v>1</v>
      </c>
      <c r="D35" s="329">
        <v>2</v>
      </c>
      <c r="E35" s="329">
        <v>3</v>
      </c>
      <c r="F35" s="329">
        <v>4</v>
      </c>
      <c r="G35" s="329">
        <v>5</v>
      </c>
      <c r="H35" s="329">
        <v>6</v>
      </c>
      <c r="I35" s="329">
        <v>7</v>
      </c>
      <c r="J35" s="329">
        <v>8</v>
      </c>
      <c r="K35" s="329">
        <v>9</v>
      </c>
      <c r="L35" s="329">
        <v>10</v>
      </c>
      <c r="M35" s="329">
        <v>11</v>
      </c>
      <c r="N35" s="329">
        <v>12</v>
      </c>
      <c r="O35" s="329">
        <v>13</v>
      </c>
      <c r="P35" s="329">
        <v>14</v>
      </c>
      <c r="Q35" s="329">
        <v>15</v>
      </c>
    </row>
    <row r="36" spans="1:17" x14ac:dyDescent="0.25">
      <c r="A36" s="330" t="s">
        <v>332</v>
      </c>
      <c r="B36" s="337" t="s">
        <v>623</v>
      </c>
      <c r="C36" s="337">
        <f t="shared" ref="C36:I43" si="9">+C9-B9</f>
        <v>142000</v>
      </c>
      <c r="D36" s="337">
        <f>+D9-C9</f>
        <v>41210</v>
      </c>
      <c r="E36" s="337">
        <f t="shared" ref="E36:J36" si="10">+E9-D9</f>
        <v>420290</v>
      </c>
      <c r="F36" s="337">
        <f t="shared" si="10"/>
        <v>18500</v>
      </c>
      <c r="G36" s="337">
        <f t="shared" si="10"/>
        <v>-272000</v>
      </c>
      <c r="H36" s="337">
        <f t="shared" si="10"/>
        <v>-50000</v>
      </c>
      <c r="I36" s="337">
        <f t="shared" si="10"/>
        <v>300000</v>
      </c>
      <c r="J36" s="337">
        <f t="shared" si="10"/>
        <v>100000</v>
      </c>
      <c r="K36" s="337">
        <f t="shared" ref="K36:L43" si="11">+K9-J9</f>
        <v>-350000</v>
      </c>
      <c r="L36" s="337">
        <f t="shared" si="11"/>
        <v>150000</v>
      </c>
      <c r="M36" s="337">
        <f t="shared" ref="M36:M43" si="12">+M9-L9</f>
        <v>-250000</v>
      </c>
      <c r="N36" s="337">
        <f t="shared" ref="N36:N43" si="13">+N9-M9</f>
        <v>-110000</v>
      </c>
      <c r="O36" s="337">
        <f t="shared" ref="O36:O43" si="14">+O9-N9</f>
        <v>67200</v>
      </c>
    </row>
    <row r="37" spans="1:17" x14ac:dyDescent="0.25">
      <c r="A37" s="330" t="s">
        <v>333</v>
      </c>
      <c r="B37" s="337" t="s">
        <v>623</v>
      </c>
      <c r="C37" s="337">
        <f t="shared" si="9"/>
        <v>393000</v>
      </c>
      <c r="D37" s="337">
        <f t="shared" si="9"/>
        <v>-163200</v>
      </c>
      <c r="E37" s="337">
        <f t="shared" si="9"/>
        <v>196500</v>
      </c>
      <c r="F37" s="337">
        <f t="shared" si="9"/>
        <v>-199300</v>
      </c>
      <c r="G37" s="337">
        <f t="shared" si="9"/>
        <v>153000</v>
      </c>
      <c r="H37" s="337">
        <f t="shared" si="9"/>
        <v>-160000</v>
      </c>
      <c r="I37" s="337">
        <f t="shared" si="9"/>
        <v>-26000</v>
      </c>
      <c r="J37" s="337">
        <f t="shared" ref="J37:J43" si="15">+J10-I10</f>
        <v>-72000</v>
      </c>
      <c r="K37" s="337">
        <f t="shared" si="11"/>
        <v>98000</v>
      </c>
      <c r="L37" s="337">
        <f t="shared" si="11"/>
        <v>180000</v>
      </c>
      <c r="M37" s="337">
        <f t="shared" si="12"/>
        <v>-280000</v>
      </c>
      <c r="N37" s="337">
        <f t="shared" si="13"/>
        <v>-120000</v>
      </c>
      <c r="O37" s="337">
        <f t="shared" si="14"/>
        <v>157500</v>
      </c>
    </row>
    <row r="38" spans="1:17" x14ac:dyDescent="0.25">
      <c r="A38" s="330" t="s">
        <v>334</v>
      </c>
      <c r="B38" s="337" t="s">
        <v>623</v>
      </c>
      <c r="C38" s="337">
        <f t="shared" si="9"/>
        <v>419500</v>
      </c>
      <c r="D38" s="337">
        <f t="shared" si="9"/>
        <v>-181500</v>
      </c>
      <c r="E38" s="337">
        <f t="shared" si="9"/>
        <v>-104000</v>
      </c>
      <c r="F38" s="337">
        <f t="shared" si="9"/>
        <v>251300</v>
      </c>
      <c r="G38" s="337">
        <f t="shared" si="9"/>
        <v>164700</v>
      </c>
      <c r="H38" s="337">
        <f t="shared" si="9"/>
        <v>-230000</v>
      </c>
      <c r="I38" s="337">
        <f t="shared" si="9"/>
        <v>307000</v>
      </c>
      <c r="J38" s="337">
        <f t="shared" si="15"/>
        <v>-462000</v>
      </c>
      <c r="K38" s="337">
        <f t="shared" si="11"/>
        <v>155000</v>
      </c>
      <c r="L38" s="337">
        <f t="shared" si="11"/>
        <v>-110000</v>
      </c>
      <c r="M38" s="337">
        <f t="shared" si="12"/>
        <v>-30000</v>
      </c>
      <c r="N38" s="337">
        <f t="shared" si="13"/>
        <v>40000</v>
      </c>
      <c r="O38" s="337">
        <f t="shared" si="14"/>
        <v>0</v>
      </c>
    </row>
    <row r="39" spans="1:17" x14ac:dyDescent="0.25">
      <c r="A39" s="330" t="s">
        <v>335</v>
      </c>
      <c r="B39" s="337" t="s">
        <v>623</v>
      </c>
      <c r="C39" s="337">
        <f t="shared" si="9"/>
        <v>315000</v>
      </c>
      <c r="D39" s="337">
        <f t="shared" si="9"/>
        <v>-77000</v>
      </c>
      <c r="E39" s="337">
        <f t="shared" si="9"/>
        <v>-152500</v>
      </c>
      <c r="F39" s="337">
        <f t="shared" si="9"/>
        <v>165300</v>
      </c>
      <c r="G39" s="337">
        <f t="shared" si="9"/>
        <v>129200</v>
      </c>
      <c r="H39" s="337">
        <f t="shared" si="9"/>
        <v>-10000</v>
      </c>
      <c r="I39" s="337">
        <f t="shared" si="9"/>
        <v>-37500</v>
      </c>
      <c r="J39" s="337">
        <f t="shared" si="15"/>
        <v>-271500</v>
      </c>
      <c r="K39" s="337">
        <f t="shared" si="11"/>
        <v>155500</v>
      </c>
      <c r="L39" s="337">
        <f t="shared" si="11"/>
        <v>-16500</v>
      </c>
      <c r="M39" s="337">
        <f t="shared" si="12"/>
        <v>50000</v>
      </c>
      <c r="N39" s="337">
        <f t="shared" si="13"/>
        <v>150000</v>
      </c>
      <c r="O39" s="337">
        <f t="shared" si="14"/>
        <v>45500</v>
      </c>
    </row>
    <row r="40" spans="1:17" x14ac:dyDescent="0.25">
      <c r="A40" s="330" t="s">
        <v>336</v>
      </c>
      <c r="B40" s="337" t="s">
        <v>623</v>
      </c>
      <c r="C40" s="337">
        <f t="shared" si="9"/>
        <v>421000</v>
      </c>
      <c r="D40" s="337">
        <f t="shared" si="9"/>
        <v>-500</v>
      </c>
      <c r="E40" s="337">
        <f t="shared" si="9"/>
        <v>7400</v>
      </c>
      <c r="F40" s="337">
        <f t="shared" si="9"/>
        <v>-64400</v>
      </c>
      <c r="G40" s="337">
        <f t="shared" si="9"/>
        <v>836500</v>
      </c>
      <c r="H40" s="337">
        <f t="shared" si="9"/>
        <v>-830000</v>
      </c>
      <c r="I40" s="337">
        <f t="shared" si="9"/>
        <v>-28000</v>
      </c>
      <c r="J40" s="337">
        <f t="shared" si="15"/>
        <v>-107000</v>
      </c>
      <c r="K40" s="337">
        <f t="shared" si="11"/>
        <v>-49000</v>
      </c>
      <c r="L40" s="337">
        <f t="shared" si="11"/>
        <v>214000</v>
      </c>
      <c r="M40" s="337">
        <f t="shared" si="12"/>
        <v>-180000</v>
      </c>
      <c r="N40" s="337">
        <f t="shared" si="13"/>
        <v>130000</v>
      </c>
      <c r="O40" s="337">
        <f t="shared" si="14"/>
        <v>0</v>
      </c>
    </row>
    <row r="41" spans="1:17" x14ac:dyDescent="0.25">
      <c r="A41" s="331" t="s">
        <v>337</v>
      </c>
      <c r="B41" s="338" t="s">
        <v>623</v>
      </c>
      <c r="C41" s="338">
        <f t="shared" si="9"/>
        <v>951500</v>
      </c>
      <c r="D41" s="338">
        <f t="shared" si="9"/>
        <v>258800</v>
      </c>
      <c r="E41" s="338">
        <f t="shared" si="9"/>
        <v>-545800</v>
      </c>
      <c r="F41" s="338">
        <f t="shared" si="9"/>
        <v>55500</v>
      </c>
      <c r="G41" s="338">
        <f t="shared" si="9"/>
        <v>-65000</v>
      </c>
      <c r="H41" s="338">
        <f t="shared" si="9"/>
        <v>-155000</v>
      </c>
      <c r="I41" s="338">
        <f t="shared" si="9"/>
        <v>1052000</v>
      </c>
      <c r="J41" s="337">
        <f t="shared" si="15"/>
        <v>-740500</v>
      </c>
      <c r="K41" s="337">
        <f t="shared" si="11"/>
        <v>-224000</v>
      </c>
      <c r="L41" s="337">
        <f t="shared" si="11"/>
        <v>312500</v>
      </c>
      <c r="M41" s="337">
        <f t="shared" si="12"/>
        <v>0</v>
      </c>
      <c r="N41" s="337">
        <f t="shared" si="13"/>
        <v>0</v>
      </c>
      <c r="O41" s="337">
        <f t="shared" si="14"/>
        <v>-450000</v>
      </c>
    </row>
    <row r="42" spans="1:17" ht="15.75" thickBot="1" x14ac:dyDescent="0.3">
      <c r="A42" s="331" t="s">
        <v>338</v>
      </c>
      <c r="B42" s="338" t="s">
        <v>623</v>
      </c>
      <c r="C42" s="338">
        <f t="shared" si="9"/>
        <v>86000</v>
      </c>
      <c r="D42" s="338">
        <f t="shared" si="9"/>
        <v>687600</v>
      </c>
      <c r="E42" s="338">
        <f t="shared" si="9"/>
        <v>-62100</v>
      </c>
      <c r="F42" s="338">
        <f t="shared" si="9"/>
        <v>267000</v>
      </c>
      <c r="G42" s="338">
        <f t="shared" si="9"/>
        <v>-350500</v>
      </c>
      <c r="H42" s="338">
        <f t="shared" si="9"/>
        <v>500000</v>
      </c>
      <c r="I42" s="338">
        <f t="shared" si="9"/>
        <v>-10000</v>
      </c>
      <c r="J42" s="338">
        <f t="shared" si="15"/>
        <v>-389100</v>
      </c>
      <c r="K42" s="338">
        <f t="shared" si="11"/>
        <v>-340900</v>
      </c>
      <c r="L42" s="338">
        <f t="shared" si="11"/>
        <v>540000</v>
      </c>
      <c r="M42" s="338">
        <f t="shared" si="12"/>
        <v>-300000</v>
      </c>
      <c r="N42" s="338">
        <f t="shared" si="13"/>
        <v>-400000</v>
      </c>
      <c r="O42" s="338">
        <f t="shared" si="14"/>
        <v>-161500</v>
      </c>
    </row>
    <row r="43" spans="1:17" ht="15.75" thickTop="1" x14ac:dyDescent="0.25">
      <c r="A43" s="332" t="s">
        <v>317</v>
      </c>
      <c r="B43" s="339" t="s">
        <v>623</v>
      </c>
      <c r="C43" s="339">
        <f t="shared" si="9"/>
        <v>2728000</v>
      </c>
      <c r="D43" s="339">
        <f t="shared" si="9"/>
        <v>565410</v>
      </c>
      <c r="E43" s="339">
        <f t="shared" si="9"/>
        <v>-240210</v>
      </c>
      <c r="F43" s="339">
        <f t="shared" si="9"/>
        <v>493900</v>
      </c>
      <c r="G43" s="339">
        <f t="shared" si="9"/>
        <v>595900</v>
      </c>
      <c r="H43" s="339">
        <f t="shared" si="9"/>
        <v>-935000</v>
      </c>
      <c r="I43" s="339">
        <f t="shared" si="9"/>
        <v>1557500</v>
      </c>
      <c r="J43" s="339">
        <f t="shared" si="15"/>
        <v>-1942100</v>
      </c>
      <c r="K43" s="339">
        <f t="shared" si="11"/>
        <v>-555400</v>
      </c>
      <c r="L43" s="339">
        <f t="shared" si="11"/>
        <v>1270000</v>
      </c>
      <c r="M43" s="339">
        <f t="shared" si="12"/>
        <v>-990000</v>
      </c>
      <c r="N43" s="339">
        <f t="shared" si="13"/>
        <v>-310000</v>
      </c>
      <c r="O43" s="339">
        <f t="shared" si="14"/>
        <v>-341300</v>
      </c>
    </row>
  </sheetData>
  <mergeCells count="3">
    <mergeCell ref="A6:B6"/>
    <mergeCell ref="A21:B21"/>
    <mergeCell ref="A34:B34"/>
  </mergeCells>
  <conditionalFormatting sqref="C29">
    <cfRule type="cellIs" dxfId="53" priority="89" operator="between">
      <formula>-0.04</formula>
      <formula>0.05</formula>
    </cfRule>
    <cfRule type="cellIs" dxfId="52" priority="90" operator="lessThan">
      <formula>-0.05</formula>
    </cfRule>
  </conditionalFormatting>
  <conditionalFormatting sqref="C42">
    <cfRule type="cellIs" dxfId="51" priority="59" operator="between">
      <formula>-0.04</formula>
      <formula>0.05</formula>
    </cfRule>
    <cfRule type="cellIs" dxfId="50" priority="60" operator="lessThan">
      <formula>-0.05</formula>
    </cfRule>
  </conditionalFormatting>
  <conditionalFormatting sqref="D36:O43">
    <cfRule type="cellIs" dxfId="49" priority="9" operator="between">
      <formula>-0.04</formula>
      <formula>0.05</formula>
    </cfRule>
    <cfRule type="cellIs" dxfId="48" priority="10" operator="lessThan">
      <formula>-0.05</formula>
    </cfRule>
  </conditionalFormatting>
  <conditionalFormatting sqref="D23:Q30">
    <cfRule type="cellIs" dxfId="47" priority="1" operator="between">
      <formula>-0.04</formula>
      <formula>0.05</formula>
    </cfRule>
    <cfRule type="cellIs" dxfId="46" priority="2" operator="lessThan">
      <formula>-0.05</formula>
    </cfRule>
  </conditionalFormatting>
  <pageMargins left="0.7" right="0.7" top="0.75" bottom="0.75" header="0.3" footer="0.3"/>
  <pageSetup paperSize="9" orientation="portrait" horizontalDpi="300" verticalDpi="300" r:id="rId6"/>
  <legacyDrawing r:id="rId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D191"/>
  <sheetViews>
    <sheetView workbookViewId="0"/>
  </sheetViews>
  <sheetFormatPr baseColWidth="10" defaultColWidth="11.42578125" defaultRowHeight="15" x14ac:dyDescent="0.25"/>
  <cols>
    <col min="1" max="1" width="23.42578125" bestFit="1" customWidth="1"/>
    <col min="2" max="2" width="10.28515625" style="47" bestFit="1" customWidth="1"/>
    <col min="3" max="3" width="5.85546875" style="47" bestFit="1" customWidth="1"/>
    <col min="4" max="4" width="5.85546875" bestFit="1" customWidth="1"/>
    <col min="5" max="5" width="6" bestFit="1" customWidth="1"/>
    <col min="6" max="6" width="7" bestFit="1" customWidth="1"/>
    <col min="7" max="7" width="5" customWidth="1"/>
    <col min="8" max="11" width="5" bestFit="1" customWidth="1"/>
    <col min="12" max="12" width="6" customWidth="1"/>
  </cols>
  <sheetData>
    <row r="1" spans="1:4" x14ac:dyDescent="0.25">
      <c r="A1" s="158" t="s">
        <v>482</v>
      </c>
      <c r="B1" s="158" t="s">
        <v>449</v>
      </c>
      <c r="C1"/>
    </row>
    <row r="2" spans="1:4" x14ac:dyDescent="0.25">
      <c r="A2" s="158" t="s">
        <v>297</v>
      </c>
      <c r="B2" s="235">
        <v>0</v>
      </c>
      <c r="C2" s="235">
        <v>1</v>
      </c>
      <c r="D2" s="235">
        <v>4</v>
      </c>
    </row>
    <row r="3" spans="1:4" x14ac:dyDescent="0.25">
      <c r="A3" s="159" t="s">
        <v>332</v>
      </c>
      <c r="B3" s="235"/>
      <c r="C3" s="215">
        <v>7</v>
      </c>
      <c r="D3" s="236">
        <v>14</v>
      </c>
    </row>
    <row r="4" spans="1:4" x14ac:dyDescent="0.25">
      <c r="A4" s="159" t="s">
        <v>333</v>
      </c>
      <c r="B4" s="235"/>
      <c r="C4" s="215">
        <v>14</v>
      </c>
      <c r="D4" s="215">
        <v>19</v>
      </c>
    </row>
    <row r="5" spans="1:4" x14ac:dyDescent="0.25">
      <c r="A5" s="159" t="s">
        <v>334</v>
      </c>
      <c r="B5" s="235"/>
      <c r="C5" s="215">
        <v>17</v>
      </c>
      <c r="D5" s="215">
        <v>19</v>
      </c>
    </row>
    <row r="6" spans="1:4" x14ac:dyDescent="0.25">
      <c r="A6" s="159" t="s">
        <v>335</v>
      </c>
      <c r="B6" s="235"/>
      <c r="C6" s="215">
        <v>10</v>
      </c>
      <c r="D6" s="215">
        <v>14</v>
      </c>
    </row>
    <row r="7" spans="1:4" x14ac:dyDescent="0.25">
      <c r="A7" s="159" t="s">
        <v>336</v>
      </c>
      <c r="B7" s="235"/>
      <c r="C7" s="215">
        <v>15</v>
      </c>
      <c r="D7" s="215">
        <v>15</v>
      </c>
    </row>
    <row r="8" spans="1:4" x14ac:dyDescent="0.25">
      <c r="A8" s="159" t="s">
        <v>337</v>
      </c>
      <c r="B8" s="235"/>
      <c r="C8" s="215">
        <v>29</v>
      </c>
      <c r="D8" s="215"/>
    </row>
    <row r="9" spans="1:4" x14ac:dyDescent="0.25">
      <c r="A9" s="159" t="s">
        <v>338</v>
      </c>
      <c r="B9" s="235"/>
      <c r="C9" s="215">
        <v>19</v>
      </c>
      <c r="D9" s="215">
        <v>36</v>
      </c>
    </row>
    <row r="10" spans="1:4" x14ac:dyDescent="0.25">
      <c r="A10" s="159" t="s">
        <v>317</v>
      </c>
      <c r="B10" s="235"/>
      <c r="C10" s="215">
        <v>29</v>
      </c>
      <c r="D10" s="215">
        <v>36</v>
      </c>
    </row>
    <row r="11" spans="1:4" x14ac:dyDescent="0.25">
      <c r="B11"/>
      <c r="C11"/>
    </row>
    <row r="12" spans="1:4" x14ac:dyDescent="0.25">
      <c r="B12"/>
      <c r="C12"/>
    </row>
    <row r="14" spans="1:4" x14ac:dyDescent="0.25">
      <c r="A14" s="158" t="s">
        <v>538</v>
      </c>
      <c r="B14" s="158" t="s">
        <v>449</v>
      </c>
      <c r="C14"/>
    </row>
    <row r="15" spans="1:4" x14ac:dyDescent="0.25">
      <c r="A15" s="158" t="s">
        <v>297</v>
      </c>
      <c r="B15" s="235">
        <v>1</v>
      </c>
      <c r="C15" s="235">
        <v>3</v>
      </c>
      <c r="D15" s="235">
        <v>4</v>
      </c>
    </row>
    <row r="16" spans="1:4" x14ac:dyDescent="0.25">
      <c r="A16" s="159" t="s">
        <v>332</v>
      </c>
      <c r="B16" s="215"/>
      <c r="C16" s="215"/>
      <c r="D16" s="236"/>
    </row>
    <row r="17" spans="1:4" x14ac:dyDescent="0.25">
      <c r="A17" s="214" t="s">
        <v>375</v>
      </c>
      <c r="B17" s="215"/>
      <c r="C17" s="215"/>
      <c r="D17" s="215">
        <v>11</v>
      </c>
    </row>
    <row r="18" spans="1:4" x14ac:dyDescent="0.25">
      <c r="A18" s="159" t="s">
        <v>333</v>
      </c>
      <c r="B18" s="215"/>
      <c r="C18" s="215"/>
      <c r="D18" s="215"/>
    </row>
    <row r="19" spans="1:4" x14ac:dyDescent="0.25">
      <c r="A19" s="214" t="s">
        <v>375</v>
      </c>
      <c r="B19" s="215"/>
      <c r="C19" s="215"/>
      <c r="D19" s="215">
        <v>1</v>
      </c>
    </row>
    <row r="20" spans="1:4" x14ac:dyDescent="0.25">
      <c r="A20" s="159" t="s">
        <v>334</v>
      </c>
      <c r="B20" s="215"/>
      <c r="C20" s="215"/>
      <c r="D20" s="215"/>
    </row>
    <row r="21" spans="1:4" x14ac:dyDescent="0.25">
      <c r="A21" s="214" t="s">
        <v>375</v>
      </c>
      <c r="B21" s="215">
        <v>3</v>
      </c>
      <c r="C21" s="215"/>
      <c r="D21" s="215">
        <v>7</v>
      </c>
    </row>
    <row r="22" spans="1:4" x14ac:dyDescent="0.25">
      <c r="A22" s="159" t="s">
        <v>335</v>
      </c>
      <c r="B22" s="215"/>
      <c r="C22" s="215"/>
      <c r="D22" s="215"/>
    </row>
    <row r="23" spans="1:4" x14ac:dyDescent="0.25">
      <c r="A23" s="214" t="s">
        <v>375</v>
      </c>
      <c r="B23" s="215">
        <v>1</v>
      </c>
      <c r="C23" s="215"/>
      <c r="D23" s="215">
        <v>1</v>
      </c>
    </row>
    <row r="24" spans="1:4" x14ac:dyDescent="0.25">
      <c r="A24" s="214" t="s">
        <v>381</v>
      </c>
      <c r="B24" s="215">
        <v>1</v>
      </c>
      <c r="C24" s="215"/>
      <c r="D24" s="215"/>
    </row>
    <row r="25" spans="1:4" x14ac:dyDescent="0.25">
      <c r="A25" s="159" t="s">
        <v>336</v>
      </c>
      <c r="B25" s="215"/>
      <c r="C25" s="215"/>
      <c r="D25" s="215"/>
    </row>
    <row r="26" spans="1:4" x14ac:dyDescent="0.25">
      <c r="A26" s="214" t="s">
        <v>375</v>
      </c>
      <c r="B26" s="215">
        <v>2</v>
      </c>
      <c r="C26" s="215"/>
      <c r="D26" s="215">
        <v>5</v>
      </c>
    </row>
    <row r="27" spans="1:4" x14ac:dyDescent="0.25">
      <c r="A27" s="159" t="s">
        <v>337</v>
      </c>
      <c r="B27" s="215"/>
      <c r="C27" s="236"/>
      <c r="D27" s="215"/>
    </row>
    <row r="28" spans="1:4" x14ac:dyDescent="0.25">
      <c r="A28" s="214" t="s">
        <v>375</v>
      </c>
      <c r="B28" s="215">
        <v>12</v>
      </c>
      <c r="C28" s="215"/>
      <c r="D28" s="215"/>
    </row>
    <row r="29" spans="1:4" x14ac:dyDescent="0.25">
      <c r="A29" s="214" t="s">
        <v>381</v>
      </c>
      <c r="B29" s="215">
        <v>1</v>
      </c>
      <c r="C29" s="215"/>
      <c r="D29" s="215"/>
    </row>
    <row r="30" spans="1:4" x14ac:dyDescent="0.25">
      <c r="A30" s="159" t="s">
        <v>338</v>
      </c>
      <c r="B30" s="215"/>
      <c r="C30" s="236"/>
      <c r="D30" s="215"/>
    </row>
    <row r="31" spans="1:4" x14ac:dyDescent="0.25">
      <c r="A31" s="214" t="s">
        <v>422</v>
      </c>
      <c r="B31" s="215">
        <v>1</v>
      </c>
      <c r="C31" s="215"/>
      <c r="D31" s="215"/>
    </row>
    <row r="32" spans="1:4" x14ac:dyDescent="0.25">
      <c r="A32" s="214" t="s">
        <v>423</v>
      </c>
      <c r="B32" s="215">
        <v>1</v>
      </c>
      <c r="C32" s="215"/>
      <c r="D32" s="215"/>
    </row>
    <row r="33" spans="1:4" x14ac:dyDescent="0.25">
      <c r="A33" s="214" t="s">
        <v>426</v>
      </c>
      <c r="B33" s="215">
        <v>1</v>
      </c>
      <c r="C33" s="215"/>
      <c r="D33" s="215"/>
    </row>
    <row r="34" spans="1:4" x14ac:dyDescent="0.25">
      <c r="A34" s="214" t="s">
        <v>375</v>
      </c>
      <c r="B34" s="215">
        <v>8</v>
      </c>
      <c r="C34" s="215">
        <v>17</v>
      </c>
      <c r="D34" s="215">
        <v>23</v>
      </c>
    </row>
    <row r="35" spans="1:4" x14ac:dyDescent="0.25">
      <c r="A35" s="159" t="s">
        <v>317</v>
      </c>
      <c r="B35" s="215">
        <v>31</v>
      </c>
      <c r="C35" s="215">
        <v>17</v>
      </c>
      <c r="D35" s="215">
        <v>48</v>
      </c>
    </row>
    <row r="36" spans="1:4" x14ac:dyDescent="0.25">
      <c r="B36"/>
      <c r="C36"/>
    </row>
    <row r="37" spans="1:4" x14ac:dyDescent="0.25">
      <c r="B37"/>
      <c r="C37"/>
    </row>
    <row r="38" spans="1:4" x14ac:dyDescent="0.25">
      <c r="B38"/>
      <c r="C38"/>
    </row>
    <row r="39" spans="1:4" x14ac:dyDescent="0.25">
      <c r="B39"/>
      <c r="C39"/>
    </row>
    <row r="40" spans="1:4" x14ac:dyDescent="0.25">
      <c r="B40"/>
      <c r="C40"/>
    </row>
    <row r="41" spans="1:4" x14ac:dyDescent="0.25">
      <c r="B41"/>
      <c r="C41"/>
    </row>
    <row r="42" spans="1:4" x14ac:dyDescent="0.25">
      <c r="B42"/>
      <c r="C42"/>
    </row>
    <row r="43" spans="1:4" x14ac:dyDescent="0.25">
      <c r="B43"/>
      <c r="C43"/>
    </row>
    <row r="44" spans="1:4" x14ac:dyDescent="0.25">
      <c r="B44"/>
      <c r="C44"/>
    </row>
    <row r="45" spans="1:4" x14ac:dyDescent="0.25">
      <c r="B45"/>
      <c r="C45"/>
    </row>
    <row r="46" spans="1:4" x14ac:dyDescent="0.25">
      <c r="B46"/>
      <c r="C46"/>
    </row>
    <row r="47" spans="1:4" x14ac:dyDescent="0.25">
      <c r="B47"/>
      <c r="C47"/>
    </row>
    <row r="48" spans="1:4" x14ac:dyDescent="0.25">
      <c r="B48"/>
      <c r="C48"/>
    </row>
    <row r="49" spans="2:3" x14ac:dyDescent="0.25">
      <c r="B49"/>
      <c r="C49"/>
    </row>
    <row r="50" spans="2:3" x14ac:dyDescent="0.25">
      <c r="B50"/>
      <c r="C50"/>
    </row>
    <row r="51" spans="2:3" x14ac:dyDescent="0.25">
      <c r="B51"/>
      <c r="C51"/>
    </row>
    <row r="52" spans="2:3" x14ac:dyDescent="0.25">
      <c r="B52"/>
      <c r="C52"/>
    </row>
    <row r="53" spans="2:3" x14ac:dyDescent="0.25">
      <c r="B53"/>
      <c r="C53"/>
    </row>
    <row r="54" spans="2:3" x14ac:dyDescent="0.25">
      <c r="B54"/>
      <c r="C54"/>
    </row>
    <row r="55" spans="2:3" x14ac:dyDescent="0.25">
      <c r="B55"/>
      <c r="C55"/>
    </row>
    <row r="56" spans="2:3" x14ac:dyDescent="0.25">
      <c r="B56"/>
      <c r="C56"/>
    </row>
    <row r="57" spans="2:3" x14ac:dyDescent="0.25">
      <c r="B57"/>
      <c r="C57"/>
    </row>
    <row r="58" spans="2:3" x14ac:dyDescent="0.25">
      <c r="B58"/>
      <c r="C58"/>
    </row>
    <row r="59" spans="2:3" x14ac:dyDescent="0.25">
      <c r="B59"/>
      <c r="C59"/>
    </row>
    <row r="60" spans="2:3" x14ac:dyDescent="0.25">
      <c r="B60"/>
      <c r="C60"/>
    </row>
    <row r="61" spans="2:3" x14ac:dyDescent="0.25">
      <c r="B61"/>
      <c r="C61"/>
    </row>
    <row r="62" spans="2:3" x14ac:dyDescent="0.25">
      <c r="B62"/>
      <c r="C62"/>
    </row>
    <row r="63" spans="2:3" x14ac:dyDescent="0.25">
      <c r="B63"/>
      <c r="C63"/>
    </row>
    <row r="64" spans="2:3" x14ac:dyDescent="0.25">
      <c r="B64"/>
      <c r="C64"/>
    </row>
    <row r="65" spans="2:3" x14ac:dyDescent="0.25">
      <c r="B65"/>
      <c r="C65"/>
    </row>
    <row r="66" spans="2:3" x14ac:dyDescent="0.25">
      <c r="B66"/>
      <c r="C66"/>
    </row>
    <row r="67" spans="2:3" x14ac:dyDescent="0.25">
      <c r="B67"/>
      <c r="C67"/>
    </row>
    <row r="68" spans="2:3" x14ac:dyDescent="0.25">
      <c r="B68"/>
      <c r="C68"/>
    </row>
    <row r="69" spans="2:3" x14ac:dyDescent="0.25">
      <c r="B69"/>
      <c r="C69"/>
    </row>
    <row r="70" spans="2:3" x14ac:dyDescent="0.25">
      <c r="B70"/>
      <c r="C70"/>
    </row>
    <row r="71" spans="2:3" x14ac:dyDescent="0.25">
      <c r="B71"/>
      <c r="C71"/>
    </row>
    <row r="72" spans="2:3" x14ac:dyDescent="0.25">
      <c r="B72"/>
      <c r="C72"/>
    </row>
    <row r="73" spans="2:3" x14ac:dyDescent="0.25">
      <c r="B73"/>
      <c r="C73"/>
    </row>
    <row r="74" spans="2:3" x14ac:dyDescent="0.25">
      <c r="B74"/>
      <c r="C74"/>
    </row>
    <row r="75" spans="2:3" x14ac:dyDescent="0.25">
      <c r="B75"/>
      <c r="C75"/>
    </row>
    <row r="76" spans="2:3" x14ac:dyDescent="0.25">
      <c r="B76"/>
      <c r="C76"/>
    </row>
    <row r="77" spans="2:3" x14ac:dyDescent="0.25">
      <c r="B77"/>
      <c r="C77"/>
    </row>
    <row r="78" spans="2:3" x14ac:dyDescent="0.25">
      <c r="B78"/>
      <c r="C78"/>
    </row>
    <row r="79" spans="2:3" x14ac:dyDescent="0.25">
      <c r="B79"/>
      <c r="C79"/>
    </row>
    <row r="80" spans="2:3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  <c r="C108"/>
    </row>
    <row r="109" spans="2:3" x14ac:dyDescent="0.25">
      <c r="B109"/>
      <c r="C109"/>
    </row>
    <row r="110" spans="2:3" x14ac:dyDescent="0.25">
      <c r="B110"/>
      <c r="C110"/>
    </row>
    <row r="111" spans="2:3" x14ac:dyDescent="0.25">
      <c r="B111"/>
      <c r="C111"/>
    </row>
    <row r="112" spans="2:3" x14ac:dyDescent="0.25">
      <c r="B112"/>
      <c r="C112"/>
    </row>
    <row r="113" spans="2:3" x14ac:dyDescent="0.25">
      <c r="B113"/>
      <c r="C113"/>
    </row>
    <row r="114" spans="2:3" x14ac:dyDescent="0.25">
      <c r="B114"/>
      <c r="C114"/>
    </row>
    <row r="115" spans="2:3" x14ac:dyDescent="0.25">
      <c r="B115"/>
      <c r="C115"/>
    </row>
    <row r="116" spans="2:3" x14ac:dyDescent="0.25">
      <c r="B116"/>
      <c r="C116"/>
    </row>
    <row r="117" spans="2:3" x14ac:dyDescent="0.25">
      <c r="B117"/>
      <c r="C117"/>
    </row>
    <row r="118" spans="2:3" x14ac:dyDescent="0.25">
      <c r="B118"/>
      <c r="C118"/>
    </row>
    <row r="119" spans="2:3" x14ac:dyDescent="0.25">
      <c r="B119"/>
      <c r="C119"/>
    </row>
    <row r="120" spans="2:3" x14ac:dyDescent="0.25">
      <c r="B120"/>
      <c r="C120"/>
    </row>
    <row r="121" spans="2:3" x14ac:dyDescent="0.25">
      <c r="B121"/>
      <c r="C121"/>
    </row>
    <row r="122" spans="2:3" x14ac:dyDescent="0.25">
      <c r="B122"/>
      <c r="C122"/>
    </row>
    <row r="123" spans="2:3" x14ac:dyDescent="0.25">
      <c r="B123"/>
      <c r="C123"/>
    </row>
    <row r="124" spans="2:3" x14ac:dyDescent="0.25">
      <c r="B124"/>
      <c r="C124"/>
    </row>
    <row r="125" spans="2:3" x14ac:dyDescent="0.25">
      <c r="B125"/>
      <c r="C125"/>
    </row>
    <row r="126" spans="2:3" x14ac:dyDescent="0.25">
      <c r="B126"/>
      <c r="C126"/>
    </row>
    <row r="127" spans="2:3" x14ac:dyDescent="0.25">
      <c r="B127"/>
      <c r="C127"/>
    </row>
    <row r="128" spans="2:3" x14ac:dyDescent="0.25">
      <c r="B128"/>
      <c r="C128"/>
    </row>
    <row r="129" spans="2:3" x14ac:dyDescent="0.25">
      <c r="B129"/>
      <c r="C129"/>
    </row>
    <row r="130" spans="2:3" x14ac:dyDescent="0.25">
      <c r="B130"/>
      <c r="C130"/>
    </row>
    <row r="131" spans="2:3" x14ac:dyDescent="0.25">
      <c r="B131"/>
      <c r="C131"/>
    </row>
    <row r="132" spans="2:3" x14ac:dyDescent="0.25">
      <c r="B132"/>
      <c r="C132"/>
    </row>
    <row r="133" spans="2:3" x14ac:dyDescent="0.25">
      <c r="B133"/>
      <c r="C133"/>
    </row>
    <row r="134" spans="2:3" x14ac:dyDescent="0.25">
      <c r="B134"/>
      <c r="C134"/>
    </row>
    <row r="135" spans="2:3" x14ac:dyDescent="0.25">
      <c r="B135"/>
      <c r="C135"/>
    </row>
    <row r="136" spans="2:3" x14ac:dyDescent="0.25">
      <c r="B136"/>
      <c r="C136"/>
    </row>
    <row r="137" spans="2:3" x14ac:dyDescent="0.25">
      <c r="B137"/>
      <c r="C137"/>
    </row>
    <row r="138" spans="2:3" x14ac:dyDescent="0.25">
      <c r="B138"/>
      <c r="C138"/>
    </row>
    <row r="139" spans="2:3" x14ac:dyDescent="0.25">
      <c r="B139"/>
      <c r="C139"/>
    </row>
    <row r="140" spans="2:3" x14ac:dyDescent="0.25">
      <c r="B140"/>
      <c r="C140"/>
    </row>
    <row r="141" spans="2:3" x14ac:dyDescent="0.25">
      <c r="B141"/>
      <c r="C141"/>
    </row>
    <row r="142" spans="2:3" x14ac:dyDescent="0.25">
      <c r="B142"/>
      <c r="C142"/>
    </row>
    <row r="143" spans="2:3" x14ac:dyDescent="0.25">
      <c r="B143"/>
      <c r="C143"/>
    </row>
    <row r="144" spans="2:3" x14ac:dyDescent="0.25">
      <c r="B144"/>
      <c r="C144"/>
    </row>
    <row r="145" spans="2:3" x14ac:dyDescent="0.25">
      <c r="B145"/>
      <c r="C145"/>
    </row>
    <row r="146" spans="2:3" x14ac:dyDescent="0.25">
      <c r="B146"/>
      <c r="C146"/>
    </row>
    <row r="147" spans="2:3" x14ac:dyDescent="0.25">
      <c r="B147"/>
      <c r="C147"/>
    </row>
    <row r="148" spans="2:3" x14ac:dyDescent="0.25">
      <c r="B148"/>
      <c r="C148"/>
    </row>
    <row r="149" spans="2:3" x14ac:dyDescent="0.25">
      <c r="B149"/>
      <c r="C149"/>
    </row>
    <row r="150" spans="2:3" x14ac:dyDescent="0.25">
      <c r="B150"/>
      <c r="C150"/>
    </row>
    <row r="151" spans="2:3" x14ac:dyDescent="0.25">
      <c r="B151"/>
      <c r="C151"/>
    </row>
    <row r="152" spans="2:3" x14ac:dyDescent="0.25">
      <c r="B152"/>
      <c r="C152"/>
    </row>
    <row r="153" spans="2:3" x14ac:dyDescent="0.25">
      <c r="B153"/>
      <c r="C153"/>
    </row>
    <row r="154" spans="2:3" x14ac:dyDescent="0.25">
      <c r="B154"/>
      <c r="C154"/>
    </row>
    <row r="155" spans="2:3" x14ac:dyDescent="0.25">
      <c r="B155"/>
      <c r="C155"/>
    </row>
    <row r="156" spans="2:3" x14ac:dyDescent="0.25">
      <c r="B156"/>
      <c r="C156"/>
    </row>
    <row r="157" spans="2:3" x14ac:dyDescent="0.25">
      <c r="B157"/>
      <c r="C157"/>
    </row>
    <row r="158" spans="2:3" x14ac:dyDescent="0.25">
      <c r="B158"/>
      <c r="C158"/>
    </row>
    <row r="159" spans="2:3" x14ac:dyDescent="0.25">
      <c r="B159"/>
      <c r="C159"/>
    </row>
    <row r="160" spans="2:3" x14ac:dyDescent="0.25">
      <c r="B160"/>
      <c r="C160"/>
    </row>
    <row r="161" spans="2:3" x14ac:dyDescent="0.25">
      <c r="B161"/>
      <c r="C161"/>
    </row>
    <row r="162" spans="2:3" x14ac:dyDescent="0.25">
      <c r="B162"/>
      <c r="C162"/>
    </row>
    <row r="163" spans="2:3" x14ac:dyDescent="0.25">
      <c r="B163"/>
      <c r="C163"/>
    </row>
    <row r="164" spans="2:3" x14ac:dyDescent="0.25">
      <c r="B164"/>
      <c r="C164"/>
    </row>
    <row r="165" spans="2:3" x14ac:dyDescent="0.25">
      <c r="B165"/>
      <c r="C165"/>
    </row>
    <row r="166" spans="2:3" x14ac:dyDescent="0.25">
      <c r="B166"/>
      <c r="C166"/>
    </row>
    <row r="167" spans="2:3" x14ac:dyDescent="0.25">
      <c r="B167"/>
      <c r="C167"/>
    </row>
    <row r="168" spans="2:3" x14ac:dyDescent="0.25">
      <c r="B168"/>
      <c r="C168"/>
    </row>
    <row r="169" spans="2:3" x14ac:dyDescent="0.25">
      <c r="B169"/>
      <c r="C169"/>
    </row>
    <row r="170" spans="2:3" x14ac:dyDescent="0.25">
      <c r="B170"/>
      <c r="C170"/>
    </row>
    <row r="171" spans="2:3" x14ac:dyDescent="0.25">
      <c r="B171"/>
      <c r="C171"/>
    </row>
    <row r="172" spans="2:3" x14ac:dyDescent="0.25">
      <c r="B172"/>
      <c r="C172"/>
    </row>
    <row r="173" spans="2:3" x14ac:dyDescent="0.25">
      <c r="B173"/>
      <c r="C173"/>
    </row>
    <row r="174" spans="2:3" x14ac:dyDescent="0.25">
      <c r="B174"/>
      <c r="C174"/>
    </row>
    <row r="175" spans="2:3" x14ac:dyDescent="0.25">
      <c r="B175"/>
      <c r="C175"/>
    </row>
    <row r="176" spans="2:3" x14ac:dyDescent="0.25">
      <c r="B176"/>
      <c r="C176"/>
    </row>
    <row r="177" spans="2:3" x14ac:dyDescent="0.25">
      <c r="B177"/>
      <c r="C177"/>
    </row>
    <row r="178" spans="2:3" x14ac:dyDescent="0.25">
      <c r="B178"/>
      <c r="C178"/>
    </row>
    <row r="179" spans="2:3" x14ac:dyDescent="0.25">
      <c r="B179"/>
      <c r="C179"/>
    </row>
    <row r="180" spans="2:3" x14ac:dyDescent="0.25">
      <c r="B180"/>
      <c r="C180"/>
    </row>
    <row r="181" spans="2:3" x14ac:dyDescent="0.25">
      <c r="B181"/>
      <c r="C181"/>
    </row>
    <row r="182" spans="2:3" x14ac:dyDescent="0.25">
      <c r="B182"/>
      <c r="C182"/>
    </row>
    <row r="183" spans="2:3" x14ac:dyDescent="0.25">
      <c r="B183"/>
      <c r="C183"/>
    </row>
    <row r="184" spans="2:3" x14ac:dyDescent="0.25">
      <c r="B184"/>
      <c r="C184"/>
    </row>
    <row r="185" spans="2:3" x14ac:dyDescent="0.25">
      <c r="B185"/>
      <c r="C185"/>
    </row>
    <row r="186" spans="2:3" x14ac:dyDescent="0.25">
      <c r="B186"/>
      <c r="C186"/>
    </row>
    <row r="187" spans="2:3" x14ac:dyDescent="0.25">
      <c r="B187"/>
      <c r="C187"/>
    </row>
    <row r="188" spans="2:3" x14ac:dyDescent="0.25">
      <c r="B188"/>
      <c r="C188"/>
    </row>
    <row r="189" spans="2:3" x14ac:dyDescent="0.25">
      <c r="B189"/>
      <c r="C189"/>
    </row>
    <row r="190" spans="2:3" x14ac:dyDescent="0.25">
      <c r="B190"/>
      <c r="C190"/>
    </row>
    <row r="191" spans="2:3" x14ac:dyDescent="0.25">
      <c r="B191"/>
      <c r="C191"/>
    </row>
  </sheetData>
  <pageMargins left="0.7" right="0.7" top="0.75" bottom="0.75" header="0.3" footer="0.3"/>
  <pageSetup paperSize="9" orientation="portrait" horizontalDpi="300" verticalDpi="300"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59999389629810485"/>
  </sheetPr>
  <dimension ref="B1:AE33"/>
  <sheetViews>
    <sheetView topLeftCell="R1" workbookViewId="0">
      <selection activeCell="AG4" sqref="AG4"/>
    </sheetView>
  </sheetViews>
  <sheetFormatPr baseColWidth="10" defaultRowHeight="15" outlineLevelCol="1" x14ac:dyDescent="0.25"/>
  <cols>
    <col min="1" max="2" width="11.42578125" style="1" customWidth="1"/>
    <col min="3" max="3" width="53.140625" style="1" customWidth="1"/>
    <col min="4" max="4" width="11.85546875" style="1" customWidth="1" outlineLevel="1"/>
    <col min="5" max="6" width="12" style="1" bestFit="1" customWidth="1"/>
    <col min="7" max="7" width="12.85546875" style="1" customWidth="1"/>
    <col min="8" max="8" width="11.42578125" style="1" customWidth="1"/>
    <col min="9" max="9" width="12.5703125" style="1" customWidth="1"/>
    <col min="10" max="10" width="58.28515625" style="1" customWidth="1"/>
    <col min="11" max="11" width="14.85546875" style="1" customWidth="1" outlineLevel="1"/>
    <col min="12" max="12" width="13.42578125" style="1" customWidth="1" outlineLevel="1"/>
    <col min="13" max="13" width="23.140625" style="1" customWidth="1"/>
    <col min="14" max="14" width="12" style="1" customWidth="1"/>
    <col min="15" max="15" width="14" style="1" customWidth="1"/>
    <col min="16" max="16" width="5.140625" style="1" customWidth="1"/>
    <col min="17" max="17" width="12.5703125" style="1" customWidth="1"/>
    <col min="18" max="18" width="58.28515625" style="1" customWidth="1"/>
    <col min="19" max="19" width="14.85546875" style="1" customWidth="1" outlineLevel="1"/>
    <col min="20" max="20" width="14" style="1" customWidth="1" outlineLevel="1"/>
    <col min="21" max="22" width="11.85546875" style="1" bestFit="1" customWidth="1"/>
    <col min="23" max="23" width="14" style="1" customWidth="1"/>
    <col min="24" max="24" width="12.85546875" style="133" bestFit="1" customWidth="1"/>
    <col min="25" max="25" width="11.42578125" style="1"/>
    <col min="26" max="26" width="58.28515625" style="1" customWidth="1"/>
    <col min="27" max="27" width="12" style="1" customWidth="1" outlineLevel="1"/>
    <col min="28" max="28" width="13.42578125" style="1" customWidth="1" outlineLevel="1"/>
    <col min="29" max="30" width="11.42578125" style="1"/>
    <col min="31" max="31" width="13" style="1" customWidth="1"/>
    <col min="32" max="16384" width="11.42578125" style="1"/>
  </cols>
  <sheetData>
    <row r="1" spans="2:31" ht="21" x14ac:dyDescent="0.35">
      <c r="B1" s="475" t="s">
        <v>571</v>
      </c>
      <c r="C1" s="475"/>
      <c r="D1" s="475"/>
      <c r="E1" s="475"/>
      <c r="F1" s="475"/>
      <c r="G1" s="475"/>
      <c r="I1" s="475" t="s">
        <v>572</v>
      </c>
      <c r="J1" s="475"/>
      <c r="K1" s="475"/>
      <c r="L1" s="475"/>
      <c r="M1" s="475"/>
      <c r="N1" s="475"/>
      <c r="O1" s="475"/>
      <c r="Q1" s="475" t="s">
        <v>573</v>
      </c>
      <c r="R1" s="475"/>
      <c r="S1" s="475"/>
      <c r="T1" s="475"/>
      <c r="U1" s="475"/>
      <c r="V1" s="475"/>
      <c r="W1" s="475"/>
      <c r="Y1" s="475" t="s">
        <v>574</v>
      </c>
      <c r="Z1" s="475"/>
      <c r="AA1" s="475"/>
      <c r="AB1" s="475"/>
      <c r="AC1" s="475"/>
      <c r="AD1" s="475"/>
      <c r="AE1" s="475"/>
    </row>
    <row r="2" spans="2:31" x14ac:dyDescent="0.25">
      <c r="D2" s="144" t="s">
        <v>597</v>
      </c>
      <c r="E2" s="144" t="s">
        <v>342</v>
      </c>
      <c r="F2" s="144" t="s">
        <v>310</v>
      </c>
      <c r="G2" s="144" t="s">
        <v>195</v>
      </c>
      <c r="K2" s="144" t="s">
        <v>597</v>
      </c>
      <c r="L2" s="144" t="s">
        <v>596</v>
      </c>
      <c r="M2" s="144" t="s">
        <v>342</v>
      </c>
      <c r="N2" s="144" t="s">
        <v>310</v>
      </c>
      <c r="O2" s="144" t="s">
        <v>195</v>
      </c>
      <c r="S2" s="144" t="s">
        <v>597</v>
      </c>
      <c r="T2" s="144" t="s">
        <v>596</v>
      </c>
      <c r="U2" s="144" t="s">
        <v>342</v>
      </c>
      <c r="V2" s="144" t="s">
        <v>310</v>
      </c>
      <c r="W2" s="144" t="s">
        <v>195</v>
      </c>
      <c r="AA2" s="144" t="s">
        <v>597</v>
      </c>
      <c r="AB2" s="144" t="s">
        <v>596</v>
      </c>
      <c r="AC2" s="144" t="s">
        <v>342</v>
      </c>
      <c r="AD2" s="144" t="s">
        <v>310</v>
      </c>
      <c r="AE2" s="144" t="s">
        <v>195</v>
      </c>
    </row>
    <row r="3" spans="2:31" x14ac:dyDescent="0.25">
      <c r="D3" s="144"/>
      <c r="E3" s="288">
        <v>1</v>
      </c>
      <c r="F3" s="288">
        <v>4</v>
      </c>
      <c r="G3" s="288">
        <f>+E3+F3</f>
        <v>5</v>
      </c>
      <c r="K3" s="144"/>
      <c r="L3" s="144"/>
      <c r="M3" s="288">
        <v>4</v>
      </c>
      <c r="N3" s="288">
        <v>9</v>
      </c>
      <c r="O3" s="288">
        <f>+M3+N3</f>
        <v>13</v>
      </c>
      <c r="S3" s="144"/>
      <c r="T3" s="144"/>
      <c r="U3" s="288">
        <v>5</v>
      </c>
      <c r="V3" s="288">
        <v>11</v>
      </c>
      <c r="W3" s="288">
        <f>+U3+V3</f>
        <v>16</v>
      </c>
      <c r="AA3" s="144"/>
      <c r="AB3" s="144"/>
      <c r="AC3" s="288">
        <v>4</v>
      </c>
      <c r="AD3" s="288">
        <v>10</v>
      </c>
      <c r="AE3" s="288">
        <f>+AC3+AD3</f>
        <v>14</v>
      </c>
    </row>
    <row r="4" spans="2:31" x14ac:dyDescent="0.25">
      <c r="B4" s="143" t="s">
        <v>2</v>
      </c>
      <c r="C4" s="7" t="s">
        <v>2</v>
      </c>
      <c r="D4" s="7"/>
      <c r="E4" s="476">
        <f>+G4/G3</f>
        <v>300000</v>
      </c>
      <c r="F4" s="476"/>
      <c r="G4" s="7">
        <v>1500000</v>
      </c>
      <c r="I4" s="143" t="s">
        <v>2</v>
      </c>
      <c r="J4" s="7" t="s">
        <v>2</v>
      </c>
      <c r="K4" s="7"/>
      <c r="L4" s="7"/>
      <c r="M4" s="476">
        <f>+O4/O3</f>
        <v>192307.69230769231</v>
      </c>
      <c r="N4" s="476"/>
      <c r="O4" s="7">
        <v>2500000</v>
      </c>
      <c r="Q4" s="143" t="s">
        <v>2</v>
      </c>
      <c r="R4" s="7" t="s">
        <v>2</v>
      </c>
      <c r="S4" s="7"/>
      <c r="T4" s="7"/>
      <c r="U4" s="476">
        <f>+W4/W3</f>
        <v>156250</v>
      </c>
      <c r="V4" s="476"/>
      <c r="W4" s="7">
        <v>2500000</v>
      </c>
      <c r="Y4" s="143" t="s">
        <v>2</v>
      </c>
      <c r="Z4" s="7" t="s">
        <v>2</v>
      </c>
      <c r="AA4" s="7"/>
      <c r="AB4" s="7"/>
      <c r="AC4" s="476">
        <f>+AE4/AE3</f>
        <v>178571.42857142858</v>
      </c>
      <c r="AD4" s="476"/>
      <c r="AE4" s="7">
        <v>2500000</v>
      </c>
    </row>
    <row r="5" spans="2:31" x14ac:dyDescent="0.25">
      <c r="B5" s="478" t="s">
        <v>10</v>
      </c>
      <c r="C5" s="138" t="s">
        <v>7</v>
      </c>
      <c r="D5" s="138"/>
      <c r="E5" s="280"/>
      <c r="F5" s="281"/>
      <c r="G5" s="210"/>
      <c r="I5" s="478" t="s">
        <v>10</v>
      </c>
      <c r="J5" s="138" t="s">
        <v>7</v>
      </c>
      <c r="K5" s="138"/>
      <c r="L5" s="138"/>
      <c r="M5" s="477">
        <f>+O5/O3</f>
        <v>23076.923076923078</v>
      </c>
      <c r="N5" s="477"/>
      <c r="O5" s="287">
        <v>300000</v>
      </c>
      <c r="Q5" s="478" t="s">
        <v>10</v>
      </c>
      <c r="R5" s="138" t="s">
        <v>7</v>
      </c>
      <c r="S5" s="138"/>
      <c r="T5" s="138"/>
      <c r="U5" s="477">
        <f>+W5/W3</f>
        <v>12500</v>
      </c>
      <c r="V5" s="477"/>
      <c r="W5" s="287">
        <v>200000</v>
      </c>
      <c r="Y5" s="478" t="s">
        <v>10</v>
      </c>
      <c r="Z5" s="138" t="s">
        <v>7</v>
      </c>
      <c r="AA5" s="138"/>
      <c r="AB5" s="138"/>
      <c r="AC5" s="477">
        <f>+AE5/30</f>
        <v>5000</v>
      </c>
      <c r="AD5" s="477"/>
      <c r="AE5" s="287">
        <v>150000</v>
      </c>
    </row>
    <row r="6" spans="2:31" x14ac:dyDescent="0.25">
      <c r="B6" s="479"/>
      <c r="C6" s="138" t="s">
        <v>8</v>
      </c>
      <c r="D6" s="138"/>
      <c r="E6" s="280"/>
      <c r="F6" s="281"/>
      <c r="G6" s="210"/>
      <c r="I6" s="479"/>
      <c r="J6" s="138" t="s">
        <v>8</v>
      </c>
      <c r="K6" s="138"/>
      <c r="L6" s="138"/>
      <c r="M6" s="477">
        <f>+O6/O3</f>
        <v>19230.76923076923</v>
      </c>
      <c r="N6" s="477"/>
      <c r="O6" s="287">
        <v>250000</v>
      </c>
      <c r="Q6" s="479"/>
      <c r="R6" s="138" t="s">
        <v>8</v>
      </c>
      <c r="S6" s="138"/>
      <c r="T6" s="138"/>
      <c r="U6" s="477">
        <f>+W6/W3</f>
        <v>15625</v>
      </c>
      <c r="V6" s="477"/>
      <c r="W6" s="287">
        <v>250000</v>
      </c>
      <c r="Y6" s="479"/>
      <c r="Z6" s="138" t="s">
        <v>8</v>
      </c>
      <c r="AA6" s="138"/>
      <c r="AB6" s="138"/>
      <c r="AC6" s="477">
        <f>+AE6/30</f>
        <v>8333.3333333333339</v>
      </c>
      <c r="AD6" s="477"/>
      <c r="AE6" s="287">
        <v>250000</v>
      </c>
    </row>
    <row r="7" spans="2:31" x14ac:dyDescent="0.25">
      <c r="B7" s="479"/>
      <c r="C7" s="138" t="s">
        <v>9</v>
      </c>
      <c r="D7" s="138"/>
      <c r="E7" s="280"/>
      <c r="F7" s="281"/>
      <c r="G7" s="210"/>
      <c r="I7" s="479"/>
      <c r="J7" s="138" t="s">
        <v>9</v>
      </c>
      <c r="K7" s="138"/>
      <c r="L7" s="138"/>
      <c r="M7" s="477">
        <f>+O7/O3</f>
        <v>19230.76923076923</v>
      </c>
      <c r="N7" s="477"/>
      <c r="O7" s="287">
        <v>250000</v>
      </c>
      <c r="Q7" s="479"/>
      <c r="R7" s="138" t="s">
        <v>9</v>
      </c>
      <c r="S7" s="138"/>
      <c r="T7" s="138"/>
      <c r="U7" s="477">
        <f>+W7/W3</f>
        <v>20625</v>
      </c>
      <c r="V7" s="477"/>
      <c r="W7" s="287">
        <v>330000</v>
      </c>
      <c r="Y7" s="479"/>
      <c r="Z7" s="138" t="s">
        <v>9</v>
      </c>
      <c r="AA7" s="138"/>
      <c r="AB7" s="138"/>
      <c r="AC7" s="477">
        <f>+AE7/30</f>
        <v>8333.3333333333339</v>
      </c>
      <c r="AD7" s="477"/>
      <c r="AE7" s="287">
        <v>250000</v>
      </c>
    </row>
    <row r="8" spans="2:31" x14ac:dyDescent="0.25">
      <c r="B8" s="480"/>
      <c r="C8" s="138" t="s">
        <v>306</v>
      </c>
      <c r="D8" s="286"/>
      <c r="E8" s="280"/>
      <c r="F8" s="281"/>
      <c r="G8" s="210"/>
      <c r="I8" s="480"/>
      <c r="J8" s="138" t="s">
        <v>306</v>
      </c>
      <c r="K8" s="286"/>
      <c r="L8" s="286"/>
      <c r="M8" s="481"/>
      <c r="N8" s="482"/>
      <c r="O8" s="210"/>
      <c r="Q8" s="480"/>
      <c r="R8" s="138" t="s">
        <v>306</v>
      </c>
      <c r="S8" s="286"/>
      <c r="T8" s="286"/>
      <c r="U8" s="481"/>
      <c r="V8" s="482"/>
      <c r="W8" s="210"/>
      <c r="Y8" s="480"/>
      <c r="Z8" s="138" t="s">
        <v>306</v>
      </c>
      <c r="AA8" s="286"/>
      <c r="AB8" s="286"/>
      <c r="AC8" s="481"/>
      <c r="AD8" s="482"/>
      <c r="AE8" s="210"/>
    </row>
    <row r="9" spans="2:31" s="284" customFormat="1" x14ac:dyDescent="0.25">
      <c r="B9" s="485" t="s">
        <v>56</v>
      </c>
      <c r="C9" s="139" t="s">
        <v>595</v>
      </c>
      <c r="D9" s="139"/>
      <c r="E9" s="139">
        <v>35000</v>
      </c>
      <c r="F9" s="139">
        <v>35000</v>
      </c>
      <c r="G9" s="139">
        <f>+(E9*E3)+(F9*F3)</f>
        <v>175000</v>
      </c>
      <c r="I9" s="485" t="s">
        <v>56</v>
      </c>
      <c r="J9" s="139" t="s">
        <v>595</v>
      </c>
      <c r="K9" s="139"/>
      <c r="L9" s="139"/>
      <c r="M9" s="139">
        <v>35000</v>
      </c>
      <c r="N9" s="139">
        <v>35000</v>
      </c>
      <c r="O9" s="139">
        <f>+(M9*M3)+(N9*N3)</f>
        <v>455000</v>
      </c>
      <c r="Q9" s="485" t="s">
        <v>56</v>
      </c>
      <c r="R9" s="139" t="s">
        <v>595</v>
      </c>
      <c r="S9" s="139"/>
      <c r="T9" s="139"/>
      <c r="U9" s="139">
        <v>35000</v>
      </c>
      <c r="V9" s="139">
        <v>35000</v>
      </c>
      <c r="W9" s="139">
        <f>+(U9*U3)+(V9*V3)</f>
        <v>560000</v>
      </c>
      <c r="X9" s="139">
        <v>10000</v>
      </c>
      <c r="Y9" s="485" t="s">
        <v>56</v>
      </c>
      <c r="Z9" s="139" t="s">
        <v>595</v>
      </c>
      <c r="AA9" s="139"/>
      <c r="AB9" s="139"/>
      <c r="AC9" s="139">
        <v>35000</v>
      </c>
      <c r="AD9" s="139">
        <v>35000</v>
      </c>
      <c r="AE9" s="139">
        <f>+(AC9*AC3)+(AD9*AD3)</f>
        <v>490000</v>
      </c>
    </row>
    <row r="10" spans="2:31" s="284" customFormat="1" x14ac:dyDescent="0.25">
      <c r="B10" s="485"/>
      <c r="C10" s="139" t="s">
        <v>594</v>
      </c>
      <c r="D10" s="139"/>
      <c r="E10" s="139">
        <v>25000</v>
      </c>
      <c r="F10" s="139">
        <v>30000</v>
      </c>
      <c r="G10" s="139">
        <f>+(E10*E3)+(F10*F3)</f>
        <v>145000</v>
      </c>
      <c r="I10" s="485"/>
      <c r="J10" s="139" t="s">
        <v>594</v>
      </c>
      <c r="K10" s="139"/>
      <c r="L10" s="139"/>
      <c r="M10" s="139">
        <v>25000</v>
      </c>
      <c r="N10" s="139">
        <v>30000</v>
      </c>
      <c r="O10" s="139">
        <f>+(M10*M3)+(N10*N3)</f>
        <v>370000</v>
      </c>
      <c r="Q10" s="485"/>
      <c r="R10" s="139" t="s">
        <v>593</v>
      </c>
      <c r="S10" s="139"/>
      <c r="T10" s="139"/>
      <c r="U10" s="139">
        <v>25000</v>
      </c>
      <c r="V10" s="139">
        <v>30000</v>
      </c>
      <c r="W10" s="139">
        <f>+(U10*U3)+(V10*V3)</f>
        <v>455000</v>
      </c>
      <c r="X10" s="139">
        <v>10000</v>
      </c>
      <c r="Y10" s="485"/>
      <c r="Z10" s="139" t="s">
        <v>656</v>
      </c>
      <c r="AA10" s="139"/>
      <c r="AB10" s="139"/>
      <c r="AC10" s="139">
        <v>25000</v>
      </c>
      <c r="AD10" s="139">
        <v>30000</v>
      </c>
      <c r="AE10" s="139">
        <f>+(AC10*AC3)+(AD10*AD3)</f>
        <v>400000</v>
      </c>
    </row>
    <row r="11" spans="2:31" s="284" customFormat="1" x14ac:dyDescent="0.25">
      <c r="B11" s="485"/>
      <c r="C11" s="139" t="s">
        <v>592</v>
      </c>
      <c r="D11" s="139"/>
      <c r="E11" s="139">
        <v>25000</v>
      </c>
      <c r="F11" s="139">
        <v>30000</v>
      </c>
      <c r="G11" s="139">
        <f>+(E11*E3)+(F11*F3)</f>
        <v>145000</v>
      </c>
      <c r="I11" s="485"/>
      <c r="J11" s="139" t="s">
        <v>592</v>
      </c>
      <c r="K11" s="139"/>
      <c r="L11" s="139"/>
      <c r="M11" s="139">
        <v>25000</v>
      </c>
      <c r="N11" s="139">
        <v>30000</v>
      </c>
      <c r="O11" s="139">
        <f>+(M11*M3)+(N11*N3)</f>
        <v>370000</v>
      </c>
      <c r="Q11" s="485"/>
      <c r="R11" s="139" t="s">
        <v>591</v>
      </c>
      <c r="S11" s="139"/>
      <c r="T11" s="139"/>
      <c r="U11" s="139">
        <v>25000</v>
      </c>
      <c r="V11" s="139">
        <v>30000</v>
      </c>
      <c r="W11" s="139">
        <f>+(U11*U3)+(V11*V3)</f>
        <v>455000</v>
      </c>
      <c r="X11" s="139">
        <v>10000</v>
      </c>
      <c r="Y11" s="485"/>
      <c r="Z11" s="139" t="s">
        <v>657</v>
      </c>
      <c r="AA11" s="139"/>
      <c r="AB11" s="139"/>
      <c r="AC11" s="139">
        <v>25000</v>
      </c>
      <c r="AD11" s="139">
        <v>30000</v>
      </c>
      <c r="AE11" s="139">
        <f>+(AC11*AC3)+(AD11*AD3)</f>
        <v>400000</v>
      </c>
    </row>
    <row r="12" spans="2:31" s="284" customFormat="1" x14ac:dyDescent="0.25">
      <c r="B12" s="485"/>
      <c r="C12" s="139" t="s">
        <v>590</v>
      </c>
      <c r="D12" s="139"/>
      <c r="E12" s="139">
        <v>0</v>
      </c>
      <c r="F12" s="139">
        <v>35000</v>
      </c>
      <c r="G12" s="139">
        <f>+(E12*0)+(F12*F3)</f>
        <v>140000</v>
      </c>
      <c r="I12" s="485"/>
      <c r="J12" s="139" t="s">
        <v>590</v>
      </c>
      <c r="K12" s="139"/>
      <c r="L12" s="139"/>
      <c r="M12" s="139">
        <v>0</v>
      </c>
      <c r="N12" s="139">
        <v>35000</v>
      </c>
      <c r="O12" s="139">
        <f>+(M12*0)+(N12*N3)</f>
        <v>315000</v>
      </c>
      <c r="Q12" s="485"/>
      <c r="R12" s="139" t="s">
        <v>590</v>
      </c>
      <c r="S12" s="139"/>
      <c r="T12" s="139"/>
      <c r="U12" s="139">
        <v>0</v>
      </c>
      <c r="V12" s="139">
        <v>35000</v>
      </c>
      <c r="W12" s="139">
        <f>+(U12*0)+(V12*V3)</f>
        <v>385000</v>
      </c>
      <c r="X12" s="285"/>
      <c r="Y12" s="485"/>
      <c r="Z12" s="139" t="s">
        <v>658</v>
      </c>
      <c r="AA12" s="139"/>
      <c r="AB12" s="139"/>
      <c r="AC12" s="139">
        <v>0</v>
      </c>
      <c r="AD12" s="139">
        <v>35000</v>
      </c>
      <c r="AE12" s="139">
        <f>+(AC12*0)+(AD12*AD3)</f>
        <v>350000</v>
      </c>
    </row>
    <row r="13" spans="2:31" s="284" customFormat="1" x14ac:dyDescent="0.25">
      <c r="B13" s="485"/>
      <c r="C13" s="139" t="s">
        <v>589</v>
      </c>
      <c r="D13" s="139"/>
      <c r="E13" s="139">
        <v>50000</v>
      </c>
      <c r="F13" s="139">
        <v>50000</v>
      </c>
      <c r="G13" s="139">
        <f>+(E13*8)+(F13*5)</f>
        <v>650000</v>
      </c>
      <c r="I13" s="485"/>
      <c r="J13" s="139" t="s">
        <v>589</v>
      </c>
      <c r="K13" s="139"/>
      <c r="L13" s="139"/>
      <c r="M13" s="139">
        <v>30000</v>
      </c>
      <c r="N13" s="139">
        <v>60000</v>
      </c>
      <c r="O13" s="139">
        <f>+(M13*8)+(N13*5)</f>
        <v>540000</v>
      </c>
      <c r="Q13" s="485"/>
      <c r="R13" s="139" t="s">
        <v>312</v>
      </c>
      <c r="S13" s="139"/>
      <c r="T13" s="139"/>
      <c r="U13" s="139">
        <v>0</v>
      </c>
      <c r="V13" s="139">
        <v>0</v>
      </c>
      <c r="W13" s="139">
        <f>+(U13*20)+(V13*10)</f>
        <v>0</v>
      </c>
      <c r="X13" s="285"/>
      <c r="Y13" s="485"/>
      <c r="Z13" s="139" t="s">
        <v>312</v>
      </c>
      <c r="AA13" s="139"/>
      <c r="AB13" s="139"/>
      <c r="AC13" s="139">
        <v>0</v>
      </c>
      <c r="AD13" s="139">
        <v>0</v>
      </c>
      <c r="AE13" s="139">
        <f>+(AC13*20)+(AD13*10)</f>
        <v>0</v>
      </c>
    </row>
    <row r="14" spans="2:31" s="284" customFormat="1" x14ac:dyDescent="0.25">
      <c r="B14" s="485"/>
      <c r="C14" s="139" t="s">
        <v>588</v>
      </c>
      <c r="D14" s="139"/>
      <c r="E14" s="139">
        <v>25000</v>
      </c>
      <c r="F14" s="139">
        <v>25000</v>
      </c>
      <c r="G14" s="139">
        <f>+(E14*E3)+(F14*F3)</f>
        <v>125000</v>
      </c>
      <c r="I14" s="485"/>
      <c r="J14" s="139" t="s">
        <v>588</v>
      </c>
      <c r="K14" s="139"/>
      <c r="L14" s="139"/>
      <c r="M14" s="139">
        <v>25000</v>
      </c>
      <c r="N14" s="139">
        <v>25000</v>
      </c>
      <c r="O14" s="139">
        <f>+(M14*M3)+(N14*N3)</f>
        <v>325000</v>
      </c>
      <c r="Q14" s="485"/>
      <c r="R14" s="139" t="s">
        <v>587</v>
      </c>
      <c r="S14" s="139"/>
      <c r="T14" s="139"/>
      <c r="U14" s="139">
        <v>25000</v>
      </c>
      <c r="V14" s="139">
        <v>30000</v>
      </c>
      <c r="W14" s="139">
        <f>+(U14*U3)+(V14*V3)</f>
        <v>455000</v>
      </c>
      <c r="X14" s="139">
        <v>10000</v>
      </c>
      <c r="Y14" s="485"/>
      <c r="Z14" s="139" t="s">
        <v>587</v>
      </c>
      <c r="AA14" s="139"/>
      <c r="AB14" s="139"/>
      <c r="AC14" s="139">
        <v>25000</v>
      </c>
      <c r="AD14" s="139">
        <v>25000</v>
      </c>
      <c r="AE14" s="139">
        <f>+(AC14*AC3)+(AD14*AD3)</f>
        <v>350000</v>
      </c>
    </row>
    <row r="15" spans="2:31" s="284" customFormat="1" x14ac:dyDescent="0.25">
      <c r="B15" s="485"/>
      <c r="C15" s="140" t="s">
        <v>307</v>
      </c>
      <c r="D15" s="140"/>
      <c r="E15" s="140"/>
      <c r="F15" s="140"/>
      <c r="G15" s="140">
        <f>+(E15*20)+(F15*10)</f>
        <v>0</v>
      </c>
      <c r="I15" s="485"/>
      <c r="J15" s="140" t="s">
        <v>307</v>
      </c>
      <c r="K15" s="140"/>
      <c r="L15" s="140"/>
      <c r="M15" s="140"/>
      <c r="N15" s="140"/>
      <c r="O15" s="140">
        <f>+(M15*20)+(N15*10)</f>
        <v>0</v>
      </c>
      <c r="Q15" s="485"/>
      <c r="R15" s="140" t="s">
        <v>307</v>
      </c>
      <c r="S15" s="140"/>
      <c r="T15" s="140"/>
      <c r="U15" s="140"/>
      <c r="V15" s="140"/>
      <c r="W15" s="140">
        <f>+(U15*20)+(V15*10)</f>
        <v>0</v>
      </c>
      <c r="X15" s="285"/>
      <c r="Y15" s="485"/>
      <c r="Z15" s="140" t="s">
        <v>307</v>
      </c>
      <c r="AA15" s="140"/>
      <c r="AB15" s="140"/>
      <c r="AC15" s="140"/>
      <c r="AD15" s="140"/>
      <c r="AE15" s="140">
        <f>+(AC15*20)+(AD15*10)</f>
        <v>0</v>
      </c>
    </row>
    <row r="16" spans="2:31" s="284" customFormat="1" x14ac:dyDescent="0.25">
      <c r="B16" s="485"/>
      <c r="C16" s="187" t="s">
        <v>308</v>
      </c>
      <c r="D16" s="187"/>
      <c r="E16" s="187">
        <v>0</v>
      </c>
      <c r="F16" s="187">
        <v>0</v>
      </c>
      <c r="G16" s="187">
        <f>+(E16*20)+(F16*10)</f>
        <v>0</v>
      </c>
      <c r="I16" s="485"/>
      <c r="J16" s="187" t="s">
        <v>308</v>
      </c>
      <c r="K16" s="187"/>
      <c r="L16" s="187"/>
      <c r="M16" s="187">
        <v>0</v>
      </c>
      <c r="N16" s="187">
        <v>0</v>
      </c>
      <c r="O16" s="187">
        <f>+(M16*20)+(N16*10)</f>
        <v>0</v>
      </c>
      <c r="Q16" s="485"/>
      <c r="R16" s="187" t="s">
        <v>308</v>
      </c>
      <c r="S16" s="187"/>
      <c r="T16" s="187"/>
      <c r="U16" s="187"/>
      <c r="V16" s="187"/>
      <c r="W16" s="187">
        <f>+(U16*20)+(V16*10)</f>
        <v>0</v>
      </c>
      <c r="X16" s="319">
        <f>+SUM(X9:X14,U9:U14)</f>
        <v>150000</v>
      </c>
      <c r="Y16" s="485"/>
      <c r="Z16" s="187" t="s">
        <v>308</v>
      </c>
      <c r="AA16" s="187"/>
      <c r="AB16" s="187"/>
      <c r="AC16" s="187">
        <v>0</v>
      </c>
      <c r="AD16" s="187">
        <v>0</v>
      </c>
      <c r="AE16" s="187">
        <f>+(AC16*20)+(AD16*10)</f>
        <v>0</v>
      </c>
    </row>
    <row r="17" spans="2:31" s="284" customFormat="1" ht="18.75" customHeight="1" x14ac:dyDescent="0.25">
      <c r="B17" s="485"/>
      <c r="C17" s="141" t="s">
        <v>309</v>
      </c>
      <c r="D17" s="141"/>
      <c r="E17" s="140">
        <v>0</v>
      </c>
      <c r="F17" s="140">
        <v>0</v>
      </c>
      <c r="G17" s="140">
        <f>+(E17*20)+(F17*10)</f>
        <v>0</v>
      </c>
      <c r="I17" s="485"/>
      <c r="J17" s="141" t="s">
        <v>309</v>
      </c>
      <c r="K17" s="141"/>
      <c r="L17" s="141"/>
      <c r="M17" s="140">
        <v>0</v>
      </c>
      <c r="N17" s="140">
        <v>0</v>
      </c>
      <c r="O17" s="140">
        <f>+(M17*20)+(N17*10)</f>
        <v>0</v>
      </c>
      <c r="Q17" s="485"/>
      <c r="R17" s="141" t="s">
        <v>309</v>
      </c>
      <c r="S17" s="141"/>
      <c r="T17" s="141"/>
      <c r="U17" s="140">
        <v>0</v>
      </c>
      <c r="V17" s="140">
        <v>0</v>
      </c>
      <c r="W17" s="140">
        <f>+(U17*20)+(V17*10)</f>
        <v>0</v>
      </c>
      <c r="X17" s="285"/>
      <c r="Y17" s="485"/>
      <c r="Z17" s="141" t="s">
        <v>309</v>
      </c>
      <c r="AA17" s="141"/>
      <c r="AB17" s="141"/>
      <c r="AC17" s="140">
        <v>0</v>
      </c>
      <c r="AD17" s="140">
        <v>0</v>
      </c>
      <c r="AE17" s="140">
        <f>+(AC17*20)+(AD17*10)</f>
        <v>0</v>
      </c>
    </row>
    <row r="18" spans="2:31" x14ac:dyDescent="0.25">
      <c r="B18" s="483" t="s">
        <v>11</v>
      </c>
      <c r="C18" s="142" t="s">
        <v>14</v>
      </c>
      <c r="D18" s="305">
        <f>2600000+67500+824000</f>
        <v>3491500</v>
      </c>
      <c r="E18" s="484"/>
      <c r="F18" s="484"/>
      <c r="G18" s="209"/>
      <c r="I18" s="483" t="s">
        <v>11</v>
      </c>
      <c r="J18" s="142" t="s">
        <v>14</v>
      </c>
      <c r="K18" s="142">
        <f>2600000+67500+824000</f>
        <v>3491500</v>
      </c>
      <c r="L18" s="142">
        <v>3439103.28</v>
      </c>
      <c r="M18" s="484">
        <f>+O18/O3</f>
        <v>9846.1538461538457</v>
      </c>
      <c r="N18" s="484"/>
      <c r="O18" s="209">
        <v>128000</v>
      </c>
      <c r="Q18" s="483" t="s">
        <v>11</v>
      </c>
      <c r="R18" s="142" t="s">
        <v>14</v>
      </c>
      <c r="S18" s="142">
        <f>2600000+67500+824000</f>
        <v>3491500</v>
      </c>
      <c r="T18" s="142">
        <v>3439103.28</v>
      </c>
      <c r="U18" s="484">
        <f>+W18/W3</f>
        <v>0</v>
      </c>
      <c r="V18" s="484"/>
      <c r="W18" s="209"/>
      <c r="Y18" s="483" t="s">
        <v>11</v>
      </c>
      <c r="Z18" s="142" t="s">
        <v>14</v>
      </c>
      <c r="AA18" s="305"/>
      <c r="AB18" s="305"/>
      <c r="AC18" s="484">
        <f>+AE18/AE3</f>
        <v>0</v>
      </c>
      <c r="AD18" s="484"/>
      <c r="AE18" s="209"/>
    </row>
    <row r="19" spans="2:31" x14ac:dyDescent="0.25">
      <c r="B19" s="483"/>
      <c r="C19" s="142" t="s">
        <v>586</v>
      </c>
      <c r="D19" s="305">
        <v>1242548.5</v>
      </c>
      <c r="E19" s="484"/>
      <c r="F19" s="484"/>
      <c r="G19" s="209"/>
      <c r="I19" s="483"/>
      <c r="J19" s="142" t="s">
        <v>586</v>
      </c>
      <c r="K19" s="142">
        <v>1242548.5</v>
      </c>
      <c r="L19" s="142">
        <v>1198874</v>
      </c>
      <c r="M19" s="484">
        <f>+O19/O3</f>
        <v>7605.7692307692305</v>
      </c>
      <c r="N19" s="484"/>
      <c r="O19" s="209">
        <v>98875</v>
      </c>
      <c r="Q19" s="483"/>
      <c r="R19" s="142" t="s">
        <v>586</v>
      </c>
      <c r="S19" s="142">
        <v>1242548.5</v>
      </c>
      <c r="T19" s="142">
        <v>1198874</v>
      </c>
      <c r="U19" s="484">
        <f>+W19/W3</f>
        <v>0</v>
      </c>
      <c r="V19" s="484"/>
      <c r="W19" s="209"/>
      <c r="Y19" s="483"/>
      <c r="Z19" s="142" t="s">
        <v>586</v>
      </c>
      <c r="AA19" s="305"/>
      <c r="AB19" s="305"/>
      <c r="AC19" s="484">
        <f>+AE19/AE3</f>
        <v>0</v>
      </c>
      <c r="AD19" s="484"/>
      <c r="AE19" s="209"/>
    </row>
    <row r="20" spans="2:31" x14ac:dyDescent="0.25">
      <c r="B20" s="483"/>
      <c r="C20" s="142" t="s">
        <v>585</v>
      </c>
      <c r="D20" s="305">
        <v>3737029.64</v>
      </c>
      <c r="E20" s="484"/>
      <c r="F20" s="484"/>
      <c r="G20" s="209"/>
      <c r="I20" s="483"/>
      <c r="J20" s="142" t="s">
        <v>585</v>
      </c>
      <c r="K20" s="142">
        <v>3737029.64</v>
      </c>
      <c r="L20" s="142">
        <v>3299796</v>
      </c>
      <c r="M20" s="484">
        <f>+O20/O3</f>
        <v>42346.307692307695</v>
      </c>
      <c r="N20" s="484"/>
      <c r="O20" s="209">
        <v>550502</v>
      </c>
      <c r="Q20" s="483"/>
      <c r="R20" s="142" t="s">
        <v>585</v>
      </c>
      <c r="S20" s="142">
        <v>3737029.64</v>
      </c>
      <c r="T20" s="142">
        <v>3299796</v>
      </c>
      <c r="U20" s="484">
        <f>+W20/W3</f>
        <v>0</v>
      </c>
      <c r="V20" s="484"/>
      <c r="W20" s="209"/>
      <c r="Y20" s="483"/>
      <c r="Z20" s="142" t="s">
        <v>585</v>
      </c>
      <c r="AA20" s="305"/>
      <c r="AB20" s="305"/>
      <c r="AC20" s="484">
        <f>+AE20/AE3</f>
        <v>0</v>
      </c>
      <c r="AD20" s="484"/>
      <c r="AE20" s="209"/>
    </row>
    <row r="21" spans="2:31" x14ac:dyDescent="0.25">
      <c r="B21" s="483"/>
      <c r="C21" s="189" t="s">
        <v>330</v>
      </c>
      <c r="D21" s="189"/>
      <c r="E21" s="484">
        <f>+G21/30</f>
        <v>0</v>
      </c>
      <c r="F21" s="484"/>
      <c r="G21" s="209">
        <v>0</v>
      </c>
      <c r="I21" s="483"/>
      <c r="J21" s="189" t="s">
        <v>330</v>
      </c>
      <c r="K21" s="189"/>
      <c r="L21" s="189"/>
      <c r="M21" s="484">
        <f>+O21/O3</f>
        <v>0</v>
      </c>
      <c r="N21" s="484"/>
      <c r="O21" s="209"/>
      <c r="Q21" s="483"/>
      <c r="R21" s="189" t="s">
        <v>330</v>
      </c>
      <c r="S21" s="189"/>
      <c r="T21" s="189"/>
      <c r="U21" s="484">
        <f>+W21/W3</f>
        <v>0</v>
      </c>
      <c r="V21" s="484"/>
      <c r="W21" s="209"/>
      <c r="Y21" s="483"/>
      <c r="Z21" s="189" t="s">
        <v>330</v>
      </c>
      <c r="AA21" s="189"/>
      <c r="AB21" s="189"/>
      <c r="AC21" s="484">
        <f>+AE21/AE3</f>
        <v>42857.142857142855</v>
      </c>
      <c r="AD21" s="484"/>
      <c r="AE21" s="209">
        <v>600000</v>
      </c>
    </row>
    <row r="23" spans="2:31" ht="45" x14ac:dyDescent="0.25">
      <c r="B23" s="307" t="s">
        <v>584</v>
      </c>
      <c r="C23" s="308">
        <v>0.4</v>
      </c>
      <c r="D23" s="309"/>
      <c r="E23" s="309">
        <f>+SUM(E4:F8,E18:F21,E9:E17)</f>
        <v>460000</v>
      </c>
      <c r="F23" s="309">
        <f>+SUM(E4:F8,E18:F21,F9:F17)</f>
        <v>505000</v>
      </c>
      <c r="G23" s="309">
        <f>+SUM(G4:G21)</f>
        <v>2880000</v>
      </c>
      <c r="I23" s="307" t="s">
        <v>584</v>
      </c>
      <c r="J23" s="311">
        <v>0.4</v>
      </c>
      <c r="K23" s="309"/>
      <c r="L23" s="309"/>
      <c r="M23" s="309">
        <f>+SUM(M4:N8,M18:N21,M9:M17)</f>
        <v>453644.38461538462</v>
      </c>
      <c r="N23" s="309">
        <f>+SUM(M4:N8,M18:N21,N9:N17)</f>
        <v>528644.38461538462</v>
      </c>
      <c r="O23" s="309">
        <f>+SUM(O4:O21)</f>
        <v>6452377</v>
      </c>
      <c r="Q23" s="307" t="s">
        <v>584</v>
      </c>
      <c r="R23" s="311">
        <v>0.4</v>
      </c>
      <c r="S23" s="309"/>
      <c r="T23" s="309"/>
      <c r="U23" s="309">
        <f>+SUM(U4:V8,U18:V21,U9:U17)</f>
        <v>315000</v>
      </c>
      <c r="V23" s="309">
        <f>+SUM(U4:V8,U18:V21,V9:V17)</f>
        <v>365000</v>
      </c>
      <c r="W23" s="309">
        <f>+SUM(W4:W21)</f>
        <v>5590000</v>
      </c>
      <c r="Y23" s="307" t="s">
        <v>584</v>
      </c>
      <c r="Z23" s="311">
        <v>0.4</v>
      </c>
      <c r="AA23" s="309"/>
      <c r="AB23" s="309"/>
      <c r="AC23" s="309">
        <f>+SUM(AC4:AD8,AC18:AD21,AC9:AC17)</f>
        <v>353095.23809523811</v>
      </c>
      <c r="AD23" s="309">
        <f>+SUM(AC4:AD8,AC18:AD21,AD9:AD17)</f>
        <v>398095.23809523811</v>
      </c>
      <c r="AE23" s="309">
        <f>+SUM(AE4:AE21)</f>
        <v>5740000</v>
      </c>
    </row>
    <row r="24" spans="2:31" ht="30" x14ac:dyDescent="0.25">
      <c r="B24" s="310" t="s">
        <v>583</v>
      </c>
      <c r="C24" s="306">
        <v>0.6</v>
      </c>
      <c r="D24" s="5"/>
      <c r="E24" s="5">
        <f>+E$25*$R24</f>
        <v>690000</v>
      </c>
      <c r="F24" s="5">
        <f>+F$25*$R24</f>
        <v>757500</v>
      </c>
      <c r="G24" s="5">
        <f>+G$25*C24</f>
        <v>4320000</v>
      </c>
      <c r="I24" s="312" t="s">
        <v>583</v>
      </c>
      <c r="J24" s="313">
        <v>0.6</v>
      </c>
      <c r="K24" s="26"/>
      <c r="L24" s="26"/>
      <c r="M24" s="26">
        <f>+M$25*$R24</f>
        <v>680466.57692307688</v>
      </c>
      <c r="N24" s="26">
        <f>+N$25*$R24</f>
        <v>792966.57692307688</v>
      </c>
      <c r="O24" s="26">
        <f>+O$25*J24</f>
        <v>9678565.4999999981</v>
      </c>
      <c r="Q24" s="312" t="s">
        <v>583</v>
      </c>
      <c r="R24" s="313">
        <v>0.6</v>
      </c>
      <c r="S24" s="26"/>
      <c r="T24" s="26"/>
      <c r="U24" s="26">
        <f>+U$25*$R24</f>
        <v>472500</v>
      </c>
      <c r="V24" s="26">
        <f>+V$25*$R24</f>
        <v>547500</v>
      </c>
      <c r="W24" s="26">
        <f>+W$25*R24</f>
        <v>8385000</v>
      </c>
      <c r="Y24" s="312" t="s">
        <v>583</v>
      </c>
      <c r="Z24" s="313">
        <v>0.6</v>
      </c>
      <c r="AA24" s="26"/>
      <c r="AB24" s="26"/>
      <c r="AC24" s="26">
        <f>+AC$25*$R24</f>
        <v>529642.85714285716</v>
      </c>
      <c r="AD24" s="26">
        <f>+AD$25*$R24</f>
        <v>597142.85714285716</v>
      </c>
      <c r="AE24" s="26">
        <f>+AE$25*Z24</f>
        <v>8610000</v>
      </c>
    </row>
    <row r="25" spans="2:31" ht="15.75" thickBot="1" x14ac:dyDescent="0.3">
      <c r="E25" s="1">
        <f>(E23/40)*100</f>
        <v>1150000</v>
      </c>
      <c r="F25" s="1">
        <f>(F23/40)*100</f>
        <v>1262500</v>
      </c>
      <c r="G25" s="146">
        <f>(G23/40)*100</f>
        <v>7200000</v>
      </c>
      <c r="M25" s="1">
        <f>(M23/40)*100</f>
        <v>1134110.9615384615</v>
      </c>
      <c r="N25" s="1">
        <f>(N23/40)*100</f>
        <v>1321610.9615384615</v>
      </c>
      <c r="O25" s="146">
        <f>(O23/40)*100</f>
        <v>16130942.499999998</v>
      </c>
      <c r="U25" s="1">
        <f>(U23/40)*100</f>
        <v>787500</v>
      </c>
      <c r="V25" s="1">
        <f>(V23/40)*100</f>
        <v>912500</v>
      </c>
      <c r="W25" s="146">
        <f>(W23/40)*100</f>
        <v>13975000</v>
      </c>
      <c r="AC25" s="1">
        <f>(AC23/40)*100</f>
        <v>882738.09523809527</v>
      </c>
      <c r="AD25" s="1">
        <f>(AD23/40)*100</f>
        <v>995238.09523809527</v>
      </c>
      <c r="AE25" s="146">
        <f>(AE23/40)*100</f>
        <v>14350000</v>
      </c>
    </row>
    <row r="26" spans="2:31" ht="15.75" thickTop="1" x14ac:dyDescent="0.25"/>
    <row r="27" spans="2:31" x14ac:dyDescent="0.25">
      <c r="M27" s="1" t="s">
        <v>582</v>
      </c>
      <c r="N27" s="1">
        <v>22</v>
      </c>
      <c r="O27" s="1">
        <f>+N27*U25</f>
        <v>17325000</v>
      </c>
    </row>
    <row r="28" spans="2:31" ht="15.75" thickBot="1" x14ac:dyDescent="0.3">
      <c r="F28" s="1" t="s">
        <v>661</v>
      </c>
      <c r="G28" s="405">
        <v>4055210</v>
      </c>
      <c r="M28" s="1" t="s">
        <v>581</v>
      </c>
      <c r="N28" s="1">
        <v>9</v>
      </c>
      <c r="O28" s="1">
        <f>+N28*V25</f>
        <v>8212500</v>
      </c>
    </row>
    <row r="29" spans="2:31" ht="16.5" thickTop="1" thickBot="1" x14ac:dyDescent="0.3">
      <c r="F29" s="406" t="s">
        <v>662</v>
      </c>
      <c r="G29" s="1">
        <f>+G28*60%</f>
        <v>2433126</v>
      </c>
      <c r="O29" s="147">
        <f>+SUM(O27:O28)</f>
        <v>25537500</v>
      </c>
    </row>
    <row r="30" spans="2:31" ht="15.75" thickTop="1" x14ac:dyDescent="0.25">
      <c r="F30" s="1" t="s">
        <v>663</v>
      </c>
      <c r="G30" s="1">
        <f>+G29-G28</f>
        <v>-1622084</v>
      </c>
      <c r="M30" s="1" t="s">
        <v>580</v>
      </c>
      <c r="O30" s="1">
        <f>+O29/31</f>
        <v>823790.32258064521</v>
      </c>
    </row>
    <row r="31" spans="2:31" x14ac:dyDescent="0.25">
      <c r="F31" s="406" t="s">
        <v>659</v>
      </c>
      <c r="G31" s="2">
        <v>900000</v>
      </c>
    </row>
    <row r="32" spans="2:31" x14ac:dyDescent="0.25">
      <c r="G32" s="43">
        <f>+G31+G30</f>
        <v>-722084</v>
      </c>
    </row>
    <row r="33" spans="6:7" x14ac:dyDescent="0.25">
      <c r="F33" s="406" t="s">
        <v>660</v>
      </c>
      <c r="G33" s="2">
        <f>+G32</f>
        <v>-722084</v>
      </c>
    </row>
  </sheetData>
  <mergeCells count="48">
    <mergeCell ref="U18:V18"/>
    <mergeCell ref="Y18:Y21"/>
    <mergeCell ref="AC18:AD18"/>
    <mergeCell ref="E19:F19"/>
    <mergeCell ref="M19:N19"/>
    <mergeCell ref="U19:V19"/>
    <mergeCell ref="AC19:AD19"/>
    <mergeCell ref="E20:F20"/>
    <mergeCell ref="M20:N20"/>
    <mergeCell ref="U20:V20"/>
    <mergeCell ref="AC20:AD20"/>
    <mergeCell ref="E21:F21"/>
    <mergeCell ref="M21:N21"/>
    <mergeCell ref="U21:V21"/>
    <mergeCell ref="AC21:AD21"/>
    <mergeCell ref="B9:B17"/>
    <mergeCell ref="I9:I17"/>
    <mergeCell ref="Q9:Q17"/>
    <mergeCell ref="Y9:Y17"/>
    <mergeCell ref="B5:B8"/>
    <mergeCell ref="I5:I8"/>
    <mergeCell ref="B18:B21"/>
    <mergeCell ref="E18:F18"/>
    <mergeCell ref="I18:I21"/>
    <mergeCell ref="M18:N18"/>
    <mergeCell ref="Q18:Q21"/>
    <mergeCell ref="AC5:AD5"/>
    <mergeCell ref="M6:N6"/>
    <mergeCell ref="U6:V6"/>
    <mergeCell ref="AC6:AD6"/>
    <mergeCell ref="M7:N7"/>
    <mergeCell ref="U7:V7"/>
    <mergeCell ref="AC7:AD7"/>
    <mergeCell ref="M5:N5"/>
    <mergeCell ref="Q5:Q8"/>
    <mergeCell ref="U5:V5"/>
    <mergeCell ref="Y5:Y8"/>
    <mergeCell ref="M8:N8"/>
    <mergeCell ref="U8:V8"/>
    <mergeCell ref="AC8:AD8"/>
    <mergeCell ref="B1:G1"/>
    <mergeCell ref="I1:O1"/>
    <mergeCell ref="Q1:W1"/>
    <mergeCell ref="Y1:AE1"/>
    <mergeCell ref="E4:F4"/>
    <mergeCell ref="M4:N4"/>
    <mergeCell ref="U4:V4"/>
    <mergeCell ref="AC4:AD4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59999389629810485"/>
  </sheetPr>
  <dimension ref="B1:AE30"/>
  <sheetViews>
    <sheetView workbookViewId="0"/>
  </sheetViews>
  <sheetFormatPr baseColWidth="10" defaultRowHeight="15" outlineLevelCol="1" x14ac:dyDescent="0.25"/>
  <cols>
    <col min="1" max="2" width="11.42578125" style="1" customWidth="1"/>
    <col min="3" max="3" width="53.140625" style="1" customWidth="1"/>
    <col min="4" max="4" width="11.85546875" style="1" hidden="1" customWidth="1" outlineLevel="1"/>
    <col min="5" max="5" width="11.42578125" style="1" customWidth="1" collapsed="1"/>
    <col min="6" max="6" width="11.42578125" style="1" customWidth="1"/>
    <col min="7" max="7" width="12.85546875" style="1" customWidth="1"/>
    <col min="8" max="8" width="11.42578125" style="1" customWidth="1"/>
    <col min="9" max="9" width="12.5703125" style="1" customWidth="1"/>
    <col min="10" max="10" width="58.28515625" style="1" customWidth="1"/>
    <col min="11" max="11" width="14.85546875" style="1" hidden="1" customWidth="1" outlineLevel="1"/>
    <col min="12" max="12" width="13.42578125" style="1" hidden="1" customWidth="1" outlineLevel="1"/>
    <col min="13" max="13" width="23.140625" style="1" customWidth="1" collapsed="1"/>
    <col min="14" max="14" width="12" style="1" customWidth="1"/>
    <col min="15" max="15" width="14" style="1" customWidth="1"/>
    <col min="16" max="16" width="5.140625" style="1" customWidth="1"/>
    <col min="17" max="17" width="12.5703125" style="1" customWidth="1"/>
    <col min="18" max="18" width="58.28515625" style="1" customWidth="1"/>
    <col min="19" max="19" width="14.85546875" style="1" hidden="1" customWidth="1" outlineLevel="1"/>
    <col min="20" max="20" width="14" style="1" hidden="1" customWidth="1" outlineLevel="1"/>
    <col min="21" max="21" width="11.85546875" style="1" bestFit="1" customWidth="1" collapsed="1"/>
    <col min="22" max="22" width="11.85546875" style="1" bestFit="1" customWidth="1"/>
    <col min="23" max="23" width="14" style="1" customWidth="1"/>
    <col min="24" max="24" width="12.85546875" style="133" bestFit="1" customWidth="1"/>
    <col min="25" max="25" width="11.42578125" style="1"/>
    <col min="26" max="26" width="58.28515625" style="1" customWidth="1"/>
    <col min="27" max="27" width="12" style="1" hidden="1" customWidth="1" outlineLevel="1"/>
    <col min="28" max="28" width="13.42578125" style="1" hidden="1" customWidth="1" outlineLevel="1"/>
    <col min="29" max="29" width="11.42578125" style="1" collapsed="1"/>
    <col min="30" max="30" width="11.42578125" style="1"/>
    <col min="31" max="31" width="13" style="1" customWidth="1"/>
    <col min="32" max="16384" width="11.42578125" style="1"/>
  </cols>
  <sheetData>
    <row r="1" spans="2:31" ht="21" x14ac:dyDescent="0.35">
      <c r="B1" s="475" t="s">
        <v>571</v>
      </c>
      <c r="C1" s="475"/>
      <c r="D1" s="475"/>
      <c r="E1" s="475"/>
      <c r="F1" s="475"/>
      <c r="G1" s="475"/>
      <c r="I1" s="475" t="s">
        <v>572</v>
      </c>
      <c r="J1" s="475"/>
      <c r="K1" s="475"/>
      <c r="L1" s="475"/>
      <c r="M1" s="475"/>
      <c r="N1" s="475"/>
      <c r="O1" s="475"/>
      <c r="Q1" s="475" t="s">
        <v>573</v>
      </c>
      <c r="R1" s="475"/>
      <c r="S1" s="475"/>
      <c r="T1" s="475"/>
      <c r="U1" s="475"/>
      <c r="V1" s="475"/>
      <c r="W1" s="475"/>
      <c r="Y1" s="475" t="s">
        <v>574</v>
      </c>
      <c r="Z1" s="475"/>
      <c r="AA1" s="475"/>
      <c r="AB1" s="475"/>
      <c r="AC1" s="475"/>
      <c r="AD1" s="475"/>
      <c r="AE1" s="475"/>
    </row>
    <row r="2" spans="2:31" x14ac:dyDescent="0.25">
      <c r="D2" s="144" t="s">
        <v>597</v>
      </c>
      <c r="E2" s="144" t="s">
        <v>342</v>
      </c>
      <c r="F2" s="144" t="s">
        <v>310</v>
      </c>
      <c r="G2" s="144" t="s">
        <v>195</v>
      </c>
      <c r="K2" s="144" t="s">
        <v>597</v>
      </c>
      <c r="L2" s="144" t="s">
        <v>596</v>
      </c>
      <c r="M2" s="144" t="s">
        <v>342</v>
      </c>
      <c r="N2" s="144" t="s">
        <v>310</v>
      </c>
      <c r="O2" s="144" t="s">
        <v>195</v>
      </c>
      <c r="S2" s="144" t="s">
        <v>597</v>
      </c>
      <c r="T2" s="144" t="s">
        <v>596</v>
      </c>
      <c r="U2" s="144" t="s">
        <v>342</v>
      </c>
      <c r="V2" s="144" t="s">
        <v>310</v>
      </c>
      <c r="W2" s="144" t="s">
        <v>195</v>
      </c>
      <c r="AA2" s="144" t="s">
        <v>597</v>
      </c>
      <c r="AB2" s="144" t="s">
        <v>596</v>
      </c>
      <c r="AC2" s="144" t="s">
        <v>342</v>
      </c>
      <c r="AD2" s="144" t="s">
        <v>310</v>
      </c>
      <c r="AE2" s="144" t="s">
        <v>195</v>
      </c>
    </row>
    <row r="3" spans="2:31" x14ac:dyDescent="0.25">
      <c r="D3" s="144"/>
      <c r="E3" s="288">
        <v>0</v>
      </c>
      <c r="F3" s="288">
        <v>3</v>
      </c>
      <c r="G3" s="288">
        <f>+E3+F3</f>
        <v>3</v>
      </c>
      <c r="K3" s="144"/>
      <c r="L3" s="144"/>
      <c r="M3" s="288">
        <v>0</v>
      </c>
      <c r="N3" s="288">
        <v>9</v>
      </c>
      <c r="O3" s="288">
        <f>+M3+N3</f>
        <v>9</v>
      </c>
      <c r="S3" s="144"/>
      <c r="T3" s="144"/>
      <c r="U3" s="288">
        <v>0</v>
      </c>
      <c r="V3" s="288">
        <v>11</v>
      </c>
      <c r="W3" s="288">
        <f>+U3+V3</f>
        <v>11</v>
      </c>
      <c r="AA3" s="144"/>
      <c r="AB3" s="144"/>
      <c r="AC3" s="288">
        <v>0</v>
      </c>
      <c r="AD3" s="288">
        <v>10</v>
      </c>
      <c r="AE3" s="288">
        <f>+AC3+AD3</f>
        <v>10</v>
      </c>
    </row>
    <row r="4" spans="2:31" x14ac:dyDescent="0.25">
      <c r="B4" s="143" t="s">
        <v>2</v>
      </c>
      <c r="C4" s="7" t="s">
        <v>2</v>
      </c>
      <c r="D4" s="7"/>
      <c r="E4" s="476">
        <f>+G4/G3</f>
        <v>500000</v>
      </c>
      <c r="F4" s="476"/>
      <c r="G4" s="7">
        <v>1500000</v>
      </c>
      <c r="I4" s="143" t="s">
        <v>2</v>
      </c>
      <c r="J4" s="7" t="s">
        <v>2</v>
      </c>
      <c r="K4" s="7"/>
      <c r="L4" s="7"/>
      <c r="M4" s="476">
        <f>+O4/O3</f>
        <v>277777.77777777775</v>
      </c>
      <c r="N4" s="476"/>
      <c r="O4" s="7">
        <v>2500000</v>
      </c>
      <c r="Q4" s="143" t="s">
        <v>2</v>
      </c>
      <c r="R4" s="7" t="s">
        <v>2</v>
      </c>
      <c r="S4" s="7"/>
      <c r="T4" s="7"/>
      <c r="U4" s="476">
        <f>+W4/W3</f>
        <v>227272.72727272726</v>
      </c>
      <c r="V4" s="476"/>
      <c r="W4" s="7">
        <v>2500000</v>
      </c>
      <c r="Y4" s="143" t="s">
        <v>2</v>
      </c>
      <c r="Z4" s="7" t="s">
        <v>2</v>
      </c>
      <c r="AA4" s="7"/>
      <c r="AB4" s="7"/>
      <c r="AC4" s="476">
        <f>+AE4/AE3</f>
        <v>250000</v>
      </c>
      <c r="AD4" s="476"/>
      <c r="AE4" s="7">
        <v>2500000</v>
      </c>
    </row>
    <row r="5" spans="2:31" x14ac:dyDescent="0.25">
      <c r="B5" s="478" t="s">
        <v>10</v>
      </c>
      <c r="C5" s="138" t="s">
        <v>7</v>
      </c>
      <c r="D5" s="138"/>
      <c r="E5" s="280"/>
      <c r="F5" s="281"/>
      <c r="G5" s="210"/>
      <c r="I5" s="478" t="s">
        <v>10</v>
      </c>
      <c r="J5" s="138" t="s">
        <v>7</v>
      </c>
      <c r="K5" s="138"/>
      <c r="L5" s="138"/>
      <c r="M5" s="477">
        <f>+O5/O3</f>
        <v>33333.333333333336</v>
      </c>
      <c r="N5" s="477"/>
      <c r="O5" s="287">
        <v>300000</v>
      </c>
      <c r="Q5" s="478" t="s">
        <v>10</v>
      </c>
      <c r="R5" s="138" t="s">
        <v>7</v>
      </c>
      <c r="S5" s="138"/>
      <c r="T5" s="138"/>
      <c r="U5" s="477">
        <f>+W5/W3</f>
        <v>27272.727272727272</v>
      </c>
      <c r="V5" s="477"/>
      <c r="W5" s="287">
        <v>300000</v>
      </c>
      <c r="Y5" s="478" t="s">
        <v>10</v>
      </c>
      <c r="Z5" s="138" t="s">
        <v>7</v>
      </c>
      <c r="AA5" s="138"/>
      <c r="AB5" s="138"/>
      <c r="AC5" s="477">
        <f>+AE5/30</f>
        <v>10000</v>
      </c>
      <c r="AD5" s="477"/>
      <c r="AE5" s="287">
        <v>300000</v>
      </c>
    </row>
    <row r="6" spans="2:31" x14ac:dyDescent="0.25">
      <c r="B6" s="479"/>
      <c r="C6" s="138" t="s">
        <v>8</v>
      </c>
      <c r="D6" s="138"/>
      <c r="E6" s="280"/>
      <c r="F6" s="281"/>
      <c r="G6" s="210"/>
      <c r="I6" s="479"/>
      <c r="J6" s="138" t="s">
        <v>8</v>
      </c>
      <c r="K6" s="138"/>
      <c r="L6" s="138"/>
      <c r="M6" s="477">
        <f>+O6/O3</f>
        <v>27777.777777777777</v>
      </c>
      <c r="N6" s="477"/>
      <c r="O6" s="287">
        <v>250000</v>
      </c>
      <c r="Q6" s="479"/>
      <c r="R6" s="138" t="s">
        <v>8</v>
      </c>
      <c r="S6" s="138"/>
      <c r="T6" s="138"/>
      <c r="U6" s="477">
        <f>+W6/W3</f>
        <v>22727.272727272728</v>
      </c>
      <c r="V6" s="477"/>
      <c r="W6" s="287">
        <v>250000</v>
      </c>
      <c r="Y6" s="479"/>
      <c r="Z6" s="138" t="s">
        <v>8</v>
      </c>
      <c r="AA6" s="138"/>
      <c r="AB6" s="138"/>
      <c r="AC6" s="477">
        <f>+AE6/30</f>
        <v>8333.3333333333339</v>
      </c>
      <c r="AD6" s="477"/>
      <c r="AE6" s="287">
        <v>250000</v>
      </c>
    </row>
    <row r="7" spans="2:31" x14ac:dyDescent="0.25">
      <c r="B7" s="479"/>
      <c r="C7" s="138" t="s">
        <v>9</v>
      </c>
      <c r="D7" s="138"/>
      <c r="E7" s="280"/>
      <c r="F7" s="281"/>
      <c r="G7" s="210"/>
      <c r="I7" s="479"/>
      <c r="J7" s="138" t="s">
        <v>9</v>
      </c>
      <c r="K7" s="138"/>
      <c r="L7" s="138"/>
      <c r="M7" s="477">
        <f>+O7/O3</f>
        <v>27777.777777777777</v>
      </c>
      <c r="N7" s="477"/>
      <c r="O7" s="287">
        <v>250000</v>
      </c>
      <c r="Q7" s="479"/>
      <c r="R7" s="138" t="s">
        <v>9</v>
      </c>
      <c r="S7" s="138"/>
      <c r="T7" s="138"/>
      <c r="U7" s="477">
        <f>+W7/W3</f>
        <v>22727.272727272728</v>
      </c>
      <c r="V7" s="477"/>
      <c r="W7" s="287">
        <v>250000</v>
      </c>
      <c r="Y7" s="479"/>
      <c r="Z7" s="138" t="s">
        <v>9</v>
      </c>
      <c r="AA7" s="138"/>
      <c r="AB7" s="138"/>
      <c r="AC7" s="477">
        <f>+AE7/30</f>
        <v>8333.3333333333339</v>
      </c>
      <c r="AD7" s="477"/>
      <c r="AE7" s="287">
        <v>250000</v>
      </c>
    </row>
    <row r="8" spans="2:31" x14ac:dyDescent="0.25">
      <c r="B8" s="480"/>
      <c r="C8" s="138" t="s">
        <v>306</v>
      </c>
      <c r="D8" s="286"/>
      <c r="E8" s="280"/>
      <c r="F8" s="281"/>
      <c r="G8" s="210"/>
      <c r="I8" s="480"/>
      <c r="J8" s="138" t="s">
        <v>306</v>
      </c>
      <c r="K8" s="286"/>
      <c r="L8" s="286"/>
      <c r="M8" s="481"/>
      <c r="N8" s="482"/>
      <c r="O8" s="210"/>
      <c r="Q8" s="480"/>
      <c r="R8" s="138" t="s">
        <v>306</v>
      </c>
      <c r="S8" s="286"/>
      <c r="T8" s="286"/>
      <c r="U8" s="481"/>
      <c r="V8" s="482"/>
      <c r="W8" s="210"/>
      <c r="Y8" s="480"/>
      <c r="Z8" s="138" t="s">
        <v>306</v>
      </c>
      <c r="AA8" s="286"/>
      <c r="AB8" s="286"/>
      <c r="AC8" s="481"/>
      <c r="AD8" s="482"/>
      <c r="AE8" s="210"/>
    </row>
    <row r="9" spans="2:31" s="284" customFormat="1" x14ac:dyDescent="0.25">
      <c r="B9" s="485" t="s">
        <v>56</v>
      </c>
      <c r="C9" s="139" t="s">
        <v>595</v>
      </c>
      <c r="D9" s="139"/>
      <c r="E9" s="139"/>
      <c r="F9" s="139">
        <v>35000</v>
      </c>
      <c r="G9" s="139">
        <f>+(E9*E3)+(F9*F3)</f>
        <v>105000</v>
      </c>
      <c r="I9" s="485" t="s">
        <v>56</v>
      </c>
      <c r="J9" s="139" t="s">
        <v>595</v>
      </c>
      <c r="K9" s="139"/>
      <c r="L9" s="139"/>
      <c r="M9" s="139"/>
      <c r="N9" s="139">
        <v>35000</v>
      </c>
      <c r="O9" s="139">
        <f>+(M9*M3)+(N9*N3)</f>
        <v>315000</v>
      </c>
      <c r="Q9" s="485" t="s">
        <v>56</v>
      </c>
      <c r="R9" s="139" t="s">
        <v>595</v>
      </c>
      <c r="S9" s="139"/>
      <c r="T9" s="139"/>
      <c r="U9" s="139"/>
      <c r="V9" s="139">
        <v>35000</v>
      </c>
      <c r="W9" s="139">
        <f>+(U9*U3)+(V9*V3)</f>
        <v>385000</v>
      </c>
      <c r="X9" s="139">
        <v>10000</v>
      </c>
      <c r="Y9" s="485" t="s">
        <v>56</v>
      </c>
      <c r="Z9" s="139" t="s">
        <v>595</v>
      </c>
      <c r="AA9" s="139"/>
      <c r="AB9" s="139"/>
      <c r="AC9" s="139"/>
      <c r="AD9" s="139">
        <v>35000</v>
      </c>
      <c r="AE9" s="139">
        <f>+(AC9*AC3)+(AD9*AD3)</f>
        <v>350000</v>
      </c>
    </row>
    <row r="10" spans="2:31" s="284" customFormat="1" x14ac:dyDescent="0.25">
      <c r="B10" s="485"/>
      <c r="C10" s="139" t="s">
        <v>594</v>
      </c>
      <c r="D10" s="139"/>
      <c r="E10" s="139"/>
      <c r="F10" s="139">
        <v>30000</v>
      </c>
      <c r="G10" s="139">
        <f>+(E10*E3)+(F10*F3)</f>
        <v>90000</v>
      </c>
      <c r="I10" s="485"/>
      <c r="J10" s="139" t="s">
        <v>594</v>
      </c>
      <c r="K10" s="139"/>
      <c r="L10" s="139"/>
      <c r="M10" s="139"/>
      <c r="N10" s="139">
        <v>30000</v>
      </c>
      <c r="O10" s="139">
        <f>+(M10*M3)+(N10*N3)</f>
        <v>270000</v>
      </c>
      <c r="Q10" s="485"/>
      <c r="R10" s="139" t="s">
        <v>593</v>
      </c>
      <c r="S10" s="139"/>
      <c r="T10" s="139"/>
      <c r="U10" s="139"/>
      <c r="V10" s="139">
        <v>30000</v>
      </c>
      <c r="W10" s="139">
        <f>+(U10*U3)+(V10*V3)</f>
        <v>330000</v>
      </c>
      <c r="X10" s="139">
        <v>10000</v>
      </c>
      <c r="Y10" s="485"/>
      <c r="Z10" s="139" t="s">
        <v>593</v>
      </c>
      <c r="AA10" s="139"/>
      <c r="AB10" s="139"/>
      <c r="AC10" s="139"/>
      <c r="AD10" s="139">
        <v>30000</v>
      </c>
      <c r="AE10" s="139">
        <f>+(AC10*AC3)+(AD10*AD3)</f>
        <v>300000</v>
      </c>
    </row>
    <row r="11" spans="2:31" s="284" customFormat="1" x14ac:dyDescent="0.25">
      <c r="B11" s="485"/>
      <c r="C11" s="139" t="s">
        <v>592</v>
      </c>
      <c r="D11" s="139"/>
      <c r="E11" s="139"/>
      <c r="F11" s="139">
        <v>30000</v>
      </c>
      <c r="G11" s="139">
        <f>+(E11*E3)+(F11*F3)</f>
        <v>90000</v>
      </c>
      <c r="I11" s="485"/>
      <c r="J11" s="139" t="s">
        <v>592</v>
      </c>
      <c r="K11" s="139"/>
      <c r="L11" s="139"/>
      <c r="M11" s="139"/>
      <c r="N11" s="139">
        <v>30000</v>
      </c>
      <c r="O11" s="139">
        <f>+(M11*M3)+(N11*N3)</f>
        <v>270000</v>
      </c>
      <c r="Q11" s="485"/>
      <c r="R11" s="139" t="s">
        <v>591</v>
      </c>
      <c r="S11" s="139"/>
      <c r="T11" s="139"/>
      <c r="U11" s="139"/>
      <c r="V11" s="139">
        <v>30000</v>
      </c>
      <c r="W11" s="139">
        <f>+(U11*U3)+(V11*V3)</f>
        <v>330000</v>
      </c>
      <c r="X11" s="139">
        <v>10000</v>
      </c>
      <c r="Y11" s="485"/>
      <c r="Z11" s="139" t="s">
        <v>591</v>
      </c>
      <c r="AA11" s="139"/>
      <c r="AB11" s="139"/>
      <c r="AC11" s="139"/>
      <c r="AD11" s="139">
        <v>30000</v>
      </c>
      <c r="AE11" s="139">
        <f>+(AC11*AC3)+(AD11*AD3)</f>
        <v>300000</v>
      </c>
    </row>
    <row r="12" spans="2:31" s="284" customFormat="1" x14ac:dyDescent="0.25">
      <c r="B12" s="485"/>
      <c r="C12" s="139" t="s">
        <v>590</v>
      </c>
      <c r="D12" s="139"/>
      <c r="E12" s="139"/>
      <c r="F12" s="139">
        <v>35000</v>
      </c>
      <c r="G12" s="139">
        <f>+(E12*0)+(F12*F3)</f>
        <v>105000</v>
      </c>
      <c r="I12" s="485"/>
      <c r="J12" s="139" t="s">
        <v>590</v>
      </c>
      <c r="K12" s="139"/>
      <c r="L12" s="139"/>
      <c r="M12" s="139"/>
      <c r="N12" s="139">
        <v>35000</v>
      </c>
      <c r="O12" s="139">
        <f>+(M12*0)+(N12*N$3)</f>
        <v>315000</v>
      </c>
      <c r="Q12" s="485"/>
      <c r="R12" s="139" t="s">
        <v>590</v>
      </c>
      <c r="S12" s="139"/>
      <c r="T12" s="139"/>
      <c r="U12" s="139"/>
      <c r="V12" s="139">
        <v>35000</v>
      </c>
      <c r="W12" s="139">
        <f>+(U12*0)+(V12*V3)</f>
        <v>385000</v>
      </c>
      <c r="X12" s="285"/>
      <c r="Y12" s="485"/>
      <c r="Z12" s="139" t="s">
        <v>590</v>
      </c>
      <c r="AA12" s="139"/>
      <c r="AB12" s="139"/>
      <c r="AC12" s="139"/>
      <c r="AD12" s="139">
        <v>35000</v>
      </c>
      <c r="AE12" s="139">
        <f>+(AC12*0)+(AD12*AD3)</f>
        <v>350000</v>
      </c>
    </row>
    <row r="13" spans="2:31" s="284" customFormat="1" x14ac:dyDescent="0.25">
      <c r="B13" s="485"/>
      <c r="C13" s="139" t="s">
        <v>589</v>
      </c>
      <c r="D13" s="139"/>
      <c r="E13" s="139"/>
      <c r="F13" s="139">
        <v>50000</v>
      </c>
      <c r="G13" s="139">
        <f>+(E13*8)+(F13*5)</f>
        <v>250000</v>
      </c>
      <c r="I13" s="485"/>
      <c r="J13" s="139" t="s">
        <v>589</v>
      </c>
      <c r="K13" s="139"/>
      <c r="L13" s="139"/>
      <c r="M13" s="139"/>
      <c r="N13" s="139">
        <v>60000</v>
      </c>
      <c r="O13" s="139">
        <f>+(M13*0)+(N13*N$3)</f>
        <v>540000</v>
      </c>
      <c r="Q13" s="485"/>
      <c r="R13" s="139" t="s">
        <v>312</v>
      </c>
      <c r="S13" s="139"/>
      <c r="T13" s="139"/>
      <c r="U13" s="139"/>
      <c r="V13" s="139">
        <v>0</v>
      </c>
      <c r="W13" s="139">
        <f>+(U13*20)+(V13*10)</f>
        <v>0</v>
      </c>
      <c r="X13" s="285"/>
      <c r="Y13" s="485"/>
      <c r="Z13" s="139" t="s">
        <v>312</v>
      </c>
      <c r="AA13" s="139"/>
      <c r="AB13" s="139"/>
      <c r="AC13" s="139"/>
      <c r="AD13" s="139">
        <v>0</v>
      </c>
      <c r="AE13" s="139">
        <f>+(AC13*20)+(AD13*10)</f>
        <v>0</v>
      </c>
    </row>
    <row r="14" spans="2:31" s="284" customFormat="1" x14ac:dyDescent="0.25">
      <c r="B14" s="485"/>
      <c r="C14" s="139" t="s">
        <v>588</v>
      </c>
      <c r="D14" s="139"/>
      <c r="E14" s="139"/>
      <c r="F14" s="139">
        <v>25000</v>
      </c>
      <c r="G14" s="139">
        <f>+(E14*E3)+(F14*F3)</f>
        <v>75000</v>
      </c>
      <c r="I14" s="485"/>
      <c r="J14" s="139" t="s">
        <v>588</v>
      </c>
      <c r="K14" s="139"/>
      <c r="L14" s="139"/>
      <c r="M14" s="139"/>
      <c r="N14" s="139">
        <v>25000</v>
      </c>
      <c r="O14" s="139">
        <f>+(M14*M3)+(N14*N3)</f>
        <v>225000</v>
      </c>
      <c r="Q14" s="485"/>
      <c r="R14" s="139" t="s">
        <v>587</v>
      </c>
      <c r="S14" s="139"/>
      <c r="T14" s="139"/>
      <c r="U14" s="139"/>
      <c r="V14" s="139">
        <v>30000</v>
      </c>
      <c r="W14" s="139">
        <f>+(U14*U3)+(V14*V3)</f>
        <v>330000</v>
      </c>
      <c r="X14" s="139">
        <v>10000</v>
      </c>
      <c r="Y14" s="485"/>
      <c r="Z14" s="139" t="s">
        <v>587</v>
      </c>
      <c r="AA14" s="139"/>
      <c r="AB14" s="139"/>
      <c r="AC14" s="139"/>
      <c r="AD14" s="139">
        <v>25000</v>
      </c>
      <c r="AE14" s="139">
        <f>+(AC14*AC3)+(AD14*AD3)</f>
        <v>250000</v>
      </c>
    </row>
    <row r="15" spans="2:31" s="284" customFormat="1" x14ac:dyDescent="0.25">
      <c r="B15" s="485"/>
      <c r="C15" s="140" t="s">
        <v>307</v>
      </c>
      <c r="D15" s="140"/>
      <c r="E15" s="140"/>
      <c r="F15" s="140"/>
      <c r="G15" s="140">
        <f>+(E15*20)+(F15*10)</f>
        <v>0</v>
      </c>
      <c r="I15" s="485"/>
      <c r="J15" s="140" t="s">
        <v>307</v>
      </c>
      <c r="K15" s="140"/>
      <c r="L15" s="140"/>
      <c r="M15" s="140"/>
      <c r="N15" s="140"/>
      <c r="O15" s="140">
        <f>+(M15*20)+(N15*10)</f>
        <v>0</v>
      </c>
      <c r="Q15" s="485"/>
      <c r="R15" s="140" t="s">
        <v>307</v>
      </c>
      <c r="S15" s="140"/>
      <c r="T15" s="140"/>
      <c r="U15" s="140"/>
      <c r="V15" s="140"/>
      <c r="W15" s="140">
        <f>+(U15*20)+(V15*10)</f>
        <v>0</v>
      </c>
      <c r="X15" s="285"/>
      <c r="Y15" s="485"/>
      <c r="Z15" s="140" t="s">
        <v>307</v>
      </c>
      <c r="AA15" s="140"/>
      <c r="AB15" s="140"/>
      <c r="AC15" s="140"/>
      <c r="AD15" s="140"/>
      <c r="AE15" s="140">
        <f>+(AC15*20)+(AD15*10)</f>
        <v>0</v>
      </c>
    </row>
    <row r="16" spans="2:31" s="284" customFormat="1" x14ac:dyDescent="0.25">
      <c r="B16" s="485"/>
      <c r="C16" s="187" t="s">
        <v>308</v>
      </c>
      <c r="D16" s="187"/>
      <c r="E16" s="187">
        <v>0</v>
      </c>
      <c r="F16" s="187">
        <v>0</v>
      </c>
      <c r="G16" s="187">
        <f>+(E16*20)+(F16*10)</f>
        <v>0</v>
      </c>
      <c r="I16" s="485"/>
      <c r="J16" s="187" t="s">
        <v>308</v>
      </c>
      <c r="K16" s="187"/>
      <c r="L16" s="187"/>
      <c r="M16" s="187">
        <v>0</v>
      </c>
      <c r="N16" s="187">
        <v>0</v>
      </c>
      <c r="O16" s="187">
        <f>+(M16*20)+(N16*10)</f>
        <v>0</v>
      </c>
      <c r="Q16" s="485"/>
      <c r="R16" s="187" t="s">
        <v>308</v>
      </c>
      <c r="S16" s="187"/>
      <c r="T16" s="187"/>
      <c r="U16" s="187"/>
      <c r="V16" s="187"/>
      <c r="W16" s="187">
        <f>+(U16*20)+(V16*10)</f>
        <v>0</v>
      </c>
      <c r="X16" s="319">
        <f>+SUM(X9:X14,U9:U14)</f>
        <v>40000</v>
      </c>
      <c r="Y16" s="485"/>
      <c r="Z16" s="187" t="s">
        <v>308</v>
      </c>
      <c r="AA16" s="187"/>
      <c r="AB16" s="187"/>
      <c r="AC16" s="187">
        <v>0</v>
      </c>
      <c r="AD16" s="187">
        <v>0</v>
      </c>
      <c r="AE16" s="187">
        <f>+(AC16*20)+(AD16*10)</f>
        <v>0</v>
      </c>
    </row>
    <row r="17" spans="2:31" s="284" customFormat="1" ht="18.75" customHeight="1" x14ac:dyDescent="0.25">
      <c r="B17" s="485"/>
      <c r="C17" s="141" t="s">
        <v>309</v>
      </c>
      <c r="D17" s="141"/>
      <c r="E17" s="140">
        <v>0</v>
      </c>
      <c r="F17" s="140">
        <v>0</v>
      </c>
      <c r="G17" s="140">
        <f>+(E17*20)+(F17*10)</f>
        <v>0</v>
      </c>
      <c r="I17" s="485"/>
      <c r="J17" s="141" t="s">
        <v>309</v>
      </c>
      <c r="K17" s="141"/>
      <c r="L17" s="141"/>
      <c r="M17" s="140">
        <v>0</v>
      </c>
      <c r="N17" s="140">
        <v>0</v>
      </c>
      <c r="O17" s="140">
        <f>+(M17*20)+(N17*10)</f>
        <v>0</v>
      </c>
      <c r="Q17" s="485"/>
      <c r="R17" s="141" t="s">
        <v>309</v>
      </c>
      <c r="S17" s="141"/>
      <c r="T17" s="141"/>
      <c r="U17" s="140">
        <v>0</v>
      </c>
      <c r="V17" s="140">
        <v>0</v>
      </c>
      <c r="W17" s="140">
        <f>+(U17*20)+(V17*10)</f>
        <v>0</v>
      </c>
      <c r="X17" s="285"/>
      <c r="Y17" s="485"/>
      <c r="Z17" s="141" t="s">
        <v>309</v>
      </c>
      <c r="AA17" s="141"/>
      <c r="AB17" s="141"/>
      <c r="AC17" s="140">
        <v>0</v>
      </c>
      <c r="AD17" s="140">
        <v>0</v>
      </c>
      <c r="AE17" s="140">
        <f>+(AC17*20)+(AD17*10)</f>
        <v>0</v>
      </c>
    </row>
    <row r="18" spans="2:31" x14ac:dyDescent="0.25">
      <c r="B18" s="483" t="s">
        <v>11</v>
      </c>
      <c r="C18" s="142" t="s">
        <v>14</v>
      </c>
      <c r="D18" s="305">
        <f>2600000+67500+824000</f>
        <v>3491500</v>
      </c>
      <c r="E18" s="484"/>
      <c r="F18" s="484"/>
      <c r="G18" s="209"/>
      <c r="I18" s="483" t="s">
        <v>11</v>
      </c>
      <c r="J18" s="142" t="s">
        <v>14</v>
      </c>
      <c r="K18" s="142">
        <f>2600000+67500+824000</f>
        <v>3491500</v>
      </c>
      <c r="L18" s="142">
        <v>3439103.28</v>
      </c>
      <c r="M18" s="484">
        <f>+O18/O3</f>
        <v>14222.222222222223</v>
      </c>
      <c r="N18" s="484"/>
      <c r="O18" s="209">
        <v>128000</v>
      </c>
      <c r="Q18" s="483" t="s">
        <v>11</v>
      </c>
      <c r="R18" s="142" t="s">
        <v>14</v>
      </c>
      <c r="S18" s="142">
        <f>2600000+67500+824000</f>
        <v>3491500</v>
      </c>
      <c r="T18" s="142">
        <v>3439103.28</v>
      </c>
      <c r="U18" s="484">
        <f>+W18/W3</f>
        <v>18566.18181818182</v>
      </c>
      <c r="V18" s="484"/>
      <c r="W18" s="209">
        <v>204228</v>
      </c>
      <c r="Y18" s="483" t="s">
        <v>11</v>
      </c>
      <c r="Z18" s="142" t="s">
        <v>14</v>
      </c>
      <c r="AA18" s="305"/>
      <c r="AB18" s="305"/>
      <c r="AC18" s="484">
        <f>+AE18/AE3</f>
        <v>20422.8</v>
      </c>
      <c r="AD18" s="484"/>
      <c r="AE18" s="209">
        <v>204228</v>
      </c>
    </row>
    <row r="19" spans="2:31" x14ac:dyDescent="0.25">
      <c r="B19" s="483"/>
      <c r="C19" s="142" t="s">
        <v>586</v>
      </c>
      <c r="D19" s="305">
        <v>1242548.5</v>
      </c>
      <c r="E19" s="484"/>
      <c r="F19" s="484"/>
      <c r="G19" s="209"/>
      <c r="I19" s="483"/>
      <c r="J19" s="142" t="s">
        <v>586</v>
      </c>
      <c r="K19" s="142">
        <v>1242548.5</v>
      </c>
      <c r="L19" s="142">
        <v>1198874</v>
      </c>
      <c r="M19" s="484">
        <f>+O19/O3</f>
        <v>10986.111111111111</v>
      </c>
      <c r="N19" s="484"/>
      <c r="O19" s="209">
        <v>98875</v>
      </c>
      <c r="Q19" s="483"/>
      <c r="R19" s="142" t="s">
        <v>586</v>
      </c>
      <c r="S19" s="142">
        <v>1242548.5</v>
      </c>
      <c r="T19" s="142">
        <v>1198874</v>
      </c>
      <c r="U19" s="484">
        <f>+W19/W3</f>
        <v>8988.636363636364</v>
      </c>
      <c r="V19" s="484"/>
      <c r="W19" s="209">
        <v>98875</v>
      </c>
      <c r="Y19" s="483"/>
      <c r="Z19" s="142" t="s">
        <v>586</v>
      </c>
      <c r="AA19" s="305"/>
      <c r="AB19" s="305"/>
      <c r="AC19" s="484">
        <f>+AE19/AE3</f>
        <v>9887.5</v>
      </c>
      <c r="AD19" s="484"/>
      <c r="AE19" s="209">
        <v>98875</v>
      </c>
    </row>
    <row r="20" spans="2:31" x14ac:dyDescent="0.25">
      <c r="B20" s="483"/>
      <c r="C20" s="142" t="s">
        <v>585</v>
      </c>
      <c r="D20" s="305">
        <v>3737029.64</v>
      </c>
      <c r="E20" s="484"/>
      <c r="F20" s="484"/>
      <c r="G20" s="209"/>
      <c r="I20" s="483"/>
      <c r="J20" s="142" t="s">
        <v>585</v>
      </c>
      <c r="K20" s="142">
        <v>3737029.64</v>
      </c>
      <c r="L20" s="142">
        <v>3299796</v>
      </c>
      <c r="M20" s="484">
        <f>+O20/O3</f>
        <v>61166.888888888891</v>
      </c>
      <c r="N20" s="484"/>
      <c r="O20" s="209">
        <v>550502</v>
      </c>
      <c r="Q20" s="483"/>
      <c r="R20" s="142" t="s">
        <v>585</v>
      </c>
      <c r="S20" s="142">
        <v>3737029.64</v>
      </c>
      <c r="T20" s="142">
        <v>3299796</v>
      </c>
      <c r="U20" s="484">
        <f>+W20/W3</f>
        <v>50045.63636363636</v>
      </c>
      <c r="V20" s="484"/>
      <c r="W20" s="209">
        <v>550502</v>
      </c>
      <c r="Y20" s="483"/>
      <c r="Z20" s="142" t="s">
        <v>585</v>
      </c>
      <c r="AA20" s="305"/>
      <c r="AB20" s="305"/>
      <c r="AC20" s="484">
        <f>+AE20/AE3</f>
        <v>20246.2</v>
      </c>
      <c r="AD20" s="484"/>
      <c r="AE20" s="209">
        <v>202462</v>
      </c>
    </row>
    <row r="21" spans="2:31" x14ac:dyDescent="0.25">
      <c r="B21" s="483"/>
      <c r="C21" s="189" t="s">
        <v>330</v>
      </c>
      <c r="D21" s="189"/>
      <c r="E21" s="484">
        <f>+G21/30</f>
        <v>0</v>
      </c>
      <c r="F21" s="484"/>
      <c r="G21" s="209">
        <v>0</v>
      </c>
      <c r="I21" s="483"/>
      <c r="J21" s="189" t="s">
        <v>330</v>
      </c>
      <c r="K21" s="189"/>
      <c r="L21" s="189"/>
      <c r="M21" s="484">
        <f>+O21/O3</f>
        <v>66666.666666666672</v>
      </c>
      <c r="N21" s="484"/>
      <c r="O21" s="209">
        <v>600000</v>
      </c>
      <c r="Q21" s="483"/>
      <c r="R21" s="189" t="s">
        <v>330</v>
      </c>
      <c r="S21" s="189"/>
      <c r="T21" s="189"/>
      <c r="U21" s="484">
        <f>+W21/W3</f>
        <v>54545.454545454544</v>
      </c>
      <c r="V21" s="484"/>
      <c r="W21" s="209">
        <v>600000</v>
      </c>
      <c r="Y21" s="483"/>
      <c r="Z21" s="189" t="s">
        <v>330</v>
      </c>
      <c r="AA21" s="189"/>
      <c r="AB21" s="189"/>
      <c r="AC21" s="484">
        <f>+AE21/AE3</f>
        <v>60000</v>
      </c>
      <c r="AD21" s="484"/>
      <c r="AE21" s="209">
        <v>600000</v>
      </c>
    </row>
    <row r="23" spans="2:31" ht="45" x14ac:dyDescent="0.25">
      <c r="B23" s="307" t="s">
        <v>584</v>
      </c>
      <c r="C23" s="308">
        <v>0.4</v>
      </c>
      <c r="D23" s="309"/>
      <c r="E23" s="309">
        <f>+SUM(E4:F8,E18:F21,E9:E17)</f>
        <v>500000</v>
      </c>
      <c r="F23" s="309">
        <f>+SUM(E4:F8,E18:F21,F9:F17)</f>
        <v>705000</v>
      </c>
      <c r="G23" s="309">
        <f>+SUM(G4:G21)</f>
        <v>2215000</v>
      </c>
      <c r="I23" s="307" t="s">
        <v>584</v>
      </c>
      <c r="J23" s="311">
        <v>0.4</v>
      </c>
      <c r="K23" s="309"/>
      <c r="L23" s="309"/>
      <c r="M23" s="309">
        <f>+SUM(M4:N8,M18:N21,M9:M17)</f>
        <v>519708.5555555555</v>
      </c>
      <c r="N23" s="309">
        <f>+SUM(M4:N8,M18:N21,N9:N17)</f>
        <v>734708.5555555555</v>
      </c>
      <c r="O23" s="309">
        <f>+SUM(O4:O21)</f>
        <v>6612377</v>
      </c>
      <c r="Q23" s="307" t="s">
        <v>584</v>
      </c>
      <c r="R23" s="311">
        <v>0.4</v>
      </c>
      <c r="S23" s="309"/>
      <c r="T23" s="309"/>
      <c r="U23" s="309">
        <f>+SUM(U4:V8,U18:V21,U9:U17)</f>
        <v>432145.909090909</v>
      </c>
      <c r="V23" s="309">
        <f>+SUM(U4:V8,U18:V21,V9:V17)</f>
        <v>592145.90909090894</v>
      </c>
      <c r="W23" s="309">
        <f>+SUM(W4:W21)</f>
        <v>6513605</v>
      </c>
      <c r="Y23" s="307" t="s">
        <v>584</v>
      </c>
      <c r="Z23" s="311">
        <v>0.4</v>
      </c>
      <c r="AA23" s="309"/>
      <c r="AB23" s="309"/>
      <c r="AC23" s="309">
        <f>+SUM(AC4:AD8,AC18:AD21,AC9:AC17)</f>
        <v>387223.16666666663</v>
      </c>
      <c r="AD23" s="309">
        <f>+SUM(AC4:AD8,AC18:AD21,AD9:AD17)</f>
        <v>542223.16666666663</v>
      </c>
      <c r="AE23" s="309">
        <f>+SUM(AE4:AE21)</f>
        <v>5955565</v>
      </c>
    </row>
    <row r="24" spans="2:31" ht="30" x14ac:dyDescent="0.25">
      <c r="B24" s="310" t="s">
        <v>583</v>
      </c>
      <c r="C24" s="306">
        <v>0.6</v>
      </c>
      <c r="D24" s="5"/>
      <c r="E24" s="5">
        <f>+E$25*$R24</f>
        <v>750000</v>
      </c>
      <c r="F24" s="5">
        <f>+F$25*$R24</f>
        <v>1057500</v>
      </c>
      <c r="G24" s="5">
        <f>+G$25*C24</f>
        <v>3322500</v>
      </c>
      <c r="I24" s="312" t="s">
        <v>583</v>
      </c>
      <c r="J24" s="313">
        <v>0.6</v>
      </c>
      <c r="K24" s="26"/>
      <c r="L24" s="26"/>
      <c r="M24" s="26">
        <f>+M$25*$R24</f>
        <v>779562.83333333326</v>
      </c>
      <c r="N24" s="26">
        <f>+N$25*$R24</f>
        <v>1102062.8333333333</v>
      </c>
      <c r="O24" s="26">
        <f>+O$25*J24</f>
        <v>9918565.4999999981</v>
      </c>
      <c r="Q24" s="312" t="s">
        <v>583</v>
      </c>
      <c r="R24" s="313">
        <v>0.6</v>
      </c>
      <c r="S24" s="26"/>
      <c r="T24" s="26"/>
      <c r="U24" s="26">
        <f>+U$25*$R24</f>
        <v>648218.86363636341</v>
      </c>
      <c r="V24" s="26">
        <f>+V$25*$R24</f>
        <v>888218.86363636341</v>
      </c>
      <c r="W24" s="26">
        <f>+W$25*R24</f>
        <v>9770407.5</v>
      </c>
      <c r="Y24" s="312" t="s">
        <v>583</v>
      </c>
      <c r="Z24" s="313">
        <v>0.6</v>
      </c>
      <c r="AA24" s="26"/>
      <c r="AB24" s="26"/>
      <c r="AC24" s="26">
        <f>+AC$25*$R24</f>
        <v>580834.75</v>
      </c>
      <c r="AD24" s="26">
        <f>+AD$25*$R24</f>
        <v>813334.75</v>
      </c>
      <c r="AE24" s="26">
        <f>+AE$25*Z24</f>
        <v>8933347.5</v>
      </c>
    </row>
    <row r="25" spans="2:31" ht="15.75" thickBot="1" x14ac:dyDescent="0.3">
      <c r="E25" s="1">
        <f>(E23/40)*100</f>
        <v>1250000</v>
      </c>
      <c r="F25" s="1">
        <f>(F23/40)*100</f>
        <v>1762500</v>
      </c>
      <c r="G25" s="146">
        <f>(G23/40)*100</f>
        <v>5537500</v>
      </c>
      <c r="M25" s="1">
        <f>(M23/40)*100</f>
        <v>1299271.3888888888</v>
      </c>
      <c r="N25" s="1">
        <f>(N23/40)*100</f>
        <v>1836771.3888888888</v>
      </c>
      <c r="O25" s="146">
        <f>(O23/40)*100</f>
        <v>16530942.499999998</v>
      </c>
      <c r="U25" s="1">
        <f>(U23/40)*100</f>
        <v>1080364.7727272725</v>
      </c>
      <c r="V25" s="1">
        <f>(V23/40)*100</f>
        <v>1480364.7727272725</v>
      </c>
      <c r="W25" s="146">
        <f>(W23/40)*100</f>
        <v>16284012.5</v>
      </c>
      <c r="AC25" s="1">
        <f>(AC23/40)*100</f>
        <v>968057.91666666663</v>
      </c>
      <c r="AD25" s="1">
        <f>(AD23/40)*100</f>
        <v>1355557.9166666667</v>
      </c>
      <c r="AE25" s="146">
        <f>(AE23/40)*100</f>
        <v>14888912.5</v>
      </c>
    </row>
    <row r="26" spans="2:31" ht="15.75" thickTop="1" x14ac:dyDescent="0.25"/>
    <row r="27" spans="2:31" x14ac:dyDescent="0.25">
      <c r="M27" s="1" t="s">
        <v>582</v>
      </c>
      <c r="N27" s="1">
        <v>22</v>
      </c>
      <c r="O27" s="1">
        <f>+N27*U25</f>
        <v>23768024.999999993</v>
      </c>
    </row>
    <row r="28" spans="2:31" ht="15.75" thickBot="1" x14ac:dyDescent="0.3">
      <c r="M28" s="1" t="s">
        <v>581</v>
      </c>
      <c r="N28" s="1">
        <v>9</v>
      </c>
      <c r="O28" s="1">
        <f>+N28*V25</f>
        <v>13323282.954545453</v>
      </c>
    </row>
    <row r="29" spans="2:31" ht="16.5" thickTop="1" thickBot="1" x14ac:dyDescent="0.3">
      <c r="O29" s="147">
        <f>+SUM(O27:O28)</f>
        <v>37091307.954545446</v>
      </c>
    </row>
    <row r="30" spans="2:31" ht="15.75" thickTop="1" x14ac:dyDescent="0.25">
      <c r="M30" s="1" t="s">
        <v>580</v>
      </c>
      <c r="O30" s="1">
        <f>+O29/31</f>
        <v>1196493.804985337</v>
      </c>
    </row>
  </sheetData>
  <mergeCells count="48">
    <mergeCell ref="U18:V18"/>
    <mergeCell ref="Y18:Y21"/>
    <mergeCell ref="AC18:AD18"/>
    <mergeCell ref="E19:F19"/>
    <mergeCell ref="M19:N19"/>
    <mergeCell ref="U19:V19"/>
    <mergeCell ref="AC19:AD19"/>
    <mergeCell ref="E20:F20"/>
    <mergeCell ref="M20:N20"/>
    <mergeCell ref="U20:V20"/>
    <mergeCell ref="AC20:AD20"/>
    <mergeCell ref="E21:F21"/>
    <mergeCell ref="M21:N21"/>
    <mergeCell ref="U21:V21"/>
    <mergeCell ref="AC21:AD21"/>
    <mergeCell ref="B9:B17"/>
    <mergeCell ref="I9:I17"/>
    <mergeCell ref="Q9:Q17"/>
    <mergeCell ref="Y9:Y17"/>
    <mergeCell ref="B5:B8"/>
    <mergeCell ref="I5:I8"/>
    <mergeCell ref="B18:B21"/>
    <mergeCell ref="E18:F18"/>
    <mergeCell ref="I18:I21"/>
    <mergeCell ref="M18:N18"/>
    <mergeCell ref="Q18:Q21"/>
    <mergeCell ref="AC5:AD5"/>
    <mergeCell ref="M6:N6"/>
    <mergeCell ref="U6:V6"/>
    <mergeCell ref="AC6:AD6"/>
    <mergeCell ref="M7:N7"/>
    <mergeCell ref="U7:V7"/>
    <mergeCell ref="AC7:AD7"/>
    <mergeCell ref="M5:N5"/>
    <mergeCell ref="Q5:Q8"/>
    <mergeCell ref="U5:V5"/>
    <mergeCell ref="Y5:Y8"/>
    <mergeCell ref="M8:N8"/>
    <mergeCell ref="U8:V8"/>
    <mergeCell ref="AC8:AD8"/>
    <mergeCell ref="B1:G1"/>
    <mergeCell ref="I1:O1"/>
    <mergeCell ref="Q1:W1"/>
    <mergeCell ref="Y1:AE1"/>
    <mergeCell ref="E4:F4"/>
    <mergeCell ref="M4:N4"/>
    <mergeCell ref="U4:V4"/>
    <mergeCell ref="AC4:AD4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B1:XET43"/>
  <sheetViews>
    <sheetView workbookViewId="0">
      <selection activeCell="A17" sqref="A17"/>
    </sheetView>
  </sheetViews>
  <sheetFormatPr baseColWidth="10" defaultRowHeight="15" outlineLevelCol="1" x14ac:dyDescent="0.25"/>
  <cols>
    <col min="1" max="1" width="11.42578125" style="1" customWidth="1"/>
    <col min="2" max="2" width="16.42578125" style="1" customWidth="1"/>
    <col min="3" max="3" width="53.140625" style="1" customWidth="1"/>
    <col min="4" max="4" width="17.85546875" style="1" customWidth="1" outlineLevel="1"/>
    <col min="5" max="5" width="15.42578125" style="1" bestFit="1" customWidth="1"/>
    <col min="6" max="6" width="17.42578125" style="1" bestFit="1" customWidth="1"/>
    <col min="7" max="7" width="16.5703125" style="1" bestFit="1" customWidth="1"/>
    <col min="8" max="8" width="11.42578125" style="1" customWidth="1"/>
    <col min="9" max="9" width="12.5703125" style="1" customWidth="1"/>
    <col min="10" max="10" width="58.28515625" style="1" customWidth="1"/>
    <col min="11" max="11" width="23.140625" style="1" customWidth="1"/>
    <col min="12" max="12" width="16.5703125" style="1" customWidth="1"/>
    <col min="13" max="13" width="20.28515625" style="1" customWidth="1"/>
    <col min="14" max="14" width="5.140625" style="1" customWidth="1"/>
    <col min="15" max="15" width="12.5703125" style="1" customWidth="1"/>
    <col min="16" max="16" width="58.28515625" style="1" customWidth="1"/>
    <col min="17" max="17" width="18.28515625" style="1" customWidth="1"/>
    <col min="18" max="18" width="17.7109375" style="1" customWidth="1"/>
    <col min="19" max="19" width="19.7109375" style="1" customWidth="1"/>
    <col min="20" max="20" width="12.85546875" style="133" bestFit="1" customWidth="1"/>
    <col min="21" max="21" width="15.42578125" style="1" customWidth="1"/>
    <col min="22" max="22" width="58.28515625" style="1" customWidth="1"/>
    <col min="23" max="23" width="15.28515625" style="1" customWidth="1"/>
    <col min="24" max="25" width="18" style="1" customWidth="1"/>
    <col min="26" max="26" width="11.42578125" style="1"/>
    <col min="27" max="27" width="12.5703125" style="1" bestFit="1" customWidth="1"/>
    <col min="28" max="28" width="58.28515625" style="1" bestFit="1" customWidth="1"/>
    <col min="29" max="29" width="15.42578125" style="1" bestFit="1" customWidth="1"/>
    <col min="30" max="30" width="20.28515625" style="1" customWidth="1"/>
    <col min="31" max="31" width="18" style="1" bestFit="1" customWidth="1"/>
    <col min="32" max="32" width="14.140625" style="1" bestFit="1" customWidth="1"/>
    <col min="33" max="16384" width="11.42578125" style="1"/>
  </cols>
  <sheetData>
    <row r="1" spans="2:32" ht="21" x14ac:dyDescent="0.35">
      <c r="B1" s="475" t="s">
        <v>571</v>
      </c>
      <c r="C1" s="475"/>
      <c r="D1" s="475"/>
      <c r="E1" s="475"/>
      <c r="F1" s="475"/>
      <c r="G1" s="475"/>
      <c r="I1" s="475" t="s">
        <v>572</v>
      </c>
      <c r="J1" s="475"/>
      <c r="K1" s="475"/>
      <c r="L1" s="475"/>
      <c r="M1" s="475"/>
      <c r="O1" s="475" t="s">
        <v>573</v>
      </c>
      <c r="P1" s="475"/>
      <c r="Q1" s="475"/>
      <c r="R1" s="475"/>
      <c r="S1" s="475"/>
      <c r="U1" s="475" t="s">
        <v>574</v>
      </c>
      <c r="V1" s="475"/>
      <c r="W1" s="475"/>
      <c r="X1" s="475"/>
      <c r="Y1" s="475"/>
      <c r="AA1" s="475" t="s">
        <v>677</v>
      </c>
      <c r="AB1" s="475"/>
      <c r="AC1" s="475"/>
      <c r="AD1" s="475"/>
      <c r="AE1" s="475"/>
    </row>
    <row r="2" spans="2:32" x14ac:dyDescent="0.25">
      <c r="D2" s="144" t="s">
        <v>597</v>
      </c>
      <c r="E2" s="144" t="s">
        <v>311</v>
      </c>
      <c r="F2" s="144" t="s">
        <v>310</v>
      </c>
      <c r="G2" s="144" t="s">
        <v>195</v>
      </c>
      <c r="K2" s="144" t="s">
        <v>311</v>
      </c>
      <c r="L2" s="144" t="s">
        <v>310</v>
      </c>
      <c r="M2" s="144" t="s">
        <v>195</v>
      </c>
      <c r="Q2" s="144" t="s">
        <v>311</v>
      </c>
      <c r="R2" s="144" t="s">
        <v>310</v>
      </c>
      <c r="S2" s="144" t="s">
        <v>195</v>
      </c>
      <c r="W2" s="144" t="s">
        <v>311</v>
      </c>
      <c r="X2" s="144" t="s">
        <v>310</v>
      </c>
      <c r="Y2" s="144" t="s">
        <v>195</v>
      </c>
      <c r="AC2" s="144" t="s">
        <v>311</v>
      </c>
      <c r="AD2" s="144" t="s">
        <v>310</v>
      </c>
      <c r="AE2" s="144" t="s">
        <v>195</v>
      </c>
    </row>
    <row r="3" spans="2:32" x14ac:dyDescent="0.25">
      <c r="D3" s="144"/>
      <c r="E3" s="288">
        <v>5</v>
      </c>
      <c r="F3" s="288">
        <v>4</v>
      </c>
      <c r="G3" s="288">
        <f>+E3+F3</f>
        <v>9</v>
      </c>
      <c r="K3" s="288">
        <f>31-L3</f>
        <v>18</v>
      </c>
      <c r="L3" s="288">
        <v>13</v>
      </c>
      <c r="M3" s="288">
        <f>+K3+L3</f>
        <v>31</v>
      </c>
      <c r="Q3" s="288">
        <f>30-R3</f>
        <v>14</v>
      </c>
      <c r="R3" s="288">
        <v>16</v>
      </c>
      <c r="S3" s="288">
        <f>+Q3+R3</f>
        <v>30</v>
      </c>
      <c r="W3" s="288">
        <f>31-X3</f>
        <v>17</v>
      </c>
      <c r="X3" s="288">
        <v>14</v>
      </c>
      <c r="Y3" s="288">
        <f>+W3+X3</f>
        <v>31</v>
      </c>
      <c r="AC3" s="288">
        <f>31-AD3</f>
        <v>16</v>
      </c>
      <c r="AD3" s="288">
        <v>15</v>
      </c>
      <c r="AE3" s="288">
        <f>+AC3+AD3</f>
        <v>31</v>
      </c>
    </row>
    <row r="4" spans="2:32" x14ac:dyDescent="0.25">
      <c r="B4" s="143" t="s">
        <v>2</v>
      </c>
      <c r="C4" s="7" t="s">
        <v>2</v>
      </c>
      <c r="D4" s="7"/>
      <c r="E4" s="476">
        <f>+G4/G3</f>
        <v>166666.66666666666</v>
      </c>
      <c r="F4" s="476"/>
      <c r="G4" s="7">
        <v>1500000</v>
      </c>
      <c r="I4" s="143" t="s">
        <v>2</v>
      </c>
      <c r="J4" s="7" t="s">
        <v>2</v>
      </c>
      <c r="K4" s="476">
        <f>+M4/M3</f>
        <v>80645.161290322576</v>
      </c>
      <c r="L4" s="476"/>
      <c r="M4" s="7">
        <v>2500000</v>
      </c>
      <c r="O4" s="143" t="s">
        <v>2</v>
      </c>
      <c r="P4" s="7" t="s">
        <v>2</v>
      </c>
      <c r="Q4" s="476">
        <f>+S4/S3</f>
        <v>83333.333333333328</v>
      </c>
      <c r="R4" s="476"/>
      <c r="S4" s="7">
        <v>2500000</v>
      </c>
      <c r="U4" s="143" t="s">
        <v>2</v>
      </c>
      <c r="V4" s="7" t="s">
        <v>2</v>
      </c>
      <c r="W4" s="476">
        <f>+Y4/Y3</f>
        <v>80645.161290322576</v>
      </c>
      <c r="X4" s="476"/>
      <c r="Y4" s="7">
        <v>2500000</v>
      </c>
      <c r="AA4" s="143" t="s">
        <v>2</v>
      </c>
      <c r="AB4" s="7" t="s">
        <v>2</v>
      </c>
      <c r="AC4" s="476">
        <f>+AE4/AE3</f>
        <v>80645.161290322576</v>
      </c>
      <c r="AD4" s="476"/>
      <c r="AE4" s="7">
        <v>2500000</v>
      </c>
    </row>
    <row r="5" spans="2:32" x14ac:dyDescent="0.25">
      <c r="B5" s="478" t="s">
        <v>10</v>
      </c>
      <c r="C5" s="138" t="s">
        <v>7</v>
      </c>
      <c r="D5" s="138"/>
      <c r="E5" s="280"/>
      <c r="F5" s="281"/>
      <c r="G5" s="210"/>
      <c r="I5" s="478" t="s">
        <v>10</v>
      </c>
      <c r="J5" s="138" t="s">
        <v>7</v>
      </c>
      <c r="K5" s="477">
        <f>+M5/M3</f>
        <v>9677.4193548387102</v>
      </c>
      <c r="L5" s="477"/>
      <c r="M5" s="287">
        <v>300000</v>
      </c>
      <c r="O5" s="478" t="s">
        <v>10</v>
      </c>
      <c r="P5" s="138" t="s">
        <v>7</v>
      </c>
      <c r="Q5" s="477">
        <f>+S5/S3</f>
        <v>10000</v>
      </c>
      <c r="R5" s="477"/>
      <c r="S5" s="287">
        <v>300000</v>
      </c>
      <c r="U5" s="478" t="s">
        <v>10</v>
      </c>
      <c r="V5" s="138" t="s">
        <v>7</v>
      </c>
      <c r="W5" s="477">
        <f>+Y5/30</f>
        <v>10000</v>
      </c>
      <c r="X5" s="477"/>
      <c r="Y5" s="287">
        <v>300000</v>
      </c>
      <c r="AA5" s="478" t="s">
        <v>10</v>
      </c>
      <c r="AB5" s="138" t="s">
        <v>7</v>
      </c>
      <c r="AC5" s="305"/>
      <c r="AD5" s="305">
        <f>+AE5/30</f>
        <v>10000</v>
      </c>
      <c r="AE5" s="287">
        <v>300000</v>
      </c>
    </row>
    <row r="6" spans="2:32" x14ac:dyDescent="0.25">
      <c r="B6" s="479"/>
      <c r="C6" s="138" t="s">
        <v>8</v>
      </c>
      <c r="D6" s="138"/>
      <c r="E6" s="280"/>
      <c r="F6" s="281"/>
      <c r="G6" s="210"/>
      <c r="I6" s="479"/>
      <c r="J6" s="138" t="s">
        <v>8</v>
      </c>
      <c r="K6" s="477">
        <f>+M6/M3</f>
        <v>8064.5161290322585</v>
      </c>
      <c r="L6" s="477"/>
      <c r="M6" s="287">
        <v>250000</v>
      </c>
      <c r="O6" s="479"/>
      <c r="P6" s="138" t="s">
        <v>8</v>
      </c>
      <c r="Q6" s="477">
        <f>+S6/S3</f>
        <v>8333.3333333333339</v>
      </c>
      <c r="R6" s="477"/>
      <c r="S6" s="287">
        <v>250000</v>
      </c>
      <c r="U6" s="479"/>
      <c r="V6" s="138" t="s">
        <v>8</v>
      </c>
      <c r="W6" s="477">
        <f>+Y6/30</f>
        <v>8333.3333333333339</v>
      </c>
      <c r="X6" s="477"/>
      <c r="Y6" s="287">
        <v>250000</v>
      </c>
      <c r="AA6" s="479"/>
      <c r="AB6" s="138" t="s">
        <v>8</v>
      </c>
      <c r="AC6" s="305"/>
      <c r="AD6" s="305">
        <f>+AE6/30</f>
        <v>8333.3333333333339</v>
      </c>
      <c r="AE6" s="287">
        <v>250000</v>
      </c>
    </row>
    <row r="7" spans="2:32" x14ac:dyDescent="0.25">
      <c r="B7" s="479"/>
      <c r="C7" s="138" t="s">
        <v>9</v>
      </c>
      <c r="D7" s="138"/>
      <c r="E7" s="280"/>
      <c r="F7" s="281"/>
      <c r="G7" s="210"/>
      <c r="I7" s="479"/>
      <c r="J7" s="138" t="s">
        <v>9</v>
      </c>
      <c r="K7" s="477">
        <f>+M7/M3</f>
        <v>8064.5161290322585</v>
      </c>
      <c r="L7" s="477"/>
      <c r="M7" s="287">
        <v>250000</v>
      </c>
      <c r="O7" s="479"/>
      <c r="P7" s="138" t="s">
        <v>9</v>
      </c>
      <c r="Q7" s="477">
        <f>+S7/S3</f>
        <v>8333.3333333333339</v>
      </c>
      <c r="R7" s="477"/>
      <c r="S7" s="287">
        <v>250000</v>
      </c>
      <c r="U7" s="479"/>
      <c r="V7" s="138" t="s">
        <v>9</v>
      </c>
      <c r="W7" s="477">
        <f>+Y7/30</f>
        <v>7666.666666666667</v>
      </c>
      <c r="X7" s="477"/>
      <c r="Y7" s="287">
        <v>230000</v>
      </c>
      <c r="AA7" s="479"/>
      <c r="AB7" s="138" t="s">
        <v>9</v>
      </c>
      <c r="AC7" s="305"/>
      <c r="AD7" s="305">
        <f>+AE7/30</f>
        <v>7666.666666666667</v>
      </c>
      <c r="AE7" s="287">
        <v>230000</v>
      </c>
    </row>
    <row r="8" spans="2:32" x14ac:dyDescent="0.25">
      <c r="B8" s="480"/>
      <c r="C8" s="138" t="s">
        <v>306</v>
      </c>
      <c r="D8" s="286"/>
      <c r="E8" s="280"/>
      <c r="F8" s="281"/>
      <c r="G8" s="210"/>
      <c r="I8" s="480"/>
      <c r="J8" s="138" t="s">
        <v>306</v>
      </c>
      <c r="K8" s="481"/>
      <c r="L8" s="482"/>
      <c r="M8" s="210"/>
      <c r="O8" s="480"/>
      <c r="P8" s="138" t="s">
        <v>306</v>
      </c>
      <c r="Q8" s="481"/>
      <c r="R8" s="482"/>
      <c r="S8" s="210"/>
      <c r="U8" s="480"/>
      <c r="V8" s="138" t="s">
        <v>306</v>
      </c>
      <c r="W8" s="481"/>
      <c r="X8" s="482"/>
      <c r="Y8" s="210"/>
      <c r="AA8" s="480"/>
      <c r="AB8" s="138" t="s">
        <v>306</v>
      </c>
      <c r="AC8" s="481"/>
      <c r="AD8" s="482"/>
      <c r="AE8" s="210"/>
    </row>
    <row r="9" spans="2:32" s="284" customFormat="1" x14ac:dyDescent="0.25">
      <c r="B9" s="485" t="s">
        <v>56</v>
      </c>
      <c r="C9" s="139" t="s">
        <v>595</v>
      </c>
      <c r="D9" s="139"/>
      <c r="E9" s="139">
        <v>35000</v>
      </c>
      <c r="F9" s="139">
        <v>35000</v>
      </c>
      <c r="G9" s="139">
        <f>+(E9*E3)+(F9*F3)</f>
        <v>315000</v>
      </c>
      <c r="I9" s="485" t="s">
        <v>56</v>
      </c>
      <c r="J9" s="139" t="s">
        <v>595</v>
      </c>
      <c r="K9" s="139">
        <v>35000</v>
      </c>
      <c r="L9" s="139">
        <v>35000</v>
      </c>
      <c r="M9" s="139">
        <f>+(K9*K3)+(L9*L3)</f>
        <v>1085000</v>
      </c>
      <c r="O9" s="485" t="s">
        <v>56</v>
      </c>
      <c r="P9" s="139" t="s">
        <v>595</v>
      </c>
      <c r="Q9" s="139">
        <v>35000</v>
      </c>
      <c r="R9" s="139">
        <v>35000</v>
      </c>
      <c r="S9" s="139">
        <f>+(Q9*Q3)+(R9*R3)</f>
        <v>1050000</v>
      </c>
      <c r="T9" s="133"/>
      <c r="U9" s="485" t="s">
        <v>56</v>
      </c>
      <c r="V9" s="139" t="s">
        <v>595</v>
      </c>
      <c r="W9" s="139">
        <v>35000</v>
      </c>
      <c r="X9" s="139">
        <v>35000</v>
      </c>
      <c r="Y9" s="139">
        <f>+(W9*W3)+(X9*X3)</f>
        <v>1085000</v>
      </c>
      <c r="AA9" s="485" t="s">
        <v>56</v>
      </c>
      <c r="AB9" s="139" t="s">
        <v>683</v>
      </c>
      <c r="AC9" s="139"/>
      <c r="AD9" s="139">
        <v>37000</v>
      </c>
      <c r="AE9" s="139">
        <f>+(AC9*AC3)+(AD9*(AD3-4))</f>
        <v>407000</v>
      </c>
      <c r="AF9" s="284" t="s">
        <v>685</v>
      </c>
    </row>
    <row r="10" spans="2:32" s="284" customFormat="1" x14ac:dyDescent="0.25">
      <c r="B10" s="485"/>
      <c r="C10" s="139" t="s">
        <v>594</v>
      </c>
      <c r="D10" s="139"/>
      <c r="E10" s="139">
        <v>25000</v>
      </c>
      <c r="F10" s="139">
        <v>30000</v>
      </c>
      <c r="G10" s="139">
        <f>+(E10*E3)+(F10*F3)</f>
        <v>245000</v>
      </c>
      <c r="I10" s="485"/>
      <c r="J10" s="139" t="s">
        <v>594</v>
      </c>
      <c r="K10" s="139">
        <v>25000</v>
      </c>
      <c r="L10" s="139">
        <v>30000</v>
      </c>
      <c r="M10" s="139">
        <f>+(K10*K3)+(L10*L3)</f>
        <v>840000</v>
      </c>
      <c r="O10" s="485"/>
      <c r="P10" s="139" t="s">
        <v>593</v>
      </c>
      <c r="Q10" s="139">
        <v>25000</v>
      </c>
      <c r="R10" s="139">
        <v>30000</v>
      </c>
      <c r="S10" s="139">
        <f>+(Q10*Q3)+(R10*R3)</f>
        <v>830000</v>
      </c>
      <c r="T10" s="133"/>
      <c r="U10" s="485"/>
      <c r="V10" s="139" t="s">
        <v>655</v>
      </c>
      <c r="W10" s="139"/>
      <c r="X10" s="139">
        <v>35000</v>
      </c>
      <c r="Y10" s="139">
        <f>+(W10*W3)+(X10*X3)</f>
        <v>490000</v>
      </c>
      <c r="AA10" s="485"/>
      <c r="AB10" s="139" t="s">
        <v>687</v>
      </c>
      <c r="AC10" s="139"/>
      <c r="AD10" s="139">
        <v>0</v>
      </c>
      <c r="AE10" s="139">
        <f>+(AC10*AC3)+(AD10*AD3)</f>
        <v>0</v>
      </c>
    </row>
    <row r="11" spans="2:32" s="284" customFormat="1" x14ac:dyDescent="0.25">
      <c r="B11" s="485"/>
      <c r="C11" s="139" t="s">
        <v>592</v>
      </c>
      <c r="D11" s="139"/>
      <c r="E11" s="139">
        <v>25000</v>
      </c>
      <c r="F11" s="139">
        <v>30000</v>
      </c>
      <c r="G11" s="139">
        <f>+(E11*E3)+(F11*F3)</f>
        <v>245000</v>
      </c>
      <c r="I11" s="485"/>
      <c r="J11" s="139" t="s">
        <v>592</v>
      </c>
      <c r="K11" s="139">
        <v>25000</v>
      </c>
      <c r="L11" s="139">
        <v>30000</v>
      </c>
      <c r="M11" s="139">
        <f>+(K11*K3)+(L11*L3)</f>
        <v>840000</v>
      </c>
      <c r="O11" s="485"/>
      <c r="P11" s="139" t="s">
        <v>676</v>
      </c>
      <c r="Q11" s="139">
        <v>25000</v>
      </c>
      <c r="R11" s="139">
        <v>30000</v>
      </c>
      <c r="S11" s="139">
        <f>+(Q11*Q3)+(R11*R3)</f>
        <v>830000</v>
      </c>
      <c r="T11" s="133"/>
      <c r="U11" s="485"/>
      <c r="V11" s="139" t="s">
        <v>657</v>
      </c>
      <c r="W11" s="139">
        <v>25000</v>
      </c>
      <c r="X11" s="139">
        <v>30000</v>
      </c>
      <c r="Y11" s="139">
        <f>+(W11*W3)+(X11*X3)</f>
        <v>845000</v>
      </c>
      <c r="AA11" s="485"/>
      <c r="AB11" s="139" t="s">
        <v>682</v>
      </c>
      <c r="AC11" s="139"/>
      <c r="AD11" s="139">
        <v>37000</v>
      </c>
      <c r="AE11" s="139">
        <f>+(AD11*4)</f>
        <v>148000</v>
      </c>
    </row>
    <row r="12" spans="2:32" s="284" customFormat="1" x14ac:dyDescent="0.25">
      <c r="B12" s="485"/>
      <c r="C12" s="139" t="s">
        <v>590</v>
      </c>
      <c r="D12" s="139"/>
      <c r="E12" s="139">
        <v>0</v>
      </c>
      <c r="F12" s="139">
        <v>35000</v>
      </c>
      <c r="G12" s="139">
        <f>+(E12*0)+(F12*F3)</f>
        <v>140000</v>
      </c>
      <c r="I12" s="485"/>
      <c r="J12" s="139" t="s">
        <v>590</v>
      </c>
      <c r="K12" s="139">
        <v>0</v>
      </c>
      <c r="L12" s="139">
        <v>35000</v>
      </c>
      <c r="M12" s="139">
        <f>+(K12*0)+(L12*L3)</f>
        <v>455000</v>
      </c>
      <c r="O12" s="485"/>
      <c r="P12" s="139" t="s">
        <v>590</v>
      </c>
      <c r="Q12" s="139">
        <v>0</v>
      </c>
      <c r="R12" s="139">
        <v>35000</v>
      </c>
      <c r="S12" s="139">
        <f>+(Q12*0)+(R12*R3)</f>
        <v>560000</v>
      </c>
      <c r="T12" s="133"/>
      <c r="U12" s="485"/>
      <c r="V12" s="139" t="s">
        <v>675</v>
      </c>
      <c r="W12" s="139">
        <v>0</v>
      </c>
      <c r="X12" s="139">
        <v>35000</v>
      </c>
      <c r="Y12" s="139">
        <f>+(W12*0)+(X12*X3)</f>
        <v>490000</v>
      </c>
      <c r="AA12" s="485"/>
      <c r="AB12" s="139" t="s">
        <v>681</v>
      </c>
      <c r="AC12" s="139"/>
      <c r="AD12" s="139">
        <v>37000</v>
      </c>
      <c r="AE12" s="139">
        <f>(AD12*(AD3-2))</f>
        <v>481000</v>
      </c>
    </row>
    <row r="13" spans="2:32" s="284" customFormat="1" x14ac:dyDescent="0.25">
      <c r="B13" s="485"/>
      <c r="C13" s="139" t="s">
        <v>589</v>
      </c>
      <c r="D13" s="139"/>
      <c r="E13" s="139"/>
      <c r="F13" s="139">
        <v>50000</v>
      </c>
      <c r="G13" s="139">
        <f>+(E13*8)+(F13*5)</f>
        <v>250000</v>
      </c>
      <c r="I13" s="485"/>
      <c r="J13" s="139" t="s">
        <v>589</v>
      </c>
      <c r="K13" s="139">
        <v>30000</v>
      </c>
      <c r="L13" s="139">
        <v>60000</v>
      </c>
      <c r="M13" s="139">
        <f>+(K13*8)+(L13*5)</f>
        <v>540000</v>
      </c>
      <c r="O13" s="485"/>
      <c r="P13" s="139" t="s">
        <v>312</v>
      </c>
      <c r="Q13" s="139">
        <v>0</v>
      </c>
      <c r="R13" s="139">
        <v>0</v>
      </c>
      <c r="S13" s="139">
        <f>+(Q13*20)+(R13*10)</f>
        <v>0</v>
      </c>
      <c r="T13" s="133"/>
      <c r="U13" s="485"/>
      <c r="V13" s="139" t="s">
        <v>312</v>
      </c>
      <c r="W13" s="139">
        <v>0</v>
      </c>
      <c r="X13" s="139">
        <v>0</v>
      </c>
      <c r="Y13" s="139">
        <f>+(W13*20)+(X13*10)</f>
        <v>0</v>
      </c>
      <c r="AA13" s="485"/>
      <c r="AB13" s="139" t="s">
        <v>312</v>
      </c>
      <c r="AC13" s="139"/>
      <c r="AD13" s="139">
        <v>0</v>
      </c>
      <c r="AE13" s="139">
        <f>+(AC13*20)+(AD13*10)</f>
        <v>0</v>
      </c>
    </row>
    <row r="14" spans="2:32" s="284" customFormat="1" x14ac:dyDescent="0.25">
      <c r="B14" s="485"/>
      <c r="C14" s="139" t="s">
        <v>588</v>
      </c>
      <c r="D14" s="139"/>
      <c r="E14" s="139">
        <v>25000</v>
      </c>
      <c r="F14" s="139">
        <v>25000</v>
      </c>
      <c r="G14" s="139">
        <f>+(E14*E3)+(F14*F3)</f>
        <v>225000</v>
      </c>
      <c r="I14" s="485"/>
      <c r="J14" s="139" t="s">
        <v>588</v>
      </c>
      <c r="K14" s="139">
        <v>25000</v>
      </c>
      <c r="L14" s="139">
        <v>25000</v>
      </c>
      <c r="M14" s="139">
        <f>+(K14*K3)+(L14*L3)</f>
        <v>775000</v>
      </c>
      <c r="O14" s="485"/>
      <c r="P14" s="139" t="s">
        <v>587</v>
      </c>
      <c r="Q14" s="139">
        <v>25000</v>
      </c>
      <c r="R14" s="139">
        <v>30000</v>
      </c>
      <c r="S14" s="139">
        <f>+(Q14*Q3)+(R14*R3)</f>
        <v>830000</v>
      </c>
      <c r="T14" s="133"/>
      <c r="U14" s="485"/>
      <c r="V14" s="139" t="s">
        <v>587</v>
      </c>
      <c r="W14" s="139">
        <v>25000</v>
      </c>
      <c r="X14" s="139">
        <v>25000</v>
      </c>
      <c r="Y14" s="139">
        <f>+(W14*W3)+(X14*X3)</f>
        <v>775000</v>
      </c>
      <c r="AA14" s="485"/>
      <c r="AB14" s="139" t="s">
        <v>684</v>
      </c>
      <c r="AC14" s="139"/>
      <c r="AD14" s="139">
        <v>28000</v>
      </c>
      <c r="AE14" s="459">
        <v>0</v>
      </c>
      <c r="AF14" s="448" t="s">
        <v>686</v>
      </c>
    </row>
    <row r="15" spans="2:32" s="443" customFormat="1" x14ac:dyDescent="0.25">
      <c r="B15" s="485"/>
      <c r="C15" s="442" t="s">
        <v>679</v>
      </c>
      <c r="D15" s="442"/>
      <c r="E15" s="442"/>
      <c r="F15" s="442"/>
      <c r="G15" s="442">
        <f>+(E15*20)+(F15*10)</f>
        <v>0</v>
      </c>
      <c r="I15" s="485"/>
      <c r="J15" s="442" t="s">
        <v>679</v>
      </c>
      <c r="K15" s="442"/>
      <c r="L15" s="442"/>
      <c r="M15" s="442">
        <f>+(K15*20)+(L15*10)</f>
        <v>0</v>
      </c>
      <c r="O15" s="485"/>
      <c r="P15" s="442" t="s">
        <v>680</v>
      </c>
      <c r="Q15" s="442"/>
      <c r="R15" s="442"/>
      <c r="S15" s="442">
        <f>+(Q15*20)+(R15*10)</f>
        <v>0</v>
      </c>
      <c r="T15" s="444"/>
      <c r="U15" s="485"/>
      <c r="V15" s="442" t="s">
        <v>680</v>
      </c>
      <c r="W15" s="442"/>
      <c r="X15" s="442"/>
      <c r="Y15" s="442">
        <f>+(W15*20)+(X15*10)</f>
        <v>0</v>
      </c>
      <c r="AA15" s="485"/>
      <c r="AB15" s="442" t="s">
        <v>680</v>
      </c>
      <c r="AC15" s="442"/>
      <c r="AD15" s="442">
        <v>0</v>
      </c>
      <c r="AE15" s="139">
        <f>+(AC15*AC3)+(AD15*AD3)</f>
        <v>0</v>
      </c>
    </row>
    <row r="16" spans="2:32" s="446" customFormat="1" x14ac:dyDescent="0.25">
      <c r="B16" s="485"/>
      <c r="C16" s="445" t="s">
        <v>678</v>
      </c>
      <c r="D16" s="445"/>
      <c r="E16" s="442"/>
      <c r="F16" s="442"/>
      <c r="G16" s="442"/>
      <c r="I16" s="485"/>
      <c r="J16" s="445" t="s">
        <v>678</v>
      </c>
      <c r="K16" s="442">
        <v>0</v>
      </c>
      <c r="L16" s="442">
        <v>0</v>
      </c>
      <c r="M16" s="442">
        <f>+(K16*20)+(L16*10)</f>
        <v>0</v>
      </c>
      <c r="O16" s="485"/>
      <c r="P16" s="445" t="s">
        <v>678</v>
      </c>
      <c r="Q16" s="442">
        <v>0</v>
      </c>
      <c r="R16" s="442">
        <v>0</v>
      </c>
      <c r="S16" s="442">
        <f>+(Q16*20)+(R16*10)</f>
        <v>0</v>
      </c>
      <c r="T16" s="447"/>
      <c r="U16" s="485"/>
      <c r="V16" s="445" t="s">
        <v>678</v>
      </c>
      <c r="W16" s="442">
        <v>0</v>
      </c>
      <c r="X16" s="442">
        <v>0</v>
      </c>
      <c r="Y16" s="442">
        <f>+(W16*20)+(X16*10)</f>
        <v>0</v>
      </c>
      <c r="AA16" s="485"/>
      <c r="AB16" s="445" t="s">
        <v>678</v>
      </c>
      <c r="AC16" s="442">
        <v>0</v>
      </c>
      <c r="AD16" s="442">
        <v>33000</v>
      </c>
      <c r="AE16" s="139">
        <f>+(AC16*AC3)+(AD16*AD3)</f>
        <v>495000</v>
      </c>
    </row>
    <row r="17" spans="2:16374" x14ac:dyDescent="0.25">
      <c r="B17" s="483" t="s">
        <v>11</v>
      </c>
      <c r="C17" s="142" t="s">
        <v>14</v>
      </c>
      <c r="D17" s="305">
        <f>2600000+67500+824000</f>
        <v>3491500</v>
      </c>
      <c r="E17" s="484"/>
      <c r="F17" s="484"/>
      <c r="G17" s="209"/>
      <c r="I17" s="483" t="s">
        <v>11</v>
      </c>
      <c r="J17" s="142" t="s">
        <v>14</v>
      </c>
      <c r="K17" s="484">
        <f>+M17/M3</f>
        <v>4129.0322580645161</v>
      </c>
      <c r="L17" s="484"/>
      <c r="M17" s="209">
        <v>128000</v>
      </c>
      <c r="O17" s="483" t="s">
        <v>11</v>
      </c>
      <c r="P17" s="142" t="s">
        <v>14</v>
      </c>
      <c r="Q17" s="484">
        <f>+S17/S3</f>
        <v>0</v>
      </c>
      <c r="R17" s="484"/>
      <c r="S17" s="209"/>
      <c r="U17" s="483" t="s">
        <v>11</v>
      </c>
      <c r="V17" s="142" t="s">
        <v>14</v>
      </c>
      <c r="W17" s="484">
        <f>+Y17/Y3</f>
        <v>0</v>
      </c>
      <c r="X17" s="484"/>
      <c r="Y17" s="209"/>
      <c r="AA17" s="483" t="s">
        <v>11</v>
      </c>
      <c r="AB17" s="142" t="s">
        <v>14</v>
      </c>
      <c r="AC17" s="484">
        <f>+AE17/AE3</f>
        <v>0</v>
      </c>
      <c r="AD17" s="484"/>
      <c r="AE17" s="209"/>
    </row>
    <row r="18" spans="2:16374" x14ac:dyDescent="0.25">
      <c r="B18" s="483"/>
      <c r="C18" s="142" t="s">
        <v>586</v>
      </c>
      <c r="D18" s="305">
        <v>1242548.5</v>
      </c>
      <c r="E18" s="484"/>
      <c r="F18" s="484"/>
      <c r="G18" s="209"/>
      <c r="I18" s="483"/>
      <c r="J18" s="142" t="s">
        <v>586</v>
      </c>
      <c r="K18" s="484">
        <f>+M18/M3</f>
        <v>3189.516129032258</v>
      </c>
      <c r="L18" s="484"/>
      <c r="M18" s="209">
        <v>98875</v>
      </c>
      <c r="O18" s="483"/>
      <c r="P18" s="142" t="s">
        <v>586</v>
      </c>
      <c r="Q18" s="484">
        <f>+S18/S3</f>
        <v>0</v>
      </c>
      <c r="R18" s="484"/>
      <c r="S18" s="209"/>
      <c r="U18" s="483"/>
      <c r="V18" s="142" t="s">
        <v>586</v>
      </c>
      <c r="W18" s="484">
        <f>+Y18/Y3</f>
        <v>0</v>
      </c>
      <c r="X18" s="484"/>
      <c r="Y18" s="209"/>
      <c r="AA18" s="483"/>
      <c r="AB18" s="142" t="s">
        <v>586</v>
      </c>
      <c r="AC18" s="484">
        <f>+AE18/AE3</f>
        <v>0</v>
      </c>
      <c r="AD18" s="484"/>
      <c r="AE18" s="209"/>
    </row>
    <row r="19" spans="2:16374" x14ac:dyDescent="0.25">
      <c r="B19" s="483"/>
      <c r="C19" s="142" t="s">
        <v>585</v>
      </c>
      <c r="D19" s="305">
        <v>3737029.64</v>
      </c>
      <c r="E19" s="484"/>
      <c r="F19" s="484"/>
      <c r="G19" s="209"/>
      <c r="I19" s="483"/>
      <c r="J19" s="142" t="s">
        <v>585</v>
      </c>
      <c r="K19" s="484">
        <f>+M19/M3</f>
        <v>17758.129032258064</v>
      </c>
      <c r="L19" s="484"/>
      <c r="M19" s="209">
        <v>550502</v>
      </c>
      <c r="O19" s="483"/>
      <c r="P19" s="142" t="s">
        <v>585</v>
      </c>
      <c r="Q19" s="484">
        <f>+S19/S3</f>
        <v>0</v>
      </c>
      <c r="R19" s="484"/>
      <c r="S19" s="209"/>
      <c r="U19" s="483"/>
      <c r="V19" s="142" t="s">
        <v>585</v>
      </c>
      <c r="W19" s="484">
        <f>+Y19/Y3</f>
        <v>0</v>
      </c>
      <c r="X19" s="484"/>
      <c r="Y19" s="209"/>
      <c r="AA19" s="483"/>
      <c r="AB19" s="142" t="s">
        <v>585</v>
      </c>
      <c r="AC19" s="484">
        <f>+AE19/AE3</f>
        <v>0</v>
      </c>
      <c r="AD19" s="484"/>
      <c r="AE19" s="209"/>
    </row>
    <row r="20" spans="2:16374" x14ac:dyDescent="0.25">
      <c r="B20" s="483"/>
      <c r="C20" s="189" t="s">
        <v>330</v>
      </c>
      <c r="D20" s="189"/>
      <c r="E20" s="484">
        <f>+G20/30</f>
        <v>0</v>
      </c>
      <c r="F20" s="484"/>
      <c r="G20" s="209">
        <v>0</v>
      </c>
      <c r="I20" s="483"/>
      <c r="J20" s="189" t="s">
        <v>330</v>
      </c>
      <c r="K20" s="484">
        <f>+M20/M3</f>
        <v>0</v>
      </c>
      <c r="L20" s="484"/>
      <c r="M20" s="209"/>
      <c r="O20" s="483"/>
      <c r="P20" s="189" t="s">
        <v>330</v>
      </c>
      <c r="Q20" s="484">
        <f>+S20/S3</f>
        <v>0</v>
      </c>
      <c r="R20" s="484"/>
      <c r="S20" s="209"/>
      <c r="U20" s="483"/>
      <c r="V20" s="189" t="s">
        <v>330</v>
      </c>
      <c r="W20" s="484">
        <f>+Y20/Y3</f>
        <v>19354.83870967742</v>
      </c>
      <c r="X20" s="484"/>
      <c r="Y20" s="209">
        <v>600000</v>
      </c>
      <c r="AA20" s="483"/>
      <c r="AB20" s="189" t="s">
        <v>330</v>
      </c>
      <c r="AC20" s="484"/>
      <c r="AD20" s="484"/>
      <c r="AE20" s="209"/>
    </row>
    <row r="21" spans="2:16374" x14ac:dyDescent="0.25">
      <c r="B21" s="188"/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88"/>
      <c r="BF21" s="188"/>
      <c r="BG21" s="188"/>
      <c r="BH21" s="188"/>
      <c r="BI21" s="188"/>
      <c r="BJ21" s="188"/>
      <c r="BK21" s="188"/>
      <c r="BL21" s="188"/>
      <c r="BM21" s="188"/>
      <c r="BN21" s="188"/>
      <c r="BO21" s="188"/>
      <c r="BP21" s="188"/>
      <c r="BQ21" s="188"/>
      <c r="BR21" s="188"/>
      <c r="BS21" s="188"/>
      <c r="BT21" s="188"/>
      <c r="BU21" s="188"/>
      <c r="BV21" s="188"/>
      <c r="BW21" s="188"/>
      <c r="BX21" s="188"/>
      <c r="BY21" s="188"/>
      <c r="BZ21" s="188"/>
      <c r="CA21" s="188"/>
      <c r="CB21" s="188"/>
      <c r="CC21" s="188"/>
      <c r="CD21" s="188"/>
      <c r="CE21" s="188"/>
      <c r="CF21" s="188"/>
      <c r="CG21" s="188"/>
      <c r="CH21" s="188"/>
      <c r="CI21" s="188"/>
      <c r="CJ21" s="188"/>
      <c r="CK21" s="188"/>
      <c r="CL21" s="188"/>
      <c r="CM21" s="188"/>
      <c r="CN21" s="188"/>
      <c r="CO21" s="188"/>
      <c r="CP21" s="188"/>
      <c r="CQ21" s="188"/>
      <c r="CR21" s="188"/>
      <c r="CS21" s="188"/>
      <c r="CT21" s="188"/>
      <c r="CU21" s="188"/>
      <c r="CV21" s="188"/>
      <c r="CW21" s="188"/>
      <c r="CX21" s="188"/>
      <c r="CY21" s="188"/>
      <c r="CZ21" s="188"/>
      <c r="DA21" s="188"/>
      <c r="DB21" s="188"/>
      <c r="DC21" s="188"/>
      <c r="DD21" s="188"/>
      <c r="DE21" s="188"/>
      <c r="DF21" s="188"/>
      <c r="DG21" s="188"/>
      <c r="DH21" s="188"/>
      <c r="DI21" s="188"/>
      <c r="DJ21" s="188"/>
      <c r="DK21" s="188"/>
      <c r="DL21" s="188"/>
      <c r="DM21" s="188"/>
      <c r="DN21" s="188"/>
      <c r="DO21" s="188"/>
      <c r="DP21" s="188"/>
      <c r="DQ21" s="188"/>
      <c r="DR21" s="188"/>
      <c r="DS21" s="188"/>
      <c r="DT21" s="188"/>
      <c r="DU21" s="188"/>
      <c r="DV21" s="188"/>
      <c r="DW21" s="188"/>
      <c r="DX21" s="188"/>
      <c r="DY21" s="188"/>
      <c r="DZ21" s="188"/>
      <c r="EA21" s="188"/>
      <c r="EB21" s="188"/>
      <c r="EC21" s="188"/>
      <c r="ED21" s="188"/>
      <c r="EE21" s="188"/>
      <c r="EF21" s="188"/>
      <c r="EG21" s="188"/>
      <c r="EH21" s="188"/>
      <c r="EI21" s="188"/>
      <c r="EJ21" s="188"/>
      <c r="EK21" s="188"/>
      <c r="EL21" s="188"/>
      <c r="EM21" s="188"/>
      <c r="EN21" s="188"/>
      <c r="EO21" s="188"/>
      <c r="EP21" s="188"/>
      <c r="EQ21" s="188"/>
      <c r="ER21" s="188"/>
      <c r="ES21" s="188"/>
      <c r="ET21" s="188"/>
      <c r="EU21" s="188"/>
      <c r="EV21" s="188"/>
      <c r="EW21" s="188"/>
      <c r="EX21" s="188"/>
      <c r="EY21" s="188"/>
      <c r="EZ21" s="188"/>
      <c r="FA21" s="188"/>
      <c r="FB21" s="188"/>
      <c r="FC21" s="188"/>
      <c r="FD21" s="188"/>
      <c r="FE21" s="188"/>
      <c r="FF21" s="188"/>
      <c r="FG21" s="188"/>
      <c r="FH21" s="188"/>
      <c r="FI21" s="188"/>
      <c r="FJ21" s="188"/>
      <c r="FK21" s="188"/>
      <c r="FL21" s="188"/>
      <c r="FM21" s="188"/>
      <c r="FN21" s="188"/>
      <c r="FO21" s="188"/>
      <c r="FP21" s="188"/>
      <c r="FQ21" s="188"/>
      <c r="FR21" s="188"/>
      <c r="FS21" s="188"/>
      <c r="FT21" s="188"/>
      <c r="FU21" s="188"/>
      <c r="FV21" s="188"/>
      <c r="FW21" s="188"/>
      <c r="FX21" s="188"/>
      <c r="FY21" s="188"/>
      <c r="FZ21" s="188"/>
      <c r="GA21" s="188"/>
      <c r="GB21" s="188"/>
      <c r="GC21" s="188"/>
      <c r="GD21" s="188"/>
      <c r="GE21" s="188"/>
      <c r="GF21" s="188"/>
      <c r="GG21" s="188"/>
      <c r="GH21" s="188"/>
      <c r="GI21" s="188"/>
      <c r="GJ21" s="188"/>
      <c r="GK21" s="188"/>
      <c r="GL21" s="188"/>
      <c r="GM21" s="188"/>
      <c r="GN21" s="188"/>
      <c r="GO21" s="188"/>
      <c r="GP21" s="188"/>
      <c r="GQ21" s="188"/>
      <c r="GR21" s="188"/>
      <c r="GS21" s="188"/>
      <c r="GT21" s="188"/>
      <c r="GU21" s="188"/>
      <c r="GV21" s="188"/>
      <c r="GW21" s="188"/>
      <c r="GX21" s="188"/>
      <c r="GY21" s="188"/>
      <c r="GZ21" s="188"/>
      <c r="HA21" s="188"/>
      <c r="HB21" s="188"/>
      <c r="HC21" s="188"/>
      <c r="HD21" s="188"/>
      <c r="HE21" s="188"/>
      <c r="HF21" s="188"/>
      <c r="HG21" s="188"/>
      <c r="HH21" s="188"/>
      <c r="HI21" s="188"/>
      <c r="HJ21" s="188"/>
      <c r="HK21" s="188"/>
      <c r="HL21" s="188"/>
      <c r="HM21" s="188"/>
      <c r="HN21" s="188"/>
      <c r="HO21" s="188"/>
      <c r="HP21" s="188"/>
      <c r="HQ21" s="188"/>
      <c r="HR21" s="188"/>
      <c r="HS21" s="188"/>
      <c r="HT21" s="188"/>
      <c r="HU21" s="188"/>
      <c r="HV21" s="188"/>
      <c r="HW21" s="188"/>
      <c r="HX21" s="188"/>
      <c r="HY21" s="188"/>
      <c r="HZ21" s="188"/>
      <c r="IA21" s="188"/>
      <c r="IB21" s="188"/>
      <c r="IC21" s="188"/>
      <c r="ID21" s="188"/>
      <c r="IE21" s="188"/>
      <c r="IF21" s="188"/>
      <c r="IG21" s="188"/>
      <c r="IH21" s="188"/>
      <c r="II21" s="188"/>
      <c r="IJ21" s="188"/>
      <c r="IK21" s="188"/>
      <c r="IL21" s="188"/>
      <c r="IM21" s="188"/>
      <c r="IN21" s="188"/>
      <c r="IO21" s="188"/>
      <c r="IP21" s="188"/>
      <c r="IQ21" s="188"/>
      <c r="IR21" s="188"/>
      <c r="IS21" s="188"/>
      <c r="IT21" s="188"/>
      <c r="IU21" s="188"/>
      <c r="IV21" s="188"/>
      <c r="IW21" s="188"/>
      <c r="IX21" s="188"/>
      <c r="IY21" s="188"/>
      <c r="IZ21" s="188"/>
      <c r="JA21" s="188"/>
      <c r="JB21" s="188"/>
      <c r="JC21" s="188"/>
      <c r="JD21" s="188"/>
      <c r="JE21" s="188"/>
      <c r="JF21" s="188"/>
      <c r="JG21" s="188"/>
      <c r="JH21" s="188"/>
      <c r="JI21" s="188"/>
      <c r="JJ21" s="188"/>
      <c r="JK21" s="188"/>
      <c r="JL21" s="188"/>
      <c r="JM21" s="188"/>
      <c r="JN21" s="188"/>
      <c r="JO21" s="188"/>
      <c r="JP21" s="188"/>
      <c r="JQ21" s="188"/>
      <c r="JR21" s="188"/>
      <c r="JS21" s="188"/>
      <c r="JT21" s="188"/>
      <c r="JU21" s="188"/>
      <c r="JV21" s="188"/>
      <c r="JW21" s="188"/>
      <c r="JX21" s="188"/>
      <c r="JY21" s="188"/>
      <c r="JZ21" s="188"/>
      <c r="KA21" s="188"/>
      <c r="KB21" s="188"/>
      <c r="KC21" s="188"/>
      <c r="KD21" s="188"/>
      <c r="KE21" s="188"/>
      <c r="KF21" s="188"/>
      <c r="KG21" s="188"/>
      <c r="KH21" s="188"/>
      <c r="KI21" s="188"/>
      <c r="KJ21" s="188"/>
      <c r="KK21" s="188"/>
      <c r="KL21" s="188"/>
      <c r="KM21" s="188"/>
      <c r="KN21" s="188"/>
      <c r="KO21" s="188"/>
      <c r="KP21" s="188"/>
      <c r="KQ21" s="188"/>
      <c r="KR21" s="188"/>
      <c r="KS21" s="188"/>
      <c r="KT21" s="188"/>
      <c r="KU21" s="188"/>
      <c r="KV21" s="188"/>
      <c r="KW21" s="188"/>
      <c r="KX21" s="188"/>
      <c r="KY21" s="188"/>
      <c r="KZ21" s="188"/>
      <c r="LA21" s="188"/>
      <c r="LB21" s="188"/>
      <c r="LC21" s="188"/>
      <c r="LD21" s="188"/>
      <c r="LE21" s="188"/>
      <c r="LF21" s="188"/>
      <c r="LG21" s="188"/>
      <c r="LH21" s="188"/>
      <c r="LI21" s="188"/>
      <c r="LJ21" s="188"/>
      <c r="LK21" s="188"/>
      <c r="LL21" s="188"/>
      <c r="LM21" s="188"/>
      <c r="LN21" s="188"/>
      <c r="LO21" s="188"/>
      <c r="LP21" s="188"/>
      <c r="LQ21" s="188"/>
      <c r="LR21" s="188"/>
      <c r="LS21" s="188"/>
      <c r="LT21" s="188"/>
      <c r="LU21" s="188"/>
      <c r="LV21" s="188"/>
      <c r="LW21" s="188"/>
      <c r="LX21" s="188"/>
      <c r="LY21" s="188"/>
      <c r="LZ21" s="188"/>
      <c r="MA21" s="188"/>
      <c r="MB21" s="188"/>
      <c r="MC21" s="188"/>
      <c r="MD21" s="188"/>
      <c r="ME21" s="188"/>
      <c r="MF21" s="188"/>
      <c r="MG21" s="188"/>
      <c r="MH21" s="188"/>
      <c r="MI21" s="188"/>
      <c r="MJ21" s="188"/>
      <c r="MK21" s="188"/>
      <c r="ML21" s="188"/>
      <c r="MM21" s="188"/>
      <c r="MN21" s="188"/>
      <c r="MO21" s="188"/>
      <c r="MP21" s="188"/>
      <c r="MQ21" s="188"/>
      <c r="MR21" s="188"/>
      <c r="MS21" s="188"/>
      <c r="MT21" s="188"/>
      <c r="MU21" s="188"/>
      <c r="MV21" s="188"/>
      <c r="MW21" s="188"/>
      <c r="MX21" s="188"/>
      <c r="MY21" s="188"/>
      <c r="MZ21" s="188"/>
      <c r="NA21" s="188"/>
      <c r="NB21" s="188"/>
      <c r="NC21" s="188"/>
      <c r="ND21" s="188"/>
      <c r="NE21" s="188"/>
      <c r="NF21" s="188"/>
      <c r="NG21" s="188"/>
      <c r="NH21" s="188"/>
      <c r="NI21" s="188"/>
      <c r="NJ21" s="188"/>
      <c r="NK21" s="188"/>
      <c r="NL21" s="188"/>
      <c r="NM21" s="188"/>
      <c r="NN21" s="188"/>
      <c r="NO21" s="188"/>
      <c r="NP21" s="188"/>
      <c r="NQ21" s="188"/>
      <c r="NR21" s="188"/>
      <c r="NS21" s="188"/>
      <c r="NT21" s="188"/>
      <c r="NU21" s="188"/>
      <c r="NV21" s="188"/>
      <c r="NW21" s="188"/>
      <c r="NX21" s="188"/>
      <c r="NY21" s="188"/>
      <c r="NZ21" s="188"/>
      <c r="OA21" s="188"/>
      <c r="OB21" s="188"/>
      <c r="OC21" s="188"/>
      <c r="OD21" s="188"/>
      <c r="OE21" s="188"/>
      <c r="OF21" s="188"/>
      <c r="OG21" s="188"/>
      <c r="OH21" s="188"/>
      <c r="OI21" s="188"/>
      <c r="OJ21" s="188"/>
      <c r="OK21" s="188"/>
      <c r="OL21" s="188"/>
      <c r="OM21" s="188"/>
      <c r="ON21" s="188"/>
      <c r="OO21" s="188"/>
      <c r="OP21" s="188"/>
      <c r="OQ21" s="188"/>
      <c r="OR21" s="188"/>
      <c r="OS21" s="188"/>
      <c r="OT21" s="188"/>
      <c r="OU21" s="188"/>
      <c r="OV21" s="188"/>
      <c r="OW21" s="188"/>
      <c r="OX21" s="188"/>
      <c r="OY21" s="188"/>
      <c r="OZ21" s="188"/>
      <c r="PA21" s="188"/>
      <c r="PB21" s="188"/>
      <c r="PC21" s="188"/>
      <c r="PD21" s="188"/>
      <c r="PE21" s="188"/>
      <c r="PF21" s="188"/>
      <c r="PG21" s="188"/>
      <c r="PH21" s="188"/>
      <c r="PI21" s="188"/>
      <c r="PJ21" s="188"/>
      <c r="PK21" s="188"/>
      <c r="PL21" s="188"/>
      <c r="PM21" s="188"/>
      <c r="PN21" s="188"/>
      <c r="PO21" s="188"/>
      <c r="PP21" s="188"/>
      <c r="PQ21" s="188"/>
      <c r="PR21" s="188"/>
      <c r="PS21" s="188"/>
      <c r="PT21" s="188"/>
      <c r="PU21" s="188"/>
      <c r="PV21" s="188"/>
      <c r="PW21" s="188"/>
      <c r="PX21" s="188"/>
      <c r="PY21" s="188"/>
      <c r="PZ21" s="188"/>
      <c r="QA21" s="188"/>
      <c r="QB21" s="188"/>
      <c r="QC21" s="188"/>
      <c r="QD21" s="188"/>
      <c r="QE21" s="188"/>
      <c r="QF21" s="188"/>
      <c r="QG21" s="188"/>
      <c r="QH21" s="188"/>
      <c r="QI21" s="188"/>
      <c r="QJ21" s="188"/>
      <c r="QK21" s="188"/>
      <c r="QL21" s="188"/>
      <c r="QM21" s="188"/>
      <c r="QN21" s="188"/>
      <c r="QO21" s="188"/>
      <c r="QP21" s="188"/>
      <c r="QQ21" s="188"/>
      <c r="QR21" s="188"/>
      <c r="QS21" s="188"/>
      <c r="QT21" s="188"/>
      <c r="QU21" s="188"/>
      <c r="QV21" s="188"/>
      <c r="QW21" s="188"/>
      <c r="QX21" s="188"/>
      <c r="QY21" s="188"/>
      <c r="QZ21" s="188"/>
      <c r="RA21" s="188"/>
      <c r="RB21" s="188"/>
      <c r="RC21" s="188"/>
      <c r="RD21" s="188"/>
      <c r="RE21" s="188"/>
      <c r="RF21" s="188"/>
      <c r="RG21" s="188"/>
      <c r="RH21" s="188"/>
      <c r="RI21" s="188"/>
      <c r="RJ21" s="188"/>
      <c r="RK21" s="188"/>
      <c r="RL21" s="188"/>
      <c r="RM21" s="188"/>
      <c r="RN21" s="188"/>
      <c r="RO21" s="188"/>
      <c r="RP21" s="188"/>
      <c r="RQ21" s="188"/>
      <c r="RR21" s="188"/>
      <c r="RS21" s="188"/>
      <c r="RT21" s="188"/>
      <c r="RU21" s="188"/>
      <c r="RV21" s="188"/>
      <c r="RW21" s="188"/>
      <c r="RX21" s="188"/>
      <c r="RY21" s="188"/>
      <c r="RZ21" s="188"/>
      <c r="SA21" s="188"/>
      <c r="SB21" s="188"/>
      <c r="SC21" s="188"/>
      <c r="SD21" s="188"/>
      <c r="SE21" s="188"/>
      <c r="SF21" s="188"/>
      <c r="SG21" s="188"/>
      <c r="SH21" s="188"/>
      <c r="SI21" s="188"/>
      <c r="SJ21" s="188"/>
      <c r="SK21" s="188"/>
      <c r="SL21" s="188"/>
      <c r="SM21" s="188"/>
      <c r="SN21" s="188"/>
      <c r="SO21" s="188"/>
      <c r="SP21" s="188"/>
      <c r="SQ21" s="188"/>
      <c r="SR21" s="188"/>
      <c r="SS21" s="188"/>
      <c r="ST21" s="188"/>
      <c r="SU21" s="188"/>
      <c r="SV21" s="188"/>
      <c r="SW21" s="188"/>
      <c r="SX21" s="188"/>
      <c r="SY21" s="188"/>
      <c r="SZ21" s="188"/>
      <c r="TA21" s="188"/>
      <c r="TB21" s="188"/>
      <c r="TC21" s="188"/>
      <c r="TD21" s="188"/>
      <c r="TE21" s="188"/>
      <c r="TF21" s="188"/>
      <c r="TG21" s="188"/>
      <c r="TH21" s="188"/>
      <c r="TI21" s="188"/>
      <c r="TJ21" s="188"/>
      <c r="TK21" s="188"/>
      <c r="TL21" s="188"/>
      <c r="TM21" s="188"/>
      <c r="TN21" s="188"/>
      <c r="TO21" s="188"/>
      <c r="TP21" s="188"/>
      <c r="TQ21" s="188"/>
      <c r="TR21" s="188"/>
      <c r="TS21" s="188"/>
      <c r="TT21" s="188"/>
      <c r="TU21" s="188"/>
      <c r="TV21" s="188"/>
      <c r="TW21" s="188"/>
      <c r="TX21" s="188"/>
      <c r="TY21" s="188"/>
      <c r="TZ21" s="188"/>
      <c r="UA21" s="188"/>
      <c r="UB21" s="188"/>
      <c r="UC21" s="188"/>
      <c r="UD21" s="188"/>
      <c r="UE21" s="188"/>
      <c r="UF21" s="188"/>
      <c r="UG21" s="188"/>
      <c r="UH21" s="188"/>
      <c r="UI21" s="188"/>
      <c r="UJ21" s="188"/>
      <c r="UK21" s="188"/>
      <c r="UL21" s="188"/>
      <c r="UM21" s="188"/>
      <c r="UN21" s="188"/>
      <c r="UO21" s="188"/>
      <c r="UP21" s="188"/>
      <c r="UQ21" s="188"/>
      <c r="UR21" s="188"/>
      <c r="US21" s="188"/>
      <c r="UT21" s="188"/>
      <c r="UU21" s="188"/>
      <c r="UV21" s="188"/>
      <c r="UW21" s="188"/>
      <c r="UX21" s="188"/>
      <c r="UY21" s="188"/>
      <c r="UZ21" s="188"/>
      <c r="VA21" s="188"/>
      <c r="VB21" s="188"/>
      <c r="VC21" s="188"/>
      <c r="VD21" s="188"/>
      <c r="VE21" s="188"/>
      <c r="VF21" s="188"/>
      <c r="VG21" s="188"/>
      <c r="VH21" s="188"/>
      <c r="VI21" s="188"/>
      <c r="VJ21" s="188"/>
      <c r="VK21" s="188"/>
      <c r="VL21" s="188"/>
      <c r="VM21" s="188"/>
      <c r="VN21" s="188"/>
      <c r="VO21" s="188"/>
      <c r="VP21" s="188"/>
      <c r="VQ21" s="188"/>
      <c r="VR21" s="188"/>
      <c r="VS21" s="188"/>
      <c r="VT21" s="188"/>
      <c r="VU21" s="188"/>
      <c r="VV21" s="188"/>
      <c r="VW21" s="188"/>
      <c r="VX21" s="188"/>
      <c r="VY21" s="188"/>
      <c r="VZ21" s="188"/>
      <c r="WA21" s="188"/>
      <c r="WB21" s="188"/>
      <c r="WC21" s="188"/>
      <c r="WD21" s="188"/>
      <c r="WE21" s="188"/>
      <c r="WF21" s="188"/>
      <c r="WG21" s="188"/>
      <c r="WH21" s="188"/>
      <c r="WI21" s="188"/>
      <c r="WJ21" s="188"/>
      <c r="WK21" s="188"/>
      <c r="WL21" s="188"/>
      <c r="WM21" s="188"/>
      <c r="WN21" s="188"/>
      <c r="WO21" s="188"/>
      <c r="WP21" s="188"/>
      <c r="WQ21" s="188"/>
      <c r="WR21" s="188"/>
      <c r="WS21" s="188"/>
      <c r="WT21" s="188"/>
      <c r="WU21" s="188"/>
      <c r="WV21" s="188"/>
      <c r="WW21" s="188"/>
      <c r="WX21" s="188"/>
      <c r="WY21" s="188"/>
      <c r="WZ21" s="188"/>
      <c r="XA21" s="188"/>
      <c r="XB21" s="188"/>
      <c r="XC21" s="188"/>
      <c r="XD21" s="188"/>
      <c r="XE21" s="188"/>
      <c r="XF21" s="188"/>
      <c r="XG21" s="188"/>
      <c r="XH21" s="188"/>
      <c r="XI21" s="188"/>
      <c r="XJ21" s="188"/>
      <c r="XK21" s="188"/>
      <c r="XL21" s="188"/>
      <c r="XM21" s="188"/>
      <c r="XN21" s="188"/>
      <c r="XO21" s="188"/>
      <c r="XP21" s="188"/>
      <c r="XQ21" s="188"/>
      <c r="XR21" s="188"/>
      <c r="XS21" s="188"/>
      <c r="XT21" s="188"/>
      <c r="XU21" s="188"/>
      <c r="XV21" s="188"/>
      <c r="XW21" s="188"/>
      <c r="XX21" s="188"/>
      <c r="XY21" s="188"/>
      <c r="XZ21" s="188"/>
      <c r="YA21" s="188"/>
      <c r="YB21" s="188"/>
      <c r="YC21" s="188"/>
      <c r="YD21" s="188"/>
      <c r="YE21" s="188"/>
      <c r="YF21" s="188"/>
      <c r="YG21" s="188"/>
      <c r="YH21" s="188"/>
      <c r="YI21" s="188"/>
      <c r="YJ21" s="188"/>
      <c r="YK21" s="188"/>
      <c r="YL21" s="188"/>
      <c r="YM21" s="188"/>
      <c r="YN21" s="188"/>
      <c r="YO21" s="188"/>
      <c r="YP21" s="188"/>
      <c r="YQ21" s="188"/>
      <c r="YR21" s="188"/>
      <c r="YS21" s="188"/>
      <c r="YT21" s="188"/>
      <c r="YU21" s="188"/>
      <c r="YV21" s="188"/>
      <c r="YW21" s="188"/>
      <c r="YX21" s="188"/>
      <c r="YY21" s="188"/>
      <c r="YZ21" s="188"/>
      <c r="ZA21" s="188"/>
      <c r="ZB21" s="188"/>
      <c r="ZC21" s="188"/>
      <c r="ZD21" s="188"/>
      <c r="ZE21" s="188"/>
      <c r="ZF21" s="188"/>
      <c r="ZG21" s="188"/>
      <c r="ZH21" s="188"/>
      <c r="ZI21" s="188"/>
      <c r="ZJ21" s="188"/>
      <c r="ZK21" s="188"/>
      <c r="ZL21" s="188"/>
      <c r="ZM21" s="188"/>
      <c r="ZN21" s="188"/>
      <c r="ZO21" s="188"/>
      <c r="ZP21" s="188"/>
      <c r="ZQ21" s="188"/>
      <c r="ZR21" s="188"/>
      <c r="ZS21" s="188"/>
      <c r="ZT21" s="188"/>
      <c r="ZU21" s="188"/>
      <c r="ZV21" s="188"/>
      <c r="ZW21" s="188"/>
      <c r="ZX21" s="188"/>
      <c r="ZY21" s="188"/>
      <c r="ZZ21" s="188"/>
      <c r="AAA21" s="188"/>
      <c r="AAB21" s="188"/>
      <c r="AAC21" s="188"/>
      <c r="AAD21" s="188"/>
      <c r="AAE21" s="188"/>
      <c r="AAF21" s="188"/>
      <c r="AAG21" s="188"/>
      <c r="AAH21" s="188"/>
      <c r="AAI21" s="188"/>
      <c r="AAJ21" s="188"/>
      <c r="AAK21" s="188"/>
      <c r="AAL21" s="188"/>
      <c r="AAM21" s="188"/>
      <c r="AAN21" s="188"/>
      <c r="AAO21" s="188"/>
      <c r="AAP21" s="188"/>
      <c r="AAQ21" s="188"/>
      <c r="AAR21" s="188"/>
      <c r="AAS21" s="188"/>
      <c r="AAT21" s="188"/>
      <c r="AAU21" s="188"/>
      <c r="AAV21" s="188"/>
      <c r="AAW21" s="188"/>
      <c r="AAX21" s="188"/>
      <c r="AAY21" s="188"/>
      <c r="AAZ21" s="188"/>
      <c r="ABA21" s="188"/>
      <c r="ABB21" s="188"/>
      <c r="ABC21" s="188"/>
      <c r="ABD21" s="188"/>
      <c r="ABE21" s="188"/>
      <c r="ABF21" s="188"/>
      <c r="ABG21" s="188"/>
      <c r="ABH21" s="188"/>
      <c r="ABI21" s="188"/>
      <c r="ABJ21" s="188"/>
      <c r="ABK21" s="188"/>
      <c r="ABL21" s="188"/>
      <c r="ABM21" s="188"/>
      <c r="ABN21" s="188"/>
      <c r="ABO21" s="188"/>
      <c r="ABP21" s="188"/>
      <c r="ABQ21" s="188"/>
      <c r="ABR21" s="188"/>
      <c r="ABS21" s="188"/>
      <c r="ABT21" s="188"/>
      <c r="ABU21" s="188"/>
      <c r="ABV21" s="188"/>
      <c r="ABW21" s="188"/>
      <c r="ABX21" s="188"/>
      <c r="ABY21" s="188"/>
      <c r="ABZ21" s="188"/>
      <c r="ACA21" s="188"/>
      <c r="ACB21" s="188"/>
      <c r="ACC21" s="188"/>
      <c r="ACD21" s="188"/>
      <c r="ACE21" s="188"/>
      <c r="ACF21" s="188"/>
      <c r="ACG21" s="188"/>
      <c r="ACH21" s="188"/>
      <c r="ACI21" s="188"/>
      <c r="ACJ21" s="188"/>
      <c r="ACK21" s="188"/>
      <c r="ACL21" s="188"/>
      <c r="ACM21" s="188"/>
      <c r="ACN21" s="188"/>
      <c r="ACO21" s="188"/>
      <c r="ACP21" s="188"/>
      <c r="ACQ21" s="188"/>
      <c r="ACR21" s="188"/>
      <c r="ACS21" s="188"/>
      <c r="ACT21" s="188"/>
      <c r="ACU21" s="188"/>
      <c r="ACV21" s="188"/>
      <c r="ACW21" s="188"/>
      <c r="ACX21" s="188"/>
      <c r="ACY21" s="188"/>
      <c r="ACZ21" s="188"/>
      <c r="ADA21" s="188"/>
      <c r="ADB21" s="188"/>
      <c r="ADC21" s="188"/>
      <c r="ADD21" s="188"/>
      <c r="ADE21" s="188"/>
      <c r="ADF21" s="188"/>
      <c r="ADG21" s="188"/>
      <c r="ADH21" s="188"/>
      <c r="ADI21" s="188"/>
      <c r="ADJ21" s="188"/>
      <c r="ADK21" s="188"/>
      <c r="ADL21" s="188"/>
      <c r="ADM21" s="188"/>
      <c r="ADN21" s="188"/>
      <c r="ADO21" s="188"/>
      <c r="ADP21" s="188"/>
      <c r="ADQ21" s="188"/>
      <c r="ADR21" s="188"/>
      <c r="ADS21" s="188"/>
      <c r="ADT21" s="188"/>
      <c r="ADU21" s="188"/>
      <c r="ADV21" s="188"/>
      <c r="ADW21" s="188"/>
      <c r="ADX21" s="188"/>
      <c r="ADY21" s="188"/>
      <c r="ADZ21" s="188"/>
      <c r="AEA21" s="188"/>
      <c r="AEB21" s="188"/>
      <c r="AEC21" s="188"/>
      <c r="AED21" s="188"/>
      <c r="AEE21" s="188"/>
      <c r="AEF21" s="188"/>
      <c r="AEG21" s="188"/>
      <c r="AEH21" s="188"/>
      <c r="AEI21" s="188"/>
      <c r="AEJ21" s="188"/>
      <c r="AEK21" s="188"/>
      <c r="AEL21" s="188"/>
      <c r="AEM21" s="188"/>
      <c r="AEN21" s="188"/>
      <c r="AEO21" s="188"/>
      <c r="AEP21" s="188"/>
      <c r="AEQ21" s="188"/>
      <c r="AER21" s="188"/>
      <c r="AES21" s="188"/>
      <c r="AET21" s="188"/>
      <c r="AEU21" s="188"/>
      <c r="AEV21" s="188"/>
      <c r="AEW21" s="188"/>
      <c r="AEX21" s="188"/>
      <c r="AEY21" s="188"/>
      <c r="AEZ21" s="188"/>
      <c r="AFA21" s="188"/>
      <c r="AFB21" s="188"/>
      <c r="AFC21" s="188"/>
      <c r="AFD21" s="188"/>
      <c r="AFE21" s="188"/>
      <c r="AFF21" s="188"/>
      <c r="AFG21" s="188"/>
      <c r="AFH21" s="188"/>
      <c r="AFI21" s="188"/>
      <c r="AFJ21" s="188"/>
      <c r="AFK21" s="188"/>
      <c r="AFL21" s="188"/>
      <c r="AFM21" s="188"/>
      <c r="AFN21" s="188"/>
      <c r="AFO21" s="188"/>
      <c r="AFP21" s="188"/>
      <c r="AFQ21" s="188"/>
      <c r="AFR21" s="188"/>
      <c r="AFS21" s="188"/>
      <c r="AFT21" s="188"/>
      <c r="AFU21" s="188"/>
      <c r="AFV21" s="188"/>
      <c r="AFW21" s="188"/>
      <c r="AFX21" s="188"/>
      <c r="AFY21" s="188"/>
      <c r="AFZ21" s="188"/>
      <c r="AGA21" s="188"/>
      <c r="AGB21" s="188"/>
      <c r="AGC21" s="188"/>
      <c r="AGD21" s="188"/>
      <c r="AGE21" s="188"/>
      <c r="AGF21" s="188"/>
      <c r="AGG21" s="188"/>
      <c r="AGH21" s="188"/>
      <c r="AGI21" s="188"/>
      <c r="AGJ21" s="188"/>
      <c r="AGK21" s="188"/>
      <c r="AGL21" s="188"/>
      <c r="AGM21" s="188"/>
      <c r="AGN21" s="188"/>
      <c r="AGO21" s="188"/>
      <c r="AGP21" s="188"/>
      <c r="AGQ21" s="188"/>
      <c r="AGR21" s="188"/>
      <c r="AGS21" s="188"/>
      <c r="AGT21" s="188"/>
      <c r="AGU21" s="188"/>
      <c r="AGV21" s="188"/>
      <c r="AGW21" s="188"/>
      <c r="AGX21" s="188"/>
      <c r="AGY21" s="188"/>
      <c r="AGZ21" s="188"/>
      <c r="AHA21" s="188"/>
      <c r="AHB21" s="188"/>
      <c r="AHC21" s="188"/>
      <c r="AHD21" s="188"/>
      <c r="AHE21" s="188"/>
      <c r="AHF21" s="188"/>
      <c r="AHG21" s="188"/>
      <c r="AHH21" s="188"/>
      <c r="AHI21" s="188"/>
      <c r="AHJ21" s="188"/>
      <c r="AHK21" s="188"/>
      <c r="AHL21" s="188"/>
      <c r="AHM21" s="188"/>
      <c r="AHN21" s="188"/>
      <c r="AHO21" s="188"/>
      <c r="AHP21" s="188"/>
      <c r="AHQ21" s="188"/>
      <c r="AHR21" s="188"/>
      <c r="AHS21" s="188"/>
      <c r="AHT21" s="188"/>
      <c r="AHU21" s="188"/>
      <c r="AHV21" s="188"/>
      <c r="AHW21" s="188"/>
      <c r="AHX21" s="188"/>
      <c r="AHY21" s="188"/>
      <c r="AHZ21" s="188"/>
      <c r="AIA21" s="188"/>
      <c r="AIB21" s="188"/>
      <c r="AIC21" s="188"/>
      <c r="AID21" s="188"/>
      <c r="AIE21" s="188"/>
      <c r="AIF21" s="188"/>
      <c r="AIG21" s="188"/>
      <c r="AIH21" s="188"/>
      <c r="AII21" s="188"/>
      <c r="AIJ21" s="188"/>
      <c r="AIK21" s="188"/>
      <c r="AIL21" s="188"/>
      <c r="AIM21" s="188"/>
      <c r="AIN21" s="188"/>
      <c r="AIO21" s="188"/>
      <c r="AIP21" s="188"/>
      <c r="AIQ21" s="188"/>
      <c r="AIR21" s="188"/>
      <c r="AIS21" s="188"/>
      <c r="AIT21" s="188"/>
      <c r="AIU21" s="188"/>
      <c r="AIV21" s="188"/>
      <c r="AIW21" s="188"/>
      <c r="AIX21" s="188"/>
      <c r="AIY21" s="188"/>
      <c r="AIZ21" s="188"/>
      <c r="AJA21" s="188"/>
      <c r="AJB21" s="188"/>
      <c r="AJC21" s="188"/>
      <c r="AJD21" s="188"/>
      <c r="AJE21" s="188"/>
      <c r="AJF21" s="188"/>
      <c r="AJG21" s="188"/>
      <c r="AJH21" s="188"/>
      <c r="AJI21" s="188"/>
      <c r="AJJ21" s="188"/>
      <c r="AJK21" s="188"/>
      <c r="AJL21" s="188"/>
      <c r="AJM21" s="188"/>
      <c r="AJN21" s="188"/>
      <c r="AJO21" s="188"/>
      <c r="AJP21" s="188"/>
      <c r="AJQ21" s="188"/>
      <c r="AJR21" s="188"/>
      <c r="AJS21" s="188"/>
      <c r="AJT21" s="188"/>
      <c r="AJU21" s="188"/>
      <c r="AJV21" s="188"/>
      <c r="AJW21" s="188"/>
      <c r="AJX21" s="188"/>
      <c r="AJY21" s="188"/>
      <c r="AJZ21" s="188"/>
      <c r="AKA21" s="188"/>
      <c r="AKB21" s="188"/>
      <c r="AKC21" s="188"/>
      <c r="AKD21" s="188"/>
      <c r="AKE21" s="188"/>
      <c r="AKF21" s="188"/>
      <c r="AKG21" s="188"/>
      <c r="AKH21" s="188"/>
      <c r="AKI21" s="188"/>
      <c r="AKJ21" s="188"/>
      <c r="AKK21" s="188"/>
      <c r="AKL21" s="188"/>
      <c r="AKM21" s="188"/>
      <c r="AKN21" s="188"/>
      <c r="AKO21" s="188"/>
      <c r="AKP21" s="188"/>
      <c r="AKQ21" s="188"/>
      <c r="AKR21" s="188"/>
      <c r="AKS21" s="188"/>
      <c r="AKT21" s="188"/>
      <c r="AKU21" s="188"/>
      <c r="AKV21" s="188"/>
      <c r="AKW21" s="188"/>
      <c r="AKX21" s="188"/>
      <c r="AKY21" s="188"/>
      <c r="AKZ21" s="188"/>
      <c r="ALA21" s="188"/>
      <c r="ALB21" s="188"/>
      <c r="ALC21" s="188"/>
      <c r="ALD21" s="188"/>
      <c r="ALE21" s="188"/>
      <c r="ALF21" s="188"/>
      <c r="ALG21" s="188"/>
      <c r="ALH21" s="188"/>
      <c r="ALI21" s="188"/>
      <c r="ALJ21" s="188"/>
      <c r="ALK21" s="188"/>
      <c r="ALL21" s="188"/>
      <c r="ALM21" s="188"/>
      <c r="ALN21" s="188"/>
      <c r="ALO21" s="188"/>
      <c r="ALP21" s="188"/>
      <c r="ALQ21" s="188"/>
      <c r="ALR21" s="188"/>
      <c r="ALS21" s="188"/>
      <c r="ALT21" s="188"/>
      <c r="ALU21" s="188"/>
      <c r="ALV21" s="188"/>
      <c r="ALW21" s="188"/>
      <c r="ALX21" s="188"/>
      <c r="ALY21" s="188"/>
      <c r="ALZ21" s="188"/>
      <c r="AMA21" s="188"/>
      <c r="AMB21" s="188"/>
      <c r="AMC21" s="188"/>
      <c r="AMD21" s="188"/>
      <c r="AME21" s="188"/>
      <c r="AMF21" s="188"/>
      <c r="AMG21" s="188"/>
      <c r="AMH21" s="188"/>
      <c r="AMI21" s="188"/>
      <c r="AMJ21" s="188"/>
      <c r="AMK21" s="188"/>
      <c r="AML21" s="188"/>
      <c r="AMM21" s="188"/>
      <c r="AMN21" s="188"/>
      <c r="AMO21" s="188"/>
      <c r="AMP21" s="188"/>
      <c r="AMQ21" s="188"/>
      <c r="AMR21" s="188"/>
      <c r="AMS21" s="188"/>
      <c r="AMT21" s="188"/>
      <c r="AMU21" s="188"/>
      <c r="AMV21" s="188"/>
      <c r="AMW21" s="188"/>
      <c r="AMX21" s="188"/>
      <c r="AMY21" s="188"/>
      <c r="AMZ21" s="188"/>
      <c r="ANA21" s="188"/>
      <c r="ANB21" s="188"/>
      <c r="ANC21" s="188"/>
      <c r="AND21" s="188"/>
      <c r="ANE21" s="188"/>
      <c r="ANF21" s="188"/>
      <c r="ANG21" s="188"/>
      <c r="ANH21" s="188"/>
      <c r="ANI21" s="188"/>
      <c r="ANJ21" s="188"/>
      <c r="ANK21" s="188"/>
      <c r="ANL21" s="188"/>
      <c r="ANM21" s="188"/>
      <c r="ANN21" s="188"/>
      <c r="ANO21" s="188"/>
      <c r="ANP21" s="188"/>
      <c r="ANQ21" s="188"/>
      <c r="ANR21" s="188"/>
      <c r="ANS21" s="188"/>
      <c r="ANT21" s="188"/>
      <c r="ANU21" s="188"/>
      <c r="ANV21" s="188"/>
      <c r="ANW21" s="188"/>
      <c r="ANX21" s="188"/>
      <c r="ANY21" s="188"/>
      <c r="ANZ21" s="188"/>
      <c r="AOA21" s="188"/>
      <c r="AOB21" s="188"/>
      <c r="AOC21" s="188"/>
      <c r="AOD21" s="188"/>
      <c r="AOE21" s="188"/>
      <c r="AOF21" s="188"/>
      <c r="AOG21" s="188"/>
      <c r="AOH21" s="188"/>
      <c r="AOI21" s="188"/>
      <c r="AOJ21" s="188"/>
      <c r="AOK21" s="188"/>
      <c r="AOL21" s="188"/>
      <c r="AOM21" s="188"/>
      <c r="AON21" s="188"/>
      <c r="AOO21" s="188"/>
      <c r="AOP21" s="188"/>
      <c r="AOQ21" s="188"/>
      <c r="AOR21" s="188"/>
      <c r="AOS21" s="188"/>
      <c r="AOT21" s="188"/>
      <c r="AOU21" s="188"/>
      <c r="AOV21" s="188"/>
      <c r="AOW21" s="188"/>
      <c r="AOX21" s="188"/>
      <c r="AOY21" s="188"/>
      <c r="AOZ21" s="188"/>
      <c r="APA21" s="188"/>
      <c r="APB21" s="188"/>
      <c r="APC21" s="188"/>
      <c r="APD21" s="188"/>
      <c r="APE21" s="188"/>
      <c r="APF21" s="188"/>
      <c r="APG21" s="188"/>
      <c r="APH21" s="188"/>
      <c r="API21" s="188"/>
      <c r="APJ21" s="188"/>
      <c r="APK21" s="188"/>
      <c r="APL21" s="188"/>
      <c r="APM21" s="188"/>
      <c r="APN21" s="188"/>
      <c r="APO21" s="188"/>
      <c r="APP21" s="188"/>
      <c r="APQ21" s="188"/>
      <c r="APR21" s="188"/>
      <c r="APS21" s="188"/>
      <c r="APT21" s="188"/>
      <c r="APU21" s="188"/>
      <c r="APV21" s="188"/>
      <c r="APW21" s="188"/>
      <c r="APX21" s="188"/>
      <c r="APY21" s="188"/>
      <c r="APZ21" s="188"/>
      <c r="AQA21" s="188"/>
      <c r="AQB21" s="188"/>
      <c r="AQC21" s="188"/>
      <c r="AQD21" s="188"/>
      <c r="AQE21" s="188"/>
      <c r="AQF21" s="188"/>
      <c r="AQG21" s="188"/>
      <c r="AQH21" s="188"/>
      <c r="AQI21" s="188"/>
      <c r="AQJ21" s="188"/>
      <c r="AQK21" s="188"/>
      <c r="AQL21" s="188"/>
      <c r="AQM21" s="188"/>
      <c r="AQN21" s="188"/>
      <c r="AQO21" s="188"/>
      <c r="AQP21" s="188"/>
      <c r="AQQ21" s="188"/>
      <c r="AQR21" s="188"/>
      <c r="AQS21" s="188"/>
      <c r="AQT21" s="188"/>
      <c r="AQU21" s="188"/>
      <c r="AQV21" s="188"/>
      <c r="AQW21" s="188"/>
      <c r="AQX21" s="188"/>
      <c r="AQY21" s="188"/>
      <c r="AQZ21" s="188"/>
      <c r="ARA21" s="188"/>
      <c r="ARB21" s="188"/>
      <c r="ARC21" s="188"/>
      <c r="ARD21" s="188"/>
      <c r="ARE21" s="188"/>
      <c r="ARF21" s="188"/>
      <c r="ARG21" s="188"/>
      <c r="ARH21" s="188"/>
      <c r="ARI21" s="188"/>
      <c r="ARJ21" s="188"/>
      <c r="ARK21" s="188"/>
      <c r="ARL21" s="188"/>
      <c r="ARM21" s="188"/>
      <c r="ARN21" s="188"/>
      <c r="ARO21" s="188"/>
      <c r="ARP21" s="188"/>
      <c r="ARQ21" s="188"/>
      <c r="ARR21" s="188"/>
      <c r="ARS21" s="188"/>
      <c r="ART21" s="188"/>
      <c r="ARU21" s="188"/>
      <c r="ARV21" s="188"/>
      <c r="ARW21" s="188"/>
      <c r="ARX21" s="188"/>
      <c r="ARY21" s="188"/>
      <c r="ARZ21" s="188"/>
      <c r="ASA21" s="188"/>
      <c r="ASB21" s="188"/>
      <c r="ASC21" s="188"/>
      <c r="ASD21" s="188"/>
      <c r="ASE21" s="188"/>
      <c r="ASF21" s="188"/>
      <c r="ASG21" s="188"/>
      <c r="ASH21" s="188"/>
      <c r="ASI21" s="188"/>
      <c r="ASJ21" s="188"/>
      <c r="ASK21" s="188"/>
      <c r="ASL21" s="188"/>
      <c r="ASM21" s="188"/>
      <c r="ASN21" s="188"/>
      <c r="ASO21" s="188"/>
      <c r="ASP21" s="188"/>
      <c r="ASQ21" s="188"/>
      <c r="ASR21" s="188"/>
      <c r="ASS21" s="188"/>
      <c r="AST21" s="188"/>
      <c r="ASU21" s="188"/>
      <c r="ASV21" s="188"/>
      <c r="ASW21" s="188"/>
      <c r="ASX21" s="188"/>
      <c r="ASY21" s="188"/>
      <c r="ASZ21" s="188"/>
      <c r="ATA21" s="188"/>
      <c r="ATB21" s="188"/>
      <c r="ATC21" s="188"/>
      <c r="ATD21" s="188"/>
      <c r="ATE21" s="188"/>
      <c r="ATF21" s="188"/>
      <c r="ATG21" s="188"/>
      <c r="ATH21" s="188"/>
      <c r="ATI21" s="188"/>
      <c r="ATJ21" s="188"/>
      <c r="ATK21" s="188"/>
      <c r="ATL21" s="188"/>
      <c r="ATM21" s="188"/>
      <c r="ATN21" s="188"/>
      <c r="ATO21" s="188"/>
      <c r="ATP21" s="188"/>
      <c r="ATQ21" s="188"/>
      <c r="ATR21" s="188"/>
      <c r="ATS21" s="188"/>
      <c r="ATT21" s="188"/>
      <c r="ATU21" s="188"/>
      <c r="ATV21" s="188"/>
      <c r="ATW21" s="188"/>
      <c r="ATX21" s="188"/>
      <c r="ATY21" s="188"/>
      <c r="ATZ21" s="188"/>
      <c r="AUA21" s="188"/>
      <c r="AUB21" s="188"/>
      <c r="AUC21" s="188"/>
      <c r="AUD21" s="188"/>
      <c r="AUE21" s="188"/>
      <c r="AUF21" s="188"/>
      <c r="AUG21" s="188"/>
      <c r="AUH21" s="188"/>
      <c r="AUI21" s="188"/>
      <c r="AUJ21" s="188"/>
      <c r="AUK21" s="188"/>
      <c r="AUL21" s="188"/>
      <c r="AUM21" s="188"/>
      <c r="AUN21" s="188"/>
      <c r="AUO21" s="188"/>
      <c r="AUP21" s="188"/>
      <c r="AUQ21" s="188"/>
      <c r="AUR21" s="188"/>
      <c r="AUS21" s="188"/>
      <c r="AUT21" s="188"/>
      <c r="AUU21" s="188"/>
      <c r="AUV21" s="188"/>
      <c r="AUW21" s="188"/>
      <c r="AUX21" s="188"/>
      <c r="AUY21" s="188"/>
      <c r="AUZ21" s="188"/>
      <c r="AVA21" s="188"/>
      <c r="AVB21" s="188"/>
      <c r="AVC21" s="188"/>
      <c r="AVD21" s="188"/>
      <c r="AVE21" s="188"/>
      <c r="AVF21" s="188"/>
      <c r="AVG21" s="188"/>
      <c r="AVH21" s="188"/>
      <c r="AVI21" s="188"/>
      <c r="AVJ21" s="188"/>
      <c r="AVK21" s="188"/>
      <c r="AVL21" s="188"/>
      <c r="AVM21" s="188"/>
      <c r="AVN21" s="188"/>
      <c r="AVO21" s="188"/>
      <c r="AVP21" s="188"/>
      <c r="AVQ21" s="188"/>
      <c r="AVR21" s="188"/>
      <c r="AVS21" s="188"/>
      <c r="AVT21" s="188"/>
      <c r="AVU21" s="188"/>
      <c r="AVV21" s="188"/>
      <c r="AVW21" s="188"/>
      <c r="AVX21" s="188"/>
      <c r="AVY21" s="188"/>
      <c r="AVZ21" s="188"/>
      <c r="AWA21" s="188"/>
      <c r="AWB21" s="188"/>
      <c r="AWC21" s="188"/>
      <c r="AWD21" s="188"/>
      <c r="AWE21" s="188"/>
      <c r="AWF21" s="188"/>
      <c r="AWG21" s="188"/>
      <c r="AWH21" s="188"/>
      <c r="AWI21" s="188"/>
      <c r="AWJ21" s="188"/>
      <c r="AWK21" s="188"/>
      <c r="AWL21" s="188"/>
      <c r="AWM21" s="188"/>
      <c r="AWN21" s="188"/>
      <c r="AWO21" s="188"/>
      <c r="AWP21" s="188"/>
      <c r="AWQ21" s="188"/>
      <c r="AWR21" s="188"/>
      <c r="AWS21" s="188"/>
      <c r="AWT21" s="188"/>
      <c r="AWU21" s="188"/>
      <c r="AWV21" s="188"/>
      <c r="AWW21" s="188"/>
      <c r="AWX21" s="188"/>
      <c r="AWY21" s="188"/>
      <c r="AWZ21" s="188"/>
      <c r="AXA21" s="188"/>
      <c r="AXB21" s="188"/>
      <c r="AXC21" s="188"/>
      <c r="AXD21" s="188"/>
      <c r="AXE21" s="188"/>
      <c r="AXF21" s="188"/>
      <c r="AXG21" s="188"/>
      <c r="AXH21" s="188"/>
      <c r="AXI21" s="188"/>
      <c r="AXJ21" s="188"/>
      <c r="AXK21" s="188"/>
      <c r="AXL21" s="188"/>
      <c r="AXM21" s="188"/>
      <c r="AXN21" s="188"/>
      <c r="AXO21" s="188"/>
      <c r="AXP21" s="188"/>
      <c r="AXQ21" s="188"/>
      <c r="AXR21" s="188"/>
      <c r="AXS21" s="188"/>
      <c r="AXT21" s="188"/>
      <c r="AXU21" s="188"/>
      <c r="AXV21" s="188"/>
      <c r="AXW21" s="188"/>
      <c r="AXX21" s="188"/>
      <c r="AXY21" s="188"/>
      <c r="AXZ21" s="188"/>
      <c r="AYA21" s="188"/>
      <c r="AYB21" s="188"/>
      <c r="AYC21" s="188"/>
      <c r="AYD21" s="188"/>
      <c r="AYE21" s="188"/>
      <c r="AYF21" s="188"/>
      <c r="AYG21" s="188"/>
      <c r="AYH21" s="188"/>
      <c r="AYI21" s="188"/>
      <c r="AYJ21" s="188"/>
      <c r="AYK21" s="188"/>
      <c r="AYL21" s="188"/>
      <c r="AYM21" s="188"/>
      <c r="AYN21" s="188"/>
      <c r="AYO21" s="188"/>
      <c r="AYP21" s="188"/>
      <c r="AYQ21" s="188"/>
      <c r="AYR21" s="188"/>
      <c r="AYS21" s="188"/>
      <c r="AYT21" s="188"/>
      <c r="AYU21" s="188"/>
      <c r="AYV21" s="188"/>
      <c r="AYW21" s="188"/>
      <c r="AYX21" s="188"/>
      <c r="AYY21" s="188"/>
      <c r="AYZ21" s="188"/>
      <c r="AZA21" s="188"/>
      <c r="AZB21" s="188"/>
      <c r="AZC21" s="188"/>
      <c r="AZD21" s="188"/>
      <c r="AZE21" s="188"/>
      <c r="AZF21" s="188"/>
      <c r="AZG21" s="188"/>
      <c r="AZH21" s="188"/>
      <c r="AZI21" s="188"/>
      <c r="AZJ21" s="188"/>
      <c r="AZK21" s="188"/>
      <c r="AZL21" s="188"/>
      <c r="AZM21" s="188"/>
      <c r="AZN21" s="188"/>
      <c r="AZO21" s="188"/>
      <c r="AZP21" s="188"/>
      <c r="AZQ21" s="188"/>
      <c r="AZR21" s="188"/>
      <c r="AZS21" s="188"/>
      <c r="AZT21" s="188"/>
      <c r="AZU21" s="188"/>
      <c r="AZV21" s="188"/>
      <c r="AZW21" s="188"/>
      <c r="AZX21" s="188"/>
      <c r="AZY21" s="188"/>
      <c r="AZZ21" s="188"/>
      <c r="BAA21" s="188"/>
      <c r="BAB21" s="188"/>
      <c r="BAC21" s="188"/>
      <c r="BAD21" s="188"/>
      <c r="BAE21" s="188"/>
      <c r="BAF21" s="188"/>
      <c r="BAG21" s="188"/>
      <c r="BAH21" s="188"/>
      <c r="BAI21" s="188"/>
      <c r="BAJ21" s="188"/>
      <c r="BAK21" s="188"/>
      <c r="BAL21" s="188"/>
      <c r="BAM21" s="188"/>
      <c r="BAN21" s="188"/>
      <c r="BAO21" s="188"/>
      <c r="BAP21" s="188"/>
      <c r="BAQ21" s="188"/>
      <c r="BAR21" s="188"/>
      <c r="BAS21" s="188"/>
      <c r="BAT21" s="188"/>
      <c r="BAU21" s="188"/>
      <c r="BAV21" s="188"/>
      <c r="BAW21" s="188"/>
      <c r="BAX21" s="188"/>
      <c r="BAY21" s="188"/>
      <c r="BAZ21" s="188"/>
      <c r="BBA21" s="188"/>
      <c r="BBB21" s="188"/>
      <c r="BBC21" s="188"/>
      <c r="BBD21" s="188"/>
      <c r="BBE21" s="188"/>
      <c r="BBF21" s="188"/>
      <c r="BBG21" s="188"/>
      <c r="BBH21" s="188"/>
      <c r="BBI21" s="188"/>
      <c r="BBJ21" s="188"/>
      <c r="BBK21" s="188"/>
      <c r="BBL21" s="188"/>
      <c r="BBM21" s="188"/>
      <c r="BBN21" s="188"/>
      <c r="BBO21" s="188"/>
      <c r="BBP21" s="188"/>
      <c r="BBQ21" s="188"/>
      <c r="BBR21" s="188"/>
      <c r="BBS21" s="188"/>
      <c r="BBT21" s="188"/>
      <c r="BBU21" s="188"/>
      <c r="BBV21" s="188"/>
      <c r="BBW21" s="188"/>
      <c r="BBX21" s="188"/>
      <c r="BBY21" s="188"/>
      <c r="BBZ21" s="188"/>
      <c r="BCA21" s="188"/>
      <c r="BCB21" s="188"/>
      <c r="BCC21" s="188"/>
      <c r="BCD21" s="188"/>
      <c r="BCE21" s="188"/>
      <c r="BCF21" s="188"/>
      <c r="BCG21" s="188"/>
      <c r="BCH21" s="188"/>
      <c r="BCI21" s="188"/>
      <c r="BCJ21" s="188"/>
      <c r="BCK21" s="188"/>
      <c r="BCL21" s="188"/>
      <c r="BCM21" s="188"/>
      <c r="BCN21" s="188"/>
      <c r="BCO21" s="188"/>
      <c r="BCP21" s="188"/>
      <c r="BCQ21" s="188"/>
      <c r="BCR21" s="188"/>
      <c r="BCS21" s="188"/>
      <c r="BCT21" s="188"/>
      <c r="BCU21" s="188"/>
      <c r="BCV21" s="188"/>
      <c r="BCW21" s="188"/>
      <c r="BCX21" s="188"/>
      <c r="BCY21" s="188"/>
      <c r="BCZ21" s="188"/>
      <c r="BDA21" s="188"/>
      <c r="BDB21" s="188"/>
      <c r="BDC21" s="188"/>
      <c r="BDD21" s="188"/>
      <c r="BDE21" s="188"/>
      <c r="BDF21" s="188"/>
      <c r="BDG21" s="188"/>
      <c r="BDH21" s="188"/>
      <c r="BDI21" s="188"/>
      <c r="BDJ21" s="188"/>
      <c r="BDK21" s="188"/>
      <c r="BDL21" s="188"/>
      <c r="BDM21" s="188"/>
      <c r="BDN21" s="188"/>
      <c r="BDO21" s="188"/>
      <c r="BDP21" s="188"/>
      <c r="BDQ21" s="188"/>
      <c r="BDR21" s="188"/>
      <c r="BDS21" s="188"/>
      <c r="BDT21" s="188"/>
      <c r="BDU21" s="188"/>
      <c r="BDV21" s="188"/>
      <c r="BDW21" s="188"/>
      <c r="BDX21" s="188"/>
      <c r="BDY21" s="188"/>
      <c r="BDZ21" s="188"/>
      <c r="BEA21" s="188"/>
      <c r="BEB21" s="188"/>
      <c r="BEC21" s="188"/>
      <c r="BED21" s="188"/>
      <c r="BEE21" s="188"/>
      <c r="BEF21" s="188"/>
      <c r="BEG21" s="188"/>
      <c r="BEH21" s="188"/>
      <c r="BEI21" s="188"/>
      <c r="BEJ21" s="188"/>
      <c r="BEK21" s="188"/>
      <c r="BEL21" s="188"/>
      <c r="BEM21" s="188"/>
      <c r="BEN21" s="188"/>
      <c r="BEO21" s="188"/>
      <c r="BEP21" s="188"/>
      <c r="BEQ21" s="188"/>
      <c r="BER21" s="188"/>
      <c r="BES21" s="188"/>
      <c r="BET21" s="188"/>
      <c r="BEU21" s="188"/>
      <c r="BEV21" s="188"/>
      <c r="BEW21" s="188"/>
      <c r="BEX21" s="188"/>
      <c r="BEY21" s="188"/>
      <c r="BEZ21" s="188"/>
      <c r="BFA21" s="188"/>
      <c r="BFB21" s="188"/>
      <c r="BFC21" s="188"/>
      <c r="BFD21" s="188"/>
      <c r="BFE21" s="188"/>
      <c r="BFF21" s="188"/>
      <c r="BFG21" s="188"/>
      <c r="BFH21" s="188"/>
      <c r="BFI21" s="188"/>
      <c r="BFJ21" s="188"/>
      <c r="BFK21" s="188"/>
      <c r="BFL21" s="188"/>
      <c r="BFM21" s="188"/>
      <c r="BFN21" s="188"/>
      <c r="BFO21" s="188"/>
      <c r="BFP21" s="188"/>
      <c r="BFQ21" s="188"/>
      <c r="BFR21" s="188"/>
      <c r="BFS21" s="188"/>
      <c r="BFT21" s="188"/>
      <c r="BFU21" s="188"/>
      <c r="BFV21" s="188"/>
      <c r="BFW21" s="188"/>
      <c r="BFX21" s="188"/>
      <c r="BFY21" s="188"/>
      <c r="BFZ21" s="188"/>
      <c r="BGA21" s="188"/>
      <c r="BGB21" s="188"/>
      <c r="BGC21" s="188"/>
      <c r="BGD21" s="188"/>
      <c r="BGE21" s="188"/>
      <c r="BGF21" s="188"/>
      <c r="BGG21" s="188"/>
      <c r="BGH21" s="188"/>
      <c r="BGI21" s="188"/>
      <c r="BGJ21" s="188"/>
      <c r="BGK21" s="188"/>
      <c r="BGL21" s="188"/>
      <c r="BGM21" s="188"/>
      <c r="BGN21" s="188"/>
      <c r="BGO21" s="188"/>
      <c r="BGP21" s="188"/>
      <c r="BGQ21" s="188"/>
      <c r="BGR21" s="188"/>
      <c r="BGS21" s="188"/>
      <c r="BGT21" s="188"/>
      <c r="BGU21" s="188"/>
      <c r="BGV21" s="188"/>
      <c r="BGW21" s="188"/>
      <c r="BGX21" s="188"/>
      <c r="BGY21" s="188"/>
      <c r="BGZ21" s="188"/>
      <c r="BHA21" s="188"/>
      <c r="BHB21" s="188"/>
      <c r="BHC21" s="188"/>
      <c r="BHD21" s="188"/>
      <c r="BHE21" s="188"/>
      <c r="BHF21" s="188"/>
      <c r="BHG21" s="188"/>
      <c r="BHH21" s="188"/>
      <c r="BHI21" s="188"/>
      <c r="BHJ21" s="188"/>
      <c r="BHK21" s="188"/>
      <c r="BHL21" s="188"/>
      <c r="BHM21" s="188"/>
      <c r="BHN21" s="188"/>
      <c r="BHO21" s="188"/>
      <c r="BHP21" s="188"/>
      <c r="BHQ21" s="188"/>
      <c r="BHR21" s="188"/>
      <c r="BHS21" s="188"/>
      <c r="BHT21" s="188"/>
      <c r="BHU21" s="188"/>
      <c r="BHV21" s="188"/>
      <c r="BHW21" s="188"/>
      <c r="BHX21" s="188"/>
      <c r="BHY21" s="188"/>
      <c r="BHZ21" s="188"/>
      <c r="BIA21" s="188"/>
      <c r="BIB21" s="188"/>
      <c r="BIC21" s="188"/>
      <c r="BID21" s="188"/>
      <c r="BIE21" s="188"/>
      <c r="BIF21" s="188"/>
      <c r="BIG21" s="188"/>
      <c r="BIH21" s="188"/>
      <c r="BII21" s="188"/>
      <c r="BIJ21" s="188"/>
      <c r="BIK21" s="188"/>
      <c r="BIL21" s="188"/>
      <c r="BIM21" s="188"/>
      <c r="BIN21" s="188"/>
      <c r="BIO21" s="188"/>
      <c r="BIP21" s="188"/>
      <c r="BIQ21" s="188"/>
      <c r="BIR21" s="188"/>
      <c r="BIS21" s="188"/>
      <c r="BIT21" s="188"/>
      <c r="BIU21" s="188"/>
      <c r="BIV21" s="188"/>
      <c r="BIW21" s="188"/>
      <c r="BIX21" s="188"/>
      <c r="BIY21" s="188"/>
      <c r="BIZ21" s="188"/>
      <c r="BJA21" s="188"/>
      <c r="BJB21" s="188"/>
      <c r="BJC21" s="188"/>
      <c r="BJD21" s="188"/>
      <c r="BJE21" s="188"/>
      <c r="BJF21" s="188"/>
      <c r="BJG21" s="188"/>
      <c r="BJH21" s="188"/>
      <c r="BJI21" s="188"/>
      <c r="BJJ21" s="188"/>
      <c r="BJK21" s="188"/>
      <c r="BJL21" s="188"/>
      <c r="BJM21" s="188"/>
      <c r="BJN21" s="188"/>
      <c r="BJO21" s="188"/>
      <c r="BJP21" s="188"/>
      <c r="BJQ21" s="188"/>
      <c r="BJR21" s="188"/>
      <c r="BJS21" s="188"/>
      <c r="BJT21" s="188"/>
      <c r="BJU21" s="188"/>
      <c r="BJV21" s="188"/>
      <c r="BJW21" s="188"/>
      <c r="BJX21" s="188"/>
      <c r="BJY21" s="188"/>
      <c r="BJZ21" s="188"/>
      <c r="BKA21" s="188"/>
      <c r="BKB21" s="188"/>
      <c r="BKC21" s="188"/>
      <c r="BKD21" s="188"/>
      <c r="BKE21" s="188"/>
      <c r="BKF21" s="188"/>
      <c r="BKG21" s="188"/>
      <c r="BKH21" s="188"/>
      <c r="BKI21" s="188"/>
      <c r="BKJ21" s="188"/>
      <c r="BKK21" s="188"/>
      <c r="BKL21" s="188"/>
      <c r="BKM21" s="188"/>
      <c r="BKN21" s="188"/>
      <c r="BKO21" s="188"/>
      <c r="BKP21" s="188"/>
      <c r="BKQ21" s="188"/>
      <c r="BKR21" s="188"/>
      <c r="BKS21" s="188"/>
      <c r="BKT21" s="188"/>
      <c r="BKU21" s="188"/>
      <c r="BKV21" s="188"/>
      <c r="BKW21" s="188"/>
      <c r="BKX21" s="188"/>
      <c r="BKY21" s="188"/>
      <c r="BKZ21" s="188"/>
      <c r="BLA21" s="188"/>
      <c r="BLB21" s="188"/>
      <c r="BLC21" s="188"/>
      <c r="BLD21" s="188"/>
      <c r="BLE21" s="188"/>
      <c r="BLF21" s="188"/>
      <c r="BLG21" s="188"/>
      <c r="BLH21" s="188"/>
      <c r="BLI21" s="188"/>
      <c r="BLJ21" s="188"/>
      <c r="BLK21" s="188"/>
      <c r="BLL21" s="188"/>
      <c r="BLM21" s="188"/>
      <c r="BLN21" s="188"/>
      <c r="BLO21" s="188"/>
      <c r="BLP21" s="188"/>
      <c r="BLQ21" s="188"/>
      <c r="BLR21" s="188"/>
      <c r="BLS21" s="188"/>
      <c r="BLT21" s="188"/>
      <c r="BLU21" s="188"/>
      <c r="BLV21" s="188"/>
      <c r="BLW21" s="188"/>
      <c r="BLX21" s="188"/>
      <c r="BLY21" s="188"/>
      <c r="BLZ21" s="188"/>
      <c r="BMA21" s="188"/>
      <c r="BMB21" s="188"/>
      <c r="BMC21" s="188"/>
      <c r="BMD21" s="188"/>
      <c r="BME21" s="188"/>
      <c r="BMF21" s="188"/>
      <c r="BMG21" s="188"/>
      <c r="BMH21" s="188"/>
      <c r="BMI21" s="188"/>
      <c r="BMJ21" s="188"/>
      <c r="BMK21" s="188"/>
      <c r="BML21" s="188"/>
      <c r="BMM21" s="188"/>
      <c r="BMN21" s="188"/>
      <c r="BMO21" s="188"/>
      <c r="BMP21" s="188"/>
      <c r="BMQ21" s="188"/>
      <c r="BMR21" s="188"/>
      <c r="BMS21" s="188"/>
      <c r="BMT21" s="188"/>
      <c r="BMU21" s="188"/>
      <c r="BMV21" s="188"/>
      <c r="BMW21" s="188"/>
      <c r="BMX21" s="188"/>
      <c r="BMY21" s="188"/>
      <c r="BMZ21" s="188"/>
      <c r="BNA21" s="188"/>
      <c r="BNB21" s="188"/>
      <c r="BNC21" s="188"/>
      <c r="BND21" s="188"/>
      <c r="BNE21" s="188"/>
      <c r="BNF21" s="188"/>
      <c r="BNG21" s="188"/>
      <c r="BNH21" s="188"/>
      <c r="BNI21" s="188"/>
      <c r="BNJ21" s="188"/>
      <c r="BNK21" s="188"/>
      <c r="BNL21" s="188"/>
      <c r="BNM21" s="188"/>
      <c r="BNN21" s="188"/>
      <c r="BNO21" s="188"/>
      <c r="BNP21" s="188"/>
      <c r="BNQ21" s="188"/>
      <c r="BNR21" s="188"/>
      <c r="BNS21" s="188"/>
      <c r="BNT21" s="188"/>
      <c r="BNU21" s="188"/>
      <c r="BNV21" s="188"/>
      <c r="BNW21" s="188"/>
      <c r="BNX21" s="188"/>
      <c r="BNY21" s="188"/>
      <c r="BNZ21" s="188"/>
      <c r="BOA21" s="188"/>
      <c r="BOB21" s="188"/>
      <c r="BOC21" s="188"/>
      <c r="BOD21" s="188"/>
      <c r="BOE21" s="188"/>
      <c r="BOF21" s="188"/>
      <c r="BOG21" s="188"/>
      <c r="BOH21" s="188"/>
      <c r="BOI21" s="188"/>
      <c r="BOJ21" s="188"/>
      <c r="BOK21" s="188"/>
      <c r="BOL21" s="188"/>
      <c r="BOM21" s="188"/>
      <c r="BON21" s="188"/>
      <c r="BOO21" s="188"/>
      <c r="BOP21" s="188"/>
      <c r="BOQ21" s="188"/>
      <c r="BOR21" s="188"/>
      <c r="BOS21" s="188"/>
      <c r="BOT21" s="188"/>
      <c r="BOU21" s="188"/>
      <c r="BOV21" s="188"/>
      <c r="BOW21" s="188"/>
      <c r="BOX21" s="188"/>
      <c r="BOY21" s="188"/>
      <c r="BOZ21" s="188"/>
      <c r="BPA21" s="188"/>
      <c r="BPB21" s="188"/>
      <c r="BPC21" s="188"/>
      <c r="BPD21" s="188"/>
      <c r="BPE21" s="188"/>
      <c r="BPF21" s="188"/>
      <c r="BPG21" s="188"/>
      <c r="BPH21" s="188"/>
      <c r="BPI21" s="188"/>
      <c r="BPJ21" s="188"/>
      <c r="BPK21" s="188"/>
      <c r="BPL21" s="188"/>
      <c r="BPM21" s="188"/>
      <c r="BPN21" s="188"/>
      <c r="BPO21" s="188"/>
      <c r="BPP21" s="188"/>
      <c r="BPQ21" s="188"/>
      <c r="BPR21" s="188"/>
      <c r="BPS21" s="188"/>
      <c r="BPT21" s="188"/>
      <c r="BPU21" s="188"/>
      <c r="BPV21" s="188"/>
      <c r="BPW21" s="188"/>
      <c r="BPX21" s="188"/>
      <c r="BPY21" s="188"/>
      <c r="BPZ21" s="188"/>
      <c r="BQA21" s="188"/>
      <c r="BQB21" s="188"/>
      <c r="BQC21" s="188"/>
      <c r="BQD21" s="188"/>
      <c r="BQE21" s="188"/>
      <c r="BQF21" s="188"/>
      <c r="BQG21" s="188"/>
      <c r="BQH21" s="188"/>
      <c r="BQI21" s="188"/>
      <c r="BQJ21" s="188"/>
      <c r="BQK21" s="188"/>
      <c r="BQL21" s="188"/>
      <c r="BQM21" s="188"/>
      <c r="BQN21" s="188"/>
      <c r="BQO21" s="188"/>
      <c r="BQP21" s="188"/>
      <c r="BQQ21" s="188"/>
      <c r="BQR21" s="188"/>
      <c r="BQS21" s="188"/>
      <c r="BQT21" s="188"/>
      <c r="BQU21" s="188"/>
      <c r="BQV21" s="188"/>
      <c r="BQW21" s="188"/>
      <c r="BQX21" s="188"/>
      <c r="BQY21" s="188"/>
      <c r="BQZ21" s="188"/>
      <c r="BRA21" s="188"/>
      <c r="BRB21" s="188"/>
      <c r="BRC21" s="188"/>
      <c r="BRD21" s="188"/>
      <c r="BRE21" s="188"/>
      <c r="BRF21" s="188"/>
      <c r="BRG21" s="188"/>
      <c r="BRH21" s="188"/>
      <c r="BRI21" s="188"/>
      <c r="BRJ21" s="188"/>
      <c r="BRK21" s="188"/>
      <c r="BRL21" s="188"/>
      <c r="BRM21" s="188"/>
      <c r="BRN21" s="188"/>
      <c r="BRO21" s="188"/>
      <c r="BRP21" s="188"/>
      <c r="BRQ21" s="188"/>
      <c r="BRR21" s="188"/>
      <c r="BRS21" s="188"/>
      <c r="BRT21" s="188"/>
      <c r="BRU21" s="188"/>
      <c r="BRV21" s="188"/>
      <c r="BRW21" s="188"/>
      <c r="BRX21" s="188"/>
      <c r="BRY21" s="188"/>
      <c r="BRZ21" s="188"/>
      <c r="BSA21" s="188"/>
      <c r="BSB21" s="188"/>
      <c r="BSC21" s="188"/>
      <c r="BSD21" s="188"/>
      <c r="BSE21" s="188"/>
      <c r="BSF21" s="188"/>
      <c r="BSG21" s="188"/>
      <c r="BSH21" s="188"/>
      <c r="BSI21" s="188"/>
      <c r="BSJ21" s="188"/>
      <c r="BSK21" s="188"/>
      <c r="BSL21" s="188"/>
      <c r="BSM21" s="188"/>
      <c r="BSN21" s="188"/>
      <c r="BSO21" s="188"/>
      <c r="BSP21" s="188"/>
      <c r="BSQ21" s="188"/>
      <c r="BSR21" s="188"/>
      <c r="BSS21" s="188"/>
      <c r="BST21" s="188"/>
      <c r="BSU21" s="188"/>
      <c r="BSV21" s="188"/>
      <c r="BSW21" s="188"/>
      <c r="BSX21" s="188"/>
      <c r="BSY21" s="188"/>
      <c r="BSZ21" s="188"/>
      <c r="BTA21" s="188"/>
      <c r="BTB21" s="188"/>
      <c r="BTC21" s="188"/>
      <c r="BTD21" s="188"/>
      <c r="BTE21" s="188"/>
      <c r="BTF21" s="188"/>
      <c r="BTG21" s="188"/>
      <c r="BTH21" s="188"/>
      <c r="BTI21" s="188"/>
      <c r="BTJ21" s="188"/>
      <c r="BTK21" s="188"/>
      <c r="BTL21" s="188"/>
      <c r="BTM21" s="188"/>
      <c r="BTN21" s="188"/>
      <c r="BTO21" s="188"/>
      <c r="BTP21" s="188"/>
      <c r="BTQ21" s="188"/>
      <c r="BTR21" s="188"/>
      <c r="BTS21" s="188"/>
      <c r="BTT21" s="188"/>
      <c r="BTU21" s="188"/>
      <c r="BTV21" s="188"/>
      <c r="BTW21" s="188"/>
      <c r="BTX21" s="188"/>
      <c r="BTY21" s="188"/>
      <c r="BTZ21" s="188"/>
      <c r="BUA21" s="188"/>
      <c r="BUB21" s="188"/>
      <c r="BUC21" s="188"/>
      <c r="BUD21" s="188"/>
      <c r="BUE21" s="188"/>
      <c r="BUF21" s="188"/>
      <c r="BUG21" s="188"/>
      <c r="BUH21" s="188"/>
      <c r="BUI21" s="188"/>
      <c r="BUJ21" s="188"/>
      <c r="BUK21" s="188"/>
      <c r="BUL21" s="188"/>
      <c r="BUM21" s="188"/>
      <c r="BUN21" s="188"/>
      <c r="BUO21" s="188"/>
      <c r="BUP21" s="188"/>
      <c r="BUQ21" s="188"/>
      <c r="BUR21" s="188"/>
      <c r="BUS21" s="188"/>
      <c r="BUT21" s="188"/>
      <c r="BUU21" s="188"/>
      <c r="BUV21" s="188"/>
      <c r="BUW21" s="188"/>
      <c r="BUX21" s="188"/>
      <c r="BUY21" s="188"/>
      <c r="BUZ21" s="188"/>
      <c r="BVA21" s="188"/>
      <c r="BVB21" s="188"/>
      <c r="BVC21" s="188"/>
      <c r="BVD21" s="188"/>
      <c r="BVE21" s="188"/>
      <c r="BVF21" s="188"/>
      <c r="BVG21" s="188"/>
      <c r="BVH21" s="188"/>
      <c r="BVI21" s="188"/>
      <c r="BVJ21" s="188"/>
      <c r="BVK21" s="188"/>
      <c r="BVL21" s="188"/>
      <c r="BVM21" s="188"/>
      <c r="BVN21" s="188"/>
      <c r="BVO21" s="188"/>
      <c r="BVP21" s="188"/>
      <c r="BVQ21" s="188"/>
      <c r="BVR21" s="188"/>
      <c r="BVS21" s="188"/>
      <c r="BVT21" s="188"/>
      <c r="BVU21" s="188"/>
      <c r="BVV21" s="188"/>
      <c r="BVW21" s="188"/>
      <c r="BVX21" s="188"/>
      <c r="BVY21" s="188"/>
      <c r="BVZ21" s="188"/>
      <c r="BWA21" s="188"/>
      <c r="BWB21" s="188"/>
      <c r="BWC21" s="188"/>
      <c r="BWD21" s="188"/>
      <c r="BWE21" s="188"/>
      <c r="BWF21" s="188"/>
      <c r="BWG21" s="188"/>
      <c r="BWH21" s="188"/>
      <c r="BWI21" s="188"/>
      <c r="BWJ21" s="188"/>
      <c r="BWK21" s="188"/>
      <c r="BWL21" s="188"/>
      <c r="BWM21" s="188"/>
      <c r="BWN21" s="188"/>
      <c r="BWO21" s="188"/>
      <c r="BWP21" s="188"/>
      <c r="BWQ21" s="188"/>
      <c r="BWR21" s="188"/>
      <c r="BWS21" s="188"/>
      <c r="BWT21" s="188"/>
      <c r="BWU21" s="188"/>
      <c r="BWV21" s="188"/>
      <c r="BWW21" s="188"/>
      <c r="BWX21" s="188"/>
      <c r="BWY21" s="188"/>
      <c r="BWZ21" s="188"/>
      <c r="BXA21" s="188"/>
      <c r="BXB21" s="188"/>
      <c r="BXC21" s="188"/>
      <c r="BXD21" s="188"/>
      <c r="BXE21" s="188"/>
      <c r="BXF21" s="188"/>
      <c r="BXG21" s="188"/>
      <c r="BXH21" s="188"/>
      <c r="BXI21" s="188"/>
      <c r="BXJ21" s="188"/>
      <c r="BXK21" s="188"/>
      <c r="BXL21" s="188"/>
      <c r="BXM21" s="188"/>
      <c r="BXN21" s="188"/>
      <c r="BXO21" s="188"/>
      <c r="BXP21" s="188"/>
      <c r="BXQ21" s="188"/>
      <c r="BXR21" s="188"/>
      <c r="BXS21" s="188"/>
      <c r="BXT21" s="188"/>
      <c r="BXU21" s="188"/>
      <c r="BXV21" s="188"/>
      <c r="BXW21" s="188"/>
      <c r="BXX21" s="188"/>
      <c r="BXY21" s="188"/>
      <c r="BXZ21" s="188"/>
      <c r="BYA21" s="188"/>
      <c r="BYB21" s="188"/>
      <c r="BYC21" s="188"/>
      <c r="BYD21" s="188"/>
      <c r="BYE21" s="188"/>
      <c r="BYF21" s="188"/>
      <c r="BYG21" s="188"/>
      <c r="BYH21" s="188"/>
      <c r="BYI21" s="188"/>
      <c r="BYJ21" s="188"/>
      <c r="BYK21" s="188"/>
      <c r="BYL21" s="188"/>
      <c r="BYM21" s="188"/>
      <c r="BYN21" s="188"/>
      <c r="BYO21" s="188"/>
      <c r="BYP21" s="188"/>
      <c r="BYQ21" s="188"/>
      <c r="BYR21" s="188"/>
      <c r="BYS21" s="188"/>
      <c r="BYT21" s="188"/>
      <c r="BYU21" s="188"/>
      <c r="BYV21" s="188"/>
      <c r="BYW21" s="188"/>
      <c r="BYX21" s="188"/>
      <c r="BYY21" s="188"/>
      <c r="BYZ21" s="188"/>
      <c r="BZA21" s="188"/>
      <c r="BZB21" s="188"/>
      <c r="BZC21" s="188"/>
      <c r="BZD21" s="188"/>
      <c r="BZE21" s="188"/>
      <c r="BZF21" s="188"/>
      <c r="BZG21" s="188"/>
      <c r="BZH21" s="188"/>
      <c r="BZI21" s="188"/>
      <c r="BZJ21" s="188"/>
      <c r="BZK21" s="188"/>
      <c r="BZL21" s="188"/>
      <c r="BZM21" s="188"/>
      <c r="BZN21" s="188"/>
      <c r="BZO21" s="188"/>
      <c r="BZP21" s="188"/>
      <c r="BZQ21" s="188"/>
      <c r="BZR21" s="188"/>
      <c r="BZS21" s="188"/>
      <c r="BZT21" s="188"/>
      <c r="BZU21" s="188"/>
      <c r="BZV21" s="188"/>
      <c r="BZW21" s="188"/>
      <c r="BZX21" s="188"/>
      <c r="BZY21" s="188"/>
      <c r="BZZ21" s="188"/>
      <c r="CAA21" s="188"/>
      <c r="CAB21" s="188"/>
      <c r="CAC21" s="188"/>
      <c r="CAD21" s="188"/>
      <c r="CAE21" s="188"/>
      <c r="CAF21" s="188"/>
      <c r="CAG21" s="188"/>
      <c r="CAH21" s="188"/>
      <c r="CAI21" s="188"/>
      <c r="CAJ21" s="188"/>
      <c r="CAK21" s="188"/>
      <c r="CAL21" s="188"/>
      <c r="CAM21" s="188"/>
      <c r="CAN21" s="188"/>
      <c r="CAO21" s="188"/>
      <c r="CAP21" s="188"/>
      <c r="CAQ21" s="188"/>
      <c r="CAR21" s="188"/>
      <c r="CAS21" s="188"/>
      <c r="CAT21" s="188"/>
      <c r="CAU21" s="188"/>
      <c r="CAV21" s="188"/>
      <c r="CAW21" s="188"/>
      <c r="CAX21" s="188"/>
      <c r="CAY21" s="188"/>
      <c r="CAZ21" s="188"/>
      <c r="CBA21" s="188"/>
      <c r="CBB21" s="188"/>
      <c r="CBC21" s="188"/>
      <c r="CBD21" s="188"/>
      <c r="CBE21" s="188"/>
      <c r="CBF21" s="188"/>
      <c r="CBG21" s="188"/>
      <c r="CBH21" s="188"/>
      <c r="CBI21" s="188"/>
      <c r="CBJ21" s="188"/>
      <c r="CBK21" s="188"/>
      <c r="CBL21" s="188"/>
      <c r="CBM21" s="188"/>
      <c r="CBN21" s="188"/>
      <c r="CBO21" s="188"/>
      <c r="CBP21" s="188"/>
      <c r="CBQ21" s="188"/>
      <c r="CBR21" s="188"/>
      <c r="CBS21" s="188"/>
      <c r="CBT21" s="188"/>
      <c r="CBU21" s="188"/>
      <c r="CBV21" s="188"/>
      <c r="CBW21" s="188"/>
      <c r="CBX21" s="188"/>
      <c r="CBY21" s="188"/>
      <c r="CBZ21" s="188"/>
      <c r="CCA21" s="188"/>
      <c r="CCB21" s="188"/>
      <c r="CCC21" s="188"/>
      <c r="CCD21" s="188"/>
      <c r="CCE21" s="188"/>
      <c r="CCF21" s="188"/>
      <c r="CCG21" s="188"/>
      <c r="CCH21" s="188"/>
      <c r="CCI21" s="188"/>
      <c r="CCJ21" s="188"/>
      <c r="CCK21" s="188"/>
      <c r="CCL21" s="188"/>
      <c r="CCM21" s="188"/>
      <c r="CCN21" s="188"/>
      <c r="CCO21" s="188"/>
      <c r="CCP21" s="188"/>
      <c r="CCQ21" s="188"/>
      <c r="CCR21" s="188"/>
      <c r="CCS21" s="188"/>
      <c r="CCT21" s="188"/>
      <c r="CCU21" s="188"/>
      <c r="CCV21" s="188"/>
      <c r="CCW21" s="188"/>
      <c r="CCX21" s="188"/>
      <c r="CCY21" s="188"/>
      <c r="CCZ21" s="188"/>
      <c r="CDA21" s="188"/>
      <c r="CDB21" s="188"/>
      <c r="CDC21" s="188"/>
      <c r="CDD21" s="188"/>
      <c r="CDE21" s="188"/>
      <c r="CDF21" s="188"/>
      <c r="CDG21" s="188"/>
      <c r="CDH21" s="188"/>
      <c r="CDI21" s="188"/>
      <c r="CDJ21" s="188"/>
      <c r="CDK21" s="188"/>
      <c r="CDL21" s="188"/>
      <c r="CDM21" s="188"/>
      <c r="CDN21" s="188"/>
      <c r="CDO21" s="188"/>
      <c r="CDP21" s="188"/>
      <c r="CDQ21" s="188"/>
      <c r="CDR21" s="188"/>
      <c r="CDS21" s="188"/>
      <c r="CDT21" s="188"/>
      <c r="CDU21" s="188"/>
      <c r="CDV21" s="188"/>
      <c r="CDW21" s="188"/>
      <c r="CDX21" s="188"/>
      <c r="CDY21" s="188"/>
      <c r="CDZ21" s="188"/>
      <c r="CEA21" s="188"/>
      <c r="CEB21" s="188"/>
      <c r="CEC21" s="188"/>
      <c r="CED21" s="188"/>
      <c r="CEE21" s="188"/>
      <c r="CEF21" s="188"/>
      <c r="CEG21" s="188"/>
      <c r="CEH21" s="188"/>
      <c r="CEI21" s="188"/>
      <c r="CEJ21" s="188"/>
      <c r="CEK21" s="188"/>
      <c r="CEL21" s="188"/>
      <c r="CEM21" s="188"/>
      <c r="CEN21" s="188"/>
      <c r="CEO21" s="188"/>
      <c r="CEP21" s="188"/>
      <c r="CEQ21" s="188"/>
      <c r="CER21" s="188"/>
      <c r="CES21" s="188"/>
      <c r="CET21" s="188"/>
      <c r="CEU21" s="188"/>
      <c r="CEV21" s="188"/>
      <c r="CEW21" s="188"/>
      <c r="CEX21" s="188"/>
      <c r="CEY21" s="188"/>
      <c r="CEZ21" s="188"/>
      <c r="CFA21" s="188"/>
      <c r="CFB21" s="188"/>
      <c r="CFC21" s="188"/>
      <c r="CFD21" s="188"/>
      <c r="CFE21" s="188"/>
      <c r="CFF21" s="188"/>
      <c r="CFG21" s="188"/>
      <c r="CFH21" s="188"/>
      <c r="CFI21" s="188"/>
      <c r="CFJ21" s="188"/>
      <c r="CFK21" s="188"/>
      <c r="CFL21" s="188"/>
      <c r="CFM21" s="188"/>
      <c r="CFN21" s="188"/>
      <c r="CFO21" s="188"/>
      <c r="CFP21" s="188"/>
      <c r="CFQ21" s="188"/>
      <c r="CFR21" s="188"/>
      <c r="CFS21" s="188"/>
      <c r="CFT21" s="188"/>
      <c r="CFU21" s="188"/>
      <c r="CFV21" s="188"/>
      <c r="CFW21" s="188"/>
      <c r="CFX21" s="188"/>
      <c r="CFY21" s="188"/>
      <c r="CFZ21" s="188"/>
      <c r="CGA21" s="188"/>
      <c r="CGB21" s="188"/>
      <c r="CGC21" s="188"/>
      <c r="CGD21" s="188"/>
      <c r="CGE21" s="188"/>
      <c r="CGF21" s="188"/>
      <c r="CGG21" s="188"/>
      <c r="CGH21" s="188"/>
      <c r="CGI21" s="188"/>
      <c r="CGJ21" s="188"/>
      <c r="CGK21" s="188"/>
      <c r="CGL21" s="188"/>
      <c r="CGM21" s="188"/>
      <c r="CGN21" s="188"/>
      <c r="CGO21" s="188"/>
      <c r="CGP21" s="188"/>
      <c r="CGQ21" s="188"/>
      <c r="CGR21" s="188"/>
      <c r="CGS21" s="188"/>
      <c r="CGT21" s="188"/>
      <c r="CGU21" s="188"/>
      <c r="CGV21" s="188"/>
      <c r="CGW21" s="188"/>
      <c r="CGX21" s="188"/>
      <c r="CGY21" s="188"/>
      <c r="CGZ21" s="188"/>
      <c r="CHA21" s="188"/>
      <c r="CHB21" s="188"/>
      <c r="CHC21" s="188"/>
      <c r="CHD21" s="188"/>
      <c r="CHE21" s="188"/>
      <c r="CHF21" s="188"/>
      <c r="CHG21" s="188"/>
      <c r="CHH21" s="188"/>
      <c r="CHI21" s="188"/>
      <c r="CHJ21" s="188"/>
      <c r="CHK21" s="188"/>
      <c r="CHL21" s="188"/>
      <c r="CHM21" s="188"/>
      <c r="CHN21" s="188"/>
      <c r="CHO21" s="188"/>
      <c r="CHP21" s="188"/>
      <c r="CHQ21" s="188"/>
      <c r="CHR21" s="188"/>
      <c r="CHS21" s="188"/>
      <c r="CHT21" s="188"/>
      <c r="CHU21" s="188"/>
      <c r="CHV21" s="188"/>
      <c r="CHW21" s="188"/>
      <c r="CHX21" s="188"/>
      <c r="CHY21" s="188"/>
      <c r="CHZ21" s="188"/>
      <c r="CIA21" s="188"/>
      <c r="CIB21" s="188"/>
      <c r="CIC21" s="188"/>
      <c r="CID21" s="188"/>
      <c r="CIE21" s="188"/>
      <c r="CIF21" s="188"/>
      <c r="CIG21" s="188"/>
      <c r="CIH21" s="188"/>
      <c r="CII21" s="188"/>
      <c r="CIJ21" s="188"/>
      <c r="CIK21" s="188"/>
      <c r="CIL21" s="188"/>
      <c r="CIM21" s="188"/>
      <c r="CIN21" s="188"/>
      <c r="CIO21" s="188"/>
      <c r="CIP21" s="188"/>
      <c r="CIQ21" s="188"/>
      <c r="CIR21" s="188"/>
      <c r="CIS21" s="188"/>
      <c r="CIT21" s="188"/>
      <c r="CIU21" s="188"/>
      <c r="CIV21" s="188"/>
      <c r="CIW21" s="188"/>
      <c r="CIX21" s="188"/>
      <c r="CIY21" s="188"/>
      <c r="CIZ21" s="188"/>
      <c r="CJA21" s="188"/>
      <c r="CJB21" s="188"/>
      <c r="CJC21" s="188"/>
      <c r="CJD21" s="188"/>
      <c r="CJE21" s="188"/>
      <c r="CJF21" s="188"/>
      <c r="CJG21" s="188"/>
      <c r="CJH21" s="188"/>
      <c r="CJI21" s="188"/>
      <c r="CJJ21" s="188"/>
      <c r="CJK21" s="188"/>
      <c r="CJL21" s="188"/>
      <c r="CJM21" s="188"/>
      <c r="CJN21" s="188"/>
      <c r="CJO21" s="188"/>
      <c r="CJP21" s="188"/>
      <c r="CJQ21" s="188"/>
      <c r="CJR21" s="188"/>
      <c r="CJS21" s="188"/>
      <c r="CJT21" s="188"/>
      <c r="CJU21" s="188"/>
      <c r="CJV21" s="188"/>
      <c r="CJW21" s="188"/>
      <c r="CJX21" s="188"/>
      <c r="CJY21" s="188"/>
      <c r="CJZ21" s="188"/>
      <c r="CKA21" s="188"/>
      <c r="CKB21" s="188"/>
      <c r="CKC21" s="188"/>
      <c r="CKD21" s="188"/>
      <c r="CKE21" s="188"/>
      <c r="CKF21" s="188"/>
      <c r="CKG21" s="188"/>
      <c r="CKH21" s="188"/>
      <c r="CKI21" s="188"/>
      <c r="CKJ21" s="188"/>
      <c r="CKK21" s="188"/>
      <c r="CKL21" s="188"/>
      <c r="CKM21" s="188"/>
      <c r="CKN21" s="188"/>
      <c r="CKO21" s="188"/>
      <c r="CKP21" s="188"/>
      <c r="CKQ21" s="188"/>
      <c r="CKR21" s="188"/>
      <c r="CKS21" s="188"/>
      <c r="CKT21" s="188"/>
      <c r="CKU21" s="188"/>
      <c r="CKV21" s="188"/>
      <c r="CKW21" s="188"/>
      <c r="CKX21" s="188"/>
      <c r="CKY21" s="188"/>
      <c r="CKZ21" s="188"/>
      <c r="CLA21" s="188"/>
      <c r="CLB21" s="188"/>
      <c r="CLC21" s="188"/>
      <c r="CLD21" s="188"/>
      <c r="CLE21" s="188"/>
      <c r="CLF21" s="188"/>
      <c r="CLG21" s="188"/>
      <c r="CLH21" s="188"/>
      <c r="CLI21" s="188"/>
      <c r="CLJ21" s="188"/>
      <c r="CLK21" s="188"/>
      <c r="CLL21" s="188"/>
      <c r="CLM21" s="188"/>
      <c r="CLN21" s="188"/>
      <c r="CLO21" s="188"/>
      <c r="CLP21" s="188"/>
      <c r="CLQ21" s="188"/>
      <c r="CLR21" s="188"/>
      <c r="CLS21" s="188"/>
      <c r="CLT21" s="188"/>
      <c r="CLU21" s="188"/>
      <c r="CLV21" s="188"/>
      <c r="CLW21" s="188"/>
      <c r="CLX21" s="188"/>
      <c r="CLY21" s="188"/>
      <c r="CLZ21" s="188"/>
      <c r="CMA21" s="188"/>
      <c r="CMB21" s="188"/>
      <c r="CMC21" s="188"/>
      <c r="CMD21" s="188"/>
      <c r="CME21" s="188"/>
      <c r="CMF21" s="188"/>
      <c r="CMG21" s="188"/>
      <c r="CMH21" s="188"/>
      <c r="CMI21" s="188"/>
      <c r="CMJ21" s="188"/>
      <c r="CMK21" s="188"/>
      <c r="CML21" s="188"/>
      <c r="CMM21" s="188"/>
      <c r="CMN21" s="188"/>
      <c r="CMO21" s="188"/>
      <c r="CMP21" s="188"/>
      <c r="CMQ21" s="188"/>
      <c r="CMR21" s="188"/>
      <c r="CMS21" s="188"/>
      <c r="CMT21" s="188"/>
      <c r="CMU21" s="188"/>
      <c r="CMV21" s="188"/>
      <c r="CMW21" s="188"/>
      <c r="CMX21" s="188"/>
      <c r="CMY21" s="188"/>
      <c r="CMZ21" s="188"/>
      <c r="CNA21" s="188"/>
      <c r="CNB21" s="188"/>
      <c r="CNC21" s="188"/>
      <c r="CND21" s="188"/>
      <c r="CNE21" s="188"/>
      <c r="CNF21" s="188"/>
      <c r="CNG21" s="188"/>
      <c r="CNH21" s="188"/>
      <c r="CNI21" s="188"/>
      <c r="CNJ21" s="188"/>
      <c r="CNK21" s="188"/>
      <c r="CNL21" s="188"/>
      <c r="CNM21" s="188"/>
      <c r="CNN21" s="188"/>
      <c r="CNO21" s="188"/>
      <c r="CNP21" s="188"/>
      <c r="CNQ21" s="188"/>
      <c r="CNR21" s="188"/>
      <c r="CNS21" s="188"/>
      <c r="CNT21" s="188"/>
      <c r="CNU21" s="188"/>
      <c r="CNV21" s="188"/>
      <c r="CNW21" s="188"/>
      <c r="CNX21" s="188"/>
      <c r="CNY21" s="188"/>
      <c r="CNZ21" s="188"/>
      <c r="COA21" s="188"/>
      <c r="COB21" s="188"/>
      <c r="COC21" s="188"/>
      <c r="COD21" s="188"/>
      <c r="COE21" s="188"/>
      <c r="COF21" s="188"/>
      <c r="COG21" s="188"/>
      <c r="COH21" s="188"/>
      <c r="COI21" s="188"/>
      <c r="COJ21" s="188"/>
      <c r="COK21" s="188"/>
      <c r="COL21" s="188"/>
      <c r="COM21" s="188"/>
      <c r="CON21" s="188"/>
      <c r="COO21" s="188"/>
      <c r="COP21" s="188"/>
      <c r="COQ21" s="188"/>
      <c r="COR21" s="188"/>
      <c r="COS21" s="188"/>
      <c r="COT21" s="188"/>
      <c r="COU21" s="188"/>
      <c r="COV21" s="188"/>
      <c r="COW21" s="188"/>
      <c r="COX21" s="188"/>
      <c r="COY21" s="188"/>
      <c r="COZ21" s="188"/>
      <c r="CPA21" s="188"/>
      <c r="CPB21" s="188"/>
      <c r="CPC21" s="188"/>
      <c r="CPD21" s="188"/>
      <c r="CPE21" s="188"/>
      <c r="CPF21" s="188"/>
      <c r="CPG21" s="188"/>
      <c r="CPH21" s="188"/>
      <c r="CPI21" s="188"/>
      <c r="CPJ21" s="188"/>
      <c r="CPK21" s="188"/>
      <c r="CPL21" s="188"/>
      <c r="CPM21" s="188"/>
      <c r="CPN21" s="188"/>
      <c r="CPO21" s="188"/>
      <c r="CPP21" s="188"/>
      <c r="CPQ21" s="188"/>
      <c r="CPR21" s="188"/>
      <c r="CPS21" s="188"/>
      <c r="CPT21" s="188"/>
      <c r="CPU21" s="188"/>
      <c r="CPV21" s="188"/>
      <c r="CPW21" s="188"/>
      <c r="CPX21" s="188"/>
      <c r="CPY21" s="188"/>
      <c r="CPZ21" s="188"/>
      <c r="CQA21" s="188"/>
      <c r="CQB21" s="188"/>
      <c r="CQC21" s="188"/>
      <c r="CQD21" s="188"/>
      <c r="CQE21" s="188"/>
      <c r="CQF21" s="188"/>
      <c r="CQG21" s="188"/>
      <c r="CQH21" s="188"/>
      <c r="CQI21" s="188"/>
      <c r="CQJ21" s="188"/>
      <c r="CQK21" s="188"/>
      <c r="CQL21" s="188"/>
      <c r="CQM21" s="188"/>
      <c r="CQN21" s="188"/>
      <c r="CQO21" s="188"/>
      <c r="CQP21" s="188"/>
      <c r="CQQ21" s="188"/>
      <c r="CQR21" s="188"/>
      <c r="CQS21" s="188"/>
      <c r="CQT21" s="188"/>
      <c r="CQU21" s="188"/>
      <c r="CQV21" s="188"/>
      <c r="CQW21" s="188"/>
      <c r="CQX21" s="188"/>
      <c r="CQY21" s="188"/>
      <c r="CQZ21" s="188"/>
      <c r="CRA21" s="188"/>
      <c r="CRB21" s="188"/>
      <c r="CRC21" s="188"/>
      <c r="CRD21" s="188"/>
      <c r="CRE21" s="188"/>
      <c r="CRF21" s="188"/>
      <c r="CRG21" s="188"/>
      <c r="CRH21" s="188"/>
      <c r="CRI21" s="188"/>
      <c r="CRJ21" s="188"/>
      <c r="CRK21" s="188"/>
      <c r="CRL21" s="188"/>
      <c r="CRM21" s="188"/>
      <c r="CRN21" s="188"/>
      <c r="CRO21" s="188"/>
      <c r="CRP21" s="188"/>
      <c r="CRQ21" s="188"/>
      <c r="CRR21" s="188"/>
      <c r="CRS21" s="188"/>
      <c r="CRT21" s="188"/>
      <c r="CRU21" s="188"/>
      <c r="CRV21" s="188"/>
      <c r="CRW21" s="188"/>
      <c r="CRX21" s="188"/>
      <c r="CRY21" s="188"/>
      <c r="CRZ21" s="188"/>
      <c r="CSA21" s="188"/>
      <c r="CSB21" s="188"/>
      <c r="CSC21" s="188"/>
      <c r="CSD21" s="188"/>
      <c r="CSE21" s="188"/>
      <c r="CSF21" s="188"/>
      <c r="CSG21" s="188"/>
      <c r="CSH21" s="188"/>
      <c r="CSI21" s="188"/>
      <c r="CSJ21" s="188"/>
      <c r="CSK21" s="188"/>
      <c r="CSL21" s="188"/>
      <c r="CSM21" s="188"/>
      <c r="CSN21" s="188"/>
      <c r="CSO21" s="188"/>
      <c r="CSP21" s="188"/>
      <c r="CSQ21" s="188"/>
      <c r="CSR21" s="188"/>
      <c r="CSS21" s="188"/>
      <c r="CST21" s="188"/>
      <c r="CSU21" s="188"/>
      <c r="CSV21" s="188"/>
      <c r="CSW21" s="188"/>
      <c r="CSX21" s="188"/>
      <c r="CSY21" s="188"/>
      <c r="CSZ21" s="188"/>
      <c r="CTA21" s="188"/>
      <c r="CTB21" s="188"/>
      <c r="CTC21" s="188"/>
      <c r="CTD21" s="188"/>
      <c r="CTE21" s="188"/>
      <c r="CTF21" s="188"/>
      <c r="CTG21" s="188"/>
      <c r="CTH21" s="188"/>
      <c r="CTI21" s="188"/>
      <c r="CTJ21" s="188"/>
      <c r="CTK21" s="188"/>
      <c r="CTL21" s="188"/>
      <c r="CTM21" s="188"/>
      <c r="CTN21" s="188"/>
      <c r="CTO21" s="188"/>
      <c r="CTP21" s="188"/>
      <c r="CTQ21" s="188"/>
      <c r="CTR21" s="188"/>
      <c r="CTS21" s="188"/>
      <c r="CTT21" s="188"/>
      <c r="CTU21" s="188"/>
      <c r="CTV21" s="188"/>
      <c r="CTW21" s="188"/>
      <c r="CTX21" s="188"/>
      <c r="CTY21" s="188"/>
      <c r="CTZ21" s="188"/>
      <c r="CUA21" s="188"/>
      <c r="CUB21" s="188"/>
      <c r="CUC21" s="188"/>
      <c r="CUD21" s="188"/>
      <c r="CUE21" s="188"/>
      <c r="CUF21" s="188"/>
      <c r="CUG21" s="188"/>
      <c r="CUH21" s="188"/>
      <c r="CUI21" s="188"/>
      <c r="CUJ21" s="188"/>
      <c r="CUK21" s="188"/>
      <c r="CUL21" s="188"/>
      <c r="CUM21" s="188"/>
      <c r="CUN21" s="188"/>
      <c r="CUO21" s="188"/>
      <c r="CUP21" s="188"/>
      <c r="CUQ21" s="188"/>
      <c r="CUR21" s="188"/>
      <c r="CUS21" s="188"/>
      <c r="CUT21" s="188"/>
      <c r="CUU21" s="188"/>
      <c r="CUV21" s="188"/>
      <c r="CUW21" s="188"/>
      <c r="CUX21" s="188"/>
      <c r="CUY21" s="188"/>
      <c r="CUZ21" s="188"/>
      <c r="CVA21" s="188"/>
      <c r="CVB21" s="188"/>
      <c r="CVC21" s="188"/>
      <c r="CVD21" s="188"/>
      <c r="CVE21" s="188"/>
      <c r="CVF21" s="188"/>
      <c r="CVG21" s="188"/>
      <c r="CVH21" s="188"/>
      <c r="CVI21" s="188"/>
      <c r="CVJ21" s="188"/>
      <c r="CVK21" s="188"/>
      <c r="CVL21" s="188"/>
      <c r="CVM21" s="188"/>
      <c r="CVN21" s="188"/>
      <c r="CVO21" s="188"/>
      <c r="CVP21" s="188"/>
      <c r="CVQ21" s="188"/>
      <c r="CVR21" s="188"/>
      <c r="CVS21" s="188"/>
      <c r="CVT21" s="188"/>
      <c r="CVU21" s="188"/>
      <c r="CVV21" s="188"/>
      <c r="CVW21" s="188"/>
      <c r="CVX21" s="188"/>
      <c r="CVY21" s="188"/>
      <c r="CVZ21" s="188"/>
      <c r="CWA21" s="188"/>
      <c r="CWB21" s="188"/>
      <c r="CWC21" s="188"/>
      <c r="CWD21" s="188"/>
      <c r="CWE21" s="188"/>
      <c r="CWF21" s="188"/>
      <c r="CWG21" s="188"/>
      <c r="CWH21" s="188"/>
      <c r="CWI21" s="188"/>
      <c r="CWJ21" s="188"/>
      <c r="CWK21" s="188"/>
      <c r="CWL21" s="188"/>
      <c r="CWM21" s="188"/>
      <c r="CWN21" s="188"/>
      <c r="CWO21" s="188"/>
      <c r="CWP21" s="188"/>
      <c r="CWQ21" s="188"/>
      <c r="CWR21" s="188"/>
      <c r="CWS21" s="188"/>
      <c r="CWT21" s="188"/>
      <c r="CWU21" s="188"/>
      <c r="CWV21" s="188"/>
      <c r="CWW21" s="188"/>
      <c r="CWX21" s="188"/>
      <c r="CWY21" s="188"/>
      <c r="CWZ21" s="188"/>
      <c r="CXA21" s="188"/>
      <c r="CXB21" s="188"/>
      <c r="CXC21" s="188"/>
      <c r="CXD21" s="188"/>
      <c r="CXE21" s="188"/>
      <c r="CXF21" s="188"/>
      <c r="CXG21" s="188"/>
      <c r="CXH21" s="188"/>
      <c r="CXI21" s="188"/>
      <c r="CXJ21" s="188"/>
      <c r="CXK21" s="188"/>
      <c r="CXL21" s="188"/>
      <c r="CXM21" s="188"/>
      <c r="CXN21" s="188"/>
      <c r="CXO21" s="188"/>
      <c r="CXP21" s="188"/>
      <c r="CXQ21" s="188"/>
      <c r="CXR21" s="188"/>
      <c r="CXS21" s="188"/>
      <c r="CXT21" s="188"/>
      <c r="CXU21" s="188"/>
      <c r="CXV21" s="188"/>
      <c r="CXW21" s="188"/>
      <c r="CXX21" s="188"/>
      <c r="CXY21" s="188"/>
      <c r="CXZ21" s="188"/>
      <c r="CYA21" s="188"/>
      <c r="CYB21" s="188"/>
      <c r="CYC21" s="188"/>
      <c r="CYD21" s="188"/>
      <c r="CYE21" s="188"/>
      <c r="CYF21" s="188"/>
      <c r="CYG21" s="188"/>
      <c r="CYH21" s="188"/>
      <c r="CYI21" s="188"/>
      <c r="CYJ21" s="188"/>
      <c r="CYK21" s="188"/>
      <c r="CYL21" s="188"/>
      <c r="CYM21" s="188"/>
      <c r="CYN21" s="188"/>
      <c r="CYO21" s="188"/>
      <c r="CYP21" s="188"/>
      <c r="CYQ21" s="188"/>
      <c r="CYR21" s="188"/>
      <c r="CYS21" s="188"/>
      <c r="CYT21" s="188"/>
      <c r="CYU21" s="188"/>
      <c r="CYV21" s="188"/>
      <c r="CYW21" s="188"/>
      <c r="CYX21" s="188"/>
      <c r="CYY21" s="188"/>
      <c r="CYZ21" s="188"/>
      <c r="CZA21" s="188"/>
      <c r="CZB21" s="188"/>
      <c r="CZC21" s="188"/>
      <c r="CZD21" s="188"/>
      <c r="CZE21" s="188"/>
      <c r="CZF21" s="188"/>
      <c r="CZG21" s="188"/>
      <c r="CZH21" s="188"/>
      <c r="CZI21" s="188"/>
      <c r="CZJ21" s="188"/>
      <c r="CZK21" s="188"/>
      <c r="CZL21" s="188"/>
      <c r="CZM21" s="188"/>
      <c r="CZN21" s="188"/>
      <c r="CZO21" s="188"/>
      <c r="CZP21" s="188"/>
      <c r="CZQ21" s="188"/>
      <c r="CZR21" s="188"/>
      <c r="CZS21" s="188"/>
      <c r="CZT21" s="188"/>
      <c r="CZU21" s="188"/>
      <c r="CZV21" s="188"/>
      <c r="CZW21" s="188"/>
      <c r="CZX21" s="188"/>
      <c r="CZY21" s="188"/>
      <c r="CZZ21" s="188"/>
      <c r="DAA21" s="188"/>
      <c r="DAB21" s="188"/>
      <c r="DAC21" s="188"/>
      <c r="DAD21" s="188"/>
      <c r="DAE21" s="188"/>
      <c r="DAF21" s="188"/>
      <c r="DAG21" s="188"/>
      <c r="DAH21" s="188"/>
      <c r="DAI21" s="188"/>
      <c r="DAJ21" s="188"/>
      <c r="DAK21" s="188"/>
      <c r="DAL21" s="188"/>
      <c r="DAM21" s="188"/>
      <c r="DAN21" s="188"/>
      <c r="DAO21" s="188"/>
      <c r="DAP21" s="188"/>
      <c r="DAQ21" s="188"/>
      <c r="DAR21" s="188"/>
      <c r="DAS21" s="188"/>
      <c r="DAT21" s="188"/>
      <c r="DAU21" s="188"/>
      <c r="DAV21" s="188"/>
      <c r="DAW21" s="188"/>
      <c r="DAX21" s="188"/>
      <c r="DAY21" s="188"/>
      <c r="DAZ21" s="188"/>
      <c r="DBA21" s="188"/>
      <c r="DBB21" s="188"/>
      <c r="DBC21" s="188"/>
      <c r="DBD21" s="188"/>
      <c r="DBE21" s="188"/>
      <c r="DBF21" s="188"/>
      <c r="DBG21" s="188"/>
      <c r="DBH21" s="188"/>
      <c r="DBI21" s="188"/>
      <c r="DBJ21" s="188"/>
      <c r="DBK21" s="188"/>
      <c r="DBL21" s="188"/>
      <c r="DBM21" s="188"/>
      <c r="DBN21" s="188"/>
      <c r="DBO21" s="188"/>
      <c r="DBP21" s="188"/>
      <c r="DBQ21" s="188"/>
      <c r="DBR21" s="188"/>
      <c r="DBS21" s="188"/>
      <c r="DBT21" s="188"/>
      <c r="DBU21" s="188"/>
      <c r="DBV21" s="188"/>
      <c r="DBW21" s="188"/>
      <c r="DBX21" s="188"/>
      <c r="DBY21" s="188"/>
      <c r="DBZ21" s="188"/>
      <c r="DCA21" s="188"/>
      <c r="DCB21" s="188"/>
      <c r="DCC21" s="188"/>
      <c r="DCD21" s="188"/>
      <c r="DCE21" s="188"/>
      <c r="DCF21" s="188"/>
      <c r="DCG21" s="188"/>
      <c r="DCH21" s="188"/>
      <c r="DCI21" s="188"/>
      <c r="DCJ21" s="188"/>
      <c r="DCK21" s="188"/>
      <c r="DCL21" s="188"/>
      <c r="DCM21" s="188"/>
      <c r="DCN21" s="188"/>
      <c r="DCO21" s="188"/>
      <c r="DCP21" s="188"/>
      <c r="DCQ21" s="188"/>
      <c r="DCR21" s="188"/>
      <c r="DCS21" s="188"/>
      <c r="DCT21" s="188"/>
      <c r="DCU21" s="188"/>
      <c r="DCV21" s="188"/>
      <c r="DCW21" s="188"/>
      <c r="DCX21" s="188"/>
      <c r="DCY21" s="188"/>
      <c r="DCZ21" s="188"/>
      <c r="DDA21" s="188"/>
      <c r="DDB21" s="188"/>
      <c r="DDC21" s="188"/>
      <c r="DDD21" s="188"/>
      <c r="DDE21" s="188"/>
      <c r="DDF21" s="188"/>
      <c r="DDG21" s="188"/>
      <c r="DDH21" s="188"/>
      <c r="DDI21" s="188"/>
      <c r="DDJ21" s="188"/>
      <c r="DDK21" s="188"/>
      <c r="DDL21" s="188"/>
      <c r="DDM21" s="188"/>
      <c r="DDN21" s="188"/>
      <c r="DDO21" s="188"/>
      <c r="DDP21" s="188"/>
      <c r="DDQ21" s="188"/>
      <c r="DDR21" s="188"/>
      <c r="DDS21" s="188"/>
      <c r="DDT21" s="188"/>
      <c r="DDU21" s="188"/>
      <c r="DDV21" s="188"/>
      <c r="DDW21" s="188"/>
      <c r="DDX21" s="188"/>
      <c r="DDY21" s="188"/>
      <c r="DDZ21" s="188"/>
      <c r="DEA21" s="188"/>
      <c r="DEB21" s="188"/>
      <c r="DEC21" s="188"/>
      <c r="DED21" s="188"/>
      <c r="DEE21" s="188"/>
      <c r="DEF21" s="188"/>
      <c r="DEG21" s="188"/>
      <c r="DEH21" s="188"/>
      <c r="DEI21" s="188"/>
      <c r="DEJ21" s="188"/>
      <c r="DEK21" s="188"/>
      <c r="DEL21" s="188"/>
      <c r="DEM21" s="188"/>
      <c r="DEN21" s="188"/>
      <c r="DEO21" s="188"/>
      <c r="DEP21" s="188"/>
      <c r="DEQ21" s="188"/>
      <c r="DER21" s="188"/>
      <c r="DES21" s="188"/>
      <c r="DET21" s="188"/>
      <c r="DEU21" s="188"/>
      <c r="DEV21" s="188"/>
      <c r="DEW21" s="188"/>
      <c r="DEX21" s="188"/>
      <c r="DEY21" s="188"/>
      <c r="DEZ21" s="188"/>
      <c r="DFA21" s="188"/>
      <c r="DFB21" s="188"/>
      <c r="DFC21" s="188"/>
      <c r="DFD21" s="188"/>
      <c r="DFE21" s="188"/>
      <c r="DFF21" s="188"/>
      <c r="DFG21" s="188"/>
      <c r="DFH21" s="188"/>
      <c r="DFI21" s="188"/>
      <c r="DFJ21" s="188"/>
      <c r="DFK21" s="188"/>
      <c r="DFL21" s="188"/>
      <c r="DFM21" s="188"/>
      <c r="DFN21" s="188"/>
      <c r="DFO21" s="188"/>
      <c r="DFP21" s="188"/>
      <c r="DFQ21" s="188"/>
      <c r="DFR21" s="188"/>
      <c r="DFS21" s="188"/>
      <c r="DFT21" s="188"/>
      <c r="DFU21" s="188"/>
      <c r="DFV21" s="188"/>
      <c r="DFW21" s="188"/>
      <c r="DFX21" s="188"/>
      <c r="DFY21" s="188"/>
      <c r="DFZ21" s="188"/>
      <c r="DGA21" s="188"/>
      <c r="DGB21" s="188"/>
      <c r="DGC21" s="188"/>
      <c r="DGD21" s="188"/>
      <c r="DGE21" s="188"/>
      <c r="DGF21" s="188"/>
      <c r="DGG21" s="188"/>
      <c r="DGH21" s="188"/>
      <c r="DGI21" s="188"/>
      <c r="DGJ21" s="188"/>
      <c r="DGK21" s="188"/>
      <c r="DGL21" s="188"/>
      <c r="DGM21" s="188"/>
      <c r="DGN21" s="188"/>
      <c r="DGO21" s="188"/>
      <c r="DGP21" s="188"/>
      <c r="DGQ21" s="188"/>
      <c r="DGR21" s="188"/>
      <c r="DGS21" s="188"/>
      <c r="DGT21" s="188"/>
      <c r="DGU21" s="188"/>
      <c r="DGV21" s="188"/>
      <c r="DGW21" s="188"/>
      <c r="DGX21" s="188"/>
      <c r="DGY21" s="188"/>
      <c r="DGZ21" s="188"/>
      <c r="DHA21" s="188"/>
      <c r="DHB21" s="188"/>
      <c r="DHC21" s="188"/>
      <c r="DHD21" s="188"/>
      <c r="DHE21" s="188"/>
      <c r="DHF21" s="188"/>
      <c r="DHG21" s="188"/>
      <c r="DHH21" s="188"/>
      <c r="DHI21" s="188"/>
      <c r="DHJ21" s="188"/>
      <c r="DHK21" s="188"/>
      <c r="DHL21" s="188"/>
      <c r="DHM21" s="188"/>
      <c r="DHN21" s="188"/>
      <c r="DHO21" s="188"/>
      <c r="DHP21" s="188"/>
      <c r="DHQ21" s="188"/>
      <c r="DHR21" s="188"/>
      <c r="DHS21" s="188"/>
      <c r="DHT21" s="188"/>
      <c r="DHU21" s="188"/>
      <c r="DHV21" s="188"/>
      <c r="DHW21" s="188"/>
      <c r="DHX21" s="188"/>
      <c r="DHY21" s="188"/>
      <c r="DHZ21" s="188"/>
      <c r="DIA21" s="188"/>
      <c r="DIB21" s="188"/>
      <c r="DIC21" s="188"/>
      <c r="DID21" s="188"/>
      <c r="DIE21" s="188"/>
      <c r="DIF21" s="188"/>
      <c r="DIG21" s="188"/>
      <c r="DIH21" s="188"/>
      <c r="DII21" s="188"/>
      <c r="DIJ21" s="188"/>
      <c r="DIK21" s="188"/>
      <c r="DIL21" s="188"/>
      <c r="DIM21" s="188"/>
      <c r="DIN21" s="188"/>
      <c r="DIO21" s="188"/>
      <c r="DIP21" s="188"/>
      <c r="DIQ21" s="188"/>
      <c r="DIR21" s="188"/>
      <c r="DIS21" s="188"/>
      <c r="DIT21" s="188"/>
      <c r="DIU21" s="188"/>
      <c r="DIV21" s="188"/>
      <c r="DIW21" s="188"/>
      <c r="DIX21" s="188"/>
      <c r="DIY21" s="188"/>
      <c r="DIZ21" s="188"/>
      <c r="DJA21" s="188"/>
      <c r="DJB21" s="188"/>
      <c r="DJC21" s="188"/>
      <c r="DJD21" s="188"/>
      <c r="DJE21" s="188"/>
      <c r="DJF21" s="188"/>
      <c r="DJG21" s="188"/>
      <c r="DJH21" s="188"/>
      <c r="DJI21" s="188"/>
      <c r="DJJ21" s="188"/>
      <c r="DJK21" s="188"/>
      <c r="DJL21" s="188"/>
      <c r="DJM21" s="188"/>
      <c r="DJN21" s="188"/>
      <c r="DJO21" s="188"/>
      <c r="DJP21" s="188"/>
      <c r="DJQ21" s="188"/>
      <c r="DJR21" s="188"/>
      <c r="DJS21" s="188"/>
      <c r="DJT21" s="188"/>
      <c r="DJU21" s="188"/>
      <c r="DJV21" s="188"/>
      <c r="DJW21" s="188"/>
      <c r="DJX21" s="188"/>
      <c r="DJY21" s="188"/>
      <c r="DJZ21" s="188"/>
      <c r="DKA21" s="188"/>
      <c r="DKB21" s="188"/>
      <c r="DKC21" s="188"/>
      <c r="DKD21" s="188"/>
      <c r="DKE21" s="188"/>
      <c r="DKF21" s="188"/>
      <c r="DKG21" s="188"/>
      <c r="DKH21" s="188"/>
      <c r="DKI21" s="188"/>
      <c r="DKJ21" s="188"/>
      <c r="DKK21" s="188"/>
      <c r="DKL21" s="188"/>
      <c r="DKM21" s="188"/>
      <c r="DKN21" s="188"/>
      <c r="DKO21" s="188"/>
      <c r="DKP21" s="188"/>
      <c r="DKQ21" s="188"/>
      <c r="DKR21" s="188"/>
      <c r="DKS21" s="188"/>
      <c r="DKT21" s="188"/>
      <c r="DKU21" s="188"/>
      <c r="DKV21" s="188"/>
      <c r="DKW21" s="188"/>
      <c r="DKX21" s="188"/>
      <c r="DKY21" s="188"/>
      <c r="DKZ21" s="188"/>
      <c r="DLA21" s="188"/>
      <c r="DLB21" s="188"/>
      <c r="DLC21" s="188"/>
      <c r="DLD21" s="188"/>
      <c r="DLE21" s="188"/>
      <c r="DLF21" s="188"/>
      <c r="DLG21" s="188"/>
      <c r="DLH21" s="188"/>
      <c r="DLI21" s="188"/>
      <c r="DLJ21" s="188"/>
      <c r="DLK21" s="188"/>
      <c r="DLL21" s="188"/>
      <c r="DLM21" s="188"/>
      <c r="DLN21" s="188"/>
      <c r="DLO21" s="188"/>
      <c r="DLP21" s="188"/>
      <c r="DLQ21" s="188"/>
      <c r="DLR21" s="188"/>
      <c r="DLS21" s="188"/>
      <c r="DLT21" s="188"/>
      <c r="DLU21" s="188"/>
      <c r="DLV21" s="188"/>
      <c r="DLW21" s="188"/>
      <c r="DLX21" s="188"/>
      <c r="DLY21" s="188"/>
      <c r="DLZ21" s="188"/>
      <c r="DMA21" s="188"/>
      <c r="DMB21" s="188"/>
      <c r="DMC21" s="188"/>
      <c r="DMD21" s="188"/>
      <c r="DME21" s="188"/>
      <c r="DMF21" s="188"/>
      <c r="DMG21" s="188"/>
      <c r="DMH21" s="188"/>
      <c r="DMI21" s="188"/>
      <c r="DMJ21" s="188"/>
      <c r="DMK21" s="188"/>
      <c r="DML21" s="188"/>
      <c r="DMM21" s="188"/>
      <c r="DMN21" s="188"/>
      <c r="DMO21" s="188"/>
      <c r="DMP21" s="188"/>
      <c r="DMQ21" s="188"/>
      <c r="DMR21" s="188"/>
      <c r="DMS21" s="188"/>
      <c r="DMT21" s="188"/>
      <c r="DMU21" s="188"/>
      <c r="DMV21" s="188"/>
      <c r="DMW21" s="188"/>
      <c r="DMX21" s="188"/>
      <c r="DMY21" s="188"/>
      <c r="DMZ21" s="188"/>
      <c r="DNA21" s="188"/>
      <c r="DNB21" s="188"/>
      <c r="DNC21" s="188"/>
      <c r="DND21" s="188"/>
      <c r="DNE21" s="188"/>
      <c r="DNF21" s="188"/>
      <c r="DNG21" s="188"/>
      <c r="DNH21" s="188"/>
      <c r="DNI21" s="188"/>
      <c r="DNJ21" s="188"/>
      <c r="DNK21" s="188"/>
      <c r="DNL21" s="188"/>
      <c r="DNM21" s="188"/>
      <c r="DNN21" s="188"/>
      <c r="DNO21" s="188"/>
      <c r="DNP21" s="188"/>
      <c r="DNQ21" s="188"/>
      <c r="DNR21" s="188"/>
      <c r="DNS21" s="188"/>
      <c r="DNT21" s="188"/>
      <c r="DNU21" s="188"/>
      <c r="DNV21" s="188"/>
      <c r="DNW21" s="188"/>
      <c r="DNX21" s="188"/>
      <c r="DNY21" s="188"/>
      <c r="DNZ21" s="188"/>
      <c r="DOA21" s="188"/>
      <c r="DOB21" s="188"/>
      <c r="DOC21" s="188"/>
      <c r="DOD21" s="188"/>
      <c r="DOE21" s="188"/>
      <c r="DOF21" s="188"/>
      <c r="DOG21" s="188"/>
      <c r="DOH21" s="188"/>
      <c r="DOI21" s="188"/>
      <c r="DOJ21" s="188"/>
      <c r="DOK21" s="188"/>
      <c r="DOL21" s="188"/>
      <c r="DOM21" s="188"/>
      <c r="DON21" s="188"/>
      <c r="DOO21" s="188"/>
      <c r="DOP21" s="188"/>
      <c r="DOQ21" s="188"/>
      <c r="DOR21" s="188"/>
      <c r="DOS21" s="188"/>
      <c r="DOT21" s="188"/>
      <c r="DOU21" s="188"/>
      <c r="DOV21" s="188"/>
      <c r="DOW21" s="188"/>
      <c r="DOX21" s="188"/>
      <c r="DOY21" s="188"/>
      <c r="DOZ21" s="188"/>
      <c r="DPA21" s="188"/>
      <c r="DPB21" s="188"/>
      <c r="DPC21" s="188"/>
      <c r="DPD21" s="188"/>
      <c r="DPE21" s="188"/>
      <c r="DPF21" s="188"/>
      <c r="DPG21" s="188"/>
      <c r="DPH21" s="188"/>
      <c r="DPI21" s="188"/>
      <c r="DPJ21" s="188"/>
      <c r="DPK21" s="188"/>
      <c r="DPL21" s="188"/>
      <c r="DPM21" s="188"/>
      <c r="DPN21" s="188"/>
      <c r="DPO21" s="188"/>
      <c r="DPP21" s="188"/>
      <c r="DPQ21" s="188"/>
      <c r="DPR21" s="188"/>
      <c r="DPS21" s="188"/>
      <c r="DPT21" s="188"/>
      <c r="DPU21" s="188"/>
      <c r="DPV21" s="188"/>
      <c r="DPW21" s="188"/>
      <c r="DPX21" s="188"/>
      <c r="DPY21" s="188"/>
      <c r="DPZ21" s="188"/>
      <c r="DQA21" s="188"/>
      <c r="DQB21" s="188"/>
      <c r="DQC21" s="188"/>
      <c r="DQD21" s="188"/>
      <c r="DQE21" s="188"/>
      <c r="DQF21" s="188"/>
      <c r="DQG21" s="188"/>
      <c r="DQH21" s="188"/>
      <c r="DQI21" s="188"/>
      <c r="DQJ21" s="188"/>
      <c r="DQK21" s="188"/>
      <c r="DQL21" s="188"/>
      <c r="DQM21" s="188"/>
      <c r="DQN21" s="188"/>
      <c r="DQO21" s="188"/>
      <c r="DQP21" s="188"/>
      <c r="DQQ21" s="188"/>
      <c r="DQR21" s="188"/>
      <c r="DQS21" s="188"/>
      <c r="DQT21" s="188"/>
      <c r="DQU21" s="188"/>
      <c r="DQV21" s="188"/>
      <c r="DQW21" s="188"/>
      <c r="DQX21" s="188"/>
      <c r="DQY21" s="188"/>
      <c r="DQZ21" s="188"/>
      <c r="DRA21" s="188"/>
      <c r="DRB21" s="188"/>
      <c r="DRC21" s="188"/>
      <c r="DRD21" s="188"/>
      <c r="DRE21" s="188"/>
      <c r="DRF21" s="188"/>
      <c r="DRG21" s="188"/>
      <c r="DRH21" s="188"/>
      <c r="DRI21" s="188"/>
      <c r="DRJ21" s="188"/>
      <c r="DRK21" s="188"/>
      <c r="DRL21" s="188"/>
      <c r="DRM21" s="188"/>
      <c r="DRN21" s="188"/>
      <c r="DRO21" s="188"/>
      <c r="DRP21" s="188"/>
      <c r="DRQ21" s="188"/>
      <c r="DRR21" s="188"/>
      <c r="DRS21" s="188"/>
      <c r="DRT21" s="188"/>
      <c r="DRU21" s="188"/>
      <c r="DRV21" s="188"/>
      <c r="DRW21" s="188"/>
      <c r="DRX21" s="188"/>
      <c r="DRY21" s="188"/>
      <c r="DRZ21" s="188"/>
      <c r="DSA21" s="188"/>
      <c r="DSB21" s="188"/>
      <c r="DSC21" s="188"/>
      <c r="DSD21" s="188"/>
      <c r="DSE21" s="188"/>
      <c r="DSF21" s="188"/>
      <c r="DSG21" s="188"/>
      <c r="DSH21" s="188"/>
      <c r="DSI21" s="188"/>
      <c r="DSJ21" s="188"/>
      <c r="DSK21" s="188"/>
      <c r="DSL21" s="188"/>
      <c r="DSM21" s="188"/>
      <c r="DSN21" s="188"/>
      <c r="DSO21" s="188"/>
      <c r="DSP21" s="188"/>
      <c r="DSQ21" s="188"/>
      <c r="DSR21" s="188"/>
      <c r="DSS21" s="188"/>
      <c r="DST21" s="188"/>
      <c r="DSU21" s="188"/>
      <c r="DSV21" s="188"/>
      <c r="DSW21" s="188"/>
      <c r="DSX21" s="188"/>
      <c r="DSY21" s="188"/>
      <c r="DSZ21" s="188"/>
      <c r="DTA21" s="188"/>
      <c r="DTB21" s="188"/>
      <c r="DTC21" s="188"/>
      <c r="DTD21" s="188"/>
      <c r="DTE21" s="188"/>
      <c r="DTF21" s="188"/>
      <c r="DTG21" s="188"/>
      <c r="DTH21" s="188"/>
      <c r="DTI21" s="188"/>
      <c r="DTJ21" s="188"/>
      <c r="DTK21" s="188"/>
      <c r="DTL21" s="188"/>
      <c r="DTM21" s="188"/>
      <c r="DTN21" s="188"/>
      <c r="DTO21" s="188"/>
      <c r="DTP21" s="188"/>
      <c r="DTQ21" s="188"/>
      <c r="DTR21" s="188"/>
      <c r="DTS21" s="188"/>
      <c r="DTT21" s="188"/>
      <c r="DTU21" s="188"/>
      <c r="DTV21" s="188"/>
      <c r="DTW21" s="188"/>
      <c r="DTX21" s="188"/>
      <c r="DTY21" s="188"/>
      <c r="DTZ21" s="188"/>
      <c r="DUA21" s="188"/>
      <c r="DUB21" s="188"/>
      <c r="DUC21" s="188"/>
      <c r="DUD21" s="188"/>
      <c r="DUE21" s="188"/>
      <c r="DUF21" s="188"/>
      <c r="DUG21" s="188"/>
      <c r="DUH21" s="188"/>
      <c r="DUI21" s="188"/>
      <c r="DUJ21" s="188"/>
      <c r="DUK21" s="188"/>
      <c r="DUL21" s="188"/>
      <c r="DUM21" s="188"/>
      <c r="DUN21" s="188"/>
      <c r="DUO21" s="188"/>
      <c r="DUP21" s="188"/>
      <c r="DUQ21" s="188"/>
      <c r="DUR21" s="188"/>
      <c r="DUS21" s="188"/>
      <c r="DUT21" s="188"/>
      <c r="DUU21" s="188"/>
      <c r="DUV21" s="188"/>
      <c r="DUW21" s="188"/>
      <c r="DUX21" s="188"/>
      <c r="DUY21" s="188"/>
      <c r="DUZ21" s="188"/>
      <c r="DVA21" s="188"/>
      <c r="DVB21" s="188"/>
      <c r="DVC21" s="188"/>
      <c r="DVD21" s="188"/>
      <c r="DVE21" s="188"/>
      <c r="DVF21" s="188"/>
      <c r="DVG21" s="188"/>
      <c r="DVH21" s="188"/>
      <c r="DVI21" s="188"/>
      <c r="DVJ21" s="188"/>
      <c r="DVK21" s="188"/>
      <c r="DVL21" s="188"/>
      <c r="DVM21" s="188"/>
      <c r="DVN21" s="188"/>
      <c r="DVO21" s="188"/>
      <c r="DVP21" s="188"/>
      <c r="DVQ21" s="188"/>
      <c r="DVR21" s="188"/>
      <c r="DVS21" s="188"/>
      <c r="DVT21" s="188"/>
      <c r="DVU21" s="188"/>
      <c r="DVV21" s="188"/>
      <c r="DVW21" s="188"/>
      <c r="DVX21" s="188"/>
      <c r="DVY21" s="188"/>
      <c r="DVZ21" s="188"/>
      <c r="DWA21" s="188"/>
      <c r="DWB21" s="188"/>
      <c r="DWC21" s="188"/>
      <c r="DWD21" s="188"/>
      <c r="DWE21" s="188"/>
      <c r="DWF21" s="188"/>
      <c r="DWG21" s="188"/>
      <c r="DWH21" s="188"/>
      <c r="DWI21" s="188"/>
      <c r="DWJ21" s="188"/>
      <c r="DWK21" s="188"/>
      <c r="DWL21" s="188"/>
      <c r="DWM21" s="188"/>
      <c r="DWN21" s="188"/>
      <c r="DWO21" s="188"/>
      <c r="DWP21" s="188"/>
      <c r="DWQ21" s="188"/>
      <c r="DWR21" s="188"/>
      <c r="DWS21" s="188"/>
      <c r="DWT21" s="188"/>
      <c r="DWU21" s="188"/>
      <c r="DWV21" s="188"/>
      <c r="DWW21" s="188"/>
      <c r="DWX21" s="188"/>
      <c r="DWY21" s="188"/>
      <c r="DWZ21" s="188"/>
      <c r="DXA21" s="188"/>
      <c r="DXB21" s="188"/>
      <c r="DXC21" s="188"/>
      <c r="DXD21" s="188"/>
      <c r="DXE21" s="188"/>
      <c r="DXF21" s="188"/>
      <c r="DXG21" s="188"/>
      <c r="DXH21" s="188"/>
      <c r="DXI21" s="188"/>
      <c r="DXJ21" s="188"/>
      <c r="DXK21" s="188"/>
      <c r="DXL21" s="188"/>
      <c r="DXM21" s="188"/>
      <c r="DXN21" s="188"/>
      <c r="DXO21" s="188"/>
      <c r="DXP21" s="188"/>
      <c r="DXQ21" s="188"/>
      <c r="DXR21" s="188"/>
      <c r="DXS21" s="188"/>
      <c r="DXT21" s="188"/>
      <c r="DXU21" s="188"/>
      <c r="DXV21" s="188"/>
      <c r="DXW21" s="188"/>
      <c r="DXX21" s="188"/>
      <c r="DXY21" s="188"/>
      <c r="DXZ21" s="188"/>
      <c r="DYA21" s="188"/>
      <c r="DYB21" s="188"/>
      <c r="DYC21" s="188"/>
      <c r="DYD21" s="188"/>
      <c r="DYE21" s="188"/>
      <c r="DYF21" s="188"/>
      <c r="DYG21" s="188"/>
      <c r="DYH21" s="188"/>
      <c r="DYI21" s="188"/>
      <c r="DYJ21" s="188"/>
      <c r="DYK21" s="188"/>
      <c r="DYL21" s="188"/>
      <c r="DYM21" s="188"/>
      <c r="DYN21" s="188"/>
      <c r="DYO21" s="188"/>
      <c r="DYP21" s="188"/>
      <c r="DYQ21" s="188"/>
      <c r="DYR21" s="188"/>
      <c r="DYS21" s="188"/>
      <c r="DYT21" s="188"/>
      <c r="DYU21" s="188"/>
      <c r="DYV21" s="188"/>
      <c r="DYW21" s="188"/>
      <c r="DYX21" s="188"/>
      <c r="DYY21" s="188"/>
      <c r="DYZ21" s="188"/>
      <c r="DZA21" s="188"/>
      <c r="DZB21" s="188"/>
      <c r="DZC21" s="188"/>
      <c r="DZD21" s="188"/>
      <c r="DZE21" s="188"/>
      <c r="DZF21" s="188"/>
      <c r="DZG21" s="188"/>
      <c r="DZH21" s="188"/>
      <c r="DZI21" s="188"/>
      <c r="DZJ21" s="188"/>
      <c r="DZK21" s="188"/>
      <c r="DZL21" s="188"/>
      <c r="DZM21" s="188"/>
      <c r="DZN21" s="188"/>
      <c r="DZO21" s="188"/>
      <c r="DZP21" s="188"/>
      <c r="DZQ21" s="188"/>
      <c r="DZR21" s="188"/>
      <c r="DZS21" s="188"/>
      <c r="DZT21" s="188"/>
      <c r="DZU21" s="188"/>
      <c r="DZV21" s="188"/>
      <c r="DZW21" s="188"/>
      <c r="DZX21" s="188"/>
      <c r="DZY21" s="188"/>
      <c r="DZZ21" s="188"/>
      <c r="EAA21" s="188"/>
      <c r="EAB21" s="188"/>
      <c r="EAC21" s="188"/>
      <c r="EAD21" s="188"/>
      <c r="EAE21" s="188"/>
      <c r="EAF21" s="188"/>
      <c r="EAG21" s="188"/>
      <c r="EAH21" s="188"/>
      <c r="EAI21" s="188"/>
      <c r="EAJ21" s="188"/>
      <c r="EAK21" s="188"/>
      <c r="EAL21" s="188"/>
      <c r="EAM21" s="188"/>
      <c r="EAN21" s="188"/>
      <c r="EAO21" s="188"/>
      <c r="EAP21" s="188"/>
      <c r="EAQ21" s="188"/>
      <c r="EAR21" s="188"/>
      <c r="EAS21" s="188"/>
      <c r="EAT21" s="188"/>
      <c r="EAU21" s="188"/>
      <c r="EAV21" s="188"/>
      <c r="EAW21" s="188"/>
      <c r="EAX21" s="188"/>
      <c r="EAY21" s="188"/>
      <c r="EAZ21" s="188"/>
      <c r="EBA21" s="188"/>
      <c r="EBB21" s="188"/>
      <c r="EBC21" s="188"/>
      <c r="EBD21" s="188"/>
      <c r="EBE21" s="188"/>
      <c r="EBF21" s="188"/>
      <c r="EBG21" s="188"/>
      <c r="EBH21" s="188"/>
      <c r="EBI21" s="188"/>
      <c r="EBJ21" s="188"/>
      <c r="EBK21" s="188"/>
      <c r="EBL21" s="188"/>
      <c r="EBM21" s="188"/>
      <c r="EBN21" s="188"/>
      <c r="EBO21" s="188"/>
      <c r="EBP21" s="188"/>
      <c r="EBQ21" s="188"/>
      <c r="EBR21" s="188"/>
      <c r="EBS21" s="188"/>
      <c r="EBT21" s="188"/>
      <c r="EBU21" s="188"/>
      <c r="EBV21" s="188"/>
      <c r="EBW21" s="188"/>
      <c r="EBX21" s="188"/>
      <c r="EBY21" s="188"/>
      <c r="EBZ21" s="188"/>
      <c r="ECA21" s="188"/>
      <c r="ECB21" s="188"/>
      <c r="ECC21" s="188"/>
      <c r="ECD21" s="188"/>
      <c r="ECE21" s="188"/>
      <c r="ECF21" s="188"/>
      <c r="ECG21" s="188"/>
      <c r="ECH21" s="188"/>
      <c r="ECI21" s="188"/>
      <c r="ECJ21" s="188"/>
      <c r="ECK21" s="188"/>
      <c r="ECL21" s="188"/>
      <c r="ECM21" s="188"/>
      <c r="ECN21" s="188"/>
      <c r="ECO21" s="188"/>
      <c r="ECP21" s="188"/>
      <c r="ECQ21" s="188"/>
      <c r="ECR21" s="188"/>
      <c r="ECS21" s="188"/>
      <c r="ECT21" s="188"/>
      <c r="ECU21" s="188"/>
      <c r="ECV21" s="188"/>
      <c r="ECW21" s="188"/>
      <c r="ECX21" s="188"/>
      <c r="ECY21" s="188"/>
      <c r="ECZ21" s="188"/>
      <c r="EDA21" s="188"/>
      <c r="EDB21" s="188"/>
      <c r="EDC21" s="188"/>
      <c r="EDD21" s="188"/>
      <c r="EDE21" s="188"/>
      <c r="EDF21" s="188"/>
      <c r="EDG21" s="188"/>
      <c r="EDH21" s="188"/>
      <c r="EDI21" s="188"/>
      <c r="EDJ21" s="188"/>
      <c r="EDK21" s="188"/>
      <c r="EDL21" s="188"/>
      <c r="EDM21" s="188"/>
      <c r="EDN21" s="188"/>
      <c r="EDO21" s="188"/>
      <c r="EDP21" s="188"/>
      <c r="EDQ21" s="188"/>
      <c r="EDR21" s="188"/>
      <c r="EDS21" s="188"/>
      <c r="EDT21" s="188"/>
      <c r="EDU21" s="188"/>
      <c r="EDV21" s="188"/>
      <c r="EDW21" s="188"/>
      <c r="EDX21" s="188"/>
      <c r="EDY21" s="188"/>
      <c r="EDZ21" s="188"/>
      <c r="EEA21" s="188"/>
      <c r="EEB21" s="188"/>
      <c r="EEC21" s="188"/>
      <c r="EED21" s="188"/>
      <c r="EEE21" s="188"/>
      <c r="EEF21" s="188"/>
      <c r="EEG21" s="188"/>
      <c r="EEH21" s="188"/>
      <c r="EEI21" s="188"/>
      <c r="EEJ21" s="188"/>
      <c r="EEK21" s="188"/>
      <c r="EEL21" s="188"/>
      <c r="EEM21" s="188"/>
      <c r="EEN21" s="188"/>
      <c r="EEO21" s="188"/>
      <c r="EEP21" s="188"/>
      <c r="EEQ21" s="188"/>
      <c r="EER21" s="188"/>
      <c r="EES21" s="188"/>
      <c r="EET21" s="188"/>
      <c r="EEU21" s="188"/>
      <c r="EEV21" s="188"/>
      <c r="EEW21" s="188"/>
      <c r="EEX21" s="188"/>
      <c r="EEY21" s="188"/>
      <c r="EEZ21" s="188"/>
      <c r="EFA21" s="188"/>
      <c r="EFB21" s="188"/>
      <c r="EFC21" s="188"/>
      <c r="EFD21" s="188"/>
      <c r="EFE21" s="188"/>
      <c r="EFF21" s="188"/>
      <c r="EFG21" s="188"/>
      <c r="EFH21" s="188"/>
      <c r="EFI21" s="188"/>
      <c r="EFJ21" s="188"/>
      <c r="EFK21" s="188"/>
      <c r="EFL21" s="188"/>
      <c r="EFM21" s="188"/>
      <c r="EFN21" s="188"/>
      <c r="EFO21" s="188"/>
      <c r="EFP21" s="188"/>
      <c r="EFQ21" s="188"/>
      <c r="EFR21" s="188"/>
      <c r="EFS21" s="188"/>
      <c r="EFT21" s="188"/>
      <c r="EFU21" s="188"/>
      <c r="EFV21" s="188"/>
      <c r="EFW21" s="188"/>
      <c r="EFX21" s="188"/>
      <c r="EFY21" s="188"/>
      <c r="EFZ21" s="188"/>
      <c r="EGA21" s="188"/>
      <c r="EGB21" s="188"/>
      <c r="EGC21" s="188"/>
      <c r="EGD21" s="188"/>
      <c r="EGE21" s="188"/>
      <c r="EGF21" s="188"/>
      <c r="EGG21" s="188"/>
      <c r="EGH21" s="188"/>
      <c r="EGI21" s="188"/>
      <c r="EGJ21" s="188"/>
      <c r="EGK21" s="188"/>
      <c r="EGL21" s="188"/>
      <c r="EGM21" s="188"/>
      <c r="EGN21" s="188"/>
      <c r="EGO21" s="188"/>
      <c r="EGP21" s="188"/>
      <c r="EGQ21" s="188"/>
      <c r="EGR21" s="188"/>
      <c r="EGS21" s="188"/>
      <c r="EGT21" s="188"/>
      <c r="EGU21" s="188"/>
      <c r="EGV21" s="188"/>
      <c r="EGW21" s="188"/>
      <c r="EGX21" s="188"/>
      <c r="EGY21" s="188"/>
      <c r="EGZ21" s="188"/>
      <c r="EHA21" s="188"/>
      <c r="EHB21" s="188"/>
      <c r="EHC21" s="188"/>
      <c r="EHD21" s="188"/>
      <c r="EHE21" s="188"/>
      <c r="EHF21" s="188"/>
      <c r="EHG21" s="188"/>
      <c r="EHH21" s="188"/>
      <c r="EHI21" s="188"/>
      <c r="EHJ21" s="188"/>
      <c r="EHK21" s="188"/>
      <c r="EHL21" s="188"/>
      <c r="EHM21" s="188"/>
      <c r="EHN21" s="188"/>
      <c r="EHO21" s="188"/>
      <c r="EHP21" s="188"/>
      <c r="EHQ21" s="188"/>
      <c r="EHR21" s="188"/>
      <c r="EHS21" s="188"/>
      <c r="EHT21" s="188"/>
      <c r="EHU21" s="188"/>
      <c r="EHV21" s="188"/>
      <c r="EHW21" s="188"/>
      <c r="EHX21" s="188"/>
      <c r="EHY21" s="188"/>
      <c r="EHZ21" s="188"/>
      <c r="EIA21" s="188"/>
      <c r="EIB21" s="188"/>
      <c r="EIC21" s="188"/>
      <c r="EID21" s="188"/>
      <c r="EIE21" s="188"/>
      <c r="EIF21" s="188"/>
      <c r="EIG21" s="188"/>
      <c r="EIH21" s="188"/>
      <c r="EII21" s="188"/>
      <c r="EIJ21" s="188"/>
      <c r="EIK21" s="188"/>
      <c r="EIL21" s="188"/>
      <c r="EIM21" s="188"/>
      <c r="EIN21" s="188"/>
      <c r="EIO21" s="188"/>
      <c r="EIP21" s="188"/>
      <c r="EIQ21" s="188"/>
      <c r="EIR21" s="188"/>
      <c r="EIS21" s="188"/>
      <c r="EIT21" s="188"/>
      <c r="EIU21" s="188"/>
      <c r="EIV21" s="188"/>
      <c r="EIW21" s="188"/>
      <c r="EIX21" s="188"/>
      <c r="EIY21" s="188"/>
      <c r="EIZ21" s="188"/>
      <c r="EJA21" s="188"/>
      <c r="EJB21" s="188"/>
      <c r="EJC21" s="188"/>
      <c r="EJD21" s="188"/>
      <c r="EJE21" s="188"/>
      <c r="EJF21" s="188"/>
      <c r="EJG21" s="188"/>
      <c r="EJH21" s="188"/>
      <c r="EJI21" s="188"/>
      <c r="EJJ21" s="188"/>
      <c r="EJK21" s="188"/>
      <c r="EJL21" s="188"/>
      <c r="EJM21" s="188"/>
      <c r="EJN21" s="188"/>
      <c r="EJO21" s="188"/>
      <c r="EJP21" s="188"/>
      <c r="EJQ21" s="188"/>
      <c r="EJR21" s="188"/>
      <c r="EJS21" s="188"/>
      <c r="EJT21" s="188"/>
      <c r="EJU21" s="188"/>
      <c r="EJV21" s="188"/>
      <c r="EJW21" s="188"/>
      <c r="EJX21" s="188"/>
      <c r="EJY21" s="188"/>
      <c r="EJZ21" s="188"/>
      <c r="EKA21" s="188"/>
      <c r="EKB21" s="188"/>
      <c r="EKC21" s="188"/>
      <c r="EKD21" s="188"/>
      <c r="EKE21" s="188"/>
      <c r="EKF21" s="188"/>
      <c r="EKG21" s="188"/>
      <c r="EKH21" s="188"/>
      <c r="EKI21" s="188"/>
      <c r="EKJ21" s="188"/>
      <c r="EKK21" s="188"/>
      <c r="EKL21" s="188"/>
      <c r="EKM21" s="188"/>
      <c r="EKN21" s="188"/>
      <c r="EKO21" s="188"/>
      <c r="EKP21" s="188"/>
      <c r="EKQ21" s="188"/>
      <c r="EKR21" s="188"/>
      <c r="EKS21" s="188"/>
      <c r="EKT21" s="188"/>
      <c r="EKU21" s="188"/>
      <c r="EKV21" s="188"/>
      <c r="EKW21" s="188"/>
      <c r="EKX21" s="188"/>
      <c r="EKY21" s="188"/>
      <c r="EKZ21" s="188"/>
      <c r="ELA21" s="188"/>
      <c r="ELB21" s="188"/>
      <c r="ELC21" s="188"/>
      <c r="ELD21" s="188"/>
      <c r="ELE21" s="188"/>
      <c r="ELF21" s="188"/>
      <c r="ELG21" s="188"/>
      <c r="ELH21" s="188"/>
      <c r="ELI21" s="188"/>
      <c r="ELJ21" s="188"/>
      <c r="ELK21" s="188"/>
      <c r="ELL21" s="188"/>
      <c r="ELM21" s="188"/>
      <c r="ELN21" s="188"/>
      <c r="ELO21" s="188"/>
      <c r="ELP21" s="188"/>
      <c r="ELQ21" s="188"/>
      <c r="ELR21" s="188"/>
      <c r="ELS21" s="188"/>
      <c r="ELT21" s="188"/>
      <c r="ELU21" s="188"/>
      <c r="ELV21" s="188"/>
      <c r="ELW21" s="188"/>
      <c r="ELX21" s="188"/>
      <c r="ELY21" s="188"/>
      <c r="ELZ21" s="188"/>
      <c r="EMA21" s="188"/>
      <c r="EMB21" s="188"/>
      <c r="EMC21" s="188"/>
      <c r="EMD21" s="188"/>
      <c r="EME21" s="188"/>
      <c r="EMF21" s="188"/>
      <c r="EMG21" s="188"/>
      <c r="EMH21" s="188"/>
      <c r="EMI21" s="188"/>
      <c r="EMJ21" s="188"/>
      <c r="EMK21" s="188"/>
      <c r="EML21" s="188"/>
      <c r="EMM21" s="188"/>
      <c r="EMN21" s="188"/>
      <c r="EMO21" s="188"/>
      <c r="EMP21" s="188"/>
      <c r="EMQ21" s="188"/>
      <c r="EMR21" s="188"/>
      <c r="EMS21" s="188"/>
      <c r="EMT21" s="188"/>
      <c r="EMU21" s="188"/>
      <c r="EMV21" s="188"/>
      <c r="EMW21" s="188"/>
      <c r="EMX21" s="188"/>
      <c r="EMY21" s="188"/>
      <c r="EMZ21" s="188"/>
      <c r="ENA21" s="188"/>
      <c r="ENB21" s="188"/>
      <c r="ENC21" s="188"/>
      <c r="END21" s="188"/>
      <c r="ENE21" s="188"/>
      <c r="ENF21" s="188"/>
      <c r="ENG21" s="188"/>
      <c r="ENH21" s="188"/>
      <c r="ENI21" s="188"/>
      <c r="ENJ21" s="188"/>
      <c r="ENK21" s="188"/>
      <c r="ENL21" s="188"/>
      <c r="ENM21" s="188"/>
      <c r="ENN21" s="188"/>
      <c r="ENO21" s="188"/>
      <c r="ENP21" s="188"/>
      <c r="ENQ21" s="188"/>
      <c r="ENR21" s="188"/>
      <c r="ENS21" s="188"/>
      <c r="ENT21" s="188"/>
      <c r="ENU21" s="188"/>
      <c r="ENV21" s="188"/>
      <c r="ENW21" s="188"/>
      <c r="ENX21" s="188"/>
      <c r="ENY21" s="188"/>
      <c r="ENZ21" s="188"/>
      <c r="EOA21" s="188"/>
      <c r="EOB21" s="188"/>
      <c r="EOC21" s="188"/>
      <c r="EOD21" s="188"/>
      <c r="EOE21" s="188"/>
      <c r="EOF21" s="188"/>
      <c r="EOG21" s="188"/>
      <c r="EOH21" s="188"/>
      <c r="EOI21" s="188"/>
      <c r="EOJ21" s="188"/>
      <c r="EOK21" s="188"/>
      <c r="EOL21" s="188"/>
      <c r="EOM21" s="188"/>
      <c r="EON21" s="188"/>
      <c r="EOO21" s="188"/>
      <c r="EOP21" s="188"/>
      <c r="EOQ21" s="188"/>
      <c r="EOR21" s="188"/>
      <c r="EOS21" s="188"/>
      <c r="EOT21" s="188"/>
      <c r="EOU21" s="188"/>
      <c r="EOV21" s="188"/>
      <c r="EOW21" s="188"/>
      <c r="EOX21" s="188"/>
      <c r="EOY21" s="188"/>
      <c r="EOZ21" s="188"/>
      <c r="EPA21" s="188"/>
      <c r="EPB21" s="188"/>
      <c r="EPC21" s="188"/>
      <c r="EPD21" s="188"/>
      <c r="EPE21" s="188"/>
      <c r="EPF21" s="188"/>
      <c r="EPG21" s="188"/>
      <c r="EPH21" s="188"/>
      <c r="EPI21" s="188"/>
      <c r="EPJ21" s="188"/>
      <c r="EPK21" s="188"/>
      <c r="EPL21" s="188"/>
      <c r="EPM21" s="188"/>
      <c r="EPN21" s="188"/>
      <c r="EPO21" s="188"/>
      <c r="EPP21" s="188"/>
      <c r="EPQ21" s="188"/>
      <c r="EPR21" s="188"/>
      <c r="EPS21" s="188"/>
      <c r="EPT21" s="188"/>
      <c r="EPU21" s="188"/>
      <c r="EPV21" s="188"/>
      <c r="EPW21" s="188"/>
      <c r="EPX21" s="188"/>
      <c r="EPY21" s="188"/>
      <c r="EPZ21" s="188"/>
      <c r="EQA21" s="188"/>
      <c r="EQB21" s="188"/>
      <c r="EQC21" s="188"/>
      <c r="EQD21" s="188"/>
      <c r="EQE21" s="188"/>
      <c r="EQF21" s="188"/>
      <c r="EQG21" s="188"/>
      <c r="EQH21" s="188"/>
      <c r="EQI21" s="188"/>
      <c r="EQJ21" s="188"/>
      <c r="EQK21" s="188"/>
      <c r="EQL21" s="188"/>
      <c r="EQM21" s="188"/>
      <c r="EQN21" s="188"/>
      <c r="EQO21" s="188"/>
      <c r="EQP21" s="188"/>
      <c r="EQQ21" s="188"/>
      <c r="EQR21" s="188"/>
      <c r="EQS21" s="188"/>
      <c r="EQT21" s="188"/>
      <c r="EQU21" s="188"/>
      <c r="EQV21" s="188"/>
      <c r="EQW21" s="188"/>
      <c r="EQX21" s="188"/>
      <c r="EQY21" s="188"/>
      <c r="EQZ21" s="188"/>
      <c r="ERA21" s="188"/>
      <c r="ERB21" s="188"/>
      <c r="ERC21" s="188"/>
      <c r="ERD21" s="188"/>
      <c r="ERE21" s="188"/>
      <c r="ERF21" s="188"/>
      <c r="ERG21" s="188"/>
      <c r="ERH21" s="188"/>
      <c r="ERI21" s="188"/>
      <c r="ERJ21" s="188"/>
      <c r="ERK21" s="188"/>
      <c r="ERL21" s="188"/>
      <c r="ERM21" s="188"/>
      <c r="ERN21" s="188"/>
      <c r="ERO21" s="188"/>
      <c r="ERP21" s="188"/>
      <c r="ERQ21" s="188"/>
      <c r="ERR21" s="188"/>
      <c r="ERS21" s="188"/>
      <c r="ERT21" s="188"/>
      <c r="ERU21" s="188"/>
      <c r="ERV21" s="188"/>
      <c r="ERW21" s="188"/>
      <c r="ERX21" s="188"/>
      <c r="ERY21" s="188"/>
      <c r="ERZ21" s="188"/>
      <c r="ESA21" s="188"/>
      <c r="ESB21" s="188"/>
      <c r="ESC21" s="188"/>
      <c r="ESD21" s="188"/>
      <c r="ESE21" s="188"/>
      <c r="ESF21" s="188"/>
      <c r="ESG21" s="188"/>
      <c r="ESH21" s="188"/>
      <c r="ESI21" s="188"/>
      <c r="ESJ21" s="188"/>
      <c r="ESK21" s="188"/>
      <c r="ESL21" s="188"/>
      <c r="ESM21" s="188"/>
      <c r="ESN21" s="188"/>
      <c r="ESO21" s="188"/>
      <c r="ESP21" s="188"/>
      <c r="ESQ21" s="188"/>
      <c r="ESR21" s="188"/>
      <c r="ESS21" s="188"/>
      <c r="EST21" s="188"/>
      <c r="ESU21" s="188"/>
      <c r="ESV21" s="188"/>
      <c r="ESW21" s="188"/>
      <c r="ESX21" s="188"/>
      <c r="ESY21" s="188"/>
      <c r="ESZ21" s="188"/>
      <c r="ETA21" s="188"/>
      <c r="ETB21" s="188"/>
      <c r="ETC21" s="188"/>
      <c r="ETD21" s="188"/>
      <c r="ETE21" s="188"/>
      <c r="ETF21" s="188"/>
      <c r="ETG21" s="188"/>
      <c r="ETH21" s="188"/>
      <c r="ETI21" s="188"/>
      <c r="ETJ21" s="188"/>
      <c r="ETK21" s="188"/>
      <c r="ETL21" s="188"/>
      <c r="ETM21" s="188"/>
      <c r="ETN21" s="188"/>
      <c r="ETO21" s="188"/>
      <c r="ETP21" s="188"/>
      <c r="ETQ21" s="188"/>
      <c r="ETR21" s="188"/>
      <c r="ETS21" s="188"/>
      <c r="ETT21" s="188"/>
      <c r="ETU21" s="188"/>
      <c r="ETV21" s="188"/>
      <c r="ETW21" s="188"/>
      <c r="ETX21" s="188"/>
      <c r="ETY21" s="188"/>
      <c r="ETZ21" s="188"/>
      <c r="EUA21" s="188"/>
      <c r="EUB21" s="188"/>
      <c r="EUC21" s="188"/>
      <c r="EUD21" s="188"/>
      <c r="EUE21" s="188"/>
      <c r="EUF21" s="188"/>
      <c r="EUG21" s="188"/>
      <c r="EUH21" s="188"/>
      <c r="EUI21" s="188"/>
      <c r="EUJ21" s="188"/>
      <c r="EUK21" s="188"/>
      <c r="EUL21" s="188"/>
      <c r="EUM21" s="188"/>
      <c r="EUN21" s="188"/>
      <c r="EUO21" s="188"/>
      <c r="EUP21" s="188"/>
      <c r="EUQ21" s="188"/>
      <c r="EUR21" s="188"/>
      <c r="EUS21" s="188"/>
      <c r="EUT21" s="188"/>
      <c r="EUU21" s="188"/>
      <c r="EUV21" s="188"/>
      <c r="EUW21" s="188"/>
      <c r="EUX21" s="188"/>
      <c r="EUY21" s="188"/>
      <c r="EUZ21" s="188"/>
      <c r="EVA21" s="188"/>
      <c r="EVB21" s="188"/>
      <c r="EVC21" s="188"/>
      <c r="EVD21" s="188"/>
      <c r="EVE21" s="188"/>
      <c r="EVF21" s="188"/>
      <c r="EVG21" s="188"/>
      <c r="EVH21" s="188"/>
      <c r="EVI21" s="188"/>
      <c r="EVJ21" s="188"/>
      <c r="EVK21" s="188"/>
      <c r="EVL21" s="188"/>
      <c r="EVM21" s="188"/>
      <c r="EVN21" s="188"/>
      <c r="EVO21" s="188"/>
      <c r="EVP21" s="188"/>
      <c r="EVQ21" s="188"/>
      <c r="EVR21" s="188"/>
      <c r="EVS21" s="188"/>
      <c r="EVT21" s="188"/>
      <c r="EVU21" s="188"/>
      <c r="EVV21" s="188"/>
      <c r="EVW21" s="188"/>
      <c r="EVX21" s="188"/>
      <c r="EVY21" s="188"/>
      <c r="EVZ21" s="188"/>
      <c r="EWA21" s="188"/>
      <c r="EWB21" s="188"/>
      <c r="EWC21" s="188"/>
      <c r="EWD21" s="188"/>
      <c r="EWE21" s="188"/>
      <c r="EWF21" s="188"/>
      <c r="EWG21" s="188"/>
      <c r="EWH21" s="188"/>
      <c r="EWI21" s="188"/>
      <c r="EWJ21" s="188"/>
      <c r="EWK21" s="188"/>
      <c r="EWL21" s="188"/>
      <c r="EWM21" s="188"/>
      <c r="EWN21" s="188"/>
      <c r="EWO21" s="188"/>
      <c r="EWP21" s="188"/>
      <c r="EWQ21" s="188"/>
      <c r="EWR21" s="188"/>
      <c r="EWS21" s="188"/>
      <c r="EWT21" s="188"/>
      <c r="EWU21" s="188"/>
      <c r="EWV21" s="188"/>
      <c r="EWW21" s="188"/>
      <c r="EWX21" s="188"/>
      <c r="EWY21" s="188"/>
      <c r="EWZ21" s="188"/>
      <c r="EXA21" s="188"/>
      <c r="EXB21" s="188"/>
      <c r="EXC21" s="188"/>
      <c r="EXD21" s="188"/>
      <c r="EXE21" s="188"/>
      <c r="EXF21" s="188"/>
      <c r="EXG21" s="188"/>
      <c r="EXH21" s="188"/>
      <c r="EXI21" s="188"/>
      <c r="EXJ21" s="188"/>
      <c r="EXK21" s="188"/>
      <c r="EXL21" s="188"/>
      <c r="EXM21" s="188"/>
      <c r="EXN21" s="188"/>
      <c r="EXO21" s="188"/>
      <c r="EXP21" s="188"/>
      <c r="EXQ21" s="188"/>
      <c r="EXR21" s="188"/>
      <c r="EXS21" s="188"/>
      <c r="EXT21" s="188"/>
      <c r="EXU21" s="188"/>
      <c r="EXV21" s="188"/>
      <c r="EXW21" s="188"/>
      <c r="EXX21" s="188"/>
      <c r="EXY21" s="188"/>
      <c r="EXZ21" s="188"/>
      <c r="EYA21" s="188"/>
      <c r="EYB21" s="188"/>
      <c r="EYC21" s="188"/>
      <c r="EYD21" s="188"/>
      <c r="EYE21" s="188"/>
      <c r="EYF21" s="188"/>
      <c r="EYG21" s="188"/>
      <c r="EYH21" s="188"/>
      <c r="EYI21" s="188"/>
      <c r="EYJ21" s="188"/>
      <c r="EYK21" s="188"/>
      <c r="EYL21" s="188"/>
      <c r="EYM21" s="188"/>
      <c r="EYN21" s="188"/>
      <c r="EYO21" s="188"/>
      <c r="EYP21" s="188"/>
      <c r="EYQ21" s="188"/>
      <c r="EYR21" s="188"/>
      <c r="EYS21" s="188"/>
      <c r="EYT21" s="188"/>
      <c r="EYU21" s="188"/>
      <c r="EYV21" s="188"/>
      <c r="EYW21" s="188"/>
      <c r="EYX21" s="188"/>
      <c r="EYY21" s="188"/>
      <c r="EYZ21" s="188"/>
      <c r="EZA21" s="188"/>
      <c r="EZB21" s="188"/>
      <c r="EZC21" s="188"/>
      <c r="EZD21" s="188"/>
      <c r="EZE21" s="188"/>
      <c r="EZF21" s="188"/>
      <c r="EZG21" s="188"/>
      <c r="EZH21" s="188"/>
      <c r="EZI21" s="188"/>
      <c r="EZJ21" s="188"/>
      <c r="EZK21" s="188"/>
      <c r="EZL21" s="188"/>
      <c r="EZM21" s="188"/>
      <c r="EZN21" s="188"/>
      <c r="EZO21" s="188"/>
      <c r="EZP21" s="188"/>
      <c r="EZQ21" s="188"/>
      <c r="EZR21" s="188"/>
      <c r="EZS21" s="188"/>
      <c r="EZT21" s="188"/>
      <c r="EZU21" s="188"/>
      <c r="EZV21" s="188"/>
      <c r="EZW21" s="188"/>
      <c r="EZX21" s="188"/>
      <c r="EZY21" s="188"/>
      <c r="EZZ21" s="188"/>
      <c r="FAA21" s="188"/>
      <c r="FAB21" s="188"/>
      <c r="FAC21" s="188"/>
      <c r="FAD21" s="188"/>
      <c r="FAE21" s="188"/>
      <c r="FAF21" s="188"/>
      <c r="FAG21" s="188"/>
      <c r="FAH21" s="188"/>
      <c r="FAI21" s="188"/>
      <c r="FAJ21" s="188"/>
      <c r="FAK21" s="188"/>
      <c r="FAL21" s="188"/>
      <c r="FAM21" s="188"/>
      <c r="FAN21" s="188"/>
      <c r="FAO21" s="188"/>
      <c r="FAP21" s="188"/>
      <c r="FAQ21" s="188"/>
      <c r="FAR21" s="188"/>
      <c r="FAS21" s="188"/>
      <c r="FAT21" s="188"/>
      <c r="FAU21" s="188"/>
      <c r="FAV21" s="188"/>
      <c r="FAW21" s="188"/>
      <c r="FAX21" s="188"/>
      <c r="FAY21" s="188"/>
      <c r="FAZ21" s="188"/>
      <c r="FBA21" s="188"/>
      <c r="FBB21" s="188"/>
      <c r="FBC21" s="188"/>
      <c r="FBD21" s="188"/>
      <c r="FBE21" s="188"/>
      <c r="FBF21" s="188"/>
      <c r="FBG21" s="188"/>
      <c r="FBH21" s="188"/>
      <c r="FBI21" s="188"/>
      <c r="FBJ21" s="188"/>
      <c r="FBK21" s="188"/>
      <c r="FBL21" s="188"/>
      <c r="FBM21" s="188"/>
      <c r="FBN21" s="188"/>
      <c r="FBO21" s="188"/>
      <c r="FBP21" s="188"/>
      <c r="FBQ21" s="188"/>
      <c r="FBR21" s="188"/>
      <c r="FBS21" s="188"/>
      <c r="FBT21" s="188"/>
      <c r="FBU21" s="188"/>
      <c r="FBV21" s="188"/>
      <c r="FBW21" s="188"/>
      <c r="FBX21" s="188"/>
      <c r="FBY21" s="188"/>
      <c r="FBZ21" s="188"/>
      <c r="FCA21" s="188"/>
      <c r="FCB21" s="188"/>
      <c r="FCC21" s="188"/>
      <c r="FCD21" s="188"/>
      <c r="FCE21" s="188"/>
      <c r="FCF21" s="188"/>
      <c r="FCG21" s="188"/>
      <c r="FCH21" s="188"/>
      <c r="FCI21" s="188"/>
      <c r="FCJ21" s="188"/>
      <c r="FCK21" s="188"/>
      <c r="FCL21" s="188"/>
      <c r="FCM21" s="188"/>
      <c r="FCN21" s="188"/>
      <c r="FCO21" s="188"/>
      <c r="FCP21" s="188"/>
      <c r="FCQ21" s="188"/>
      <c r="FCR21" s="188"/>
      <c r="FCS21" s="188"/>
      <c r="FCT21" s="188"/>
      <c r="FCU21" s="188"/>
      <c r="FCV21" s="188"/>
      <c r="FCW21" s="188"/>
      <c r="FCX21" s="188"/>
      <c r="FCY21" s="188"/>
      <c r="FCZ21" s="188"/>
      <c r="FDA21" s="188"/>
      <c r="FDB21" s="188"/>
      <c r="FDC21" s="188"/>
      <c r="FDD21" s="188"/>
      <c r="FDE21" s="188"/>
      <c r="FDF21" s="188"/>
      <c r="FDG21" s="188"/>
      <c r="FDH21" s="188"/>
      <c r="FDI21" s="188"/>
      <c r="FDJ21" s="188"/>
      <c r="FDK21" s="188"/>
      <c r="FDL21" s="188"/>
      <c r="FDM21" s="188"/>
      <c r="FDN21" s="188"/>
      <c r="FDO21" s="188"/>
      <c r="FDP21" s="188"/>
      <c r="FDQ21" s="188"/>
      <c r="FDR21" s="188"/>
      <c r="FDS21" s="188"/>
      <c r="FDT21" s="188"/>
      <c r="FDU21" s="188"/>
      <c r="FDV21" s="188"/>
      <c r="FDW21" s="188"/>
      <c r="FDX21" s="188"/>
      <c r="FDY21" s="188"/>
      <c r="FDZ21" s="188"/>
      <c r="FEA21" s="188"/>
      <c r="FEB21" s="188"/>
      <c r="FEC21" s="188"/>
      <c r="FED21" s="188"/>
      <c r="FEE21" s="188"/>
      <c r="FEF21" s="188"/>
      <c r="FEG21" s="188"/>
      <c r="FEH21" s="188"/>
      <c r="FEI21" s="188"/>
      <c r="FEJ21" s="188"/>
      <c r="FEK21" s="188"/>
      <c r="FEL21" s="188"/>
      <c r="FEM21" s="188"/>
      <c r="FEN21" s="188"/>
      <c r="FEO21" s="188"/>
      <c r="FEP21" s="188"/>
      <c r="FEQ21" s="188"/>
      <c r="FER21" s="188"/>
      <c r="FES21" s="188"/>
      <c r="FET21" s="188"/>
      <c r="FEU21" s="188"/>
      <c r="FEV21" s="188"/>
      <c r="FEW21" s="188"/>
      <c r="FEX21" s="188"/>
      <c r="FEY21" s="188"/>
      <c r="FEZ21" s="188"/>
      <c r="FFA21" s="188"/>
      <c r="FFB21" s="188"/>
      <c r="FFC21" s="188"/>
      <c r="FFD21" s="188"/>
      <c r="FFE21" s="188"/>
      <c r="FFF21" s="188"/>
      <c r="FFG21" s="188"/>
      <c r="FFH21" s="188"/>
      <c r="FFI21" s="188"/>
      <c r="FFJ21" s="188"/>
      <c r="FFK21" s="188"/>
      <c r="FFL21" s="188"/>
      <c r="FFM21" s="188"/>
      <c r="FFN21" s="188"/>
      <c r="FFO21" s="188"/>
      <c r="FFP21" s="188"/>
      <c r="FFQ21" s="188"/>
      <c r="FFR21" s="188"/>
      <c r="FFS21" s="188"/>
      <c r="FFT21" s="188"/>
      <c r="FFU21" s="188"/>
      <c r="FFV21" s="188"/>
      <c r="FFW21" s="188"/>
      <c r="FFX21" s="188"/>
      <c r="FFY21" s="188"/>
      <c r="FFZ21" s="188"/>
      <c r="FGA21" s="188"/>
      <c r="FGB21" s="188"/>
      <c r="FGC21" s="188"/>
      <c r="FGD21" s="188"/>
      <c r="FGE21" s="188"/>
      <c r="FGF21" s="188"/>
      <c r="FGG21" s="188"/>
      <c r="FGH21" s="188"/>
      <c r="FGI21" s="188"/>
      <c r="FGJ21" s="188"/>
      <c r="FGK21" s="188"/>
      <c r="FGL21" s="188"/>
      <c r="FGM21" s="188"/>
      <c r="FGN21" s="188"/>
      <c r="FGO21" s="188"/>
      <c r="FGP21" s="188"/>
      <c r="FGQ21" s="188"/>
      <c r="FGR21" s="188"/>
      <c r="FGS21" s="188"/>
      <c r="FGT21" s="188"/>
      <c r="FGU21" s="188"/>
      <c r="FGV21" s="188"/>
      <c r="FGW21" s="188"/>
      <c r="FGX21" s="188"/>
      <c r="FGY21" s="188"/>
      <c r="FGZ21" s="188"/>
      <c r="FHA21" s="188"/>
      <c r="FHB21" s="188"/>
      <c r="FHC21" s="188"/>
      <c r="FHD21" s="188"/>
      <c r="FHE21" s="188"/>
      <c r="FHF21" s="188"/>
      <c r="FHG21" s="188"/>
      <c r="FHH21" s="188"/>
      <c r="FHI21" s="188"/>
      <c r="FHJ21" s="188"/>
      <c r="FHK21" s="188"/>
      <c r="FHL21" s="188"/>
      <c r="FHM21" s="188"/>
      <c r="FHN21" s="188"/>
      <c r="FHO21" s="188"/>
      <c r="FHP21" s="188"/>
      <c r="FHQ21" s="188"/>
      <c r="FHR21" s="188"/>
      <c r="FHS21" s="188"/>
      <c r="FHT21" s="188"/>
      <c r="FHU21" s="188"/>
      <c r="FHV21" s="188"/>
      <c r="FHW21" s="188"/>
      <c r="FHX21" s="188"/>
      <c r="FHY21" s="188"/>
      <c r="FHZ21" s="188"/>
      <c r="FIA21" s="188"/>
      <c r="FIB21" s="188"/>
      <c r="FIC21" s="188"/>
      <c r="FID21" s="188"/>
      <c r="FIE21" s="188"/>
      <c r="FIF21" s="188"/>
      <c r="FIG21" s="188"/>
      <c r="FIH21" s="188"/>
      <c r="FII21" s="188"/>
      <c r="FIJ21" s="188"/>
      <c r="FIK21" s="188"/>
      <c r="FIL21" s="188"/>
      <c r="FIM21" s="188"/>
      <c r="FIN21" s="188"/>
      <c r="FIO21" s="188"/>
      <c r="FIP21" s="188"/>
      <c r="FIQ21" s="188"/>
      <c r="FIR21" s="188"/>
      <c r="FIS21" s="188"/>
      <c r="FIT21" s="188"/>
      <c r="FIU21" s="188"/>
      <c r="FIV21" s="188"/>
      <c r="FIW21" s="188"/>
      <c r="FIX21" s="188"/>
      <c r="FIY21" s="188"/>
      <c r="FIZ21" s="188"/>
      <c r="FJA21" s="188"/>
      <c r="FJB21" s="188"/>
      <c r="FJC21" s="188"/>
      <c r="FJD21" s="188"/>
      <c r="FJE21" s="188"/>
      <c r="FJF21" s="188"/>
      <c r="FJG21" s="188"/>
      <c r="FJH21" s="188"/>
      <c r="FJI21" s="188"/>
      <c r="FJJ21" s="188"/>
      <c r="FJK21" s="188"/>
      <c r="FJL21" s="188"/>
      <c r="FJM21" s="188"/>
      <c r="FJN21" s="188"/>
      <c r="FJO21" s="188"/>
      <c r="FJP21" s="188"/>
      <c r="FJQ21" s="188"/>
      <c r="FJR21" s="188"/>
      <c r="FJS21" s="188"/>
      <c r="FJT21" s="188"/>
      <c r="FJU21" s="188"/>
      <c r="FJV21" s="188"/>
      <c r="FJW21" s="188"/>
      <c r="FJX21" s="188"/>
      <c r="FJY21" s="188"/>
      <c r="FJZ21" s="188"/>
      <c r="FKA21" s="188"/>
      <c r="FKB21" s="188"/>
      <c r="FKC21" s="188"/>
      <c r="FKD21" s="188"/>
      <c r="FKE21" s="188"/>
      <c r="FKF21" s="188"/>
      <c r="FKG21" s="188"/>
      <c r="FKH21" s="188"/>
      <c r="FKI21" s="188"/>
      <c r="FKJ21" s="188"/>
      <c r="FKK21" s="188"/>
      <c r="FKL21" s="188"/>
      <c r="FKM21" s="188"/>
      <c r="FKN21" s="188"/>
      <c r="FKO21" s="188"/>
      <c r="FKP21" s="188"/>
      <c r="FKQ21" s="188"/>
      <c r="FKR21" s="188"/>
      <c r="FKS21" s="188"/>
      <c r="FKT21" s="188"/>
      <c r="FKU21" s="188"/>
      <c r="FKV21" s="188"/>
      <c r="FKW21" s="188"/>
      <c r="FKX21" s="188"/>
      <c r="FKY21" s="188"/>
      <c r="FKZ21" s="188"/>
      <c r="FLA21" s="188"/>
      <c r="FLB21" s="188"/>
      <c r="FLC21" s="188"/>
      <c r="FLD21" s="188"/>
      <c r="FLE21" s="188"/>
      <c r="FLF21" s="188"/>
      <c r="FLG21" s="188"/>
      <c r="FLH21" s="188"/>
      <c r="FLI21" s="188"/>
      <c r="FLJ21" s="188"/>
      <c r="FLK21" s="188"/>
      <c r="FLL21" s="188"/>
      <c r="FLM21" s="188"/>
      <c r="FLN21" s="188"/>
      <c r="FLO21" s="188"/>
      <c r="FLP21" s="188"/>
      <c r="FLQ21" s="188"/>
      <c r="FLR21" s="188"/>
      <c r="FLS21" s="188"/>
      <c r="FLT21" s="188"/>
      <c r="FLU21" s="188"/>
      <c r="FLV21" s="188"/>
      <c r="FLW21" s="188"/>
      <c r="FLX21" s="188"/>
      <c r="FLY21" s="188"/>
      <c r="FLZ21" s="188"/>
      <c r="FMA21" s="188"/>
      <c r="FMB21" s="188"/>
      <c r="FMC21" s="188"/>
      <c r="FMD21" s="188"/>
      <c r="FME21" s="188"/>
      <c r="FMF21" s="188"/>
      <c r="FMG21" s="188"/>
      <c r="FMH21" s="188"/>
      <c r="FMI21" s="188"/>
      <c r="FMJ21" s="188"/>
      <c r="FMK21" s="188"/>
      <c r="FML21" s="188"/>
      <c r="FMM21" s="188"/>
      <c r="FMN21" s="188"/>
      <c r="FMO21" s="188"/>
      <c r="FMP21" s="188"/>
      <c r="FMQ21" s="188"/>
      <c r="FMR21" s="188"/>
      <c r="FMS21" s="188"/>
      <c r="FMT21" s="188"/>
      <c r="FMU21" s="188"/>
      <c r="FMV21" s="188"/>
      <c r="FMW21" s="188"/>
      <c r="FMX21" s="188"/>
      <c r="FMY21" s="188"/>
      <c r="FMZ21" s="188"/>
      <c r="FNA21" s="188"/>
      <c r="FNB21" s="188"/>
      <c r="FNC21" s="188"/>
      <c r="FND21" s="188"/>
      <c r="FNE21" s="188"/>
      <c r="FNF21" s="188"/>
      <c r="FNG21" s="188"/>
      <c r="FNH21" s="188"/>
      <c r="FNI21" s="188"/>
      <c r="FNJ21" s="188"/>
      <c r="FNK21" s="188"/>
      <c r="FNL21" s="188"/>
      <c r="FNM21" s="188"/>
      <c r="FNN21" s="188"/>
      <c r="FNO21" s="188"/>
      <c r="FNP21" s="188"/>
      <c r="FNQ21" s="188"/>
      <c r="FNR21" s="188"/>
      <c r="FNS21" s="188"/>
      <c r="FNT21" s="188"/>
      <c r="FNU21" s="188"/>
      <c r="FNV21" s="188"/>
      <c r="FNW21" s="188"/>
      <c r="FNX21" s="188"/>
      <c r="FNY21" s="188"/>
      <c r="FNZ21" s="188"/>
      <c r="FOA21" s="188"/>
      <c r="FOB21" s="188"/>
      <c r="FOC21" s="188"/>
      <c r="FOD21" s="188"/>
      <c r="FOE21" s="188"/>
      <c r="FOF21" s="188"/>
      <c r="FOG21" s="188"/>
      <c r="FOH21" s="188"/>
      <c r="FOI21" s="188"/>
      <c r="FOJ21" s="188"/>
      <c r="FOK21" s="188"/>
      <c r="FOL21" s="188"/>
      <c r="FOM21" s="188"/>
      <c r="FON21" s="188"/>
      <c r="FOO21" s="188"/>
      <c r="FOP21" s="188"/>
      <c r="FOQ21" s="188"/>
      <c r="FOR21" s="188"/>
      <c r="FOS21" s="188"/>
      <c r="FOT21" s="188"/>
      <c r="FOU21" s="188"/>
      <c r="FOV21" s="188"/>
      <c r="FOW21" s="188"/>
      <c r="FOX21" s="188"/>
      <c r="FOY21" s="188"/>
      <c r="FOZ21" s="188"/>
      <c r="FPA21" s="188"/>
      <c r="FPB21" s="188"/>
      <c r="FPC21" s="188"/>
      <c r="FPD21" s="188"/>
      <c r="FPE21" s="188"/>
      <c r="FPF21" s="188"/>
      <c r="FPG21" s="188"/>
      <c r="FPH21" s="188"/>
      <c r="FPI21" s="188"/>
      <c r="FPJ21" s="188"/>
      <c r="FPK21" s="188"/>
      <c r="FPL21" s="188"/>
      <c r="FPM21" s="188"/>
      <c r="FPN21" s="188"/>
      <c r="FPO21" s="188"/>
      <c r="FPP21" s="188"/>
      <c r="FPQ21" s="188"/>
      <c r="FPR21" s="188"/>
      <c r="FPS21" s="188"/>
      <c r="FPT21" s="188"/>
      <c r="FPU21" s="188"/>
      <c r="FPV21" s="188"/>
      <c r="FPW21" s="188"/>
      <c r="FPX21" s="188"/>
      <c r="FPY21" s="188"/>
      <c r="FPZ21" s="188"/>
      <c r="FQA21" s="188"/>
      <c r="FQB21" s="188"/>
      <c r="FQC21" s="188"/>
      <c r="FQD21" s="188"/>
      <c r="FQE21" s="188"/>
      <c r="FQF21" s="188"/>
      <c r="FQG21" s="188"/>
      <c r="FQH21" s="188"/>
      <c r="FQI21" s="188"/>
      <c r="FQJ21" s="188"/>
      <c r="FQK21" s="188"/>
      <c r="FQL21" s="188"/>
      <c r="FQM21" s="188"/>
      <c r="FQN21" s="188"/>
      <c r="FQO21" s="188"/>
      <c r="FQP21" s="188"/>
      <c r="FQQ21" s="188"/>
      <c r="FQR21" s="188"/>
      <c r="FQS21" s="188"/>
      <c r="FQT21" s="188"/>
      <c r="FQU21" s="188"/>
      <c r="FQV21" s="188"/>
      <c r="FQW21" s="188"/>
      <c r="FQX21" s="188"/>
      <c r="FQY21" s="188"/>
      <c r="FQZ21" s="188"/>
      <c r="FRA21" s="188"/>
      <c r="FRB21" s="188"/>
      <c r="FRC21" s="188"/>
      <c r="FRD21" s="188"/>
      <c r="FRE21" s="188"/>
      <c r="FRF21" s="188"/>
      <c r="FRG21" s="188"/>
      <c r="FRH21" s="188"/>
      <c r="FRI21" s="188"/>
      <c r="FRJ21" s="188"/>
      <c r="FRK21" s="188"/>
      <c r="FRL21" s="188"/>
      <c r="FRM21" s="188"/>
      <c r="FRN21" s="188"/>
      <c r="FRO21" s="188"/>
      <c r="FRP21" s="188"/>
      <c r="FRQ21" s="188"/>
      <c r="FRR21" s="188"/>
      <c r="FRS21" s="188"/>
      <c r="FRT21" s="188"/>
      <c r="FRU21" s="188"/>
      <c r="FRV21" s="188"/>
      <c r="FRW21" s="188"/>
      <c r="FRX21" s="188"/>
      <c r="FRY21" s="188"/>
      <c r="FRZ21" s="188"/>
      <c r="FSA21" s="188"/>
      <c r="FSB21" s="188"/>
      <c r="FSC21" s="188"/>
      <c r="FSD21" s="188"/>
      <c r="FSE21" s="188"/>
      <c r="FSF21" s="188"/>
      <c r="FSG21" s="188"/>
      <c r="FSH21" s="188"/>
      <c r="FSI21" s="188"/>
      <c r="FSJ21" s="188"/>
      <c r="FSK21" s="188"/>
      <c r="FSL21" s="188"/>
      <c r="FSM21" s="188"/>
      <c r="FSN21" s="188"/>
      <c r="FSO21" s="188"/>
      <c r="FSP21" s="188"/>
      <c r="FSQ21" s="188"/>
      <c r="FSR21" s="188"/>
      <c r="FSS21" s="188"/>
      <c r="FST21" s="188"/>
      <c r="FSU21" s="188"/>
      <c r="FSV21" s="188"/>
      <c r="FSW21" s="188"/>
      <c r="FSX21" s="188"/>
      <c r="FSY21" s="188"/>
      <c r="FSZ21" s="188"/>
      <c r="FTA21" s="188"/>
      <c r="FTB21" s="188"/>
      <c r="FTC21" s="188"/>
      <c r="FTD21" s="188"/>
      <c r="FTE21" s="188"/>
      <c r="FTF21" s="188"/>
      <c r="FTG21" s="188"/>
      <c r="FTH21" s="188"/>
      <c r="FTI21" s="188"/>
      <c r="FTJ21" s="188"/>
      <c r="FTK21" s="188"/>
      <c r="FTL21" s="188"/>
      <c r="FTM21" s="188"/>
      <c r="FTN21" s="188"/>
      <c r="FTO21" s="188"/>
      <c r="FTP21" s="188"/>
      <c r="FTQ21" s="188"/>
      <c r="FTR21" s="188"/>
      <c r="FTS21" s="188"/>
      <c r="FTT21" s="188"/>
      <c r="FTU21" s="188"/>
      <c r="FTV21" s="188"/>
      <c r="FTW21" s="188"/>
      <c r="FTX21" s="188"/>
      <c r="FTY21" s="188"/>
      <c r="FTZ21" s="188"/>
      <c r="FUA21" s="188"/>
      <c r="FUB21" s="188"/>
      <c r="FUC21" s="188"/>
      <c r="FUD21" s="188"/>
      <c r="FUE21" s="188"/>
      <c r="FUF21" s="188"/>
      <c r="FUG21" s="188"/>
      <c r="FUH21" s="188"/>
      <c r="FUI21" s="188"/>
      <c r="FUJ21" s="188"/>
      <c r="FUK21" s="188"/>
      <c r="FUL21" s="188"/>
      <c r="FUM21" s="188"/>
      <c r="FUN21" s="188"/>
      <c r="FUO21" s="188"/>
      <c r="FUP21" s="188"/>
      <c r="FUQ21" s="188"/>
      <c r="FUR21" s="188"/>
      <c r="FUS21" s="188"/>
      <c r="FUT21" s="188"/>
      <c r="FUU21" s="188"/>
      <c r="FUV21" s="188"/>
      <c r="FUW21" s="188"/>
      <c r="FUX21" s="188"/>
      <c r="FUY21" s="188"/>
      <c r="FUZ21" s="188"/>
      <c r="FVA21" s="188"/>
      <c r="FVB21" s="188"/>
      <c r="FVC21" s="188"/>
      <c r="FVD21" s="188"/>
      <c r="FVE21" s="188"/>
      <c r="FVF21" s="188"/>
      <c r="FVG21" s="188"/>
      <c r="FVH21" s="188"/>
      <c r="FVI21" s="188"/>
      <c r="FVJ21" s="188"/>
      <c r="FVK21" s="188"/>
      <c r="FVL21" s="188"/>
      <c r="FVM21" s="188"/>
      <c r="FVN21" s="188"/>
      <c r="FVO21" s="188"/>
      <c r="FVP21" s="188"/>
      <c r="FVQ21" s="188"/>
      <c r="FVR21" s="188"/>
      <c r="FVS21" s="188"/>
      <c r="FVT21" s="188"/>
      <c r="FVU21" s="188"/>
      <c r="FVV21" s="188"/>
      <c r="FVW21" s="188"/>
      <c r="FVX21" s="188"/>
      <c r="FVY21" s="188"/>
      <c r="FVZ21" s="188"/>
      <c r="FWA21" s="188"/>
      <c r="FWB21" s="188"/>
      <c r="FWC21" s="188"/>
      <c r="FWD21" s="188"/>
      <c r="FWE21" s="188"/>
      <c r="FWF21" s="188"/>
      <c r="FWG21" s="188"/>
      <c r="FWH21" s="188"/>
      <c r="FWI21" s="188"/>
      <c r="FWJ21" s="188"/>
      <c r="FWK21" s="188"/>
      <c r="FWL21" s="188"/>
      <c r="FWM21" s="188"/>
      <c r="FWN21" s="188"/>
      <c r="FWO21" s="188"/>
      <c r="FWP21" s="188"/>
      <c r="FWQ21" s="188"/>
      <c r="FWR21" s="188"/>
      <c r="FWS21" s="188"/>
      <c r="FWT21" s="188"/>
      <c r="FWU21" s="188"/>
      <c r="FWV21" s="188"/>
      <c r="FWW21" s="188"/>
      <c r="FWX21" s="188"/>
      <c r="FWY21" s="188"/>
      <c r="FWZ21" s="188"/>
      <c r="FXA21" s="188"/>
      <c r="FXB21" s="188"/>
      <c r="FXC21" s="188"/>
      <c r="FXD21" s="188"/>
      <c r="FXE21" s="188"/>
      <c r="FXF21" s="188"/>
      <c r="FXG21" s="188"/>
      <c r="FXH21" s="188"/>
      <c r="FXI21" s="188"/>
      <c r="FXJ21" s="188"/>
      <c r="FXK21" s="188"/>
      <c r="FXL21" s="188"/>
      <c r="FXM21" s="188"/>
      <c r="FXN21" s="188"/>
      <c r="FXO21" s="188"/>
      <c r="FXP21" s="188"/>
      <c r="FXQ21" s="188"/>
      <c r="FXR21" s="188"/>
      <c r="FXS21" s="188"/>
      <c r="FXT21" s="188"/>
      <c r="FXU21" s="188"/>
      <c r="FXV21" s="188"/>
      <c r="FXW21" s="188"/>
      <c r="FXX21" s="188"/>
      <c r="FXY21" s="188"/>
      <c r="FXZ21" s="188"/>
      <c r="FYA21" s="188"/>
      <c r="FYB21" s="188"/>
      <c r="FYC21" s="188"/>
      <c r="FYD21" s="188"/>
      <c r="FYE21" s="188"/>
      <c r="FYF21" s="188"/>
      <c r="FYG21" s="188"/>
      <c r="FYH21" s="188"/>
      <c r="FYI21" s="188"/>
      <c r="FYJ21" s="188"/>
      <c r="FYK21" s="188"/>
      <c r="FYL21" s="188"/>
      <c r="FYM21" s="188"/>
      <c r="FYN21" s="188"/>
      <c r="FYO21" s="188"/>
      <c r="FYP21" s="188"/>
      <c r="FYQ21" s="188"/>
      <c r="FYR21" s="188"/>
      <c r="FYS21" s="188"/>
      <c r="FYT21" s="188"/>
      <c r="FYU21" s="188"/>
      <c r="FYV21" s="188"/>
      <c r="FYW21" s="188"/>
      <c r="FYX21" s="188"/>
      <c r="FYY21" s="188"/>
      <c r="FYZ21" s="188"/>
      <c r="FZA21" s="188"/>
      <c r="FZB21" s="188"/>
      <c r="FZC21" s="188"/>
      <c r="FZD21" s="188"/>
      <c r="FZE21" s="188"/>
      <c r="FZF21" s="188"/>
      <c r="FZG21" s="188"/>
      <c r="FZH21" s="188"/>
      <c r="FZI21" s="188"/>
      <c r="FZJ21" s="188"/>
      <c r="FZK21" s="188"/>
      <c r="FZL21" s="188"/>
      <c r="FZM21" s="188"/>
      <c r="FZN21" s="188"/>
      <c r="FZO21" s="188"/>
      <c r="FZP21" s="188"/>
      <c r="FZQ21" s="188"/>
      <c r="FZR21" s="188"/>
      <c r="FZS21" s="188"/>
      <c r="FZT21" s="188"/>
      <c r="FZU21" s="188"/>
      <c r="FZV21" s="188"/>
      <c r="FZW21" s="188"/>
      <c r="FZX21" s="188"/>
      <c r="FZY21" s="188"/>
      <c r="FZZ21" s="188"/>
      <c r="GAA21" s="188"/>
      <c r="GAB21" s="188"/>
      <c r="GAC21" s="188"/>
      <c r="GAD21" s="188"/>
      <c r="GAE21" s="188"/>
      <c r="GAF21" s="188"/>
      <c r="GAG21" s="188"/>
      <c r="GAH21" s="188"/>
      <c r="GAI21" s="188"/>
      <c r="GAJ21" s="188"/>
      <c r="GAK21" s="188"/>
      <c r="GAL21" s="188"/>
      <c r="GAM21" s="188"/>
      <c r="GAN21" s="188"/>
      <c r="GAO21" s="188"/>
      <c r="GAP21" s="188"/>
      <c r="GAQ21" s="188"/>
      <c r="GAR21" s="188"/>
      <c r="GAS21" s="188"/>
      <c r="GAT21" s="188"/>
      <c r="GAU21" s="188"/>
      <c r="GAV21" s="188"/>
      <c r="GAW21" s="188"/>
      <c r="GAX21" s="188"/>
      <c r="GAY21" s="188"/>
      <c r="GAZ21" s="188"/>
      <c r="GBA21" s="188"/>
      <c r="GBB21" s="188"/>
      <c r="GBC21" s="188"/>
      <c r="GBD21" s="188"/>
      <c r="GBE21" s="188"/>
      <c r="GBF21" s="188"/>
      <c r="GBG21" s="188"/>
      <c r="GBH21" s="188"/>
      <c r="GBI21" s="188"/>
      <c r="GBJ21" s="188"/>
      <c r="GBK21" s="188"/>
      <c r="GBL21" s="188"/>
      <c r="GBM21" s="188"/>
      <c r="GBN21" s="188"/>
      <c r="GBO21" s="188"/>
      <c r="GBP21" s="188"/>
      <c r="GBQ21" s="188"/>
      <c r="GBR21" s="188"/>
      <c r="GBS21" s="188"/>
      <c r="GBT21" s="188"/>
      <c r="GBU21" s="188"/>
      <c r="GBV21" s="188"/>
      <c r="GBW21" s="188"/>
      <c r="GBX21" s="188"/>
      <c r="GBY21" s="188"/>
      <c r="GBZ21" s="188"/>
      <c r="GCA21" s="188"/>
      <c r="GCB21" s="188"/>
      <c r="GCC21" s="188"/>
      <c r="GCD21" s="188"/>
      <c r="GCE21" s="188"/>
      <c r="GCF21" s="188"/>
      <c r="GCG21" s="188"/>
      <c r="GCH21" s="188"/>
      <c r="GCI21" s="188"/>
      <c r="GCJ21" s="188"/>
      <c r="GCK21" s="188"/>
      <c r="GCL21" s="188"/>
      <c r="GCM21" s="188"/>
      <c r="GCN21" s="188"/>
      <c r="GCO21" s="188"/>
      <c r="GCP21" s="188"/>
      <c r="GCQ21" s="188"/>
      <c r="GCR21" s="188"/>
      <c r="GCS21" s="188"/>
      <c r="GCT21" s="188"/>
      <c r="GCU21" s="188"/>
      <c r="GCV21" s="188"/>
      <c r="GCW21" s="188"/>
      <c r="GCX21" s="188"/>
      <c r="GCY21" s="188"/>
      <c r="GCZ21" s="188"/>
      <c r="GDA21" s="188"/>
      <c r="GDB21" s="188"/>
      <c r="GDC21" s="188"/>
      <c r="GDD21" s="188"/>
      <c r="GDE21" s="188"/>
      <c r="GDF21" s="188"/>
      <c r="GDG21" s="188"/>
      <c r="GDH21" s="188"/>
      <c r="GDI21" s="188"/>
      <c r="GDJ21" s="188"/>
      <c r="GDK21" s="188"/>
      <c r="GDL21" s="188"/>
      <c r="GDM21" s="188"/>
      <c r="GDN21" s="188"/>
      <c r="GDO21" s="188"/>
      <c r="GDP21" s="188"/>
      <c r="GDQ21" s="188"/>
      <c r="GDR21" s="188"/>
      <c r="GDS21" s="188"/>
      <c r="GDT21" s="188"/>
      <c r="GDU21" s="188"/>
      <c r="GDV21" s="188"/>
      <c r="GDW21" s="188"/>
      <c r="GDX21" s="188"/>
      <c r="GDY21" s="188"/>
      <c r="GDZ21" s="188"/>
      <c r="GEA21" s="188"/>
      <c r="GEB21" s="188"/>
      <c r="GEC21" s="188"/>
      <c r="GED21" s="188"/>
      <c r="GEE21" s="188"/>
      <c r="GEF21" s="188"/>
      <c r="GEG21" s="188"/>
      <c r="GEH21" s="188"/>
      <c r="GEI21" s="188"/>
      <c r="GEJ21" s="188"/>
      <c r="GEK21" s="188"/>
      <c r="GEL21" s="188"/>
      <c r="GEM21" s="188"/>
      <c r="GEN21" s="188"/>
      <c r="GEO21" s="188"/>
      <c r="GEP21" s="188"/>
      <c r="GEQ21" s="188"/>
      <c r="GER21" s="188"/>
      <c r="GES21" s="188"/>
      <c r="GET21" s="188"/>
      <c r="GEU21" s="188"/>
      <c r="GEV21" s="188"/>
      <c r="GEW21" s="188"/>
      <c r="GEX21" s="188"/>
      <c r="GEY21" s="188"/>
      <c r="GEZ21" s="188"/>
      <c r="GFA21" s="188"/>
      <c r="GFB21" s="188"/>
      <c r="GFC21" s="188"/>
      <c r="GFD21" s="188"/>
      <c r="GFE21" s="188"/>
      <c r="GFF21" s="188"/>
      <c r="GFG21" s="188"/>
      <c r="GFH21" s="188"/>
      <c r="GFI21" s="188"/>
      <c r="GFJ21" s="188"/>
      <c r="GFK21" s="188"/>
      <c r="GFL21" s="188"/>
      <c r="GFM21" s="188"/>
      <c r="GFN21" s="188"/>
      <c r="GFO21" s="188"/>
      <c r="GFP21" s="188"/>
      <c r="GFQ21" s="188"/>
      <c r="GFR21" s="188"/>
      <c r="GFS21" s="188"/>
      <c r="GFT21" s="188"/>
      <c r="GFU21" s="188"/>
      <c r="GFV21" s="188"/>
      <c r="GFW21" s="188"/>
      <c r="GFX21" s="188"/>
      <c r="GFY21" s="188"/>
      <c r="GFZ21" s="188"/>
      <c r="GGA21" s="188"/>
      <c r="GGB21" s="188"/>
      <c r="GGC21" s="188"/>
      <c r="GGD21" s="188"/>
      <c r="GGE21" s="188"/>
      <c r="GGF21" s="188"/>
      <c r="GGG21" s="188"/>
      <c r="GGH21" s="188"/>
      <c r="GGI21" s="188"/>
      <c r="GGJ21" s="188"/>
      <c r="GGK21" s="188"/>
      <c r="GGL21" s="188"/>
      <c r="GGM21" s="188"/>
      <c r="GGN21" s="188"/>
      <c r="GGO21" s="188"/>
      <c r="GGP21" s="188"/>
      <c r="GGQ21" s="188"/>
      <c r="GGR21" s="188"/>
      <c r="GGS21" s="188"/>
      <c r="GGT21" s="188"/>
      <c r="GGU21" s="188"/>
      <c r="GGV21" s="188"/>
      <c r="GGW21" s="188"/>
      <c r="GGX21" s="188"/>
      <c r="GGY21" s="188"/>
      <c r="GGZ21" s="188"/>
      <c r="GHA21" s="188"/>
      <c r="GHB21" s="188"/>
      <c r="GHC21" s="188"/>
      <c r="GHD21" s="188"/>
      <c r="GHE21" s="188"/>
      <c r="GHF21" s="188"/>
      <c r="GHG21" s="188"/>
      <c r="GHH21" s="188"/>
      <c r="GHI21" s="188"/>
      <c r="GHJ21" s="188"/>
      <c r="GHK21" s="188"/>
      <c r="GHL21" s="188"/>
      <c r="GHM21" s="188"/>
      <c r="GHN21" s="188"/>
      <c r="GHO21" s="188"/>
      <c r="GHP21" s="188"/>
      <c r="GHQ21" s="188"/>
      <c r="GHR21" s="188"/>
      <c r="GHS21" s="188"/>
      <c r="GHT21" s="188"/>
      <c r="GHU21" s="188"/>
      <c r="GHV21" s="188"/>
      <c r="GHW21" s="188"/>
      <c r="GHX21" s="188"/>
      <c r="GHY21" s="188"/>
      <c r="GHZ21" s="188"/>
      <c r="GIA21" s="188"/>
      <c r="GIB21" s="188"/>
      <c r="GIC21" s="188"/>
      <c r="GID21" s="188"/>
      <c r="GIE21" s="188"/>
      <c r="GIF21" s="188"/>
      <c r="GIG21" s="188"/>
      <c r="GIH21" s="188"/>
      <c r="GII21" s="188"/>
      <c r="GIJ21" s="188"/>
      <c r="GIK21" s="188"/>
      <c r="GIL21" s="188"/>
      <c r="GIM21" s="188"/>
      <c r="GIN21" s="188"/>
      <c r="GIO21" s="188"/>
      <c r="GIP21" s="188"/>
      <c r="GIQ21" s="188"/>
      <c r="GIR21" s="188"/>
      <c r="GIS21" s="188"/>
      <c r="GIT21" s="188"/>
      <c r="GIU21" s="188"/>
      <c r="GIV21" s="188"/>
      <c r="GIW21" s="188"/>
      <c r="GIX21" s="188"/>
      <c r="GIY21" s="188"/>
      <c r="GIZ21" s="188"/>
      <c r="GJA21" s="188"/>
      <c r="GJB21" s="188"/>
      <c r="GJC21" s="188"/>
      <c r="GJD21" s="188"/>
      <c r="GJE21" s="188"/>
      <c r="GJF21" s="188"/>
      <c r="GJG21" s="188"/>
      <c r="GJH21" s="188"/>
      <c r="GJI21" s="188"/>
      <c r="GJJ21" s="188"/>
      <c r="GJK21" s="188"/>
      <c r="GJL21" s="188"/>
      <c r="GJM21" s="188"/>
      <c r="GJN21" s="188"/>
      <c r="GJO21" s="188"/>
      <c r="GJP21" s="188"/>
      <c r="GJQ21" s="188"/>
      <c r="GJR21" s="188"/>
      <c r="GJS21" s="188"/>
      <c r="GJT21" s="188"/>
      <c r="GJU21" s="188"/>
      <c r="GJV21" s="188"/>
      <c r="GJW21" s="188"/>
      <c r="GJX21" s="188"/>
      <c r="GJY21" s="188"/>
      <c r="GJZ21" s="188"/>
      <c r="GKA21" s="188"/>
      <c r="GKB21" s="188"/>
      <c r="GKC21" s="188"/>
      <c r="GKD21" s="188"/>
      <c r="GKE21" s="188"/>
      <c r="GKF21" s="188"/>
      <c r="GKG21" s="188"/>
      <c r="GKH21" s="188"/>
      <c r="GKI21" s="188"/>
      <c r="GKJ21" s="188"/>
      <c r="GKK21" s="188"/>
      <c r="GKL21" s="188"/>
      <c r="GKM21" s="188"/>
      <c r="GKN21" s="188"/>
      <c r="GKO21" s="188"/>
      <c r="GKP21" s="188"/>
      <c r="GKQ21" s="188"/>
      <c r="GKR21" s="188"/>
      <c r="GKS21" s="188"/>
      <c r="GKT21" s="188"/>
      <c r="GKU21" s="188"/>
      <c r="GKV21" s="188"/>
      <c r="GKW21" s="188"/>
      <c r="GKX21" s="188"/>
      <c r="GKY21" s="188"/>
      <c r="GKZ21" s="188"/>
      <c r="GLA21" s="188"/>
      <c r="GLB21" s="188"/>
      <c r="GLC21" s="188"/>
      <c r="GLD21" s="188"/>
      <c r="GLE21" s="188"/>
      <c r="GLF21" s="188"/>
      <c r="GLG21" s="188"/>
      <c r="GLH21" s="188"/>
      <c r="GLI21" s="188"/>
      <c r="GLJ21" s="188"/>
      <c r="GLK21" s="188"/>
      <c r="GLL21" s="188"/>
      <c r="GLM21" s="188"/>
      <c r="GLN21" s="188"/>
      <c r="GLO21" s="188"/>
      <c r="GLP21" s="188"/>
      <c r="GLQ21" s="188"/>
      <c r="GLR21" s="188"/>
      <c r="GLS21" s="188"/>
      <c r="GLT21" s="188"/>
      <c r="GLU21" s="188"/>
      <c r="GLV21" s="188"/>
      <c r="GLW21" s="188"/>
      <c r="GLX21" s="188"/>
      <c r="GLY21" s="188"/>
      <c r="GLZ21" s="188"/>
      <c r="GMA21" s="188"/>
      <c r="GMB21" s="188"/>
      <c r="GMC21" s="188"/>
      <c r="GMD21" s="188"/>
      <c r="GME21" s="188"/>
      <c r="GMF21" s="188"/>
      <c r="GMG21" s="188"/>
      <c r="GMH21" s="188"/>
      <c r="GMI21" s="188"/>
      <c r="GMJ21" s="188"/>
      <c r="GMK21" s="188"/>
      <c r="GML21" s="188"/>
      <c r="GMM21" s="188"/>
      <c r="GMN21" s="188"/>
      <c r="GMO21" s="188"/>
      <c r="GMP21" s="188"/>
      <c r="GMQ21" s="188"/>
      <c r="GMR21" s="188"/>
      <c r="GMS21" s="188"/>
      <c r="GMT21" s="188"/>
      <c r="GMU21" s="188"/>
      <c r="GMV21" s="188"/>
      <c r="GMW21" s="188"/>
      <c r="GMX21" s="188"/>
      <c r="GMY21" s="188"/>
      <c r="GMZ21" s="188"/>
      <c r="GNA21" s="188"/>
      <c r="GNB21" s="188"/>
      <c r="GNC21" s="188"/>
      <c r="GND21" s="188"/>
      <c r="GNE21" s="188"/>
      <c r="GNF21" s="188"/>
      <c r="GNG21" s="188"/>
      <c r="GNH21" s="188"/>
      <c r="GNI21" s="188"/>
      <c r="GNJ21" s="188"/>
      <c r="GNK21" s="188"/>
      <c r="GNL21" s="188"/>
      <c r="GNM21" s="188"/>
      <c r="GNN21" s="188"/>
      <c r="GNO21" s="188"/>
      <c r="GNP21" s="188"/>
      <c r="GNQ21" s="188"/>
      <c r="GNR21" s="188"/>
      <c r="GNS21" s="188"/>
      <c r="GNT21" s="188"/>
      <c r="GNU21" s="188"/>
      <c r="GNV21" s="188"/>
      <c r="GNW21" s="188"/>
      <c r="GNX21" s="188"/>
      <c r="GNY21" s="188"/>
      <c r="GNZ21" s="188"/>
      <c r="GOA21" s="188"/>
      <c r="GOB21" s="188"/>
      <c r="GOC21" s="188"/>
      <c r="GOD21" s="188"/>
      <c r="GOE21" s="188"/>
      <c r="GOF21" s="188"/>
      <c r="GOG21" s="188"/>
      <c r="GOH21" s="188"/>
      <c r="GOI21" s="188"/>
      <c r="GOJ21" s="188"/>
      <c r="GOK21" s="188"/>
      <c r="GOL21" s="188"/>
      <c r="GOM21" s="188"/>
      <c r="GON21" s="188"/>
      <c r="GOO21" s="188"/>
      <c r="GOP21" s="188"/>
      <c r="GOQ21" s="188"/>
      <c r="GOR21" s="188"/>
      <c r="GOS21" s="188"/>
      <c r="GOT21" s="188"/>
      <c r="GOU21" s="188"/>
      <c r="GOV21" s="188"/>
      <c r="GOW21" s="188"/>
      <c r="GOX21" s="188"/>
      <c r="GOY21" s="188"/>
      <c r="GOZ21" s="188"/>
      <c r="GPA21" s="188"/>
      <c r="GPB21" s="188"/>
      <c r="GPC21" s="188"/>
      <c r="GPD21" s="188"/>
      <c r="GPE21" s="188"/>
      <c r="GPF21" s="188"/>
      <c r="GPG21" s="188"/>
      <c r="GPH21" s="188"/>
      <c r="GPI21" s="188"/>
      <c r="GPJ21" s="188"/>
      <c r="GPK21" s="188"/>
      <c r="GPL21" s="188"/>
      <c r="GPM21" s="188"/>
      <c r="GPN21" s="188"/>
      <c r="GPO21" s="188"/>
      <c r="GPP21" s="188"/>
      <c r="GPQ21" s="188"/>
      <c r="GPR21" s="188"/>
      <c r="GPS21" s="188"/>
      <c r="GPT21" s="188"/>
      <c r="GPU21" s="188"/>
      <c r="GPV21" s="188"/>
      <c r="GPW21" s="188"/>
      <c r="GPX21" s="188"/>
      <c r="GPY21" s="188"/>
      <c r="GPZ21" s="188"/>
      <c r="GQA21" s="188"/>
      <c r="GQB21" s="188"/>
      <c r="GQC21" s="188"/>
      <c r="GQD21" s="188"/>
      <c r="GQE21" s="188"/>
      <c r="GQF21" s="188"/>
      <c r="GQG21" s="188"/>
      <c r="GQH21" s="188"/>
      <c r="GQI21" s="188"/>
      <c r="GQJ21" s="188"/>
      <c r="GQK21" s="188"/>
      <c r="GQL21" s="188"/>
      <c r="GQM21" s="188"/>
      <c r="GQN21" s="188"/>
      <c r="GQO21" s="188"/>
      <c r="GQP21" s="188"/>
      <c r="GQQ21" s="188"/>
      <c r="GQR21" s="188"/>
      <c r="GQS21" s="188"/>
      <c r="GQT21" s="188"/>
      <c r="GQU21" s="188"/>
      <c r="GQV21" s="188"/>
      <c r="GQW21" s="188"/>
      <c r="GQX21" s="188"/>
      <c r="GQY21" s="188"/>
      <c r="GQZ21" s="188"/>
      <c r="GRA21" s="188"/>
      <c r="GRB21" s="188"/>
      <c r="GRC21" s="188"/>
      <c r="GRD21" s="188"/>
      <c r="GRE21" s="188"/>
      <c r="GRF21" s="188"/>
      <c r="GRG21" s="188"/>
      <c r="GRH21" s="188"/>
      <c r="GRI21" s="188"/>
      <c r="GRJ21" s="188"/>
      <c r="GRK21" s="188"/>
      <c r="GRL21" s="188"/>
      <c r="GRM21" s="188"/>
      <c r="GRN21" s="188"/>
      <c r="GRO21" s="188"/>
      <c r="GRP21" s="188"/>
      <c r="GRQ21" s="188"/>
      <c r="GRR21" s="188"/>
      <c r="GRS21" s="188"/>
      <c r="GRT21" s="188"/>
      <c r="GRU21" s="188"/>
      <c r="GRV21" s="188"/>
      <c r="GRW21" s="188"/>
      <c r="GRX21" s="188"/>
      <c r="GRY21" s="188"/>
      <c r="GRZ21" s="188"/>
      <c r="GSA21" s="188"/>
      <c r="GSB21" s="188"/>
      <c r="GSC21" s="188"/>
      <c r="GSD21" s="188"/>
      <c r="GSE21" s="188"/>
      <c r="GSF21" s="188"/>
      <c r="GSG21" s="188"/>
      <c r="GSH21" s="188"/>
      <c r="GSI21" s="188"/>
      <c r="GSJ21" s="188"/>
      <c r="GSK21" s="188"/>
      <c r="GSL21" s="188"/>
      <c r="GSM21" s="188"/>
      <c r="GSN21" s="188"/>
      <c r="GSO21" s="188"/>
      <c r="GSP21" s="188"/>
      <c r="GSQ21" s="188"/>
      <c r="GSR21" s="188"/>
      <c r="GSS21" s="188"/>
      <c r="GST21" s="188"/>
      <c r="GSU21" s="188"/>
      <c r="GSV21" s="188"/>
      <c r="GSW21" s="188"/>
      <c r="GSX21" s="188"/>
      <c r="GSY21" s="188"/>
      <c r="GSZ21" s="188"/>
      <c r="GTA21" s="188"/>
      <c r="GTB21" s="188"/>
      <c r="GTC21" s="188"/>
      <c r="GTD21" s="188"/>
      <c r="GTE21" s="188"/>
      <c r="GTF21" s="188"/>
      <c r="GTG21" s="188"/>
      <c r="GTH21" s="188"/>
      <c r="GTI21" s="188"/>
      <c r="GTJ21" s="188"/>
      <c r="GTK21" s="188"/>
      <c r="GTL21" s="188"/>
      <c r="GTM21" s="188"/>
      <c r="GTN21" s="188"/>
      <c r="GTO21" s="188"/>
      <c r="GTP21" s="188"/>
      <c r="GTQ21" s="188"/>
      <c r="GTR21" s="188"/>
      <c r="GTS21" s="188"/>
      <c r="GTT21" s="188"/>
      <c r="GTU21" s="188"/>
      <c r="GTV21" s="188"/>
      <c r="GTW21" s="188"/>
      <c r="GTX21" s="188"/>
      <c r="GTY21" s="188"/>
      <c r="GTZ21" s="188"/>
      <c r="GUA21" s="188"/>
      <c r="GUB21" s="188"/>
      <c r="GUC21" s="188"/>
      <c r="GUD21" s="188"/>
      <c r="GUE21" s="188"/>
      <c r="GUF21" s="188"/>
      <c r="GUG21" s="188"/>
      <c r="GUH21" s="188"/>
      <c r="GUI21" s="188"/>
      <c r="GUJ21" s="188"/>
      <c r="GUK21" s="188"/>
      <c r="GUL21" s="188"/>
      <c r="GUM21" s="188"/>
      <c r="GUN21" s="188"/>
      <c r="GUO21" s="188"/>
      <c r="GUP21" s="188"/>
      <c r="GUQ21" s="188"/>
      <c r="GUR21" s="188"/>
      <c r="GUS21" s="188"/>
      <c r="GUT21" s="188"/>
      <c r="GUU21" s="188"/>
      <c r="GUV21" s="188"/>
      <c r="GUW21" s="188"/>
      <c r="GUX21" s="188"/>
      <c r="GUY21" s="188"/>
      <c r="GUZ21" s="188"/>
      <c r="GVA21" s="188"/>
      <c r="GVB21" s="188"/>
      <c r="GVC21" s="188"/>
      <c r="GVD21" s="188"/>
      <c r="GVE21" s="188"/>
      <c r="GVF21" s="188"/>
      <c r="GVG21" s="188"/>
      <c r="GVH21" s="188"/>
      <c r="GVI21" s="188"/>
      <c r="GVJ21" s="188"/>
      <c r="GVK21" s="188"/>
      <c r="GVL21" s="188"/>
      <c r="GVM21" s="188"/>
      <c r="GVN21" s="188"/>
      <c r="GVO21" s="188"/>
      <c r="GVP21" s="188"/>
      <c r="GVQ21" s="188"/>
      <c r="GVR21" s="188"/>
      <c r="GVS21" s="188"/>
      <c r="GVT21" s="188"/>
      <c r="GVU21" s="188"/>
      <c r="GVV21" s="188"/>
      <c r="GVW21" s="188"/>
      <c r="GVX21" s="188"/>
      <c r="GVY21" s="188"/>
      <c r="GVZ21" s="188"/>
      <c r="GWA21" s="188"/>
      <c r="GWB21" s="188"/>
      <c r="GWC21" s="188"/>
      <c r="GWD21" s="188"/>
      <c r="GWE21" s="188"/>
      <c r="GWF21" s="188"/>
      <c r="GWG21" s="188"/>
      <c r="GWH21" s="188"/>
      <c r="GWI21" s="188"/>
      <c r="GWJ21" s="188"/>
      <c r="GWK21" s="188"/>
      <c r="GWL21" s="188"/>
      <c r="GWM21" s="188"/>
      <c r="GWN21" s="188"/>
      <c r="GWO21" s="188"/>
      <c r="GWP21" s="188"/>
      <c r="GWQ21" s="188"/>
      <c r="GWR21" s="188"/>
      <c r="GWS21" s="188"/>
      <c r="GWT21" s="188"/>
      <c r="GWU21" s="188"/>
      <c r="GWV21" s="188"/>
      <c r="GWW21" s="188"/>
      <c r="GWX21" s="188"/>
      <c r="GWY21" s="188"/>
      <c r="GWZ21" s="188"/>
      <c r="GXA21" s="188"/>
      <c r="GXB21" s="188"/>
      <c r="GXC21" s="188"/>
      <c r="GXD21" s="188"/>
      <c r="GXE21" s="188"/>
      <c r="GXF21" s="188"/>
      <c r="GXG21" s="188"/>
      <c r="GXH21" s="188"/>
      <c r="GXI21" s="188"/>
      <c r="GXJ21" s="188"/>
      <c r="GXK21" s="188"/>
      <c r="GXL21" s="188"/>
      <c r="GXM21" s="188"/>
      <c r="GXN21" s="188"/>
      <c r="GXO21" s="188"/>
      <c r="GXP21" s="188"/>
      <c r="GXQ21" s="188"/>
      <c r="GXR21" s="188"/>
      <c r="GXS21" s="188"/>
      <c r="GXT21" s="188"/>
      <c r="GXU21" s="188"/>
      <c r="GXV21" s="188"/>
      <c r="GXW21" s="188"/>
      <c r="GXX21" s="188"/>
      <c r="GXY21" s="188"/>
      <c r="GXZ21" s="188"/>
      <c r="GYA21" s="188"/>
      <c r="GYB21" s="188"/>
      <c r="GYC21" s="188"/>
      <c r="GYD21" s="188"/>
      <c r="GYE21" s="188"/>
      <c r="GYF21" s="188"/>
      <c r="GYG21" s="188"/>
      <c r="GYH21" s="188"/>
      <c r="GYI21" s="188"/>
      <c r="GYJ21" s="188"/>
      <c r="GYK21" s="188"/>
      <c r="GYL21" s="188"/>
      <c r="GYM21" s="188"/>
      <c r="GYN21" s="188"/>
      <c r="GYO21" s="188"/>
      <c r="GYP21" s="188"/>
      <c r="GYQ21" s="188"/>
      <c r="GYR21" s="188"/>
      <c r="GYS21" s="188"/>
      <c r="GYT21" s="188"/>
      <c r="GYU21" s="188"/>
      <c r="GYV21" s="188"/>
      <c r="GYW21" s="188"/>
      <c r="GYX21" s="188"/>
      <c r="GYY21" s="188"/>
      <c r="GYZ21" s="188"/>
      <c r="GZA21" s="188"/>
      <c r="GZB21" s="188"/>
      <c r="GZC21" s="188"/>
      <c r="GZD21" s="188"/>
      <c r="GZE21" s="188"/>
      <c r="GZF21" s="188"/>
      <c r="GZG21" s="188"/>
      <c r="GZH21" s="188"/>
      <c r="GZI21" s="188"/>
      <c r="GZJ21" s="188"/>
      <c r="GZK21" s="188"/>
      <c r="GZL21" s="188"/>
      <c r="GZM21" s="188"/>
      <c r="GZN21" s="188"/>
      <c r="GZO21" s="188"/>
      <c r="GZP21" s="188"/>
      <c r="GZQ21" s="188"/>
      <c r="GZR21" s="188"/>
      <c r="GZS21" s="188"/>
      <c r="GZT21" s="188"/>
      <c r="GZU21" s="188"/>
      <c r="GZV21" s="188"/>
      <c r="GZW21" s="188"/>
      <c r="GZX21" s="188"/>
      <c r="GZY21" s="188"/>
      <c r="GZZ21" s="188"/>
      <c r="HAA21" s="188"/>
      <c r="HAB21" s="188"/>
      <c r="HAC21" s="188"/>
      <c r="HAD21" s="188"/>
      <c r="HAE21" s="188"/>
      <c r="HAF21" s="188"/>
      <c r="HAG21" s="188"/>
      <c r="HAH21" s="188"/>
      <c r="HAI21" s="188"/>
      <c r="HAJ21" s="188"/>
      <c r="HAK21" s="188"/>
      <c r="HAL21" s="188"/>
      <c r="HAM21" s="188"/>
      <c r="HAN21" s="188"/>
      <c r="HAO21" s="188"/>
      <c r="HAP21" s="188"/>
      <c r="HAQ21" s="188"/>
      <c r="HAR21" s="188"/>
      <c r="HAS21" s="188"/>
      <c r="HAT21" s="188"/>
      <c r="HAU21" s="188"/>
      <c r="HAV21" s="188"/>
      <c r="HAW21" s="188"/>
      <c r="HAX21" s="188"/>
      <c r="HAY21" s="188"/>
      <c r="HAZ21" s="188"/>
      <c r="HBA21" s="188"/>
      <c r="HBB21" s="188"/>
      <c r="HBC21" s="188"/>
      <c r="HBD21" s="188"/>
      <c r="HBE21" s="188"/>
      <c r="HBF21" s="188"/>
      <c r="HBG21" s="188"/>
      <c r="HBH21" s="188"/>
      <c r="HBI21" s="188"/>
      <c r="HBJ21" s="188"/>
      <c r="HBK21" s="188"/>
      <c r="HBL21" s="188"/>
      <c r="HBM21" s="188"/>
      <c r="HBN21" s="188"/>
      <c r="HBO21" s="188"/>
      <c r="HBP21" s="188"/>
      <c r="HBQ21" s="188"/>
      <c r="HBR21" s="188"/>
      <c r="HBS21" s="188"/>
      <c r="HBT21" s="188"/>
      <c r="HBU21" s="188"/>
      <c r="HBV21" s="188"/>
      <c r="HBW21" s="188"/>
      <c r="HBX21" s="188"/>
      <c r="HBY21" s="188"/>
      <c r="HBZ21" s="188"/>
      <c r="HCA21" s="188"/>
      <c r="HCB21" s="188"/>
      <c r="HCC21" s="188"/>
      <c r="HCD21" s="188"/>
      <c r="HCE21" s="188"/>
      <c r="HCF21" s="188"/>
      <c r="HCG21" s="188"/>
      <c r="HCH21" s="188"/>
      <c r="HCI21" s="188"/>
      <c r="HCJ21" s="188"/>
      <c r="HCK21" s="188"/>
      <c r="HCL21" s="188"/>
      <c r="HCM21" s="188"/>
      <c r="HCN21" s="188"/>
      <c r="HCO21" s="188"/>
      <c r="HCP21" s="188"/>
      <c r="HCQ21" s="188"/>
      <c r="HCR21" s="188"/>
      <c r="HCS21" s="188"/>
      <c r="HCT21" s="188"/>
      <c r="HCU21" s="188"/>
      <c r="HCV21" s="188"/>
      <c r="HCW21" s="188"/>
      <c r="HCX21" s="188"/>
      <c r="HCY21" s="188"/>
      <c r="HCZ21" s="188"/>
      <c r="HDA21" s="188"/>
      <c r="HDB21" s="188"/>
      <c r="HDC21" s="188"/>
      <c r="HDD21" s="188"/>
      <c r="HDE21" s="188"/>
      <c r="HDF21" s="188"/>
      <c r="HDG21" s="188"/>
      <c r="HDH21" s="188"/>
      <c r="HDI21" s="188"/>
      <c r="HDJ21" s="188"/>
      <c r="HDK21" s="188"/>
      <c r="HDL21" s="188"/>
      <c r="HDM21" s="188"/>
      <c r="HDN21" s="188"/>
      <c r="HDO21" s="188"/>
      <c r="HDP21" s="188"/>
      <c r="HDQ21" s="188"/>
      <c r="HDR21" s="188"/>
      <c r="HDS21" s="188"/>
      <c r="HDT21" s="188"/>
      <c r="HDU21" s="188"/>
      <c r="HDV21" s="188"/>
      <c r="HDW21" s="188"/>
      <c r="HDX21" s="188"/>
      <c r="HDY21" s="188"/>
      <c r="HDZ21" s="188"/>
      <c r="HEA21" s="188"/>
      <c r="HEB21" s="188"/>
      <c r="HEC21" s="188"/>
      <c r="HED21" s="188"/>
      <c r="HEE21" s="188"/>
      <c r="HEF21" s="188"/>
      <c r="HEG21" s="188"/>
      <c r="HEH21" s="188"/>
      <c r="HEI21" s="188"/>
      <c r="HEJ21" s="188"/>
      <c r="HEK21" s="188"/>
      <c r="HEL21" s="188"/>
      <c r="HEM21" s="188"/>
      <c r="HEN21" s="188"/>
      <c r="HEO21" s="188"/>
      <c r="HEP21" s="188"/>
      <c r="HEQ21" s="188"/>
      <c r="HER21" s="188"/>
      <c r="HES21" s="188"/>
      <c r="HET21" s="188"/>
      <c r="HEU21" s="188"/>
      <c r="HEV21" s="188"/>
      <c r="HEW21" s="188"/>
      <c r="HEX21" s="188"/>
      <c r="HEY21" s="188"/>
      <c r="HEZ21" s="188"/>
      <c r="HFA21" s="188"/>
      <c r="HFB21" s="188"/>
      <c r="HFC21" s="188"/>
      <c r="HFD21" s="188"/>
      <c r="HFE21" s="188"/>
      <c r="HFF21" s="188"/>
      <c r="HFG21" s="188"/>
      <c r="HFH21" s="188"/>
      <c r="HFI21" s="188"/>
      <c r="HFJ21" s="188"/>
      <c r="HFK21" s="188"/>
      <c r="HFL21" s="188"/>
      <c r="HFM21" s="188"/>
      <c r="HFN21" s="188"/>
      <c r="HFO21" s="188"/>
      <c r="HFP21" s="188"/>
      <c r="HFQ21" s="188"/>
      <c r="HFR21" s="188"/>
      <c r="HFS21" s="188"/>
      <c r="HFT21" s="188"/>
      <c r="HFU21" s="188"/>
      <c r="HFV21" s="188"/>
      <c r="HFW21" s="188"/>
      <c r="HFX21" s="188"/>
      <c r="HFY21" s="188"/>
      <c r="HFZ21" s="188"/>
      <c r="HGA21" s="188"/>
      <c r="HGB21" s="188"/>
      <c r="HGC21" s="188"/>
      <c r="HGD21" s="188"/>
      <c r="HGE21" s="188"/>
      <c r="HGF21" s="188"/>
      <c r="HGG21" s="188"/>
      <c r="HGH21" s="188"/>
      <c r="HGI21" s="188"/>
      <c r="HGJ21" s="188"/>
      <c r="HGK21" s="188"/>
      <c r="HGL21" s="188"/>
      <c r="HGM21" s="188"/>
      <c r="HGN21" s="188"/>
      <c r="HGO21" s="188"/>
      <c r="HGP21" s="188"/>
      <c r="HGQ21" s="188"/>
      <c r="HGR21" s="188"/>
      <c r="HGS21" s="188"/>
      <c r="HGT21" s="188"/>
      <c r="HGU21" s="188"/>
      <c r="HGV21" s="188"/>
      <c r="HGW21" s="188"/>
      <c r="HGX21" s="188"/>
      <c r="HGY21" s="188"/>
      <c r="HGZ21" s="188"/>
      <c r="HHA21" s="188"/>
      <c r="HHB21" s="188"/>
      <c r="HHC21" s="188"/>
      <c r="HHD21" s="188"/>
      <c r="HHE21" s="188"/>
      <c r="HHF21" s="188"/>
      <c r="HHG21" s="188"/>
      <c r="HHH21" s="188"/>
      <c r="HHI21" s="188"/>
      <c r="HHJ21" s="188"/>
      <c r="HHK21" s="188"/>
      <c r="HHL21" s="188"/>
      <c r="HHM21" s="188"/>
      <c r="HHN21" s="188"/>
      <c r="HHO21" s="188"/>
      <c r="HHP21" s="188"/>
      <c r="HHQ21" s="188"/>
      <c r="HHR21" s="188"/>
      <c r="HHS21" s="188"/>
      <c r="HHT21" s="188"/>
      <c r="HHU21" s="188"/>
      <c r="HHV21" s="188"/>
      <c r="HHW21" s="188"/>
      <c r="HHX21" s="188"/>
      <c r="HHY21" s="188"/>
      <c r="HHZ21" s="188"/>
      <c r="HIA21" s="188"/>
      <c r="HIB21" s="188"/>
      <c r="HIC21" s="188"/>
      <c r="HID21" s="188"/>
      <c r="HIE21" s="188"/>
      <c r="HIF21" s="188"/>
      <c r="HIG21" s="188"/>
      <c r="HIH21" s="188"/>
      <c r="HII21" s="188"/>
      <c r="HIJ21" s="188"/>
      <c r="HIK21" s="188"/>
      <c r="HIL21" s="188"/>
      <c r="HIM21" s="188"/>
      <c r="HIN21" s="188"/>
      <c r="HIO21" s="188"/>
      <c r="HIP21" s="188"/>
      <c r="HIQ21" s="188"/>
      <c r="HIR21" s="188"/>
      <c r="HIS21" s="188"/>
      <c r="HIT21" s="188"/>
      <c r="HIU21" s="188"/>
      <c r="HIV21" s="188"/>
      <c r="HIW21" s="188"/>
      <c r="HIX21" s="188"/>
      <c r="HIY21" s="188"/>
      <c r="HIZ21" s="188"/>
      <c r="HJA21" s="188"/>
      <c r="HJB21" s="188"/>
      <c r="HJC21" s="188"/>
      <c r="HJD21" s="188"/>
      <c r="HJE21" s="188"/>
      <c r="HJF21" s="188"/>
      <c r="HJG21" s="188"/>
      <c r="HJH21" s="188"/>
      <c r="HJI21" s="188"/>
      <c r="HJJ21" s="188"/>
      <c r="HJK21" s="188"/>
      <c r="HJL21" s="188"/>
      <c r="HJM21" s="188"/>
      <c r="HJN21" s="188"/>
      <c r="HJO21" s="188"/>
      <c r="HJP21" s="188"/>
      <c r="HJQ21" s="188"/>
      <c r="HJR21" s="188"/>
      <c r="HJS21" s="188"/>
      <c r="HJT21" s="188"/>
      <c r="HJU21" s="188"/>
      <c r="HJV21" s="188"/>
      <c r="HJW21" s="188"/>
      <c r="HJX21" s="188"/>
      <c r="HJY21" s="188"/>
      <c r="HJZ21" s="188"/>
      <c r="HKA21" s="188"/>
      <c r="HKB21" s="188"/>
      <c r="HKC21" s="188"/>
      <c r="HKD21" s="188"/>
      <c r="HKE21" s="188"/>
      <c r="HKF21" s="188"/>
      <c r="HKG21" s="188"/>
      <c r="HKH21" s="188"/>
      <c r="HKI21" s="188"/>
      <c r="HKJ21" s="188"/>
      <c r="HKK21" s="188"/>
      <c r="HKL21" s="188"/>
      <c r="HKM21" s="188"/>
      <c r="HKN21" s="188"/>
      <c r="HKO21" s="188"/>
      <c r="HKP21" s="188"/>
      <c r="HKQ21" s="188"/>
      <c r="HKR21" s="188"/>
      <c r="HKS21" s="188"/>
      <c r="HKT21" s="188"/>
      <c r="HKU21" s="188"/>
      <c r="HKV21" s="188"/>
      <c r="HKW21" s="188"/>
      <c r="HKX21" s="188"/>
      <c r="HKY21" s="188"/>
      <c r="HKZ21" s="188"/>
      <c r="HLA21" s="188"/>
      <c r="HLB21" s="188"/>
      <c r="HLC21" s="188"/>
      <c r="HLD21" s="188"/>
      <c r="HLE21" s="188"/>
      <c r="HLF21" s="188"/>
      <c r="HLG21" s="188"/>
      <c r="HLH21" s="188"/>
      <c r="HLI21" s="188"/>
      <c r="HLJ21" s="188"/>
      <c r="HLK21" s="188"/>
      <c r="HLL21" s="188"/>
      <c r="HLM21" s="188"/>
      <c r="HLN21" s="188"/>
      <c r="HLO21" s="188"/>
      <c r="HLP21" s="188"/>
      <c r="HLQ21" s="188"/>
      <c r="HLR21" s="188"/>
      <c r="HLS21" s="188"/>
      <c r="HLT21" s="188"/>
      <c r="HLU21" s="188"/>
      <c r="HLV21" s="188"/>
      <c r="HLW21" s="188"/>
      <c r="HLX21" s="188"/>
      <c r="HLY21" s="188"/>
      <c r="HLZ21" s="188"/>
      <c r="HMA21" s="188"/>
      <c r="HMB21" s="188"/>
      <c r="HMC21" s="188"/>
      <c r="HMD21" s="188"/>
      <c r="HME21" s="188"/>
      <c r="HMF21" s="188"/>
      <c r="HMG21" s="188"/>
      <c r="HMH21" s="188"/>
      <c r="HMI21" s="188"/>
      <c r="HMJ21" s="188"/>
      <c r="HMK21" s="188"/>
      <c r="HML21" s="188"/>
      <c r="HMM21" s="188"/>
      <c r="HMN21" s="188"/>
      <c r="HMO21" s="188"/>
      <c r="HMP21" s="188"/>
      <c r="HMQ21" s="188"/>
      <c r="HMR21" s="188"/>
      <c r="HMS21" s="188"/>
      <c r="HMT21" s="188"/>
      <c r="HMU21" s="188"/>
      <c r="HMV21" s="188"/>
      <c r="HMW21" s="188"/>
      <c r="HMX21" s="188"/>
      <c r="HMY21" s="188"/>
      <c r="HMZ21" s="188"/>
      <c r="HNA21" s="188"/>
      <c r="HNB21" s="188"/>
      <c r="HNC21" s="188"/>
      <c r="HND21" s="188"/>
      <c r="HNE21" s="188"/>
      <c r="HNF21" s="188"/>
      <c r="HNG21" s="188"/>
      <c r="HNH21" s="188"/>
      <c r="HNI21" s="188"/>
      <c r="HNJ21" s="188"/>
      <c r="HNK21" s="188"/>
      <c r="HNL21" s="188"/>
      <c r="HNM21" s="188"/>
      <c r="HNN21" s="188"/>
      <c r="HNO21" s="188"/>
      <c r="HNP21" s="188"/>
      <c r="HNQ21" s="188"/>
      <c r="HNR21" s="188"/>
      <c r="HNS21" s="188"/>
      <c r="HNT21" s="188"/>
      <c r="HNU21" s="188"/>
      <c r="HNV21" s="188"/>
      <c r="HNW21" s="188"/>
      <c r="HNX21" s="188"/>
      <c r="HNY21" s="188"/>
      <c r="HNZ21" s="188"/>
      <c r="HOA21" s="188"/>
      <c r="HOB21" s="188"/>
      <c r="HOC21" s="188"/>
      <c r="HOD21" s="188"/>
      <c r="HOE21" s="188"/>
      <c r="HOF21" s="188"/>
      <c r="HOG21" s="188"/>
      <c r="HOH21" s="188"/>
      <c r="HOI21" s="188"/>
      <c r="HOJ21" s="188"/>
      <c r="HOK21" s="188"/>
      <c r="HOL21" s="188"/>
      <c r="HOM21" s="188"/>
      <c r="HON21" s="188"/>
      <c r="HOO21" s="188"/>
      <c r="HOP21" s="188"/>
      <c r="HOQ21" s="188"/>
      <c r="HOR21" s="188"/>
      <c r="HOS21" s="188"/>
      <c r="HOT21" s="188"/>
      <c r="HOU21" s="188"/>
      <c r="HOV21" s="188"/>
      <c r="HOW21" s="188"/>
      <c r="HOX21" s="188"/>
      <c r="HOY21" s="188"/>
      <c r="HOZ21" s="188"/>
      <c r="HPA21" s="188"/>
      <c r="HPB21" s="188"/>
      <c r="HPC21" s="188"/>
      <c r="HPD21" s="188"/>
      <c r="HPE21" s="188"/>
      <c r="HPF21" s="188"/>
      <c r="HPG21" s="188"/>
      <c r="HPH21" s="188"/>
      <c r="HPI21" s="188"/>
      <c r="HPJ21" s="188"/>
      <c r="HPK21" s="188"/>
      <c r="HPL21" s="188"/>
      <c r="HPM21" s="188"/>
      <c r="HPN21" s="188"/>
      <c r="HPO21" s="188"/>
      <c r="HPP21" s="188"/>
      <c r="HPQ21" s="188"/>
      <c r="HPR21" s="188"/>
      <c r="HPS21" s="188"/>
      <c r="HPT21" s="188"/>
      <c r="HPU21" s="188"/>
      <c r="HPV21" s="188"/>
      <c r="HPW21" s="188"/>
      <c r="HPX21" s="188"/>
      <c r="HPY21" s="188"/>
      <c r="HPZ21" s="188"/>
      <c r="HQA21" s="188"/>
      <c r="HQB21" s="188"/>
      <c r="HQC21" s="188"/>
      <c r="HQD21" s="188"/>
      <c r="HQE21" s="188"/>
      <c r="HQF21" s="188"/>
      <c r="HQG21" s="188"/>
      <c r="HQH21" s="188"/>
      <c r="HQI21" s="188"/>
      <c r="HQJ21" s="188"/>
      <c r="HQK21" s="188"/>
      <c r="HQL21" s="188"/>
      <c r="HQM21" s="188"/>
      <c r="HQN21" s="188"/>
      <c r="HQO21" s="188"/>
      <c r="HQP21" s="188"/>
      <c r="HQQ21" s="188"/>
      <c r="HQR21" s="188"/>
      <c r="HQS21" s="188"/>
      <c r="HQT21" s="188"/>
      <c r="HQU21" s="188"/>
      <c r="HQV21" s="188"/>
      <c r="HQW21" s="188"/>
      <c r="HQX21" s="188"/>
      <c r="HQY21" s="188"/>
      <c r="HQZ21" s="188"/>
      <c r="HRA21" s="188"/>
      <c r="HRB21" s="188"/>
      <c r="HRC21" s="188"/>
      <c r="HRD21" s="188"/>
      <c r="HRE21" s="188"/>
      <c r="HRF21" s="188"/>
      <c r="HRG21" s="188"/>
      <c r="HRH21" s="188"/>
      <c r="HRI21" s="188"/>
      <c r="HRJ21" s="188"/>
      <c r="HRK21" s="188"/>
      <c r="HRL21" s="188"/>
      <c r="HRM21" s="188"/>
      <c r="HRN21" s="188"/>
      <c r="HRO21" s="188"/>
      <c r="HRP21" s="188"/>
      <c r="HRQ21" s="188"/>
      <c r="HRR21" s="188"/>
      <c r="HRS21" s="188"/>
      <c r="HRT21" s="188"/>
      <c r="HRU21" s="188"/>
      <c r="HRV21" s="188"/>
      <c r="HRW21" s="188"/>
      <c r="HRX21" s="188"/>
      <c r="HRY21" s="188"/>
      <c r="HRZ21" s="188"/>
      <c r="HSA21" s="188"/>
      <c r="HSB21" s="188"/>
      <c r="HSC21" s="188"/>
      <c r="HSD21" s="188"/>
      <c r="HSE21" s="188"/>
      <c r="HSF21" s="188"/>
      <c r="HSG21" s="188"/>
      <c r="HSH21" s="188"/>
      <c r="HSI21" s="188"/>
      <c r="HSJ21" s="188"/>
      <c r="HSK21" s="188"/>
      <c r="HSL21" s="188"/>
      <c r="HSM21" s="188"/>
      <c r="HSN21" s="188"/>
      <c r="HSO21" s="188"/>
      <c r="HSP21" s="188"/>
      <c r="HSQ21" s="188"/>
      <c r="HSR21" s="188"/>
      <c r="HSS21" s="188"/>
      <c r="HST21" s="188"/>
      <c r="HSU21" s="188"/>
      <c r="HSV21" s="188"/>
      <c r="HSW21" s="188"/>
      <c r="HSX21" s="188"/>
      <c r="HSY21" s="188"/>
      <c r="HSZ21" s="188"/>
      <c r="HTA21" s="188"/>
      <c r="HTB21" s="188"/>
      <c r="HTC21" s="188"/>
      <c r="HTD21" s="188"/>
      <c r="HTE21" s="188"/>
      <c r="HTF21" s="188"/>
      <c r="HTG21" s="188"/>
      <c r="HTH21" s="188"/>
      <c r="HTI21" s="188"/>
      <c r="HTJ21" s="188"/>
      <c r="HTK21" s="188"/>
      <c r="HTL21" s="188"/>
      <c r="HTM21" s="188"/>
      <c r="HTN21" s="188"/>
      <c r="HTO21" s="188"/>
      <c r="HTP21" s="188"/>
      <c r="HTQ21" s="188"/>
      <c r="HTR21" s="188"/>
      <c r="HTS21" s="188"/>
      <c r="HTT21" s="188"/>
      <c r="HTU21" s="188"/>
      <c r="HTV21" s="188"/>
      <c r="HTW21" s="188"/>
      <c r="HTX21" s="188"/>
      <c r="HTY21" s="188"/>
      <c r="HTZ21" s="188"/>
      <c r="HUA21" s="188"/>
      <c r="HUB21" s="188"/>
      <c r="HUC21" s="188"/>
      <c r="HUD21" s="188"/>
      <c r="HUE21" s="188"/>
      <c r="HUF21" s="188"/>
      <c r="HUG21" s="188"/>
      <c r="HUH21" s="188"/>
      <c r="HUI21" s="188"/>
      <c r="HUJ21" s="188"/>
      <c r="HUK21" s="188"/>
      <c r="HUL21" s="188"/>
      <c r="HUM21" s="188"/>
      <c r="HUN21" s="188"/>
      <c r="HUO21" s="188"/>
      <c r="HUP21" s="188"/>
      <c r="HUQ21" s="188"/>
      <c r="HUR21" s="188"/>
      <c r="HUS21" s="188"/>
      <c r="HUT21" s="188"/>
      <c r="HUU21" s="188"/>
      <c r="HUV21" s="188"/>
      <c r="HUW21" s="188"/>
      <c r="HUX21" s="188"/>
      <c r="HUY21" s="188"/>
      <c r="HUZ21" s="188"/>
      <c r="HVA21" s="188"/>
      <c r="HVB21" s="188"/>
      <c r="HVC21" s="188"/>
      <c r="HVD21" s="188"/>
      <c r="HVE21" s="188"/>
      <c r="HVF21" s="188"/>
      <c r="HVG21" s="188"/>
      <c r="HVH21" s="188"/>
      <c r="HVI21" s="188"/>
      <c r="HVJ21" s="188"/>
      <c r="HVK21" s="188"/>
      <c r="HVL21" s="188"/>
      <c r="HVM21" s="188"/>
      <c r="HVN21" s="188"/>
      <c r="HVO21" s="188"/>
      <c r="HVP21" s="188"/>
      <c r="HVQ21" s="188"/>
      <c r="HVR21" s="188"/>
      <c r="HVS21" s="188"/>
      <c r="HVT21" s="188"/>
      <c r="HVU21" s="188"/>
      <c r="HVV21" s="188"/>
      <c r="HVW21" s="188"/>
      <c r="HVX21" s="188"/>
      <c r="HVY21" s="188"/>
      <c r="HVZ21" s="188"/>
      <c r="HWA21" s="188"/>
      <c r="HWB21" s="188"/>
      <c r="HWC21" s="188"/>
      <c r="HWD21" s="188"/>
      <c r="HWE21" s="188"/>
      <c r="HWF21" s="188"/>
      <c r="HWG21" s="188"/>
      <c r="HWH21" s="188"/>
      <c r="HWI21" s="188"/>
      <c r="HWJ21" s="188"/>
      <c r="HWK21" s="188"/>
      <c r="HWL21" s="188"/>
      <c r="HWM21" s="188"/>
      <c r="HWN21" s="188"/>
      <c r="HWO21" s="188"/>
      <c r="HWP21" s="188"/>
      <c r="HWQ21" s="188"/>
      <c r="HWR21" s="188"/>
      <c r="HWS21" s="188"/>
      <c r="HWT21" s="188"/>
      <c r="HWU21" s="188"/>
      <c r="HWV21" s="188"/>
      <c r="HWW21" s="188"/>
      <c r="HWX21" s="188"/>
      <c r="HWY21" s="188"/>
      <c r="HWZ21" s="188"/>
      <c r="HXA21" s="188"/>
      <c r="HXB21" s="188"/>
      <c r="HXC21" s="188"/>
      <c r="HXD21" s="188"/>
      <c r="HXE21" s="188"/>
      <c r="HXF21" s="188"/>
      <c r="HXG21" s="188"/>
      <c r="HXH21" s="188"/>
      <c r="HXI21" s="188"/>
      <c r="HXJ21" s="188"/>
      <c r="HXK21" s="188"/>
      <c r="HXL21" s="188"/>
      <c r="HXM21" s="188"/>
      <c r="HXN21" s="188"/>
      <c r="HXO21" s="188"/>
      <c r="HXP21" s="188"/>
      <c r="HXQ21" s="188"/>
      <c r="HXR21" s="188"/>
      <c r="HXS21" s="188"/>
      <c r="HXT21" s="188"/>
      <c r="HXU21" s="188"/>
      <c r="HXV21" s="188"/>
      <c r="HXW21" s="188"/>
      <c r="HXX21" s="188"/>
      <c r="HXY21" s="188"/>
      <c r="HXZ21" s="188"/>
      <c r="HYA21" s="188"/>
      <c r="HYB21" s="188"/>
      <c r="HYC21" s="188"/>
      <c r="HYD21" s="188"/>
      <c r="HYE21" s="188"/>
      <c r="HYF21" s="188"/>
      <c r="HYG21" s="188"/>
      <c r="HYH21" s="188"/>
      <c r="HYI21" s="188"/>
      <c r="HYJ21" s="188"/>
      <c r="HYK21" s="188"/>
      <c r="HYL21" s="188"/>
      <c r="HYM21" s="188"/>
      <c r="HYN21" s="188"/>
      <c r="HYO21" s="188"/>
      <c r="HYP21" s="188"/>
      <c r="HYQ21" s="188"/>
      <c r="HYR21" s="188"/>
      <c r="HYS21" s="188"/>
      <c r="HYT21" s="188"/>
      <c r="HYU21" s="188"/>
      <c r="HYV21" s="188"/>
      <c r="HYW21" s="188"/>
      <c r="HYX21" s="188"/>
      <c r="HYY21" s="188"/>
      <c r="HYZ21" s="188"/>
      <c r="HZA21" s="188"/>
      <c r="HZB21" s="188"/>
      <c r="HZC21" s="188"/>
      <c r="HZD21" s="188"/>
      <c r="HZE21" s="188"/>
      <c r="HZF21" s="188"/>
      <c r="HZG21" s="188"/>
      <c r="HZH21" s="188"/>
      <c r="HZI21" s="188"/>
      <c r="HZJ21" s="188"/>
      <c r="HZK21" s="188"/>
      <c r="HZL21" s="188"/>
      <c r="HZM21" s="188"/>
      <c r="HZN21" s="188"/>
      <c r="HZO21" s="188"/>
      <c r="HZP21" s="188"/>
      <c r="HZQ21" s="188"/>
      <c r="HZR21" s="188"/>
      <c r="HZS21" s="188"/>
      <c r="HZT21" s="188"/>
      <c r="HZU21" s="188"/>
      <c r="HZV21" s="188"/>
      <c r="HZW21" s="188"/>
      <c r="HZX21" s="188"/>
      <c r="HZY21" s="188"/>
      <c r="HZZ21" s="188"/>
      <c r="IAA21" s="188"/>
      <c r="IAB21" s="188"/>
      <c r="IAC21" s="188"/>
      <c r="IAD21" s="188"/>
      <c r="IAE21" s="188"/>
      <c r="IAF21" s="188"/>
      <c r="IAG21" s="188"/>
      <c r="IAH21" s="188"/>
      <c r="IAI21" s="188"/>
      <c r="IAJ21" s="188"/>
      <c r="IAK21" s="188"/>
      <c r="IAL21" s="188"/>
      <c r="IAM21" s="188"/>
      <c r="IAN21" s="188"/>
      <c r="IAO21" s="188"/>
      <c r="IAP21" s="188"/>
      <c r="IAQ21" s="188"/>
      <c r="IAR21" s="188"/>
      <c r="IAS21" s="188"/>
      <c r="IAT21" s="188"/>
      <c r="IAU21" s="188"/>
      <c r="IAV21" s="188"/>
      <c r="IAW21" s="188"/>
      <c r="IAX21" s="188"/>
      <c r="IAY21" s="188"/>
      <c r="IAZ21" s="188"/>
      <c r="IBA21" s="188"/>
      <c r="IBB21" s="188"/>
      <c r="IBC21" s="188"/>
      <c r="IBD21" s="188"/>
      <c r="IBE21" s="188"/>
      <c r="IBF21" s="188"/>
      <c r="IBG21" s="188"/>
      <c r="IBH21" s="188"/>
      <c r="IBI21" s="188"/>
      <c r="IBJ21" s="188"/>
      <c r="IBK21" s="188"/>
      <c r="IBL21" s="188"/>
      <c r="IBM21" s="188"/>
      <c r="IBN21" s="188"/>
      <c r="IBO21" s="188"/>
      <c r="IBP21" s="188"/>
      <c r="IBQ21" s="188"/>
      <c r="IBR21" s="188"/>
      <c r="IBS21" s="188"/>
      <c r="IBT21" s="188"/>
      <c r="IBU21" s="188"/>
      <c r="IBV21" s="188"/>
      <c r="IBW21" s="188"/>
      <c r="IBX21" s="188"/>
      <c r="IBY21" s="188"/>
      <c r="IBZ21" s="188"/>
      <c r="ICA21" s="188"/>
      <c r="ICB21" s="188"/>
      <c r="ICC21" s="188"/>
      <c r="ICD21" s="188"/>
      <c r="ICE21" s="188"/>
      <c r="ICF21" s="188"/>
      <c r="ICG21" s="188"/>
      <c r="ICH21" s="188"/>
      <c r="ICI21" s="188"/>
      <c r="ICJ21" s="188"/>
      <c r="ICK21" s="188"/>
      <c r="ICL21" s="188"/>
      <c r="ICM21" s="188"/>
      <c r="ICN21" s="188"/>
      <c r="ICO21" s="188"/>
      <c r="ICP21" s="188"/>
      <c r="ICQ21" s="188"/>
      <c r="ICR21" s="188"/>
      <c r="ICS21" s="188"/>
      <c r="ICT21" s="188"/>
      <c r="ICU21" s="188"/>
      <c r="ICV21" s="188"/>
      <c r="ICW21" s="188"/>
      <c r="ICX21" s="188"/>
      <c r="ICY21" s="188"/>
      <c r="ICZ21" s="188"/>
      <c r="IDA21" s="188"/>
      <c r="IDB21" s="188"/>
      <c r="IDC21" s="188"/>
      <c r="IDD21" s="188"/>
      <c r="IDE21" s="188"/>
      <c r="IDF21" s="188"/>
      <c r="IDG21" s="188"/>
      <c r="IDH21" s="188"/>
      <c r="IDI21" s="188"/>
      <c r="IDJ21" s="188"/>
      <c r="IDK21" s="188"/>
      <c r="IDL21" s="188"/>
      <c r="IDM21" s="188"/>
      <c r="IDN21" s="188"/>
      <c r="IDO21" s="188"/>
      <c r="IDP21" s="188"/>
      <c r="IDQ21" s="188"/>
      <c r="IDR21" s="188"/>
      <c r="IDS21" s="188"/>
      <c r="IDT21" s="188"/>
      <c r="IDU21" s="188"/>
      <c r="IDV21" s="188"/>
      <c r="IDW21" s="188"/>
      <c r="IDX21" s="188"/>
      <c r="IDY21" s="188"/>
      <c r="IDZ21" s="188"/>
      <c r="IEA21" s="188"/>
      <c r="IEB21" s="188"/>
      <c r="IEC21" s="188"/>
      <c r="IED21" s="188"/>
      <c r="IEE21" s="188"/>
      <c r="IEF21" s="188"/>
      <c r="IEG21" s="188"/>
      <c r="IEH21" s="188"/>
      <c r="IEI21" s="188"/>
      <c r="IEJ21" s="188"/>
      <c r="IEK21" s="188"/>
      <c r="IEL21" s="188"/>
      <c r="IEM21" s="188"/>
      <c r="IEN21" s="188"/>
      <c r="IEO21" s="188"/>
      <c r="IEP21" s="188"/>
      <c r="IEQ21" s="188"/>
      <c r="IER21" s="188"/>
      <c r="IES21" s="188"/>
      <c r="IET21" s="188"/>
      <c r="IEU21" s="188"/>
      <c r="IEV21" s="188"/>
      <c r="IEW21" s="188"/>
      <c r="IEX21" s="188"/>
      <c r="IEY21" s="188"/>
      <c r="IEZ21" s="188"/>
      <c r="IFA21" s="188"/>
      <c r="IFB21" s="188"/>
      <c r="IFC21" s="188"/>
      <c r="IFD21" s="188"/>
      <c r="IFE21" s="188"/>
      <c r="IFF21" s="188"/>
      <c r="IFG21" s="188"/>
      <c r="IFH21" s="188"/>
      <c r="IFI21" s="188"/>
      <c r="IFJ21" s="188"/>
      <c r="IFK21" s="188"/>
      <c r="IFL21" s="188"/>
      <c r="IFM21" s="188"/>
      <c r="IFN21" s="188"/>
      <c r="IFO21" s="188"/>
      <c r="IFP21" s="188"/>
      <c r="IFQ21" s="188"/>
      <c r="IFR21" s="188"/>
      <c r="IFS21" s="188"/>
      <c r="IFT21" s="188"/>
      <c r="IFU21" s="188"/>
      <c r="IFV21" s="188"/>
      <c r="IFW21" s="188"/>
      <c r="IFX21" s="188"/>
      <c r="IFY21" s="188"/>
      <c r="IFZ21" s="188"/>
      <c r="IGA21" s="188"/>
      <c r="IGB21" s="188"/>
      <c r="IGC21" s="188"/>
      <c r="IGD21" s="188"/>
      <c r="IGE21" s="188"/>
      <c r="IGF21" s="188"/>
      <c r="IGG21" s="188"/>
      <c r="IGH21" s="188"/>
      <c r="IGI21" s="188"/>
      <c r="IGJ21" s="188"/>
      <c r="IGK21" s="188"/>
      <c r="IGL21" s="188"/>
      <c r="IGM21" s="188"/>
      <c r="IGN21" s="188"/>
      <c r="IGO21" s="188"/>
      <c r="IGP21" s="188"/>
      <c r="IGQ21" s="188"/>
      <c r="IGR21" s="188"/>
      <c r="IGS21" s="188"/>
      <c r="IGT21" s="188"/>
      <c r="IGU21" s="188"/>
      <c r="IGV21" s="188"/>
      <c r="IGW21" s="188"/>
      <c r="IGX21" s="188"/>
      <c r="IGY21" s="188"/>
      <c r="IGZ21" s="188"/>
      <c r="IHA21" s="188"/>
      <c r="IHB21" s="188"/>
      <c r="IHC21" s="188"/>
      <c r="IHD21" s="188"/>
      <c r="IHE21" s="188"/>
      <c r="IHF21" s="188"/>
      <c r="IHG21" s="188"/>
      <c r="IHH21" s="188"/>
      <c r="IHI21" s="188"/>
      <c r="IHJ21" s="188"/>
      <c r="IHK21" s="188"/>
      <c r="IHL21" s="188"/>
      <c r="IHM21" s="188"/>
      <c r="IHN21" s="188"/>
      <c r="IHO21" s="188"/>
      <c r="IHP21" s="188"/>
      <c r="IHQ21" s="188"/>
      <c r="IHR21" s="188"/>
      <c r="IHS21" s="188"/>
      <c r="IHT21" s="188"/>
      <c r="IHU21" s="188"/>
      <c r="IHV21" s="188"/>
      <c r="IHW21" s="188"/>
      <c r="IHX21" s="188"/>
      <c r="IHY21" s="188"/>
      <c r="IHZ21" s="188"/>
      <c r="IIA21" s="188"/>
      <c r="IIB21" s="188"/>
      <c r="IIC21" s="188"/>
      <c r="IID21" s="188"/>
      <c r="IIE21" s="188"/>
      <c r="IIF21" s="188"/>
      <c r="IIG21" s="188"/>
      <c r="IIH21" s="188"/>
      <c r="III21" s="188"/>
      <c r="IIJ21" s="188"/>
      <c r="IIK21" s="188"/>
      <c r="IIL21" s="188"/>
      <c r="IIM21" s="188"/>
      <c r="IIN21" s="188"/>
      <c r="IIO21" s="188"/>
      <c r="IIP21" s="188"/>
      <c r="IIQ21" s="188"/>
      <c r="IIR21" s="188"/>
      <c r="IIS21" s="188"/>
      <c r="IIT21" s="188"/>
      <c r="IIU21" s="188"/>
      <c r="IIV21" s="188"/>
      <c r="IIW21" s="188"/>
      <c r="IIX21" s="188"/>
      <c r="IIY21" s="188"/>
      <c r="IIZ21" s="188"/>
      <c r="IJA21" s="188"/>
      <c r="IJB21" s="188"/>
      <c r="IJC21" s="188"/>
      <c r="IJD21" s="188"/>
      <c r="IJE21" s="188"/>
      <c r="IJF21" s="188"/>
      <c r="IJG21" s="188"/>
      <c r="IJH21" s="188"/>
      <c r="IJI21" s="188"/>
      <c r="IJJ21" s="188"/>
      <c r="IJK21" s="188"/>
      <c r="IJL21" s="188"/>
      <c r="IJM21" s="188"/>
      <c r="IJN21" s="188"/>
      <c r="IJO21" s="188"/>
      <c r="IJP21" s="188"/>
      <c r="IJQ21" s="188"/>
      <c r="IJR21" s="188"/>
      <c r="IJS21" s="188"/>
      <c r="IJT21" s="188"/>
      <c r="IJU21" s="188"/>
      <c r="IJV21" s="188"/>
      <c r="IJW21" s="188"/>
      <c r="IJX21" s="188"/>
      <c r="IJY21" s="188"/>
      <c r="IJZ21" s="188"/>
      <c r="IKA21" s="188"/>
      <c r="IKB21" s="188"/>
      <c r="IKC21" s="188"/>
      <c r="IKD21" s="188"/>
      <c r="IKE21" s="188"/>
      <c r="IKF21" s="188"/>
      <c r="IKG21" s="188"/>
      <c r="IKH21" s="188"/>
      <c r="IKI21" s="188"/>
      <c r="IKJ21" s="188"/>
      <c r="IKK21" s="188"/>
      <c r="IKL21" s="188"/>
      <c r="IKM21" s="188"/>
      <c r="IKN21" s="188"/>
      <c r="IKO21" s="188"/>
      <c r="IKP21" s="188"/>
      <c r="IKQ21" s="188"/>
      <c r="IKR21" s="188"/>
      <c r="IKS21" s="188"/>
      <c r="IKT21" s="188"/>
      <c r="IKU21" s="188"/>
      <c r="IKV21" s="188"/>
      <c r="IKW21" s="188"/>
      <c r="IKX21" s="188"/>
      <c r="IKY21" s="188"/>
      <c r="IKZ21" s="188"/>
      <c r="ILA21" s="188"/>
      <c r="ILB21" s="188"/>
      <c r="ILC21" s="188"/>
      <c r="ILD21" s="188"/>
      <c r="ILE21" s="188"/>
      <c r="ILF21" s="188"/>
      <c r="ILG21" s="188"/>
      <c r="ILH21" s="188"/>
      <c r="ILI21" s="188"/>
      <c r="ILJ21" s="188"/>
      <c r="ILK21" s="188"/>
      <c r="ILL21" s="188"/>
      <c r="ILM21" s="188"/>
      <c r="ILN21" s="188"/>
      <c r="ILO21" s="188"/>
      <c r="ILP21" s="188"/>
      <c r="ILQ21" s="188"/>
      <c r="ILR21" s="188"/>
      <c r="ILS21" s="188"/>
      <c r="ILT21" s="188"/>
      <c r="ILU21" s="188"/>
      <c r="ILV21" s="188"/>
      <c r="ILW21" s="188"/>
      <c r="ILX21" s="188"/>
      <c r="ILY21" s="188"/>
      <c r="ILZ21" s="188"/>
      <c r="IMA21" s="188"/>
      <c r="IMB21" s="188"/>
      <c r="IMC21" s="188"/>
      <c r="IMD21" s="188"/>
      <c r="IME21" s="188"/>
      <c r="IMF21" s="188"/>
      <c r="IMG21" s="188"/>
      <c r="IMH21" s="188"/>
      <c r="IMI21" s="188"/>
      <c r="IMJ21" s="188"/>
      <c r="IMK21" s="188"/>
      <c r="IML21" s="188"/>
      <c r="IMM21" s="188"/>
      <c r="IMN21" s="188"/>
      <c r="IMO21" s="188"/>
      <c r="IMP21" s="188"/>
      <c r="IMQ21" s="188"/>
      <c r="IMR21" s="188"/>
      <c r="IMS21" s="188"/>
      <c r="IMT21" s="188"/>
      <c r="IMU21" s="188"/>
      <c r="IMV21" s="188"/>
      <c r="IMW21" s="188"/>
      <c r="IMX21" s="188"/>
      <c r="IMY21" s="188"/>
      <c r="IMZ21" s="188"/>
      <c r="INA21" s="188"/>
      <c r="INB21" s="188"/>
      <c r="INC21" s="188"/>
      <c r="IND21" s="188"/>
      <c r="INE21" s="188"/>
      <c r="INF21" s="188"/>
      <c r="ING21" s="188"/>
      <c r="INH21" s="188"/>
      <c r="INI21" s="188"/>
      <c r="INJ21" s="188"/>
      <c r="INK21" s="188"/>
      <c r="INL21" s="188"/>
      <c r="INM21" s="188"/>
      <c r="INN21" s="188"/>
      <c r="INO21" s="188"/>
      <c r="INP21" s="188"/>
      <c r="INQ21" s="188"/>
      <c r="INR21" s="188"/>
      <c r="INS21" s="188"/>
      <c r="INT21" s="188"/>
      <c r="INU21" s="188"/>
      <c r="INV21" s="188"/>
      <c r="INW21" s="188"/>
      <c r="INX21" s="188"/>
      <c r="INY21" s="188"/>
      <c r="INZ21" s="188"/>
      <c r="IOA21" s="188"/>
      <c r="IOB21" s="188"/>
      <c r="IOC21" s="188"/>
      <c r="IOD21" s="188"/>
      <c r="IOE21" s="188"/>
      <c r="IOF21" s="188"/>
      <c r="IOG21" s="188"/>
      <c r="IOH21" s="188"/>
      <c r="IOI21" s="188"/>
      <c r="IOJ21" s="188"/>
      <c r="IOK21" s="188"/>
      <c r="IOL21" s="188"/>
      <c r="IOM21" s="188"/>
      <c r="ION21" s="188"/>
      <c r="IOO21" s="188"/>
      <c r="IOP21" s="188"/>
      <c r="IOQ21" s="188"/>
      <c r="IOR21" s="188"/>
      <c r="IOS21" s="188"/>
      <c r="IOT21" s="188"/>
      <c r="IOU21" s="188"/>
      <c r="IOV21" s="188"/>
      <c r="IOW21" s="188"/>
      <c r="IOX21" s="188"/>
      <c r="IOY21" s="188"/>
      <c r="IOZ21" s="188"/>
      <c r="IPA21" s="188"/>
      <c r="IPB21" s="188"/>
      <c r="IPC21" s="188"/>
      <c r="IPD21" s="188"/>
      <c r="IPE21" s="188"/>
      <c r="IPF21" s="188"/>
      <c r="IPG21" s="188"/>
      <c r="IPH21" s="188"/>
      <c r="IPI21" s="188"/>
      <c r="IPJ21" s="188"/>
      <c r="IPK21" s="188"/>
      <c r="IPL21" s="188"/>
      <c r="IPM21" s="188"/>
      <c r="IPN21" s="188"/>
      <c r="IPO21" s="188"/>
      <c r="IPP21" s="188"/>
      <c r="IPQ21" s="188"/>
      <c r="IPR21" s="188"/>
      <c r="IPS21" s="188"/>
      <c r="IPT21" s="188"/>
      <c r="IPU21" s="188"/>
      <c r="IPV21" s="188"/>
      <c r="IPW21" s="188"/>
      <c r="IPX21" s="188"/>
      <c r="IPY21" s="188"/>
      <c r="IPZ21" s="188"/>
      <c r="IQA21" s="188"/>
      <c r="IQB21" s="188"/>
      <c r="IQC21" s="188"/>
      <c r="IQD21" s="188"/>
      <c r="IQE21" s="188"/>
      <c r="IQF21" s="188"/>
      <c r="IQG21" s="188"/>
      <c r="IQH21" s="188"/>
      <c r="IQI21" s="188"/>
      <c r="IQJ21" s="188"/>
      <c r="IQK21" s="188"/>
      <c r="IQL21" s="188"/>
      <c r="IQM21" s="188"/>
      <c r="IQN21" s="188"/>
      <c r="IQO21" s="188"/>
      <c r="IQP21" s="188"/>
      <c r="IQQ21" s="188"/>
      <c r="IQR21" s="188"/>
      <c r="IQS21" s="188"/>
      <c r="IQT21" s="188"/>
      <c r="IQU21" s="188"/>
      <c r="IQV21" s="188"/>
      <c r="IQW21" s="188"/>
      <c r="IQX21" s="188"/>
      <c r="IQY21" s="188"/>
      <c r="IQZ21" s="188"/>
      <c r="IRA21" s="188"/>
      <c r="IRB21" s="188"/>
      <c r="IRC21" s="188"/>
      <c r="IRD21" s="188"/>
      <c r="IRE21" s="188"/>
      <c r="IRF21" s="188"/>
      <c r="IRG21" s="188"/>
      <c r="IRH21" s="188"/>
      <c r="IRI21" s="188"/>
      <c r="IRJ21" s="188"/>
      <c r="IRK21" s="188"/>
      <c r="IRL21" s="188"/>
      <c r="IRM21" s="188"/>
      <c r="IRN21" s="188"/>
      <c r="IRO21" s="188"/>
      <c r="IRP21" s="188"/>
      <c r="IRQ21" s="188"/>
      <c r="IRR21" s="188"/>
      <c r="IRS21" s="188"/>
      <c r="IRT21" s="188"/>
      <c r="IRU21" s="188"/>
      <c r="IRV21" s="188"/>
      <c r="IRW21" s="188"/>
      <c r="IRX21" s="188"/>
      <c r="IRY21" s="188"/>
      <c r="IRZ21" s="188"/>
      <c r="ISA21" s="188"/>
      <c r="ISB21" s="188"/>
      <c r="ISC21" s="188"/>
      <c r="ISD21" s="188"/>
      <c r="ISE21" s="188"/>
      <c r="ISF21" s="188"/>
      <c r="ISG21" s="188"/>
      <c r="ISH21" s="188"/>
      <c r="ISI21" s="188"/>
      <c r="ISJ21" s="188"/>
      <c r="ISK21" s="188"/>
      <c r="ISL21" s="188"/>
      <c r="ISM21" s="188"/>
      <c r="ISN21" s="188"/>
      <c r="ISO21" s="188"/>
      <c r="ISP21" s="188"/>
      <c r="ISQ21" s="188"/>
      <c r="ISR21" s="188"/>
      <c r="ISS21" s="188"/>
      <c r="IST21" s="188"/>
      <c r="ISU21" s="188"/>
      <c r="ISV21" s="188"/>
      <c r="ISW21" s="188"/>
      <c r="ISX21" s="188"/>
      <c r="ISY21" s="188"/>
      <c r="ISZ21" s="188"/>
      <c r="ITA21" s="188"/>
      <c r="ITB21" s="188"/>
      <c r="ITC21" s="188"/>
      <c r="ITD21" s="188"/>
      <c r="ITE21" s="188"/>
      <c r="ITF21" s="188"/>
      <c r="ITG21" s="188"/>
      <c r="ITH21" s="188"/>
      <c r="ITI21" s="188"/>
      <c r="ITJ21" s="188"/>
      <c r="ITK21" s="188"/>
      <c r="ITL21" s="188"/>
      <c r="ITM21" s="188"/>
      <c r="ITN21" s="188"/>
      <c r="ITO21" s="188"/>
      <c r="ITP21" s="188"/>
      <c r="ITQ21" s="188"/>
      <c r="ITR21" s="188"/>
      <c r="ITS21" s="188"/>
      <c r="ITT21" s="188"/>
      <c r="ITU21" s="188"/>
      <c r="ITV21" s="188"/>
      <c r="ITW21" s="188"/>
      <c r="ITX21" s="188"/>
      <c r="ITY21" s="188"/>
      <c r="ITZ21" s="188"/>
      <c r="IUA21" s="188"/>
      <c r="IUB21" s="188"/>
      <c r="IUC21" s="188"/>
      <c r="IUD21" s="188"/>
      <c r="IUE21" s="188"/>
      <c r="IUF21" s="188"/>
      <c r="IUG21" s="188"/>
      <c r="IUH21" s="188"/>
      <c r="IUI21" s="188"/>
      <c r="IUJ21" s="188"/>
      <c r="IUK21" s="188"/>
      <c r="IUL21" s="188"/>
      <c r="IUM21" s="188"/>
      <c r="IUN21" s="188"/>
      <c r="IUO21" s="188"/>
      <c r="IUP21" s="188"/>
      <c r="IUQ21" s="188"/>
      <c r="IUR21" s="188"/>
      <c r="IUS21" s="188"/>
      <c r="IUT21" s="188"/>
      <c r="IUU21" s="188"/>
      <c r="IUV21" s="188"/>
      <c r="IUW21" s="188"/>
      <c r="IUX21" s="188"/>
      <c r="IUY21" s="188"/>
      <c r="IUZ21" s="188"/>
      <c r="IVA21" s="188"/>
      <c r="IVB21" s="188"/>
      <c r="IVC21" s="188"/>
      <c r="IVD21" s="188"/>
      <c r="IVE21" s="188"/>
      <c r="IVF21" s="188"/>
      <c r="IVG21" s="188"/>
      <c r="IVH21" s="188"/>
      <c r="IVI21" s="188"/>
      <c r="IVJ21" s="188"/>
      <c r="IVK21" s="188"/>
      <c r="IVL21" s="188"/>
      <c r="IVM21" s="188"/>
      <c r="IVN21" s="188"/>
      <c r="IVO21" s="188"/>
      <c r="IVP21" s="188"/>
      <c r="IVQ21" s="188"/>
      <c r="IVR21" s="188"/>
      <c r="IVS21" s="188"/>
      <c r="IVT21" s="188"/>
      <c r="IVU21" s="188"/>
      <c r="IVV21" s="188"/>
      <c r="IVW21" s="188"/>
      <c r="IVX21" s="188"/>
      <c r="IVY21" s="188"/>
      <c r="IVZ21" s="188"/>
      <c r="IWA21" s="188"/>
      <c r="IWB21" s="188"/>
      <c r="IWC21" s="188"/>
      <c r="IWD21" s="188"/>
      <c r="IWE21" s="188"/>
      <c r="IWF21" s="188"/>
      <c r="IWG21" s="188"/>
      <c r="IWH21" s="188"/>
      <c r="IWI21" s="188"/>
      <c r="IWJ21" s="188"/>
      <c r="IWK21" s="188"/>
      <c r="IWL21" s="188"/>
      <c r="IWM21" s="188"/>
      <c r="IWN21" s="188"/>
      <c r="IWO21" s="188"/>
      <c r="IWP21" s="188"/>
      <c r="IWQ21" s="188"/>
      <c r="IWR21" s="188"/>
      <c r="IWS21" s="188"/>
      <c r="IWT21" s="188"/>
      <c r="IWU21" s="188"/>
      <c r="IWV21" s="188"/>
      <c r="IWW21" s="188"/>
      <c r="IWX21" s="188"/>
      <c r="IWY21" s="188"/>
      <c r="IWZ21" s="188"/>
      <c r="IXA21" s="188"/>
      <c r="IXB21" s="188"/>
      <c r="IXC21" s="188"/>
      <c r="IXD21" s="188"/>
      <c r="IXE21" s="188"/>
      <c r="IXF21" s="188"/>
      <c r="IXG21" s="188"/>
      <c r="IXH21" s="188"/>
      <c r="IXI21" s="188"/>
      <c r="IXJ21" s="188"/>
      <c r="IXK21" s="188"/>
      <c r="IXL21" s="188"/>
      <c r="IXM21" s="188"/>
      <c r="IXN21" s="188"/>
      <c r="IXO21" s="188"/>
      <c r="IXP21" s="188"/>
      <c r="IXQ21" s="188"/>
      <c r="IXR21" s="188"/>
      <c r="IXS21" s="188"/>
      <c r="IXT21" s="188"/>
      <c r="IXU21" s="188"/>
      <c r="IXV21" s="188"/>
      <c r="IXW21" s="188"/>
      <c r="IXX21" s="188"/>
      <c r="IXY21" s="188"/>
      <c r="IXZ21" s="188"/>
      <c r="IYA21" s="188"/>
      <c r="IYB21" s="188"/>
      <c r="IYC21" s="188"/>
      <c r="IYD21" s="188"/>
      <c r="IYE21" s="188"/>
      <c r="IYF21" s="188"/>
      <c r="IYG21" s="188"/>
      <c r="IYH21" s="188"/>
      <c r="IYI21" s="188"/>
      <c r="IYJ21" s="188"/>
      <c r="IYK21" s="188"/>
      <c r="IYL21" s="188"/>
      <c r="IYM21" s="188"/>
      <c r="IYN21" s="188"/>
      <c r="IYO21" s="188"/>
      <c r="IYP21" s="188"/>
      <c r="IYQ21" s="188"/>
      <c r="IYR21" s="188"/>
      <c r="IYS21" s="188"/>
      <c r="IYT21" s="188"/>
      <c r="IYU21" s="188"/>
      <c r="IYV21" s="188"/>
      <c r="IYW21" s="188"/>
      <c r="IYX21" s="188"/>
      <c r="IYY21" s="188"/>
      <c r="IYZ21" s="188"/>
      <c r="IZA21" s="188"/>
      <c r="IZB21" s="188"/>
      <c r="IZC21" s="188"/>
      <c r="IZD21" s="188"/>
      <c r="IZE21" s="188"/>
      <c r="IZF21" s="188"/>
      <c r="IZG21" s="188"/>
      <c r="IZH21" s="188"/>
      <c r="IZI21" s="188"/>
      <c r="IZJ21" s="188"/>
      <c r="IZK21" s="188"/>
      <c r="IZL21" s="188"/>
      <c r="IZM21" s="188"/>
      <c r="IZN21" s="188"/>
      <c r="IZO21" s="188"/>
      <c r="IZP21" s="188"/>
      <c r="IZQ21" s="188"/>
      <c r="IZR21" s="188"/>
      <c r="IZS21" s="188"/>
      <c r="IZT21" s="188"/>
      <c r="IZU21" s="188"/>
      <c r="IZV21" s="188"/>
      <c r="IZW21" s="188"/>
      <c r="IZX21" s="188"/>
      <c r="IZY21" s="188"/>
      <c r="IZZ21" s="188"/>
      <c r="JAA21" s="188"/>
      <c r="JAB21" s="188"/>
      <c r="JAC21" s="188"/>
      <c r="JAD21" s="188"/>
      <c r="JAE21" s="188"/>
      <c r="JAF21" s="188"/>
      <c r="JAG21" s="188"/>
      <c r="JAH21" s="188"/>
      <c r="JAI21" s="188"/>
      <c r="JAJ21" s="188"/>
      <c r="JAK21" s="188"/>
      <c r="JAL21" s="188"/>
      <c r="JAM21" s="188"/>
      <c r="JAN21" s="188"/>
      <c r="JAO21" s="188"/>
      <c r="JAP21" s="188"/>
      <c r="JAQ21" s="188"/>
      <c r="JAR21" s="188"/>
      <c r="JAS21" s="188"/>
      <c r="JAT21" s="188"/>
      <c r="JAU21" s="188"/>
      <c r="JAV21" s="188"/>
      <c r="JAW21" s="188"/>
      <c r="JAX21" s="188"/>
      <c r="JAY21" s="188"/>
      <c r="JAZ21" s="188"/>
      <c r="JBA21" s="188"/>
      <c r="JBB21" s="188"/>
      <c r="JBC21" s="188"/>
      <c r="JBD21" s="188"/>
      <c r="JBE21" s="188"/>
      <c r="JBF21" s="188"/>
      <c r="JBG21" s="188"/>
      <c r="JBH21" s="188"/>
      <c r="JBI21" s="188"/>
      <c r="JBJ21" s="188"/>
      <c r="JBK21" s="188"/>
      <c r="JBL21" s="188"/>
      <c r="JBM21" s="188"/>
      <c r="JBN21" s="188"/>
      <c r="JBO21" s="188"/>
      <c r="JBP21" s="188"/>
      <c r="JBQ21" s="188"/>
      <c r="JBR21" s="188"/>
      <c r="JBS21" s="188"/>
      <c r="JBT21" s="188"/>
      <c r="JBU21" s="188"/>
      <c r="JBV21" s="188"/>
      <c r="JBW21" s="188"/>
      <c r="JBX21" s="188"/>
      <c r="JBY21" s="188"/>
      <c r="JBZ21" s="188"/>
      <c r="JCA21" s="188"/>
      <c r="JCB21" s="188"/>
      <c r="JCC21" s="188"/>
      <c r="JCD21" s="188"/>
      <c r="JCE21" s="188"/>
      <c r="JCF21" s="188"/>
      <c r="JCG21" s="188"/>
      <c r="JCH21" s="188"/>
      <c r="JCI21" s="188"/>
      <c r="JCJ21" s="188"/>
      <c r="JCK21" s="188"/>
      <c r="JCL21" s="188"/>
      <c r="JCM21" s="188"/>
      <c r="JCN21" s="188"/>
      <c r="JCO21" s="188"/>
      <c r="JCP21" s="188"/>
      <c r="JCQ21" s="188"/>
      <c r="JCR21" s="188"/>
      <c r="JCS21" s="188"/>
      <c r="JCT21" s="188"/>
      <c r="JCU21" s="188"/>
      <c r="JCV21" s="188"/>
      <c r="JCW21" s="188"/>
      <c r="JCX21" s="188"/>
      <c r="JCY21" s="188"/>
      <c r="JCZ21" s="188"/>
      <c r="JDA21" s="188"/>
      <c r="JDB21" s="188"/>
      <c r="JDC21" s="188"/>
      <c r="JDD21" s="188"/>
      <c r="JDE21" s="188"/>
      <c r="JDF21" s="188"/>
      <c r="JDG21" s="188"/>
      <c r="JDH21" s="188"/>
      <c r="JDI21" s="188"/>
      <c r="JDJ21" s="188"/>
      <c r="JDK21" s="188"/>
      <c r="JDL21" s="188"/>
      <c r="JDM21" s="188"/>
      <c r="JDN21" s="188"/>
      <c r="JDO21" s="188"/>
      <c r="JDP21" s="188"/>
      <c r="JDQ21" s="188"/>
      <c r="JDR21" s="188"/>
      <c r="JDS21" s="188"/>
      <c r="JDT21" s="188"/>
      <c r="JDU21" s="188"/>
      <c r="JDV21" s="188"/>
      <c r="JDW21" s="188"/>
      <c r="JDX21" s="188"/>
      <c r="JDY21" s="188"/>
      <c r="JDZ21" s="188"/>
      <c r="JEA21" s="188"/>
      <c r="JEB21" s="188"/>
      <c r="JEC21" s="188"/>
      <c r="JED21" s="188"/>
      <c r="JEE21" s="188"/>
      <c r="JEF21" s="188"/>
      <c r="JEG21" s="188"/>
      <c r="JEH21" s="188"/>
      <c r="JEI21" s="188"/>
      <c r="JEJ21" s="188"/>
      <c r="JEK21" s="188"/>
      <c r="JEL21" s="188"/>
      <c r="JEM21" s="188"/>
      <c r="JEN21" s="188"/>
      <c r="JEO21" s="188"/>
      <c r="JEP21" s="188"/>
      <c r="JEQ21" s="188"/>
      <c r="JER21" s="188"/>
      <c r="JES21" s="188"/>
      <c r="JET21" s="188"/>
      <c r="JEU21" s="188"/>
      <c r="JEV21" s="188"/>
      <c r="JEW21" s="188"/>
      <c r="JEX21" s="188"/>
      <c r="JEY21" s="188"/>
      <c r="JEZ21" s="188"/>
      <c r="JFA21" s="188"/>
      <c r="JFB21" s="188"/>
      <c r="JFC21" s="188"/>
      <c r="JFD21" s="188"/>
      <c r="JFE21" s="188"/>
      <c r="JFF21" s="188"/>
      <c r="JFG21" s="188"/>
      <c r="JFH21" s="188"/>
      <c r="JFI21" s="188"/>
      <c r="JFJ21" s="188"/>
      <c r="JFK21" s="188"/>
      <c r="JFL21" s="188"/>
      <c r="JFM21" s="188"/>
      <c r="JFN21" s="188"/>
      <c r="JFO21" s="188"/>
      <c r="JFP21" s="188"/>
      <c r="JFQ21" s="188"/>
      <c r="JFR21" s="188"/>
      <c r="JFS21" s="188"/>
      <c r="JFT21" s="188"/>
      <c r="JFU21" s="188"/>
      <c r="JFV21" s="188"/>
      <c r="JFW21" s="188"/>
      <c r="JFX21" s="188"/>
      <c r="JFY21" s="188"/>
      <c r="JFZ21" s="188"/>
      <c r="JGA21" s="188"/>
      <c r="JGB21" s="188"/>
      <c r="JGC21" s="188"/>
      <c r="JGD21" s="188"/>
      <c r="JGE21" s="188"/>
      <c r="JGF21" s="188"/>
      <c r="JGG21" s="188"/>
      <c r="JGH21" s="188"/>
      <c r="JGI21" s="188"/>
      <c r="JGJ21" s="188"/>
      <c r="JGK21" s="188"/>
      <c r="JGL21" s="188"/>
      <c r="JGM21" s="188"/>
      <c r="JGN21" s="188"/>
      <c r="JGO21" s="188"/>
      <c r="JGP21" s="188"/>
      <c r="JGQ21" s="188"/>
      <c r="JGR21" s="188"/>
      <c r="JGS21" s="188"/>
      <c r="JGT21" s="188"/>
      <c r="JGU21" s="188"/>
      <c r="JGV21" s="188"/>
      <c r="JGW21" s="188"/>
      <c r="JGX21" s="188"/>
      <c r="JGY21" s="188"/>
      <c r="JGZ21" s="188"/>
      <c r="JHA21" s="188"/>
      <c r="JHB21" s="188"/>
      <c r="JHC21" s="188"/>
      <c r="JHD21" s="188"/>
      <c r="JHE21" s="188"/>
      <c r="JHF21" s="188"/>
      <c r="JHG21" s="188"/>
      <c r="JHH21" s="188"/>
      <c r="JHI21" s="188"/>
      <c r="JHJ21" s="188"/>
      <c r="JHK21" s="188"/>
      <c r="JHL21" s="188"/>
      <c r="JHM21" s="188"/>
      <c r="JHN21" s="188"/>
      <c r="JHO21" s="188"/>
      <c r="JHP21" s="188"/>
      <c r="JHQ21" s="188"/>
      <c r="JHR21" s="188"/>
      <c r="JHS21" s="188"/>
      <c r="JHT21" s="188"/>
      <c r="JHU21" s="188"/>
      <c r="JHV21" s="188"/>
      <c r="JHW21" s="188"/>
      <c r="JHX21" s="188"/>
      <c r="JHY21" s="188"/>
      <c r="JHZ21" s="188"/>
      <c r="JIA21" s="188"/>
      <c r="JIB21" s="188"/>
      <c r="JIC21" s="188"/>
      <c r="JID21" s="188"/>
      <c r="JIE21" s="188"/>
      <c r="JIF21" s="188"/>
      <c r="JIG21" s="188"/>
      <c r="JIH21" s="188"/>
      <c r="JII21" s="188"/>
      <c r="JIJ21" s="188"/>
      <c r="JIK21" s="188"/>
      <c r="JIL21" s="188"/>
      <c r="JIM21" s="188"/>
      <c r="JIN21" s="188"/>
      <c r="JIO21" s="188"/>
      <c r="JIP21" s="188"/>
      <c r="JIQ21" s="188"/>
      <c r="JIR21" s="188"/>
      <c r="JIS21" s="188"/>
      <c r="JIT21" s="188"/>
      <c r="JIU21" s="188"/>
      <c r="JIV21" s="188"/>
      <c r="JIW21" s="188"/>
      <c r="JIX21" s="188"/>
      <c r="JIY21" s="188"/>
      <c r="JIZ21" s="188"/>
      <c r="JJA21" s="188"/>
      <c r="JJB21" s="188"/>
      <c r="JJC21" s="188"/>
      <c r="JJD21" s="188"/>
      <c r="JJE21" s="188"/>
      <c r="JJF21" s="188"/>
      <c r="JJG21" s="188"/>
      <c r="JJH21" s="188"/>
      <c r="JJI21" s="188"/>
      <c r="JJJ21" s="188"/>
      <c r="JJK21" s="188"/>
      <c r="JJL21" s="188"/>
      <c r="JJM21" s="188"/>
      <c r="JJN21" s="188"/>
      <c r="JJO21" s="188"/>
      <c r="JJP21" s="188"/>
      <c r="JJQ21" s="188"/>
      <c r="JJR21" s="188"/>
      <c r="JJS21" s="188"/>
      <c r="JJT21" s="188"/>
      <c r="JJU21" s="188"/>
      <c r="JJV21" s="188"/>
      <c r="JJW21" s="188"/>
      <c r="JJX21" s="188"/>
      <c r="JJY21" s="188"/>
      <c r="JJZ21" s="188"/>
      <c r="JKA21" s="188"/>
      <c r="JKB21" s="188"/>
      <c r="JKC21" s="188"/>
      <c r="JKD21" s="188"/>
      <c r="JKE21" s="188"/>
      <c r="JKF21" s="188"/>
      <c r="JKG21" s="188"/>
      <c r="JKH21" s="188"/>
      <c r="JKI21" s="188"/>
      <c r="JKJ21" s="188"/>
      <c r="JKK21" s="188"/>
      <c r="JKL21" s="188"/>
      <c r="JKM21" s="188"/>
      <c r="JKN21" s="188"/>
      <c r="JKO21" s="188"/>
      <c r="JKP21" s="188"/>
      <c r="JKQ21" s="188"/>
      <c r="JKR21" s="188"/>
      <c r="JKS21" s="188"/>
      <c r="JKT21" s="188"/>
      <c r="JKU21" s="188"/>
      <c r="JKV21" s="188"/>
      <c r="JKW21" s="188"/>
      <c r="JKX21" s="188"/>
      <c r="JKY21" s="188"/>
      <c r="JKZ21" s="188"/>
      <c r="JLA21" s="188"/>
      <c r="JLB21" s="188"/>
      <c r="JLC21" s="188"/>
      <c r="JLD21" s="188"/>
      <c r="JLE21" s="188"/>
      <c r="JLF21" s="188"/>
      <c r="JLG21" s="188"/>
      <c r="JLH21" s="188"/>
      <c r="JLI21" s="188"/>
      <c r="JLJ21" s="188"/>
      <c r="JLK21" s="188"/>
      <c r="JLL21" s="188"/>
      <c r="JLM21" s="188"/>
      <c r="JLN21" s="188"/>
      <c r="JLO21" s="188"/>
      <c r="JLP21" s="188"/>
      <c r="JLQ21" s="188"/>
      <c r="JLR21" s="188"/>
      <c r="JLS21" s="188"/>
      <c r="JLT21" s="188"/>
      <c r="JLU21" s="188"/>
      <c r="JLV21" s="188"/>
      <c r="JLW21" s="188"/>
      <c r="JLX21" s="188"/>
      <c r="JLY21" s="188"/>
      <c r="JLZ21" s="188"/>
      <c r="JMA21" s="188"/>
      <c r="JMB21" s="188"/>
      <c r="JMC21" s="188"/>
      <c r="JMD21" s="188"/>
      <c r="JME21" s="188"/>
      <c r="JMF21" s="188"/>
      <c r="JMG21" s="188"/>
      <c r="JMH21" s="188"/>
      <c r="JMI21" s="188"/>
      <c r="JMJ21" s="188"/>
      <c r="JMK21" s="188"/>
      <c r="JML21" s="188"/>
      <c r="JMM21" s="188"/>
      <c r="JMN21" s="188"/>
      <c r="JMO21" s="188"/>
      <c r="JMP21" s="188"/>
      <c r="JMQ21" s="188"/>
      <c r="JMR21" s="188"/>
      <c r="JMS21" s="188"/>
      <c r="JMT21" s="188"/>
      <c r="JMU21" s="188"/>
      <c r="JMV21" s="188"/>
      <c r="JMW21" s="188"/>
      <c r="JMX21" s="188"/>
      <c r="JMY21" s="188"/>
      <c r="JMZ21" s="188"/>
      <c r="JNA21" s="188"/>
      <c r="JNB21" s="188"/>
      <c r="JNC21" s="188"/>
      <c r="JND21" s="188"/>
      <c r="JNE21" s="188"/>
      <c r="JNF21" s="188"/>
      <c r="JNG21" s="188"/>
      <c r="JNH21" s="188"/>
      <c r="JNI21" s="188"/>
      <c r="JNJ21" s="188"/>
      <c r="JNK21" s="188"/>
      <c r="JNL21" s="188"/>
      <c r="JNM21" s="188"/>
      <c r="JNN21" s="188"/>
      <c r="JNO21" s="188"/>
      <c r="JNP21" s="188"/>
      <c r="JNQ21" s="188"/>
      <c r="JNR21" s="188"/>
      <c r="JNS21" s="188"/>
      <c r="JNT21" s="188"/>
      <c r="JNU21" s="188"/>
      <c r="JNV21" s="188"/>
      <c r="JNW21" s="188"/>
      <c r="JNX21" s="188"/>
      <c r="JNY21" s="188"/>
      <c r="JNZ21" s="188"/>
      <c r="JOA21" s="188"/>
      <c r="JOB21" s="188"/>
      <c r="JOC21" s="188"/>
      <c r="JOD21" s="188"/>
      <c r="JOE21" s="188"/>
      <c r="JOF21" s="188"/>
      <c r="JOG21" s="188"/>
      <c r="JOH21" s="188"/>
      <c r="JOI21" s="188"/>
      <c r="JOJ21" s="188"/>
      <c r="JOK21" s="188"/>
      <c r="JOL21" s="188"/>
      <c r="JOM21" s="188"/>
      <c r="JON21" s="188"/>
      <c r="JOO21" s="188"/>
      <c r="JOP21" s="188"/>
      <c r="JOQ21" s="188"/>
      <c r="JOR21" s="188"/>
      <c r="JOS21" s="188"/>
      <c r="JOT21" s="188"/>
      <c r="JOU21" s="188"/>
      <c r="JOV21" s="188"/>
      <c r="JOW21" s="188"/>
      <c r="JOX21" s="188"/>
      <c r="JOY21" s="188"/>
      <c r="JOZ21" s="188"/>
      <c r="JPA21" s="188"/>
      <c r="JPB21" s="188"/>
      <c r="JPC21" s="188"/>
      <c r="JPD21" s="188"/>
      <c r="JPE21" s="188"/>
      <c r="JPF21" s="188"/>
      <c r="JPG21" s="188"/>
      <c r="JPH21" s="188"/>
      <c r="JPI21" s="188"/>
      <c r="JPJ21" s="188"/>
      <c r="JPK21" s="188"/>
      <c r="JPL21" s="188"/>
      <c r="JPM21" s="188"/>
      <c r="JPN21" s="188"/>
      <c r="JPO21" s="188"/>
      <c r="JPP21" s="188"/>
      <c r="JPQ21" s="188"/>
      <c r="JPR21" s="188"/>
      <c r="JPS21" s="188"/>
      <c r="JPT21" s="188"/>
      <c r="JPU21" s="188"/>
      <c r="JPV21" s="188"/>
      <c r="JPW21" s="188"/>
      <c r="JPX21" s="188"/>
      <c r="JPY21" s="188"/>
      <c r="JPZ21" s="188"/>
      <c r="JQA21" s="188"/>
      <c r="JQB21" s="188"/>
      <c r="JQC21" s="188"/>
      <c r="JQD21" s="188"/>
      <c r="JQE21" s="188"/>
      <c r="JQF21" s="188"/>
      <c r="JQG21" s="188"/>
      <c r="JQH21" s="188"/>
      <c r="JQI21" s="188"/>
      <c r="JQJ21" s="188"/>
      <c r="JQK21" s="188"/>
      <c r="JQL21" s="188"/>
      <c r="JQM21" s="188"/>
      <c r="JQN21" s="188"/>
      <c r="JQO21" s="188"/>
      <c r="JQP21" s="188"/>
      <c r="JQQ21" s="188"/>
      <c r="JQR21" s="188"/>
      <c r="JQS21" s="188"/>
      <c r="JQT21" s="188"/>
      <c r="JQU21" s="188"/>
      <c r="JQV21" s="188"/>
      <c r="JQW21" s="188"/>
      <c r="JQX21" s="188"/>
      <c r="JQY21" s="188"/>
      <c r="JQZ21" s="188"/>
      <c r="JRA21" s="188"/>
      <c r="JRB21" s="188"/>
      <c r="JRC21" s="188"/>
      <c r="JRD21" s="188"/>
      <c r="JRE21" s="188"/>
      <c r="JRF21" s="188"/>
      <c r="JRG21" s="188"/>
      <c r="JRH21" s="188"/>
      <c r="JRI21" s="188"/>
      <c r="JRJ21" s="188"/>
      <c r="JRK21" s="188"/>
      <c r="JRL21" s="188"/>
      <c r="JRM21" s="188"/>
      <c r="JRN21" s="188"/>
      <c r="JRO21" s="188"/>
      <c r="JRP21" s="188"/>
      <c r="JRQ21" s="188"/>
      <c r="JRR21" s="188"/>
      <c r="JRS21" s="188"/>
      <c r="JRT21" s="188"/>
      <c r="JRU21" s="188"/>
      <c r="JRV21" s="188"/>
      <c r="JRW21" s="188"/>
      <c r="JRX21" s="188"/>
      <c r="JRY21" s="188"/>
      <c r="JRZ21" s="188"/>
      <c r="JSA21" s="188"/>
      <c r="JSB21" s="188"/>
      <c r="JSC21" s="188"/>
      <c r="JSD21" s="188"/>
      <c r="JSE21" s="188"/>
      <c r="JSF21" s="188"/>
      <c r="JSG21" s="188"/>
      <c r="JSH21" s="188"/>
      <c r="JSI21" s="188"/>
      <c r="JSJ21" s="188"/>
      <c r="JSK21" s="188"/>
      <c r="JSL21" s="188"/>
      <c r="JSM21" s="188"/>
      <c r="JSN21" s="188"/>
      <c r="JSO21" s="188"/>
      <c r="JSP21" s="188"/>
      <c r="JSQ21" s="188"/>
      <c r="JSR21" s="188"/>
      <c r="JSS21" s="188"/>
      <c r="JST21" s="188"/>
      <c r="JSU21" s="188"/>
      <c r="JSV21" s="188"/>
      <c r="JSW21" s="188"/>
      <c r="JSX21" s="188"/>
      <c r="JSY21" s="188"/>
      <c r="JSZ21" s="188"/>
      <c r="JTA21" s="188"/>
      <c r="JTB21" s="188"/>
      <c r="JTC21" s="188"/>
      <c r="JTD21" s="188"/>
      <c r="JTE21" s="188"/>
      <c r="JTF21" s="188"/>
      <c r="JTG21" s="188"/>
      <c r="JTH21" s="188"/>
      <c r="JTI21" s="188"/>
      <c r="JTJ21" s="188"/>
      <c r="JTK21" s="188"/>
      <c r="JTL21" s="188"/>
      <c r="JTM21" s="188"/>
      <c r="JTN21" s="188"/>
      <c r="JTO21" s="188"/>
      <c r="JTP21" s="188"/>
      <c r="JTQ21" s="188"/>
      <c r="JTR21" s="188"/>
      <c r="JTS21" s="188"/>
      <c r="JTT21" s="188"/>
      <c r="JTU21" s="188"/>
      <c r="JTV21" s="188"/>
      <c r="JTW21" s="188"/>
      <c r="JTX21" s="188"/>
      <c r="JTY21" s="188"/>
      <c r="JTZ21" s="188"/>
      <c r="JUA21" s="188"/>
      <c r="JUB21" s="188"/>
      <c r="JUC21" s="188"/>
      <c r="JUD21" s="188"/>
      <c r="JUE21" s="188"/>
      <c r="JUF21" s="188"/>
      <c r="JUG21" s="188"/>
      <c r="JUH21" s="188"/>
      <c r="JUI21" s="188"/>
      <c r="JUJ21" s="188"/>
      <c r="JUK21" s="188"/>
      <c r="JUL21" s="188"/>
      <c r="JUM21" s="188"/>
      <c r="JUN21" s="188"/>
      <c r="JUO21" s="188"/>
      <c r="JUP21" s="188"/>
      <c r="JUQ21" s="188"/>
      <c r="JUR21" s="188"/>
      <c r="JUS21" s="188"/>
      <c r="JUT21" s="188"/>
      <c r="JUU21" s="188"/>
      <c r="JUV21" s="188"/>
      <c r="JUW21" s="188"/>
      <c r="JUX21" s="188"/>
      <c r="JUY21" s="188"/>
      <c r="JUZ21" s="188"/>
      <c r="JVA21" s="188"/>
      <c r="JVB21" s="188"/>
      <c r="JVC21" s="188"/>
      <c r="JVD21" s="188"/>
      <c r="JVE21" s="188"/>
      <c r="JVF21" s="188"/>
      <c r="JVG21" s="188"/>
      <c r="JVH21" s="188"/>
      <c r="JVI21" s="188"/>
      <c r="JVJ21" s="188"/>
      <c r="JVK21" s="188"/>
      <c r="JVL21" s="188"/>
      <c r="JVM21" s="188"/>
      <c r="JVN21" s="188"/>
      <c r="JVO21" s="188"/>
      <c r="JVP21" s="188"/>
      <c r="JVQ21" s="188"/>
      <c r="JVR21" s="188"/>
      <c r="JVS21" s="188"/>
      <c r="JVT21" s="188"/>
      <c r="JVU21" s="188"/>
      <c r="JVV21" s="188"/>
      <c r="JVW21" s="188"/>
      <c r="JVX21" s="188"/>
      <c r="JVY21" s="188"/>
      <c r="JVZ21" s="188"/>
      <c r="JWA21" s="188"/>
      <c r="JWB21" s="188"/>
      <c r="JWC21" s="188"/>
      <c r="JWD21" s="188"/>
      <c r="JWE21" s="188"/>
      <c r="JWF21" s="188"/>
      <c r="JWG21" s="188"/>
      <c r="JWH21" s="188"/>
      <c r="JWI21" s="188"/>
      <c r="JWJ21" s="188"/>
      <c r="JWK21" s="188"/>
      <c r="JWL21" s="188"/>
      <c r="JWM21" s="188"/>
      <c r="JWN21" s="188"/>
      <c r="JWO21" s="188"/>
      <c r="JWP21" s="188"/>
      <c r="JWQ21" s="188"/>
      <c r="JWR21" s="188"/>
      <c r="JWS21" s="188"/>
      <c r="JWT21" s="188"/>
      <c r="JWU21" s="188"/>
      <c r="JWV21" s="188"/>
      <c r="JWW21" s="188"/>
      <c r="JWX21" s="188"/>
      <c r="JWY21" s="188"/>
      <c r="JWZ21" s="188"/>
      <c r="JXA21" s="188"/>
      <c r="JXB21" s="188"/>
      <c r="JXC21" s="188"/>
      <c r="JXD21" s="188"/>
      <c r="JXE21" s="188"/>
      <c r="JXF21" s="188"/>
      <c r="JXG21" s="188"/>
      <c r="JXH21" s="188"/>
      <c r="JXI21" s="188"/>
      <c r="JXJ21" s="188"/>
      <c r="JXK21" s="188"/>
      <c r="JXL21" s="188"/>
      <c r="JXM21" s="188"/>
      <c r="JXN21" s="188"/>
      <c r="JXO21" s="188"/>
      <c r="JXP21" s="188"/>
      <c r="JXQ21" s="188"/>
      <c r="JXR21" s="188"/>
      <c r="JXS21" s="188"/>
      <c r="JXT21" s="188"/>
      <c r="JXU21" s="188"/>
      <c r="JXV21" s="188"/>
      <c r="JXW21" s="188"/>
      <c r="JXX21" s="188"/>
      <c r="JXY21" s="188"/>
      <c r="JXZ21" s="188"/>
      <c r="JYA21" s="188"/>
      <c r="JYB21" s="188"/>
      <c r="JYC21" s="188"/>
      <c r="JYD21" s="188"/>
      <c r="JYE21" s="188"/>
      <c r="JYF21" s="188"/>
      <c r="JYG21" s="188"/>
      <c r="JYH21" s="188"/>
      <c r="JYI21" s="188"/>
      <c r="JYJ21" s="188"/>
      <c r="JYK21" s="188"/>
      <c r="JYL21" s="188"/>
      <c r="JYM21" s="188"/>
      <c r="JYN21" s="188"/>
      <c r="JYO21" s="188"/>
      <c r="JYP21" s="188"/>
      <c r="JYQ21" s="188"/>
      <c r="JYR21" s="188"/>
      <c r="JYS21" s="188"/>
      <c r="JYT21" s="188"/>
      <c r="JYU21" s="188"/>
      <c r="JYV21" s="188"/>
      <c r="JYW21" s="188"/>
      <c r="JYX21" s="188"/>
      <c r="JYY21" s="188"/>
      <c r="JYZ21" s="188"/>
      <c r="JZA21" s="188"/>
      <c r="JZB21" s="188"/>
      <c r="JZC21" s="188"/>
      <c r="JZD21" s="188"/>
      <c r="JZE21" s="188"/>
      <c r="JZF21" s="188"/>
      <c r="JZG21" s="188"/>
      <c r="JZH21" s="188"/>
      <c r="JZI21" s="188"/>
      <c r="JZJ21" s="188"/>
      <c r="JZK21" s="188"/>
      <c r="JZL21" s="188"/>
      <c r="JZM21" s="188"/>
      <c r="JZN21" s="188"/>
      <c r="JZO21" s="188"/>
      <c r="JZP21" s="188"/>
      <c r="JZQ21" s="188"/>
      <c r="JZR21" s="188"/>
      <c r="JZS21" s="188"/>
      <c r="JZT21" s="188"/>
      <c r="JZU21" s="188"/>
      <c r="JZV21" s="188"/>
      <c r="JZW21" s="188"/>
      <c r="JZX21" s="188"/>
      <c r="JZY21" s="188"/>
      <c r="JZZ21" s="188"/>
      <c r="KAA21" s="188"/>
      <c r="KAB21" s="188"/>
      <c r="KAC21" s="188"/>
      <c r="KAD21" s="188"/>
      <c r="KAE21" s="188"/>
      <c r="KAF21" s="188"/>
      <c r="KAG21" s="188"/>
      <c r="KAH21" s="188"/>
      <c r="KAI21" s="188"/>
      <c r="KAJ21" s="188"/>
      <c r="KAK21" s="188"/>
      <c r="KAL21" s="188"/>
      <c r="KAM21" s="188"/>
      <c r="KAN21" s="188"/>
      <c r="KAO21" s="188"/>
      <c r="KAP21" s="188"/>
      <c r="KAQ21" s="188"/>
      <c r="KAR21" s="188"/>
      <c r="KAS21" s="188"/>
      <c r="KAT21" s="188"/>
      <c r="KAU21" s="188"/>
      <c r="KAV21" s="188"/>
      <c r="KAW21" s="188"/>
      <c r="KAX21" s="188"/>
      <c r="KAY21" s="188"/>
      <c r="KAZ21" s="188"/>
      <c r="KBA21" s="188"/>
      <c r="KBB21" s="188"/>
      <c r="KBC21" s="188"/>
      <c r="KBD21" s="188"/>
      <c r="KBE21" s="188"/>
      <c r="KBF21" s="188"/>
      <c r="KBG21" s="188"/>
      <c r="KBH21" s="188"/>
      <c r="KBI21" s="188"/>
      <c r="KBJ21" s="188"/>
      <c r="KBK21" s="188"/>
      <c r="KBL21" s="188"/>
      <c r="KBM21" s="188"/>
      <c r="KBN21" s="188"/>
      <c r="KBO21" s="188"/>
      <c r="KBP21" s="188"/>
      <c r="KBQ21" s="188"/>
      <c r="KBR21" s="188"/>
      <c r="KBS21" s="188"/>
      <c r="KBT21" s="188"/>
      <c r="KBU21" s="188"/>
      <c r="KBV21" s="188"/>
      <c r="KBW21" s="188"/>
      <c r="KBX21" s="188"/>
      <c r="KBY21" s="188"/>
      <c r="KBZ21" s="188"/>
      <c r="KCA21" s="188"/>
      <c r="KCB21" s="188"/>
      <c r="KCC21" s="188"/>
      <c r="KCD21" s="188"/>
      <c r="KCE21" s="188"/>
      <c r="KCF21" s="188"/>
      <c r="KCG21" s="188"/>
      <c r="KCH21" s="188"/>
      <c r="KCI21" s="188"/>
      <c r="KCJ21" s="188"/>
      <c r="KCK21" s="188"/>
      <c r="KCL21" s="188"/>
      <c r="KCM21" s="188"/>
      <c r="KCN21" s="188"/>
      <c r="KCO21" s="188"/>
      <c r="KCP21" s="188"/>
      <c r="KCQ21" s="188"/>
      <c r="KCR21" s="188"/>
      <c r="KCS21" s="188"/>
      <c r="KCT21" s="188"/>
      <c r="KCU21" s="188"/>
      <c r="KCV21" s="188"/>
      <c r="KCW21" s="188"/>
      <c r="KCX21" s="188"/>
      <c r="KCY21" s="188"/>
      <c r="KCZ21" s="188"/>
      <c r="KDA21" s="188"/>
      <c r="KDB21" s="188"/>
      <c r="KDC21" s="188"/>
      <c r="KDD21" s="188"/>
      <c r="KDE21" s="188"/>
      <c r="KDF21" s="188"/>
      <c r="KDG21" s="188"/>
      <c r="KDH21" s="188"/>
      <c r="KDI21" s="188"/>
      <c r="KDJ21" s="188"/>
      <c r="KDK21" s="188"/>
      <c r="KDL21" s="188"/>
      <c r="KDM21" s="188"/>
      <c r="KDN21" s="188"/>
      <c r="KDO21" s="188"/>
      <c r="KDP21" s="188"/>
      <c r="KDQ21" s="188"/>
      <c r="KDR21" s="188"/>
      <c r="KDS21" s="188"/>
      <c r="KDT21" s="188"/>
      <c r="KDU21" s="188"/>
      <c r="KDV21" s="188"/>
      <c r="KDW21" s="188"/>
      <c r="KDX21" s="188"/>
      <c r="KDY21" s="188"/>
      <c r="KDZ21" s="188"/>
      <c r="KEA21" s="188"/>
      <c r="KEB21" s="188"/>
      <c r="KEC21" s="188"/>
      <c r="KED21" s="188"/>
      <c r="KEE21" s="188"/>
      <c r="KEF21" s="188"/>
      <c r="KEG21" s="188"/>
      <c r="KEH21" s="188"/>
      <c r="KEI21" s="188"/>
      <c r="KEJ21" s="188"/>
      <c r="KEK21" s="188"/>
      <c r="KEL21" s="188"/>
      <c r="KEM21" s="188"/>
      <c r="KEN21" s="188"/>
      <c r="KEO21" s="188"/>
      <c r="KEP21" s="188"/>
      <c r="KEQ21" s="188"/>
      <c r="KER21" s="188"/>
      <c r="KES21" s="188"/>
      <c r="KET21" s="188"/>
      <c r="KEU21" s="188"/>
      <c r="KEV21" s="188"/>
      <c r="KEW21" s="188"/>
      <c r="KEX21" s="188"/>
      <c r="KEY21" s="188"/>
      <c r="KEZ21" s="188"/>
      <c r="KFA21" s="188"/>
      <c r="KFB21" s="188"/>
      <c r="KFC21" s="188"/>
      <c r="KFD21" s="188"/>
      <c r="KFE21" s="188"/>
      <c r="KFF21" s="188"/>
      <c r="KFG21" s="188"/>
      <c r="KFH21" s="188"/>
      <c r="KFI21" s="188"/>
      <c r="KFJ21" s="188"/>
      <c r="KFK21" s="188"/>
      <c r="KFL21" s="188"/>
      <c r="KFM21" s="188"/>
      <c r="KFN21" s="188"/>
      <c r="KFO21" s="188"/>
      <c r="KFP21" s="188"/>
      <c r="KFQ21" s="188"/>
      <c r="KFR21" s="188"/>
      <c r="KFS21" s="188"/>
      <c r="KFT21" s="188"/>
      <c r="KFU21" s="188"/>
      <c r="KFV21" s="188"/>
      <c r="KFW21" s="188"/>
      <c r="KFX21" s="188"/>
      <c r="KFY21" s="188"/>
      <c r="KFZ21" s="188"/>
      <c r="KGA21" s="188"/>
      <c r="KGB21" s="188"/>
      <c r="KGC21" s="188"/>
      <c r="KGD21" s="188"/>
      <c r="KGE21" s="188"/>
      <c r="KGF21" s="188"/>
      <c r="KGG21" s="188"/>
      <c r="KGH21" s="188"/>
      <c r="KGI21" s="188"/>
      <c r="KGJ21" s="188"/>
      <c r="KGK21" s="188"/>
      <c r="KGL21" s="188"/>
      <c r="KGM21" s="188"/>
      <c r="KGN21" s="188"/>
      <c r="KGO21" s="188"/>
      <c r="KGP21" s="188"/>
      <c r="KGQ21" s="188"/>
      <c r="KGR21" s="188"/>
      <c r="KGS21" s="188"/>
      <c r="KGT21" s="188"/>
      <c r="KGU21" s="188"/>
      <c r="KGV21" s="188"/>
      <c r="KGW21" s="188"/>
      <c r="KGX21" s="188"/>
      <c r="KGY21" s="188"/>
      <c r="KGZ21" s="188"/>
      <c r="KHA21" s="188"/>
      <c r="KHB21" s="188"/>
      <c r="KHC21" s="188"/>
      <c r="KHD21" s="188"/>
      <c r="KHE21" s="188"/>
      <c r="KHF21" s="188"/>
      <c r="KHG21" s="188"/>
      <c r="KHH21" s="188"/>
      <c r="KHI21" s="188"/>
      <c r="KHJ21" s="188"/>
      <c r="KHK21" s="188"/>
      <c r="KHL21" s="188"/>
      <c r="KHM21" s="188"/>
      <c r="KHN21" s="188"/>
      <c r="KHO21" s="188"/>
      <c r="KHP21" s="188"/>
      <c r="KHQ21" s="188"/>
      <c r="KHR21" s="188"/>
      <c r="KHS21" s="188"/>
      <c r="KHT21" s="188"/>
      <c r="KHU21" s="188"/>
      <c r="KHV21" s="188"/>
      <c r="KHW21" s="188"/>
      <c r="KHX21" s="188"/>
      <c r="KHY21" s="188"/>
      <c r="KHZ21" s="188"/>
      <c r="KIA21" s="188"/>
      <c r="KIB21" s="188"/>
      <c r="KIC21" s="188"/>
      <c r="KID21" s="188"/>
      <c r="KIE21" s="188"/>
      <c r="KIF21" s="188"/>
      <c r="KIG21" s="188"/>
      <c r="KIH21" s="188"/>
      <c r="KII21" s="188"/>
      <c r="KIJ21" s="188"/>
      <c r="KIK21" s="188"/>
      <c r="KIL21" s="188"/>
      <c r="KIM21" s="188"/>
      <c r="KIN21" s="188"/>
      <c r="KIO21" s="188"/>
      <c r="KIP21" s="188"/>
      <c r="KIQ21" s="188"/>
      <c r="KIR21" s="188"/>
      <c r="KIS21" s="188"/>
      <c r="KIT21" s="188"/>
      <c r="KIU21" s="188"/>
      <c r="KIV21" s="188"/>
      <c r="KIW21" s="188"/>
      <c r="KIX21" s="188"/>
      <c r="KIY21" s="188"/>
      <c r="KIZ21" s="188"/>
      <c r="KJA21" s="188"/>
      <c r="KJB21" s="188"/>
      <c r="KJC21" s="188"/>
      <c r="KJD21" s="188"/>
      <c r="KJE21" s="188"/>
      <c r="KJF21" s="188"/>
      <c r="KJG21" s="188"/>
      <c r="KJH21" s="188"/>
      <c r="KJI21" s="188"/>
      <c r="KJJ21" s="188"/>
      <c r="KJK21" s="188"/>
      <c r="KJL21" s="188"/>
      <c r="KJM21" s="188"/>
      <c r="KJN21" s="188"/>
      <c r="KJO21" s="188"/>
      <c r="KJP21" s="188"/>
      <c r="KJQ21" s="188"/>
      <c r="KJR21" s="188"/>
      <c r="KJS21" s="188"/>
      <c r="KJT21" s="188"/>
      <c r="KJU21" s="188"/>
      <c r="KJV21" s="188"/>
      <c r="KJW21" s="188"/>
      <c r="KJX21" s="188"/>
      <c r="KJY21" s="188"/>
      <c r="KJZ21" s="188"/>
      <c r="KKA21" s="188"/>
      <c r="KKB21" s="188"/>
      <c r="KKC21" s="188"/>
      <c r="KKD21" s="188"/>
      <c r="KKE21" s="188"/>
      <c r="KKF21" s="188"/>
      <c r="KKG21" s="188"/>
      <c r="KKH21" s="188"/>
      <c r="KKI21" s="188"/>
      <c r="KKJ21" s="188"/>
      <c r="KKK21" s="188"/>
      <c r="KKL21" s="188"/>
      <c r="KKM21" s="188"/>
      <c r="KKN21" s="188"/>
      <c r="KKO21" s="188"/>
      <c r="KKP21" s="188"/>
      <c r="KKQ21" s="188"/>
      <c r="KKR21" s="188"/>
      <c r="KKS21" s="188"/>
      <c r="KKT21" s="188"/>
      <c r="KKU21" s="188"/>
      <c r="KKV21" s="188"/>
      <c r="KKW21" s="188"/>
      <c r="KKX21" s="188"/>
      <c r="KKY21" s="188"/>
      <c r="KKZ21" s="188"/>
      <c r="KLA21" s="188"/>
      <c r="KLB21" s="188"/>
      <c r="KLC21" s="188"/>
      <c r="KLD21" s="188"/>
      <c r="KLE21" s="188"/>
      <c r="KLF21" s="188"/>
      <c r="KLG21" s="188"/>
      <c r="KLH21" s="188"/>
      <c r="KLI21" s="188"/>
      <c r="KLJ21" s="188"/>
      <c r="KLK21" s="188"/>
      <c r="KLL21" s="188"/>
      <c r="KLM21" s="188"/>
      <c r="KLN21" s="188"/>
      <c r="KLO21" s="188"/>
      <c r="KLP21" s="188"/>
      <c r="KLQ21" s="188"/>
      <c r="KLR21" s="188"/>
      <c r="KLS21" s="188"/>
      <c r="KLT21" s="188"/>
      <c r="KLU21" s="188"/>
      <c r="KLV21" s="188"/>
      <c r="KLW21" s="188"/>
      <c r="KLX21" s="188"/>
      <c r="KLY21" s="188"/>
      <c r="KLZ21" s="188"/>
      <c r="KMA21" s="188"/>
      <c r="KMB21" s="188"/>
      <c r="KMC21" s="188"/>
      <c r="KMD21" s="188"/>
      <c r="KME21" s="188"/>
      <c r="KMF21" s="188"/>
      <c r="KMG21" s="188"/>
      <c r="KMH21" s="188"/>
      <c r="KMI21" s="188"/>
      <c r="KMJ21" s="188"/>
      <c r="KMK21" s="188"/>
      <c r="KML21" s="188"/>
      <c r="KMM21" s="188"/>
      <c r="KMN21" s="188"/>
      <c r="KMO21" s="188"/>
      <c r="KMP21" s="188"/>
      <c r="KMQ21" s="188"/>
      <c r="KMR21" s="188"/>
      <c r="KMS21" s="188"/>
      <c r="KMT21" s="188"/>
      <c r="KMU21" s="188"/>
      <c r="KMV21" s="188"/>
      <c r="KMW21" s="188"/>
      <c r="KMX21" s="188"/>
      <c r="KMY21" s="188"/>
      <c r="KMZ21" s="188"/>
      <c r="KNA21" s="188"/>
      <c r="KNB21" s="188"/>
      <c r="KNC21" s="188"/>
      <c r="KND21" s="188"/>
      <c r="KNE21" s="188"/>
      <c r="KNF21" s="188"/>
      <c r="KNG21" s="188"/>
      <c r="KNH21" s="188"/>
      <c r="KNI21" s="188"/>
      <c r="KNJ21" s="188"/>
      <c r="KNK21" s="188"/>
      <c r="KNL21" s="188"/>
      <c r="KNM21" s="188"/>
      <c r="KNN21" s="188"/>
      <c r="KNO21" s="188"/>
      <c r="KNP21" s="188"/>
      <c r="KNQ21" s="188"/>
      <c r="KNR21" s="188"/>
      <c r="KNS21" s="188"/>
      <c r="KNT21" s="188"/>
      <c r="KNU21" s="188"/>
      <c r="KNV21" s="188"/>
      <c r="KNW21" s="188"/>
      <c r="KNX21" s="188"/>
      <c r="KNY21" s="188"/>
      <c r="KNZ21" s="188"/>
      <c r="KOA21" s="188"/>
      <c r="KOB21" s="188"/>
      <c r="KOC21" s="188"/>
      <c r="KOD21" s="188"/>
      <c r="KOE21" s="188"/>
      <c r="KOF21" s="188"/>
      <c r="KOG21" s="188"/>
      <c r="KOH21" s="188"/>
      <c r="KOI21" s="188"/>
      <c r="KOJ21" s="188"/>
      <c r="KOK21" s="188"/>
      <c r="KOL21" s="188"/>
      <c r="KOM21" s="188"/>
      <c r="KON21" s="188"/>
      <c r="KOO21" s="188"/>
      <c r="KOP21" s="188"/>
      <c r="KOQ21" s="188"/>
      <c r="KOR21" s="188"/>
      <c r="KOS21" s="188"/>
      <c r="KOT21" s="188"/>
      <c r="KOU21" s="188"/>
      <c r="KOV21" s="188"/>
      <c r="KOW21" s="188"/>
      <c r="KOX21" s="188"/>
      <c r="KOY21" s="188"/>
      <c r="KOZ21" s="188"/>
      <c r="KPA21" s="188"/>
      <c r="KPB21" s="188"/>
      <c r="KPC21" s="188"/>
      <c r="KPD21" s="188"/>
      <c r="KPE21" s="188"/>
      <c r="KPF21" s="188"/>
      <c r="KPG21" s="188"/>
      <c r="KPH21" s="188"/>
      <c r="KPI21" s="188"/>
      <c r="KPJ21" s="188"/>
      <c r="KPK21" s="188"/>
      <c r="KPL21" s="188"/>
      <c r="KPM21" s="188"/>
      <c r="KPN21" s="188"/>
      <c r="KPO21" s="188"/>
      <c r="KPP21" s="188"/>
      <c r="KPQ21" s="188"/>
      <c r="KPR21" s="188"/>
      <c r="KPS21" s="188"/>
      <c r="KPT21" s="188"/>
      <c r="KPU21" s="188"/>
      <c r="KPV21" s="188"/>
      <c r="KPW21" s="188"/>
      <c r="KPX21" s="188"/>
      <c r="KPY21" s="188"/>
      <c r="KPZ21" s="188"/>
      <c r="KQA21" s="188"/>
      <c r="KQB21" s="188"/>
      <c r="KQC21" s="188"/>
      <c r="KQD21" s="188"/>
      <c r="KQE21" s="188"/>
      <c r="KQF21" s="188"/>
      <c r="KQG21" s="188"/>
      <c r="KQH21" s="188"/>
      <c r="KQI21" s="188"/>
      <c r="KQJ21" s="188"/>
      <c r="KQK21" s="188"/>
      <c r="KQL21" s="188"/>
      <c r="KQM21" s="188"/>
      <c r="KQN21" s="188"/>
      <c r="KQO21" s="188"/>
      <c r="KQP21" s="188"/>
      <c r="KQQ21" s="188"/>
      <c r="KQR21" s="188"/>
      <c r="KQS21" s="188"/>
      <c r="KQT21" s="188"/>
      <c r="KQU21" s="188"/>
      <c r="KQV21" s="188"/>
      <c r="KQW21" s="188"/>
      <c r="KQX21" s="188"/>
      <c r="KQY21" s="188"/>
      <c r="KQZ21" s="188"/>
      <c r="KRA21" s="188"/>
      <c r="KRB21" s="188"/>
      <c r="KRC21" s="188"/>
      <c r="KRD21" s="188"/>
      <c r="KRE21" s="188"/>
      <c r="KRF21" s="188"/>
      <c r="KRG21" s="188"/>
      <c r="KRH21" s="188"/>
      <c r="KRI21" s="188"/>
      <c r="KRJ21" s="188"/>
      <c r="KRK21" s="188"/>
      <c r="KRL21" s="188"/>
      <c r="KRM21" s="188"/>
      <c r="KRN21" s="188"/>
      <c r="KRO21" s="188"/>
      <c r="KRP21" s="188"/>
      <c r="KRQ21" s="188"/>
      <c r="KRR21" s="188"/>
      <c r="KRS21" s="188"/>
      <c r="KRT21" s="188"/>
      <c r="KRU21" s="188"/>
      <c r="KRV21" s="188"/>
      <c r="KRW21" s="188"/>
      <c r="KRX21" s="188"/>
      <c r="KRY21" s="188"/>
      <c r="KRZ21" s="188"/>
      <c r="KSA21" s="188"/>
      <c r="KSB21" s="188"/>
      <c r="KSC21" s="188"/>
      <c r="KSD21" s="188"/>
      <c r="KSE21" s="188"/>
      <c r="KSF21" s="188"/>
      <c r="KSG21" s="188"/>
      <c r="KSH21" s="188"/>
      <c r="KSI21" s="188"/>
      <c r="KSJ21" s="188"/>
      <c r="KSK21" s="188"/>
      <c r="KSL21" s="188"/>
      <c r="KSM21" s="188"/>
      <c r="KSN21" s="188"/>
      <c r="KSO21" s="188"/>
      <c r="KSP21" s="188"/>
      <c r="KSQ21" s="188"/>
      <c r="KSR21" s="188"/>
      <c r="KSS21" s="188"/>
      <c r="KST21" s="188"/>
      <c r="KSU21" s="188"/>
      <c r="KSV21" s="188"/>
      <c r="KSW21" s="188"/>
      <c r="KSX21" s="188"/>
      <c r="KSY21" s="188"/>
      <c r="KSZ21" s="188"/>
      <c r="KTA21" s="188"/>
      <c r="KTB21" s="188"/>
      <c r="KTC21" s="188"/>
      <c r="KTD21" s="188"/>
      <c r="KTE21" s="188"/>
      <c r="KTF21" s="188"/>
      <c r="KTG21" s="188"/>
      <c r="KTH21" s="188"/>
      <c r="KTI21" s="188"/>
      <c r="KTJ21" s="188"/>
      <c r="KTK21" s="188"/>
      <c r="KTL21" s="188"/>
      <c r="KTM21" s="188"/>
      <c r="KTN21" s="188"/>
      <c r="KTO21" s="188"/>
      <c r="KTP21" s="188"/>
      <c r="KTQ21" s="188"/>
      <c r="KTR21" s="188"/>
      <c r="KTS21" s="188"/>
      <c r="KTT21" s="188"/>
      <c r="KTU21" s="188"/>
      <c r="KTV21" s="188"/>
      <c r="KTW21" s="188"/>
      <c r="KTX21" s="188"/>
      <c r="KTY21" s="188"/>
      <c r="KTZ21" s="188"/>
      <c r="KUA21" s="188"/>
      <c r="KUB21" s="188"/>
      <c r="KUC21" s="188"/>
      <c r="KUD21" s="188"/>
      <c r="KUE21" s="188"/>
      <c r="KUF21" s="188"/>
      <c r="KUG21" s="188"/>
      <c r="KUH21" s="188"/>
      <c r="KUI21" s="188"/>
      <c r="KUJ21" s="188"/>
      <c r="KUK21" s="188"/>
      <c r="KUL21" s="188"/>
      <c r="KUM21" s="188"/>
      <c r="KUN21" s="188"/>
      <c r="KUO21" s="188"/>
      <c r="KUP21" s="188"/>
      <c r="KUQ21" s="188"/>
      <c r="KUR21" s="188"/>
      <c r="KUS21" s="188"/>
      <c r="KUT21" s="188"/>
      <c r="KUU21" s="188"/>
      <c r="KUV21" s="188"/>
      <c r="KUW21" s="188"/>
      <c r="KUX21" s="188"/>
      <c r="KUY21" s="188"/>
      <c r="KUZ21" s="188"/>
      <c r="KVA21" s="188"/>
      <c r="KVB21" s="188"/>
      <c r="KVC21" s="188"/>
      <c r="KVD21" s="188"/>
      <c r="KVE21" s="188"/>
      <c r="KVF21" s="188"/>
      <c r="KVG21" s="188"/>
      <c r="KVH21" s="188"/>
      <c r="KVI21" s="188"/>
      <c r="KVJ21" s="188"/>
      <c r="KVK21" s="188"/>
      <c r="KVL21" s="188"/>
      <c r="KVM21" s="188"/>
      <c r="KVN21" s="188"/>
      <c r="KVO21" s="188"/>
      <c r="KVP21" s="188"/>
      <c r="KVQ21" s="188"/>
      <c r="KVR21" s="188"/>
      <c r="KVS21" s="188"/>
      <c r="KVT21" s="188"/>
      <c r="KVU21" s="188"/>
      <c r="KVV21" s="188"/>
      <c r="KVW21" s="188"/>
      <c r="KVX21" s="188"/>
      <c r="KVY21" s="188"/>
      <c r="KVZ21" s="188"/>
      <c r="KWA21" s="188"/>
      <c r="KWB21" s="188"/>
      <c r="KWC21" s="188"/>
      <c r="KWD21" s="188"/>
      <c r="KWE21" s="188"/>
      <c r="KWF21" s="188"/>
      <c r="KWG21" s="188"/>
      <c r="KWH21" s="188"/>
      <c r="KWI21" s="188"/>
      <c r="KWJ21" s="188"/>
      <c r="KWK21" s="188"/>
      <c r="KWL21" s="188"/>
      <c r="KWM21" s="188"/>
      <c r="KWN21" s="188"/>
      <c r="KWO21" s="188"/>
      <c r="KWP21" s="188"/>
      <c r="KWQ21" s="188"/>
      <c r="KWR21" s="188"/>
      <c r="KWS21" s="188"/>
      <c r="KWT21" s="188"/>
      <c r="KWU21" s="188"/>
      <c r="KWV21" s="188"/>
      <c r="KWW21" s="188"/>
      <c r="KWX21" s="188"/>
      <c r="KWY21" s="188"/>
      <c r="KWZ21" s="188"/>
      <c r="KXA21" s="188"/>
      <c r="KXB21" s="188"/>
      <c r="KXC21" s="188"/>
      <c r="KXD21" s="188"/>
      <c r="KXE21" s="188"/>
      <c r="KXF21" s="188"/>
      <c r="KXG21" s="188"/>
      <c r="KXH21" s="188"/>
      <c r="KXI21" s="188"/>
      <c r="KXJ21" s="188"/>
      <c r="KXK21" s="188"/>
      <c r="KXL21" s="188"/>
      <c r="KXM21" s="188"/>
      <c r="KXN21" s="188"/>
      <c r="KXO21" s="188"/>
      <c r="KXP21" s="188"/>
      <c r="KXQ21" s="188"/>
      <c r="KXR21" s="188"/>
      <c r="KXS21" s="188"/>
      <c r="KXT21" s="188"/>
      <c r="KXU21" s="188"/>
      <c r="KXV21" s="188"/>
      <c r="KXW21" s="188"/>
      <c r="KXX21" s="188"/>
      <c r="KXY21" s="188"/>
      <c r="KXZ21" s="188"/>
      <c r="KYA21" s="188"/>
      <c r="KYB21" s="188"/>
      <c r="KYC21" s="188"/>
      <c r="KYD21" s="188"/>
      <c r="KYE21" s="188"/>
      <c r="KYF21" s="188"/>
      <c r="KYG21" s="188"/>
      <c r="KYH21" s="188"/>
      <c r="KYI21" s="188"/>
      <c r="KYJ21" s="188"/>
      <c r="KYK21" s="188"/>
      <c r="KYL21" s="188"/>
      <c r="KYM21" s="188"/>
      <c r="KYN21" s="188"/>
      <c r="KYO21" s="188"/>
      <c r="KYP21" s="188"/>
      <c r="KYQ21" s="188"/>
      <c r="KYR21" s="188"/>
      <c r="KYS21" s="188"/>
      <c r="KYT21" s="188"/>
      <c r="KYU21" s="188"/>
      <c r="KYV21" s="188"/>
      <c r="KYW21" s="188"/>
      <c r="KYX21" s="188"/>
      <c r="KYY21" s="188"/>
      <c r="KYZ21" s="188"/>
      <c r="KZA21" s="188"/>
      <c r="KZB21" s="188"/>
      <c r="KZC21" s="188"/>
      <c r="KZD21" s="188"/>
      <c r="KZE21" s="188"/>
      <c r="KZF21" s="188"/>
      <c r="KZG21" s="188"/>
      <c r="KZH21" s="188"/>
      <c r="KZI21" s="188"/>
      <c r="KZJ21" s="188"/>
      <c r="KZK21" s="188"/>
      <c r="KZL21" s="188"/>
      <c r="KZM21" s="188"/>
      <c r="KZN21" s="188"/>
      <c r="KZO21" s="188"/>
      <c r="KZP21" s="188"/>
      <c r="KZQ21" s="188"/>
      <c r="KZR21" s="188"/>
      <c r="KZS21" s="188"/>
      <c r="KZT21" s="188"/>
      <c r="KZU21" s="188"/>
      <c r="KZV21" s="188"/>
      <c r="KZW21" s="188"/>
      <c r="KZX21" s="188"/>
      <c r="KZY21" s="188"/>
      <c r="KZZ21" s="188"/>
      <c r="LAA21" s="188"/>
      <c r="LAB21" s="188"/>
      <c r="LAC21" s="188"/>
      <c r="LAD21" s="188"/>
      <c r="LAE21" s="188"/>
      <c r="LAF21" s="188"/>
      <c r="LAG21" s="188"/>
      <c r="LAH21" s="188"/>
      <c r="LAI21" s="188"/>
      <c r="LAJ21" s="188"/>
      <c r="LAK21" s="188"/>
      <c r="LAL21" s="188"/>
      <c r="LAM21" s="188"/>
      <c r="LAN21" s="188"/>
      <c r="LAO21" s="188"/>
      <c r="LAP21" s="188"/>
      <c r="LAQ21" s="188"/>
      <c r="LAR21" s="188"/>
      <c r="LAS21" s="188"/>
      <c r="LAT21" s="188"/>
      <c r="LAU21" s="188"/>
      <c r="LAV21" s="188"/>
      <c r="LAW21" s="188"/>
      <c r="LAX21" s="188"/>
      <c r="LAY21" s="188"/>
      <c r="LAZ21" s="188"/>
      <c r="LBA21" s="188"/>
      <c r="LBB21" s="188"/>
      <c r="LBC21" s="188"/>
      <c r="LBD21" s="188"/>
      <c r="LBE21" s="188"/>
      <c r="LBF21" s="188"/>
      <c r="LBG21" s="188"/>
      <c r="LBH21" s="188"/>
      <c r="LBI21" s="188"/>
      <c r="LBJ21" s="188"/>
      <c r="LBK21" s="188"/>
      <c r="LBL21" s="188"/>
      <c r="LBM21" s="188"/>
      <c r="LBN21" s="188"/>
      <c r="LBO21" s="188"/>
      <c r="LBP21" s="188"/>
      <c r="LBQ21" s="188"/>
      <c r="LBR21" s="188"/>
      <c r="LBS21" s="188"/>
      <c r="LBT21" s="188"/>
      <c r="LBU21" s="188"/>
      <c r="LBV21" s="188"/>
      <c r="LBW21" s="188"/>
      <c r="LBX21" s="188"/>
      <c r="LBY21" s="188"/>
      <c r="LBZ21" s="188"/>
      <c r="LCA21" s="188"/>
      <c r="LCB21" s="188"/>
      <c r="LCC21" s="188"/>
      <c r="LCD21" s="188"/>
      <c r="LCE21" s="188"/>
      <c r="LCF21" s="188"/>
      <c r="LCG21" s="188"/>
      <c r="LCH21" s="188"/>
      <c r="LCI21" s="188"/>
      <c r="LCJ21" s="188"/>
      <c r="LCK21" s="188"/>
      <c r="LCL21" s="188"/>
      <c r="LCM21" s="188"/>
      <c r="LCN21" s="188"/>
      <c r="LCO21" s="188"/>
      <c r="LCP21" s="188"/>
      <c r="LCQ21" s="188"/>
      <c r="LCR21" s="188"/>
      <c r="LCS21" s="188"/>
      <c r="LCT21" s="188"/>
      <c r="LCU21" s="188"/>
      <c r="LCV21" s="188"/>
      <c r="LCW21" s="188"/>
      <c r="LCX21" s="188"/>
      <c r="LCY21" s="188"/>
      <c r="LCZ21" s="188"/>
      <c r="LDA21" s="188"/>
      <c r="LDB21" s="188"/>
      <c r="LDC21" s="188"/>
      <c r="LDD21" s="188"/>
      <c r="LDE21" s="188"/>
      <c r="LDF21" s="188"/>
      <c r="LDG21" s="188"/>
      <c r="LDH21" s="188"/>
      <c r="LDI21" s="188"/>
      <c r="LDJ21" s="188"/>
      <c r="LDK21" s="188"/>
      <c r="LDL21" s="188"/>
      <c r="LDM21" s="188"/>
      <c r="LDN21" s="188"/>
      <c r="LDO21" s="188"/>
      <c r="LDP21" s="188"/>
      <c r="LDQ21" s="188"/>
      <c r="LDR21" s="188"/>
      <c r="LDS21" s="188"/>
      <c r="LDT21" s="188"/>
      <c r="LDU21" s="188"/>
      <c r="LDV21" s="188"/>
      <c r="LDW21" s="188"/>
      <c r="LDX21" s="188"/>
      <c r="LDY21" s="188"/>
      <c r="LDZ21" s="188"/>
      <c r="LEA21" s="188"/>
      <c r="LEB21" s="188"/>
      <c r="LEC21" s="188"/>
      <c r="LED21" s="188"/>
      <c r="LEE21" s="188"/>
      <c r="LEF21" s="188"/>
      <c r="LEG21" s="188"/>
      <c r="LEH21" s="188"/>
      <c r="LEI21" s="188"/>
      <c r="LEJ21" s="188"/>
      <c r="LEK21" s="188"/>
      <c r="LEL21" s="188"/>
      <c r="LEM21" s="188"/>
      <c r="LEN21" s="188"/>
      <c r="LEO21" s="188"/>
      <c r="LEP21" s="188"/>
      <c r="LEQ21" s="188"/>
      <c r="LER21" s="188"/>
      <c r="LES21" s="188"/>
      <c r="LET21" s="188"/>
      <c r="LEU21" s="188"/>
      <c r="LEV21" s="188"/>
      <c r="LEW21" s="188"/>
      <c r="LEX21" s="188"/>
      <c r="LEY21" s="188"/>
      <c r="LEZ21" s="188"/>
      <c r="LFA21" s="188"/>
      <c r="LFB21" s="188"/>
      <c r="LFC21" s="188"/>
      <c r="LFD21" s="188"/>
      <c r="LFE21" s="188"/>
      <c r="LFF21" s="188"/>
      <c r="LFG21" s="188"/>
      <c r="LFH21" s="188"/>
      <c r="LFI21" s="188"/>
      <c r="LFJ21" s="188"/>
      <c r="LFK21" s="188"/>
      <c r="LFL21" s="188"/>
      <c r="LFM21" s="188"/>
      <c r="LFN21" s="188"/>
      <c r="LFO21" s="188"/>
      <c r="LFP21" s="188"/>
      <c r="LFQ21" s="188"/>
      <c r="LFR21" s="188"/>
      <c r="LFS21" s="188"/>
      <c r="LFT21" s="188"/>
      <c r="LFU21" s="188"/>
      <c r="LFV21" s="188"/>
      <c r="LFW21" s="188"/>
      <c r="LFX21" s="188"/>
      <c r="LFY21" s="188"/>
      <c r="LFZ21" s="188"/>
      <c r="LGA21" s="188"/>
      <c r="LGB21" s="188"/>
      <c r="LGC21" s="188"/>
      <c r="LGD21" s="188"/>
      <c r="LGE21" s="188"/>
      <c r="LGF21" s="188"/>
      <c r="LGG21" s="188"/>
      <c r="LGH21" s="188"/>
      <c r="LGI21" s="188"/>
      <c r="LGJ21" s="188"/>
      <c r="LGK21" s="188"/>
      <c r="LGL21" s="188"/>
      <c r="LGM21" s="188"/>
      <c r="LGN21" s="188"/>
      <c r="LGO21" s="188"/>
      <c r="LGP21" s="188"/>
      <c r="LGQ21" s="188"/>
      <c r="LGR21" s="188"/>
      <c r="LGS21" s="188"/>
      <c r="LGT21" s="188"/>
      <c r="LGU21" s="188"/>
      <c r="LGV21" s="188"/>
      <c r="LGW21" s="188"/>
      <c r="LGX21" s="188"/>
      <c r="LGY21" s="188"/>
      <c r="LGZ21" s="188"/>
      <c r="LHA21" s="188"/>
      <c r="LHB21" s="188"/>
      <c r="LHC21" s="188"/>
      <c r="LHD21" s="188"/>
      <c r="LHE21" s="188"/>
      <c r="LHF21" s="188"/>
      <c r="LHG21" s="188"/>
      <c r="LHH21" s="188"/>
      <c r="LHI21" s="188"/>
      <c r="LHJ21" s="188"/>
      <c r="LHK21" s="188"/>
      <c r="LHL21" s="188"/>
      <c r="LHM21" s="188"/>
      <c r="LHN21" s="188"/>
      <c r="LHO21" s="188"/>
      <c r="LHP21" s="188"/>
      <c r="LHQ21" s="188"/>
      <c r="LHR21" s="188"/>
      <c r="LHS21" s="188"/>
      <c r="LHT21" s="188"/>
      <c r="LHU21" s="188"/>
      <c r="LHV21" s="188"/>
      <c r="LHW21" s="188"/>
      <c r="LHX21" s="188"/>
      <c r="LHY21" s="188"/>
      <c r="LHZ21" s="188"/>
      <c r="LIA21" s="188"/>
      <c r="LIB21" s="188"/>
      <c r="LIC21" s="188"/>
      <c r="LID21" s="188"/>
      <c r="LIE21" s="188"/>
      <c r="LIF21" s="188"/>
      <c r="LIG21" s="188"/>
      <c r="LIH21" s="188"/>
      <c r="LII21" s="188"/>
      <c r="LIJ21" s="188"/>
      <c r="LIK21" s="188"/>
      <c r="LIL21" s="188"/>
      <c r="LIM21" s="188"/>
      <c r="LIN21" s="188"/>
      <c r="LIO21" s="188"/>
      <c r="LIP21" s="188"/>
      <c r="LIQ21" s="188"/>
      <c r="LIR21" s="188"/>
      <c r="LIS21" s="188"/>
      <c r="LIT21" s="188"/>
      <c r="LIU21" s="188"/>
      <c r="LIV21" s="188"/>
      <c r="LIW21" s="188"/>
      <c r="LIX21" s="188"/>
      <c r="LIY21" s="188"/>
      <c r="LIZ21" s="188"/>
      <c r="LJA21" s="188"/>
      <c r="LJB21" s="188"/>
      <c r="LJC21" s="188"/>
      <c r="LJD21" s="188"/>
      <c r="LJE21" s="188"/>
      <c r="LJF21" s="188"/>
      <c r="LJG21" s="188"/>
      <c r="LJH21" s="188"/>
      <c r="LJI21" s="188"/>
      <c r="LJJ21" s="188"/>
      <c r="LJK21" s="188"/>
      <c r="LJL21" s="188"/>
      <c r="LJM21" s="188"/>
      <c r="LJN21" s="188"/>
      <c r="LJO21" s="188"/>
      <c r="LJP21" s="188"/>
      <c r="LJQ21" s="188"/>
      <c r="LJR21" s="188"/>
      <c r="LJS21" s="188"/>
      <c r="LJT21" s="188"/>
      <c r="LJU21" s="188"/>
      <c r="LJV21" s="188"/>
      <c r="LJW21" s="188"/>
      <c r="LJX21" s="188"/>
      <c r="LJY21" s="188"/>
      <c r="LJZ21" s="188"/>
      <c r="LKA21" s="188"/>
      <c r="LKB21" s="188"/>
      <c r="LKC21" s="188"/>
      <c r="LKD21" s="188"/>
      <c r="LKE21" s="188"/>
      <c r="LKF21" s="188"/>
      <c r="LKG21" s="188"/>
      <c r="LKH21" s="188"/>
      <c r="LKI21" s="188"/>
      <c r="LKJ21" s="188"/>
      <c r="LKK21" s="188"/>
      <c r="LKL21" s="188"/>
      <c r="LKM21" s="188"/>
      <c r="LKN21" s="188"/>
      <c r="LKO21" s="188"/>
      <c r="LKP21" s="188"/>
      <c r="LKQ21" s="188"/>
      <c r="LKR21" s="188"/>
      <c r="LKS21" s="188"/>
      <c r="LKT21" s="188"/>
      <c r="LKU21" s="188"/>
      <c r="LKV21" s="188"/>
      <c r="LKW21" s="188"/>
      <c r="LKX21" s="188"/>
      <c r="LKY21" s="188"/>
      <c r="LKZ21" s="188"/>
      <c r="LLA21" s="188"/>
      <c r="LLB21" s="188"/>
      <c r="LLC21" s="188"/>
      <c r="LLD21" s="188"/>
      <c r="LLE21" s="188"/>
      <c r="LLF21" s="188"/>
      <c r="LLG21" s="188"/>
      <c r="LLH21" s="188"/>
      <c r="LLI21" s="188"/>
      <c r="LLJ21" s="188"/>
      <c r="LLK21" s="188"/>
      <c r="LLL21" s="188"/>
      <c r="LLM21" s="188"/>
      <c r="LLN21" s="188"/>
      <c r="LLO21" s="188"/>
      <c r="LLP21" s="188"/>
      <c r="LLQ21" s="188"/>
      <c r="LLR21" s="188"/>
      <c r="LLS21" s="188"/>
      <c r="LLT21" s="188"/>
      <c r="LLU21" s="188"/>
      <c r="LLV21" s="188"/>
      <c r="LLW21" s="188"/>
      <c r="LLX21" s="188"/>
      <c r="LLY21" s="188"/>
      <c r="LLZ21" s="188"/>
      <c r="LMA21" s="188"/>
      <c r="LMB21" s="188"/>
      <c r="LMC21" s="188"/>
      <c r="LMD21" s="188"/>
      <c r="LME21" s="188"/>
      <c r="LMF21" s="188"/>
      <c r="LMG21" s="188"/>
      <c r="LMH21" s="188"/>
      <c r="LMI21" s="188"/>
      <c r="LMJ21" s="188"/>
      <c r="LMK21" s="188"/>
      <c r="LML21" s="188"/>
      <c r="LMM21" s="188"/>
      <c r="LMN21" s="188"/>
      <c r="LMO21" s="188"/>
      <c r="LMP21" s="188"/>
      <c r="LMQ21" s="188"/>
      <c r="LMR21" s="188"/>
      <c r="LMS21" s="188"/>
      <c r="LMT21" s="188"/>
      <c r="LMU21" s="188"/>
      <c r="LMV21" s="188"/>
      <c r="LMW21" s="188"/>
      <c r="LMX21" s="188"/>
      <c r="LMY21" s="188"/>
      <c r="LMZ21" s="188"/>
      <c r="LNA21" s="188"/>
      <c r="LNB21" s="188"/>
      <c r="LNC21" s="188"/>
      <c r="LND21" s="188"/>
      <c r="LNE21" s="188"/>
      <c r="LNF21" s="188"/>
      <c r="LNG21" s="188"/>
      <c r="LNH21" s="188"/>
      <c r="LNI21" s="188"/>
      <c r="LNJ21" s="188"/>
      <c r="LNK21" s="188"/>
      <c r="LNL21" s="188"/>
      <c r="LNM21" s="188"/>
      <c r="LNN21" s="188"/>
      <c r="LNO21" s="188"/>
      <c r="LNP21" s="188"/>
      <c r="LNQ21" s="188"/>
      <c r="LNR21" s="188"/>
      <c r="LNS21" s="188"/>
      <c r="LNT21" s="188"/>
      <c r="LNU21" s="188"/>
      <c r="LNV21" s="188"/>
      <c r="LNW21" s="188"/>
      <c r="LNX21" s="188"/>
      <c r="LNY21" s="188"/>
      <c r="LNZ21" s="188"/>
      <c r="LOA21" s="188"/>
      <c r="LOB21" s="188"/>
      <c r="LOC21" s="188"/>
      <c r="LOD21" s="188"/>
      <c r="LOE21" s="188"/>
      <c r="LOF21" s="188"/>
      <c r="LOG21" s="188"/>
      <c r="LOH21" s="188"/>
      <c r="LOI21" s="188"/>
      <c r="LOJ21" s="188"/>
      <c r="LOK21" s="188"/>
      <c r="LOL21" s="188"/>
      <c r="LOM21" s="188"/>
      <c r="LON21" s="188"/>
      <c r="LOO21" s="188"/>
      <c r="LOP21" s="188"/>
      <c r="LOQ21" s="188"/>
      <c r="LOR21" s="188"/>
      <c r="LOS21" s="188"/>
      <c r="LOT21" s="188"/>
      <c r="LOU21" s="188"/>
      <c r="LOV21" s="188"/>
      <c r="LOW21" s="188"/>
      <c r="LOX21" s="188"/>
      <c r="LOY21" s="188"/>
      <c r="LOZ21" s="188"/>
      <c r="LPA21" s="188"/>
      <c r="LPB21" s="188"/>
      <c r="LPC21" s="188"/>
      <c r="LPD21" s="188"/>
      <c r="LPE21" s="188"/>
      <c r="LPF21" s="188"/>
      <c r="LPG21" s="188"/>
      <c r="LPH21" s="188"/>
      <c r="LPI21" s="188"/>
      <c r="LPJ21" s="188"/>
      <c r="LPK21" s="188"/>
      <c r="LPL21" s="188"/>
      <c r="LPM21" s="188"/>
      <c r="LPN21" s="188"/>
      <c r="LPO21" s="188"/>
      <c r="LPP21" s="188"/>
      <c r="LPQ21" s="188"/>
      <c r="LPR21" s="188"/>
      <c r="LPS21" s="188"/>
      <c r="LPT21" s="188"/>
      <c r="LPU21" s="188"/>
      <c r="LPV21" s="188"/>
      <c r="LPW21" s="188"/>
      <c r="LPX21" s="188"/>
      <c r="LPY21" s="188"/>
      <c r="LPZ21" s="188"/>
      <c r="LQA21" s="188"/>
      <c r="LQB21" s="188"/>
      <c r="LQC21" s="188"/>
      <c r="LQD21" s="188"/>
      <c r="LQE21" s="188"/>
      <c r="LQF21" s="188"/>
      <c r="LQG21" s="188"/>
      <c r="LQH21" s="188"/>
      <c r="LQI21" s="188"/>
      <c r="LQJ21" s="188"/>
      <c r="LQK21" s="188"/>
      <c r="LQL21" s="188"/>
      <c r="LQM21" s="188"/>
      <c r="LQN21" s="188"/>
      <c r="LQO21" s="188"/>
      <c r="LQP21" s="188"/>
      <c r="LQQ21" s="188"/>
      <c r="LQR21" s="188"/>
      <c r="LQS21" s="188"/>
      <c r="LQT21" s="188"/>
      <c r="LQU21" s="188"/>
      <c r="LQV21" s="188"/>
      <c r="LQW21" s="188"/>
      <c r="LQX21" s="188"/>
      <c r="LQY21" s="188"/>
      <c r="LQZ21" s="188"/>
      <c r="LRA21" s="188"/>
      <c r="LRB21" s="188"/>
      <c r="LRC21" s="188"/>
      <c r="LRD21" s="188"/>
      <c r="LRE21" s="188"/>
      <c r="LRF21" s="188"/>
      <c r="LRG21" s="188"/>
      <c r="LRH21" s="188"/>
      <c r="LRI21" s="188"/>
      <c r="LRJ21" s="188"/>
      <c r="LRK21" s="188"/>
      <c r="LRL21" s="188"/>
      <c r="LRM21" s="188"/>
      <c r="LRN21" s="188"/>
      <c r="LRO21" s="188"/>
      <c r="LRP21" s="188"/>
      <c r="LRQ21" s="188"/>
      <c r="LRR21" s="188"/>
      <c r="LRS21" s="188"/>
      <c r="LRT21" s="188"/>
      <c r="LRU21" s="188"/>
      <c r="LRV21" s="188"/>
      <c r="LRW21" s="188"/>
      <c r="LRX21" s="188"/>
      <c r="LRY21" s="188"/>
      <c r="LRZ21" s="188"/>
      <c r="LSA21" s="188"/>
      <c r="LSB21" s="188"/>
      <c r="LSC21" s="188"/>
      <c r="LSD21" s="188"/>
      <c r="LSE21" s="188"/>
      <c r="LSF21" s="188"/>
      <c r="LSG21" s="188"/>
      <c r="LSH21" s="188"/>
      <c r="LSI21" s="188"/>
      <c r="LSJ21" s="188"/>
      <c r="LSK21" s="188"/>
      <c r="LSL21" s="188"/>
      <c r="LSM21" s="188"/>
      <c r="LSN21" s="188"/>
      <c r="LSO21" s="188"/>
      <c r="LSP21" s="188"/>
      <c r="LSQ21" s="188"/>
      <c r="LSR21" s="188"/>
      <c r="LSS21" s="188"/>
      <c r="LST21" s="188"/>
      <c r="LSU21" s="188"/>
      <c r="LSV21" s="188"/>
      <c r="LSW21" s="188"/>
      <c r="LSX21" s="188"/>
      <c r="LSY21" s="188"/>
      <c r="LSZ21" s="188"/>
      <c r="LTA21" s="188"/>
      <c r="LTB21" s="188"/>
      <c r="LTC21" s="188"/>
      <c r="LTD21" s="188"/>
      <c r="LTE21" s="188"/>
      <c r="LTF21" s="188"/>
      <c r="LTG21" s="188"/>
      <c r="LTH21" s="188"/>
      <c r="LTI21" s="188"/>
      <c r="LTJ21" s="188"/>
      <c r="LTK21" s="188"/>
      <c r="LTL21" s="188"/>
      <c r="LTM21" s="188"/>
      <c r="LTN21" s="188"/>
      <c r="LTO21" s="188"/>
      <c r="LTP21" s="188"/>
      <c r="LTQ21" s="188"/>
      <c r="LTR21" s="188"/>
      <c r="LTS21" s="188"/>
      <c r="LTT21" s="188"/>
      <c r="LTU21" s="188"/>
      <c r="LTV21" s="188"/>
      <c r="LTW21" s="188"/>
      <c r="LTX21" s="188"/>
      <c r="LTY21" s="188"/>
      <c r="LTZ21" s="188"/>
      <c r="LUA21" s="188"/>
      <c r="LUB21" s="188"/>
      <c r="LUC21" s="188"/>
      <c r="LUD21" s="188"/>
      <c r="LUE21" s="188"/>
      <c r="LUF21" s="188"/>
      <c r="LUG21" s="188"/>
      <c r="LUH21" s="188"/>
      <c r="LUI21" s="188"/>
      <c r="LUJ21" s="188"/>
      <c r="LUK21" s="188"/>
      <c r="LUL21" s="188"/>
      <c r="LUM21" s="188"/>
      <c r="LUN21" s="188"/>
      <c r="LUO21" s="188"/>
      <c r="LUP21" s="188"/>
      <c r="LUQ21" s="188"/>
      <c r="LUR21" s="188"/>
      <c r="LUS21" s="188"/>
      <c r="LUT21" s="188"/>
      <c r="LUU21" s="188"/>
      <c r="LUV21" s="188"/>
      <c r="LUW21" s="188"/>
      <c r="LUX21" s="188"/>
      <c r="LUY21" s="188"/>
      <c r="LUZ21" s="188"/>
      <c r="LVA21" s="188"/>
      <c r="LVB21" s="188"/>
      <c r="LVC21" s="188"/>
      <c r="LVD21" s="188"/>
      <c r="LVE21" s="188"/>
      <c r="LVF21" s="188"/>
      <c r="LVG21" s="188"/>
      <c r="LVH21" s="188"/>
      <c r="LVI21" s="188"/>
      <c r="LVJ21" s="188"/>
      <c r="LVK21" s="188"/>
      <c r="LVL21" s="188"/>
      <c r="LVM21" s="188"/>
      <c r="LVN21" s="188"/>
      <c r="LVO21" s="188"/>
      <c r="LVP21" s="188"/>
      <c r="LVQ21" s="188"/>
      <c r="LVR21" s="188"/>
      <c r="LVS21" s="188"/>
      <c r="LVT21" s="188"/>
      <c r="LVU21" s="188"/>
      <c r="LVV21" s="188"/>
      <c r="LVW21" s="188"/>
      <c r="LVX21" s="188"/>
      <c r="LVY21" s="188"/>
      <c r="LVZ21" s="188"/>
      <c r="LWA21" s="188"/>
      <c r="LWB21" s="188"/>
      <c r="LWC21" s="188"/>
      <c r="LWD21" s="188"/>
      <c r="LWE21" s="188"/>
      <c r="LWF21" s="188"/>
      <c r="LWG21" s="188"/>
      <c r="LWH21" s="188"/>
      <c r="LWI21" s="188"/>
      <c r="LWJ21" s="188"/>
      <c r="LWK21" s="188"/>
      <c r="LWL21" s="188"/>
      <c r="LWM21" s="188"/>
      <c r="LWN21" s="188"/>
      <c r="LWO21" s="188"/>
      <c r="LWP21" s="188"/>
      <c r="LWQ21" s="188"/>
      <c r="LWR21" s="188"/>
      <c r="LWS21" s="188"/>
      <c r="LWT21" s="188"/>
      <c r="LWU21" s="188"/>
      <c r="LWV21" s="188"/>
      <c r="LWW21" s="188"/>
      <c r="LWX21" s="188"/>
      <c r="LWY21" s="188"/>
      <c r="LWZ21" s="188"/>
      <c r="LXA21" s="188"/>
      <c r="LXB21" s="188"/>
      <c r="LXC21" s="188"/>
      <c r="LXD21" s="188"/>
      <c r="LXE21" s="188"/>
      <c r="LXF21" s="188"/>
      <c r="LXG21" s="188"/>
      <c r="LXH21" s="188"/>
      <c r="LXI21" s="188"/>
      <c r="LXJ21" s="188"/>
      <c r="LXK21" s="188"/>
      <c r="LXL21" s="188"/>
      <c r="LXM21" s="188"/>
      <c r="LXN21" s="188"/>
      <c r="LXO21" s="188"/>
      <c r="LXP21" s="188"/>
      <c r="LXQ21" s="188"/>
      <c r="LXR21" s="188"/>
      <c r="LXS21" s="188"/>
      <c r="LXT21" s="188"/>
      <c r="LXU21" s="188"/>
      <c r="LXV21" s="188"/>
      <c r="LXW21" s="188"/>
      <c r="LXX21" s="188"/>
      <c r="LXY21" s="188"/>
      <c r="LXZ21" s="188"/>
      <c r="LYA21" s="188"/>
      <c r="LYB21" s="188"/>
      <c r="LYC21" s="188"/>
      <c r="LYD21" s="188"/>
      <c r="LYE21" s="188"/>
      <c r="LYF21" s="188"/>
      <c r="LYG21" s="188"/>
      <c r="LYH21" s="188"/>
      <c r="LYI21" s="188"/>
      <c r="LYJ21" s="188"/>
      <c r="LYK21" s="188"/>
      <c r="LYL21" s="188"/>
      <c r="LYM21" s="188"/>
      <c r="LYN21" s="188"/>
      <c r="LYO21" s="188"/>
      <c r="LYP21" s="188"/>
      <c r="LYQ21" s="188"/>
      <c r="LYR21" s="188"/>
      <c r="LYS21" s="188"/>
      <c r="LYT21" s="188"/>
      <c r="LYU21" s="188"/>
      <c r="LYV21" s="188"/>
      <c r="LYW21" s="188"/>
      <c r="LYX21" s="188"/>
      <c r="LYY21" s="188"/>
      <c r="LYZ21" s="188"/>
      <c r="LZA21" s="188"/>
      <c r="LZB21" s="188"/>
      <c r="LZC21" s="188"/>
      <c r="LZD21" s="188"/>
      <c r="LZE21" s="188"/>
      <c r="LZF21" s="188"/>
      <c r="LZG21" s="188"/>
      <c r="LZH21" s="188"/>
      <c r="LZI21" s="188"/>
      <c r="LZJ21" s="188"/>
      <c r="LZK21" s="188"/>
      <c r="LZL21" s="188"/>
      <c r="LZM21" s="188"/>
      <c r="LZN21" s="188"/>
      <c r="LZO21" s="188"/>
      <c r="LZP21" s="188"/>
      <c r="LZQ21" s="188"/>
      <c r="LZR21" s="188"/>
      <c r="LZS21" s="188"/>
      <c r="LZT21" s="188"/>
      <c r="LZU21" s="188"/>
      <c r="LZV21" s="188"/>
      <c r="LZW21" s="188"/>
      <c r="LZX21" s="188"/>
      <c r="LZY21" s="188"/>
      <c r="LZZ21" s="188"/>
      <c r="MAA21" s="188"/>
      <c r="MAB21" s="188"/>
      <c r="MAC21" s="188"/>
      <c r="MAD21" s="188"/>
      <c r="MAE21" s="188"/>
      <c r="MAF21" s="188"/>
      <c r="MAG21" s="188"/>
      <c r="MAH21" s="188"/>
      <c r="MAI21" s="188"/>
      <c r="MAJ21" s="188"/>
      <c r="MAK21" s="188"/>
      <c r="MAL21" s="188"/>
      <c r="MAM21" s="188"/>
      <c r="MAN21" s="188"/>
      <c r="MAO21" s="188"/>
      <c r="MAP21" s="188"/>
      <c r="MAQ21" s="188"/>
      <c r="MAR21" s="188"/>
      <c r="MAS21" s="188"/>
      <c r="MAT21" s="188"/>
      <c r="MAU21" s="188"/>
      <c r="MAV21" s="188"/>
      <c r="MAW21" s="188"/>
      <c r="MAX21" s="188"/>
      <c r="MAY21" s="188"/>
      <c r="MAZ21" s="188"/>
      <c r="MBA21" s="188"/>
      <c r="MBB21" s="188"/>
      <c r="MBC21" s="188"/>
      <c r="MBD21" s="188"/>
      <c r="MBE21" s="188"/>
      <c r="MBF21" s="188"/>
      <c r="MBG21" s="188"/>
      <c r="MBH21" s="188"/>
      <c r="MBI21" s="188"/>
      <c r="MBJ21" s="188"/>
      <c r="MBK21" s="188"/>
      <c r="MBL21" s="188"/>
      <c r="MBM21" s="188"/>
      <c r="MBN21" s="188"/>
      <c r="MBO21" s="188"/>
      <c r="MBP21" s="188"/>
      <c r="MBQ21" s="188"/>
      <c r="MBR21" s="188"/>
      <c r="MBS21" s="188"/>
      <c r="MBT21" s="188"/>
      <c r="MBU21" s="188"/>
      <c r="MBV21" s="188"/>
      <c r="MBW21" s="188"/>
      <c r="MBX21" s="188"/>
      <c r="MBY21" s="188"/>
      <c r="MBZ21" s="188"/>
      <c r="MCA21" s="188"/>
      <c r="MCB21" s="188"/>
      <c r="MCC21" s="188"/>
      <c r="MCD21" s="188"/>
      <c r="MCE21" s="188"/>
      <c r="MCF21" s="188"/>
      <c r="MCG21" s="188"/>
      <c r="MCH21" s="188"/>
      <c r="MCI21" s="188"/>
      <c r="MCJ21" s="188"/>
      <c r="MCK21" s="188"/>
      <c r="MCL21" s="188"/>
      <c r="MCM21" s="188"/>
      <c r="MCN21" s="188"/>
      <c r="MCO21" s="188"/>
      <c r="MCP21" s="188"/>
      <c r="MCQ21" s="188"/>
      <c r="MCR21" s="188"/>
      <c r="MCS21" s="188"/>
      <c r="MCT21" s="188"/>
      <c r="MCU21" s="188"/>
      <c r="MCV21" s="188"/>
      <c r="MCW21" s="188"/>
      <c r="MCX21" s="188"/>
      <c r="MCY21" s="188"/>
      <c r="MCZ21" s="188"/>
      <c r="MDA21" s="188"/>
      <c r="MDB21" s="188"/>
      <c r="MDC21" s="188"/>
      <c r="MDD21" s="188"/>
      <c r="MDE21" s="188"/>
      <c r="MDF21" s="188"/>
      <c r="MDG21" s="188"/>
      <c r="MDH21" s="188"/>
      <c r="MDI21" s="188"/>
      <c r="MDJ21" s="188"/>
      <c r="MDK21" s="188"/>
      <c r="MDL21" s="188"/>
      <c r="MDM21" s="188"/>
      <c r="MDN21" s="188"/>
      <c r="MDO21" s="188"/>
      <c r="MDP21" s="188"/>
      <c r="MDQ21" s="188"/>
      <c r="MDR21" s="188"/>
      <c r="MDS21" s="188"/>
      <c r="MDT21" s="188"/>
      <c r="MDU21" s="188"/>
      <c r="MDV21" s="188"/>
      <c r="MDW21" s="188"/>
      <c r="MDX21" s="188"/>
      <c r="MDY21" s="188"/>
      <c r="MDZ21" s="188"/>
      <c r="MEA21" s="188"/>
      <c r="MEB21" s="188"/>
      <c r="MEC21" s="188"/>
      <c r="MED21" s="188"/>
      <c r="MEE21" s="188"/>
      <c r="MEF21" s="188"/>
      <c r="MEG21" s="188"/>
      <c r="MEH21" s="188"/>
      <c r="MEI21" s="188"/>
      <c r="MEJ21" s="188"/>
      <c r="MEK21" s="188"/>
      <c r="MEL21" s="188"/>
      <c r="MEM21" s="188"/>
      <c r="MEN21" s="188"/>
      <c r="MEO21" s="188"/>
      <c r="MEP21" s="188"/>
      <c r="MEQ21" s="188"/>
      <c r="MER21" s="188"/>
      <c r="MES21" s="188"/>
      <c r="MET21" s="188"/>
      <c r="MEU21" s="188"/>
      <c r="MEV21" s="188"/>
      <c r="MEW21" s="188"/>
      <c r="MEX21" s="188"/>
      <c r="MEY21" s="188"/>
      <c r="MEZ21" s="188"/>
      <c r="MFA21" s="188"/>
      <c r="MFB21" s="188"/>
      <c r="MFC21" s="188"/>
      <c r="MFD21" s="188"/>
      <c r="MFE21" s="188"/>
      <c r="MFF21" s="188"/>
      <c r="MFG21" s="188"/>
      <c r="MFH21" s="188"/>
      <c r="MFI21" s="188"/>
      <c r="MFJ21" s="188"/>
      <c r="MFK21" s="188"/>
      <c r="MFL21" s="188"/>
      <c r="MFM21" s="188"/>
      <c r="MFN21" s="188"/>
      <c r="MFO21" s="188"/>
      <c r="MFP21" s="188"/>
      <c r="MFQ21" s="188"/>
      <c r="MFR21" s="188"/>
      <c r="MFS21" s="188"/>
      <c r="MFT21" s="188"/>
      <c r="MFU21" s="188"/>
      <c r="MFV21" s="188"/>
      <c r="MFW21" s="188"/>
      <c r="MFX21" s="188"/>
      <c r="MFY21" s="188"/>
      <c r="MFZ21" s="188"/>
      <c r="MGA21" s="188"/>
      <c r="MGB21" s="188"/>
      <c r="MGC21" s="188"/>
      <c r="MGD21" s="188"/>
      <c r="MGE21" s="188"/>
      <c r="MGF21" s="188"/>
      <c r="MGG21" s="188"/>
      <c r="MGH21" s="188"/>
      <c r="MGI21" s="188"/>
      <c r="MGJ21" s="188"/>
      <c r="MGK21" s="188"/>
      <c r="MGL21" s="188"/>
      <c r="MGM21" s="188"/>
      <c r="MGN21" s="188"/>
      <c r="MGO21" s="188"/>
      <c r="MGP21" s="188"/>
      <c r="MGQ21" s="188"/>
      <c r="MGR21" s="188"/>
      <c r="MGS21" s="188"/>
      <c r="MGT21" s="188"/>
      <c r="MGU21" s="188"/>
      <c r="MGV21" s="188"/>
      <c r="MGW21" s="188"/>
      <c r="MGX21" s="188"/>
      <c r="MGY21" s="188"/>
      <c r="MGZ21" s="188"/>
      <c r="MHA21" s="188"/>
      <c r="MHB21" s="188"/>
      <c r="MHC21" s="188"/>
      <c r="MHD21" s="188"/>
      <c r="MHE21" s="188"/>
      <c r="MHF21" s="188"/>
      <c r="MHG21" s="188"/>
      <c r="MHH21" s="188"/>
      <c r="MHI21" s="188"/>
      <c r="MHJ21" s="188"/>
      <c r="MHK21" s="188"/>
      <c r="MHL21" s="188"/>
      <c r="MHM21" s="188"/>
      <c r="MHN21" s="188"/>
      <c r="MHO21" s="188"/>
      <c r="MHP21" s="188"/>
      <c r="MHQ21" s="188"/>
      <c r="MHR21" s="188"/>
      <c r="MHS21" s="188"/>
      <c r="MHT21" s="188"/>
      <c r="MHU21" s="188"/>
      <c r="MHV21" s="188"/>
      <c r="MHW21" s="188"/>
      <c r="MHX21" s="188"/>
      <c r="MHY21" s="188"/>
      <c r="MHZ21" s="188"/>
      <c r="MIA21" s="188"/>
      <c r="MIB21" s="188"/>
      <c r="MIC21" s="188"/>
      <c r="MID21" s="188"/>
      <c r="MIE21" s="188"/>
      <c r="MIF21" s="188"/>
      <c r="MIG21" s="188"/>
      <c r="MIH21" s="188"/>
      <c r="MII21" s="188"/>
      <c r="MIJ21" s="188"/>
      <c r="MIK21" s="188"/>
      <c r="MIL21" s="188"/>
      <c r="MIM21" s="188"/>
      <c r="MIN21" s="188"/>
      <c r="MIO21" s="188"/>
      <c r="MIP21" s="188"/>
      <c r="MIQ21" s="188"/>
      <c r="MIR21" s="188"/>
      <c r="MIS21" s="188"/>
      <c r="MIT21" s="188"/>
      <c r="MIU21" s="188"/>
      <c r="MIV21" s="188"/>
      <c r="MIW21" s="188"/>
      <c r="MIX21" s="188"/>
      <c r="MIY21" s="188"/>
      <c r="MIZ21" s="188"/>
      <c r="MJA21" s="188"/>
      <c r="MJB21" s="188"/>
      <c r="MJC21" s="188"/>
      <c r="MJD21" s="188"/>
      <c r="MJE21" s="188"/>
      <c r="MJF21" s="188"/>
      <c r="MJG21" s="188"/>
      <c r="MJH21" s="188"/>
      <c r="MJI21" s="188"/>
      <c r="MJJ21" s="188"/>
      <c r="MJK21" s="188"/>
      <c r="MJL21" s="188"/>
      <c r="MJM21" s="188"/>
      <c r="MJN21" s="188"/>
      <c r="MJO21" s="188"/>
      <c r="MJP21" s="188"/>
      <c r="MJQ21" s="188"/>
      <c r="MJR21" s="188"/>
      <c r="MJS21" s="188"/>
      <c r="MJT21" s="188"/>
      <c r="MJU21" s="188"/>
      <c r="MJV21" s="188"/>
      <c r="MJW21" s="188"/>
      <c r="MJX21" s="188"/>
      <c r="MJY21" s="188"/>
      <c r="MJZ21" s="188"/>
      <c r="MKA21" s="188"/>
      <c r="MKB21" s="188"/>
      <c r="MKC21" s="188"/>
      <c r="MKD21" s="188"/>
      <c r="MKE21" s="188"/>
      <c r="MKF21" s="188"/>
      <c r="MKG21" s="188"/>
      <c r="MKH21" s="188"/>
      <c r="MKI21" s="188"/>
      <c r="MKJ21" s="188"/>
      <c r="MKK21" s="188"/>
      <c r="MKL21" s="188"/>
      <c r="MKM21" s="188"/>
      <c r="MKN21" s="188"/>
      <c r="MKO21" s="188"/>
      <c r="MKP21" s="188"/>
      <c r="MKQ21" s="188"/>
      <c r="MKR21" s="188"/>
      <c r="MKS21" s="188"/>
      <c r="MKT21" s="188"/>
      <c r="MKU21" s="188"/>
      <c r="MKV21" s="188"/>
      <c r="MKW21" s="188"/>
      <c r="MKX21" s="188"/>
      <c r="MKY21" s="188"/>
      <c r="MKZ21" s="188"/>
      <c r="MLA21" s="188"/>
      <c r="MLB21" s="188"/>
      <c r="MLC21" s="188"/>
      <c r="MLD21" s="188"/>
      <c r="MLE21" s="188"/>
      <c r="MLF21" s="188"/>
      <c r="MLG21" s="188"/>
      <c r="MLH21" s="188"/>
      <c r="MLI21" s="188"/>
      <c r="MLJ21" s="188"/>
      <c r="MLK21" s="188"/>
      <c r="MLL21" s="188"/>
      <c r="MLM21" s="188"/>
      <c r="MLN21" s="188"/>
      <c r="MLO21" s="188"/>
      <c r="MLP21" s="188"/>
      <c r="MLQ21" s="188"/>
      <c r="MLR21" s="188"/>
      <c r="MLS21" s="188"/>
      <c r="MLT21" s="188"/>
      <c r="MLU21" s="188"/>
      <c r="MLV21" s="188"/>
      <c r="MLW21" s="188"/>
      <c r="MLX21" s="188"/>
      <c r="MLY21" s="188"/>
      <c r="MLZ21" s="188"/>
      <c r="MMA21" s="188"/>
      <c r="MMB21" s="188"/>
      <c r="MMC21" s="188"/>
      <c r="MMD21" s="188"/>
      <c r="MME21" s="188"/>
      <c r="MMF21" s="188"/>
      <c r="MMG21" s="188"/>
      <c r="MMH21" s="188"/>
      <c r="MMI21" s="188"/>
      <c r="MMJ21" s="188"/>
      <c r="MMK21" s="188"/>
      <c r="MML21" s="188"/>
      <c r="MMM21" s="188"/>
      <c r="MMN21" s="188"/>
      <c r="MMO21" s="188"/>
      <c r="MMP21" s="188"/>
      <c r="MMQ21" s="188"/>
      <c r="MMR21" s="188"/>
      <c r="MMS21" s="188"/>
      <c r="MMT21" s="188"/>
      <c r="MMU21" s="188"/>
      <c r="MMV21" s="188"/>
      <c r="MMW21" s="188"/>
      <c r="MMX21" s="188"/>
      <c r="MMY21" s="188"/>
      <c r="MMZ21" s="188"/>
      <c r="MNA21" s="188"/>
      <c r="MNB21" s="188"/>
      <c r="MNC21" s="188"/>
      <c r="MND21" s="188"/>
      <c r="MNE21" s="188"/>
      <c r="MNF21" s="188"/>
      <c r="MNG21" s="188"/>
      <c r="MNH21" s="188"/>
      <c r="MNI21" s="188"/>
      <c r="MNJ21" s="188"/>
      <c r="MNK21" s="188"/>
      <c r="MNL21" s="188"/>
      <c r="MNM21" s="188"/>
      <c r="MNN21" s="188"/>
      <c r="MNO21" s="188"/>
      <c r="MNP21" s="188"/>
      <c r="MNQ21" s="188"/>
      <c r="MNR21" s="188"/>
      <c r="MNS21" s="188"/>
      <c r="MNT21" s="188"/>
      <c r="MNU21" s="188"/>
      <c r="MNV21" s="188"/>
      <c r="MNW21" s="188"/>
      <c r="MNX21" s="188"/>
      <c r="MNY21" s="188"/>
      <c r="MNZ21" s="188"/>
      <c r="MOA21" s="188"/>
      <c r="MOB21" s="188"/>
      <c r="MOC21" s="188"/>
      <c r="MOD21" s="188"/>
      <c r="MOE21" s="188"/>
      <c r="MOF21" s="188"/>
      <c r="MOG21" s="188"/>
      <c r="MOH21" s="188"/>
      <c r="MOI21" s="188"/>
      <c r="MOJ21" s="188"/>
      <c r="MOK21" s="188"/>
      <c r="MOL21" s="188"/>
      <c r="MOM21" s="188"/>
      <c r="MON21" s="188"/>
      <c r="MOO21" s="188"/>
      <c r="MOP21" s="188"/>
      <c r="MOQ21" s="188"/>
      <c r="MOR21" s="188"/>
      <c r="MOS21" s="188"/>
      <c r="MOT21" s="188"/>
      <c r="MOU21" s="188"/>
      <c r="MOV21" s="188"/>
      <c r="MOW21" s="188"/>
      <c r="MOX21" s="188"/>
      <c r="MOY21" s="188"/>
      <c r="MOZ21" s="188"/>
      <c r="MPA21" s="188"/>
      <c r="MPB21" s="188"/>
      <c r="MPC21" s="188"/>
      <c r="MPD21" s="188"/>
      <c r="MPE21" s="188"/>
      <c r="MPF21" s="188"/>
      <c r="MPG21" s="188"/>
      <c r="MPH21" s="188"/>
      <c r="MPI21" s="188"/>
      <c r="MPJ21" s="188"/>
      <c r="MPK21" s="188"/>
      <c r="MPL21" s="188"/>
      <c r="MPM21" s="188"/>
      <c r="MPN21" s="188"/>
      <c r="MPO21" s="188"/>
      <c r="MPP21" s="188"/>
      <c r="MPQ21" s="188"/>
      <c r="MPR21" s="188"/>
      <c r="MPS21" s="188"/>
      <c r="MPT21" s="188"/>
      <c r="MPU21" s="188"/>
      <c r="MPV21" s="188"/>
      <c r="MPW21" s="188"/>
      <c r="MPX21" s="188"/>
      <c r="MPY21" s="188"/>
      <c r="MPZ21" s="188"/>
      <c r="MQA21" s="188"/>
      <c r="MQB21" s="188"/>
      <c r="MQC21" s="188"/>
      <c r="MQD21" s="188"/>
      <c r="MQE21" s="188"/>
      <c r="MQF21" s="188"/>
      <c r="MQG21" s="188"/>
      <c r="MQH21" s="188"/>
      <c r="MQI21" s="188"/>
      <c r="MQJ21" s="188"/>
      <c r="MQK21" s="188"/>
      <c r="MQL21" s="188"/>
      <c r="MQM21" s="188"/>
      <c r="MQN21" s="188"/>
      <c r="MQO21" s="188"/>
      <c r="MQP21" s="188"/>
      <c r="MQQ21" s="188"/>
      <c r="MQR21" s="188"/>
      <c r="MQS21" s="188"/>
      <c r="MQT21" s="188"/>
      <c r="MQU21" s="188"/>
      <c r="MQV21" s="188"/>
      <c r="MQW21" s="188"/>
      <c r="MQX21" s="188"/>
      <c r="MQY21" s="188"/>
      <c r="MQZ21" s="188"/>
      <c r="MRA21" s="188"/>
      <c r="MRB21" s="188"/>
      <c r="MRC21" s="188"/>
      <c r="MRD21" s="188"/>
      <c r="MRE21" s="188"/>
      <c r="MRF21" s="188"/>
      <c r="MRG21" s="188"/>
      <c r="MRH21" s="188"/>
      <c r="MRI21" s="188"/>
      <c r="MRJ21" s="188"/>
      <c r="MRK21" s="188"/>
      <c r="MRL21" s="188"/>
      <c r="MRM21" s="188"/>
      <c r="MRN21" s="188"/>
      <c r="MRO21" s="188"/>
      <c r="MRP21" s="188"/>
      <c r="MRQ21" s="188"/>
      <c r="MRR21" s="188"/>
      <c r="MRS21" s="188"/>
      <c r="MRT21" s="188"/>
      <c r="MRU21" s="188"/>
      <c r="MRV21" s="188"/>
      <c r="MRW21" s="188"/>
      <c r="MRX21" s="188"/>
      <c r="MRY21" s="188"/>
      <c r="MRZ21" s="188"/>
      <c r="MSA21" s="188"/>
      <c r="MSB21" s="188"/>
      <c r="MSC21" s="188"/>
      <c r="MSD21" s="188"/>
      <c r="MSE21" s="188"/>
      <c r="MSF21" s="188"/>
      <c r="MSG21" s="188"/>
      <c r="MSH21" s="188"/>
      <c r="MSI21" s="188"/>
      <c r="MSJ21" s="188"/>
      <c r="MSK21" s="188"/>
      <c r="MSL21" s="188"/>
      <c r="MSM21" s="188"/>
      <c r="MSN21" s="188"/>
      <c r="MSO21" s="188"/>
      <c r="MSP21" s="188"/>
      <c r="MSQ21" s="188"/>
      <c r="MSR21" s="188"/>
      <c r="MSS21" s="188"/>
      <c r="MST21" s="188"/>
      <c r="MSU21" s="188"/>
      <c r="MSV21" s="188"/>
      <c r="MSW21" s="188"/>
      <c r="MSX21" s="188"/>
      <c r="MSY21" s="188"/>
      <c r="MSZ21" s="188"/>
      <c r="MTA21" s="188"/>
      <c r="MTB21" s="188"/>
      <c r="MTC21" s="188"/>
      <c r="MTD21" s="188"/>
      <c r="MTE21" s="188"/>
      <c r="MTF21" s="188"/>
      <c r="MTG21" s="188"/>
      <c r="MTH21" s="188"/>
      <c r="MTI21" s="188"/>
      <c r="MTJ21" s="188"/>
      <c r="MTK21" s="188"/>
      <c r="MTL21" s="188"/>
      <c r="MTM21" s="188"/>
      <c r="MTN21" s="188"/>
      <c r="MTO21" s="188"/>
      <c r="MTP21" s="188"/>
      <c r="MTQ21" s="188"/>
      <c r="MTR21" s="188"/>
      <c r="MTS21" s="188"/>
      <c r="MTT21" s="188"/>
      <c r="MTU21" s="188"/>
      <c r="MTV21" s="188"/>
      <c r="MTW21" s="188"/>
      <c r="MTX21" s="188"/>
      <c r="MTY21" s="188"/>
      <c r="MTZ21" s="188"/>
      <c r="MUA21" s="188"/>
      <c r="MUB21" s="188"/>
      <c r="MUC21" s="188"/>
      <c r="MUD21" s="188"/>
      <c r="MUE21" s="188"/>
      <c r="MUF21" s="188"/>
      <c r="MUG21" s="188"/>
      <c r="MUH21" s="188"/>
      <c r="MUI21" s="188"/>
      <c r="MUJ21" s="188"/>
      <c r="MUK21" s="188"/>
      <c r="MUL21" s="188"/>
      <c r="MUM21" s="188"/>
      <c r="MUN21" s="188"/>
      <c r="MUO21" s="188"/>
      <c r="MUP21" s="188"/>
      <c r="MUQ21" s="188"/>
      <c r="MUR21" s="188"/>
      <c r="MUS21" s="188"/>
      <c r="MUT21" s="188"/>
      <c r="MUU21" s="188"/>
      <c r="MUV21" s="188"/>
      <c r="MUW21" s="188"/>
      <c r="MUX21" s="188"/>
      <c r="MUY21" s="188"/>
      <c r="MUZ21" s="188"/>
      <c r="MVA21" s="188"/>
      <c r="MVB21" s="188"/>
      <c r="MVC21" s="188"/>
      <c r="MVD21" s="188"/>
      <c r="MVE21" s="188"/>
      <c r="MVF21" s="188"/>
      <c r="MVG21" s="188"/>
      <c r="MVH21" s="188"/>
      <c r="MVI21" s="188"/>
      <c r="MVJ21" s="188"/>
      <c r="MVK21" s="188"/>
      <c r="MVL21" s="188"/>
      <c r="MVM21" s="188"/>
      <c r="MVN21" s="188"/>
      <c r="MVO21" s="188"/>
      <c r="MVP21" s="188"/>
      <c r="MVQ21" s="188"/>
      <c r="MVR21" s="188"/>
      <c r="MVS21" s="188"/>
      <c r="MVT21" s="188"/>
      <c r="MVU21" s="188"/>
      <c r="MVV21" s="188"/>
      <c r="MVW21" s="188"/>
      <c r="MVX21" s="188"/>
      <c r="MVY21" s="188"/>
      <c r="MVZ21" s="188"/>
      <c r="MWA21" s="188"/>
      <c r="MWB21" s="188"/>
      <c r="MWC21" s="188"/>
      <c r="MWD21" s="188"/>
      <c r="MWE21" s="188"/>
      <c r="MWF21" s="188"/>
      <c r="MWG21" s="188"/>
      <c r="MWH21" s="188"/>
      <c r="MWI21" s="188"/>
      <c r="MWJ21" s="188"/>
      <c r="MWK21" s="188"/>
      <c r="MWL21" s="188"/>
      <c r="MWM21" s="188"/>
      <c r="MWN21" s="188"/>
      <c r="MWO21" s="188"/>
      <c r="MWP21" s="188"/>
      <c r="MWQ21" s="188"/>
      <c r="MWR21" s="188"/>
      <c r="MWS21" s="188"/>
      <c r="MWT21" s="188"/>
      <c r="MWU21" s="188"/>
      <c r="MWV21" s="188"/>
      <c r="MWW21" s="188"/>
      <c r="MWX21" s="188"/>
      <c r="MWY21" s="188"/>
      <c r="MWZ21" s="188"/>
      <c r="MXA21" s="188"/>
      <c r="MXB21" s="188"/>
      <c r="MXC21" s="188"/>
      <c r="MXD21" s="188"/>
      <c r="MXE21" s="188"/>
      <c r="MXF21" s="188"/>
      <c r="MXG21" s="188"/>
      <c r="MXH21" s="188"/>
      <c r="MXI21" s="188"/>
      <c r="MXJ21" s="188"/>
      <c r="MXK21" s="188"/>
      <c r="MXL21" s="188"/>
      <c r="MXM21" s="188"/>
      <c r="MXN21" s="188"/>
      <c r="MXO21" s="188"/>
      <c r="MXP21" s="188"/>
      <c r="MXQ21" s="188"/>
      <c r="MXR21" s="188"/>
      <c r="MXS21" s="188"/>
      <c r="MXT21" s="188"/>
      <c r="MXU21" s="188"/>
      <c r="MXV21" s="188"/>
      <c r="MXW21" s="188"/>
      <c r="MXX21" s="188"/>
      <c r="MXY21" s="188"/>
      <c r="MXZ21" s="188"/>
      <c r="MYA21" s="188"/>
      <c r="MYB21" s="188"/>
      <c r="MYC21" s="188"/>
      <c r="MYD21" s="188"/>
      <c r="MYE21" s="188"/>
      <c r="MYF21" s="188"/>
      <c r="MYG21" s="188"/>
      <c r="MYH21" s="188"/>
      <c r="MYI21" s="188"/>
      <c r="MYJ21" s="188"/>
      <c r="MYK21" s="188"/>
      <c r="MYL21" s="188"/>
      <c r="MYM21" s="188"/>
      <c r="MYN21" s="188"/>
      <c r="MYO21" s="188"/>
      <c r="MYP21" s="188"/>
      <c r="MYQ21" s="188"/>
      <c r="MYR21" s="188"/>
      <c r="MYS21" s="188"/>
      <c r="MYT21" s="188"/>
      <c r="MYU21" s="188"/>
      <c r="MYV21" s="188"/>
      <c r="MYW21" s="188"/>
      <c r="MYX21" s="188"/>
      <c r="MYY21" s="188"/>
      <c r="MYZ21" s="188"/>
      <c r="MZA21" s="188"/>
      <c r="MZB21" s="188"/>
      <c r="MZC21" s="188"/>
      <c r="MZD21" s="188"/>
      <c r="MZE21" s="188"/>
      <c r="MZF21" s="188"/>
      <c r="MZG21" s="188"/>
      <c r="MZH21" s="188"/>
      <c r="MZI21" s="188"/>
      <c r="MZJ21" s="188"/>
      <c r="MZK21" s="188"/>
      <c r="MZL21" s="188"/>
      <c r="MZM21" s="188"/>
      <c r="MZN21" s="188"/>
      <c r="MZO21" s="188"/>
      <c r="MZP21" s="188"/>
      <c r="MZQ21" s="188"/>
      <c r="MZR21" s="188"/>
      <c r="MZS21" s="188"/>
      <c r="MZT21" s="188"/>
      <c r="MZU21" s="188"/>
      <c r="MZV21" s="188"/>
      <c r="MZW21" s="188"/>
      <c r="MZX21" s="188"/>
      <c r="MZY21" s="188"/>
      <c r="MZZ21" s="188"/>
      <c r="NAA21" s="188"/>
      <c r="NAB21" s="188"/>
      <c r="NAC21" s="188"/>
      <c r="NAD21" s="188"/>
      <c r="NAE21" s="188"/>
      <c r="NAF21" s="188"/>
      <c r="NAG21" s="188"/>
      <c r="NAH21" s="188"/>
      <c r="NAI21" s="188"/>
      <c r="NAJ21" s="188"/>
      <c r="NAK21" s="188"/>
      <c r="NAL21" s="188"/>
      <c r="NAM21" s="188"/>
      <c r="NAN21" s="188"/>
      <c r="NAO21" s="188"/>
      <c r="NAP21" s="188"/>
      <c r="NAQ21" s="188"/>
      <c r="NAR21" s="188"/>
      <c r="NAS21" s="188"/>
      <c r="NAT21" s="188"/>
      <c r="NAU21" s="188"/>
      <c r="NAV21" s="188"/>
      <c r="NAW21" s="188"/>
      <c r="NAX21" s="188"/>
      <c r="NAY21" s="188"/>
      <c r="NAZ21" s="188"/>
      <c r="NBA21" s="188"/>
      <c r="NBB21" s="188"/>
      <c r="NBC21" s="188"/>
      <c r="NBD21" s="188"/>
      <c r="NBE21" s="188"/>
      <c r="NBF21" s="188"/>
      <c r="NBG21" s="188"/>
      <c r="NBH21" s="188"/>
      <c r="NBI21" s="188"/>
      <c r="NBJ21" s="188"/>
      <c r="NBK21" s="188"/>
      <c r="NBL21" s="188"/>
      <c r="NBM21" s="188"/>
      <c r="NBN21" s="188"/>
      <c r="NBO21" s="188"/>
      <c r="NBP21" s="188"/>
      <c r="NBQ21" s="188"/>
      <c r="NBR21" s="188"/>
      <c r="NBS21" s="188"/>
      <c r="NBT21" s="188"/>
      <c r="NBU21" s="188"/>
      <c r="NBV21" s="188"/>
      <c r="NBW21" s="188"/>
      <c r="NBX21" s="188"/>
      <c r="NBY21" s="188"/>
      <c r="NBZ21" s="188"/>
      <c r="NCA21" s="188"/>
      <c r="NCB21" s="188"/>
      <c r="NCC21" s="188"/>
      <c r="NCD21" s="188"/>
      <c r="NCE21" s="188"/>
      <c r="NCF21" s="188"/>
      <c r="NCG21" s="188"/>
      <c r="NCH21" s="188"/>
      <c r="NCI21" s="188"/>
      <c r="NCJ21" s="188"/>
      <c r="NCK21" s="188"/>
      <c r="NCL21" s="188"/>
      <c r="NCM21" s="188"/>
      <c r="NCN21" s="188"/>
      <c r="NCO21" s="188"/>
      <c r="NCP21" s="188"/>
      <c r="NCQ21" s="188"/>
      <c r="NCR21" s="188"/>
      <c r="NCS21" s="188"/>
      <c r="NCT21" s="188"/>
      <c r="NCU21" s="188"/>
      <c r="NCV21" s="188"/>
      <c r="NCW21" s="188"/>
      <c r="NCX21" s="188"/>
      <c r="NCY21" s="188"/>
      <c r="NCZ21" s="188"/>
      <c r="NDA21" s="188"/>
      <c r="NDB21" s="188"/>
      <c r="NDC21" s="188"/>
      <c r="NDD21" s="188"/>
      <c r="NDE21" s="188"/>
      <c r="NDF21" s="188"/>
      <c r="NDG21" s="188"/>
      <c r="NDH21" s="188"/>
      <c r="NDI21" s="188"/>
      <c r="NDJ21" s="188"/>
      <c r="NDK21" s="188"/>
      <c r="NDL21" s="188"/>
      <c r="NDM21" s="188"/>
      <c r="NDN21" s="188"/>
      <c r="NDO21" s="188"/>
      <c r="NDP21" s="188"/>
      <c r="NDQ21" s="188"/>
      <c r="NDR21" s="188"/>
      <c r="NDS21" s="188"/>
      <c r="NDT21" s="188"/>
      <c r="NDU21" s="188"/>
      <c r="NDV21" s="188"/>
      <c r="NDW21" s="188"/>
      <c r="NDX21" s="188"/>
      <c r="NDY21" s="188"/>
      <c r="NDZ21" s="188"/>
      <c r="NEA21" s="188"/>
      <c r="NEB21" s="188"/>
      <c r="NEC21" s="188"/>
      <c r="NED21" s="188"/>
      <c r="NEE21" s="188"/>
      <c r="NEF21" s="188"/>
      <c r="NEG21" s="188"/>
      <c r="NEH21" s="188"/>
      <c r="NEI21" s="188"/>
      <c r="NEJ21" s="188"/>
      <c r="NEK21" s="188"/>
      <c r="NEL21" s="188"/>
      <c r="NEM21" s="188"/>
      <c r="NEN21" s="188"/>
      <c r="NEO21" s="188"/>
      <c r="NEP21" s="188"/>
      <c r="NEQ21" s="188"/>
      <c r="NER21" s="188"/>
      <c r="NES21" s="188"/>
      <c r="NET21" s="188"/>
      <c r="NEU21" s="188"/>
      <c r="NEV21" s="188"/>
      <c r="NEW21" s="188"/>
      <c r="NEX21" s="188"/>
      <c r="NEY21" s="188"/>
      <c r="NEZ21" s="188"/>
      <c r="NFA21" s="188"/>
      <c r="NFB21" s="188"/>
      <c r="NFC21" s="188"/>
      <c r="NFD21" s="188"/>
      <c r="NFE21" s="188"/>
      <c r="NFF21" s="188"/>
      <c r="NFG21" s="188"/>
      <c r="NFH21" s="188"/>
      <c r="NFI21" s="188"/>
      <c r="NFJ21" s="188"/>
      <c r="NFK21" s="188"/>
      <c r="NFL21" s="188"/>
      <c r="NFM21" s="188"/>
      <c r="NFN21" s="188"/>
      <c r="NFO21" s="188"/>
      <c r="NFP21" s="188"/>
      <c r="NFQ21" s="188"/>
      <c r="NFR21" s="188"/>
      <c r="NFS21" s="188"/>
      <c r="NFT21" s="188"/>
      <c r="NFU21" s="188"/>
      <c r="NFV21" s="188"/>
      <c r="NFW21" s="188"/>
      <c r="NFX21" s="188"/>
      <c r="NFY21" s="188"/>
      <c r="NFZ21" s="188"/>
      <c r="NGA21" s="188"/>
      <c r="NGB21" s="188"/>
      <c r="NGC21" s="188"/>
      <c r="NGD21" s="188"/>
      <c r="NGE21" s="188"/>
      <c r="NGF21" s="188"/>
      <c r="NGG21" s="188"/>
      <c r="NGH21" s="188"/>
      <c r="NGI21" s="188"/>
      <c r="NGJ21" s="188"/>
      <c r="NGK21" s="188"/>
      <c r="NGL21" s="188"/>
      <c r="NGM21" s="188"/>
      <c r="NGN21" s="188"/>
      <c r="NGO21" s="188"/>
      <c r="NGP21" s="188"/>
      <c r="NGQ21" s="188"/>
      <c r="NGR21" s="188"/>
      <c r="NGS21" s="188"/>
      <c r="NGT21" s="188"/>
      <c r="NGU21" s="188"/>
      <c r="NGV21" s="188"/>
      <c r="NGW21" s="188"/>
      <c r="NGX21" s="188"/>
      <c r="NGY21" s="188"/>
      <c r="NGZ21" s="188"/>
      <c r="NHA21" s="188"/>
      <c r="NHB21" s="188"/>
      <c r="NHC21" s="188"/>
      <c r="NHD21" s="188"/>
      <c r="NHE21" s="188"/>
      <c r="NHF21" s="188"/>
      <c r="NHG21" s="188"/>
      <c r="NHH21" s="188"/>
      <c r="NHI21" s="188"/>
      <c r="NHJ21" s="188"/>
      <c r="NHK21" s="188"/>
      <c r="NHL21" s="188"/>
      <c r="NHM21" s="188"/>
      <c r="NHN21" s="188"/>
      <c r="NHO21" s="188"/>
      <c r="NHP21" s="188"/>
      <c r="NHQ21" s="188"/>
      <c r="NHR21" s="188"/>
      <c r="NHS21" s="188"/>
      <c r="NHT21" s="188"/>
      <c r="NHU21" s="188"/>
      <c r="NHV21" s="188"/>
      <c r="NHW21" s="188"/>
      <c r="NHX21" s="188"/>
      <c r="NHY21" s="188"/>
      <c r="NHZ21" s="188"/>
      <c r="NIA21" s="188"/>
      <c r="NIB21" s="188"/>
      <c r="NIC21" s="188"/>
      <c r="NID21" s="188"/>
      <c r="NIE21" s="188"/>
      <c r="NIF21" s="188"/>
      <c r="NIG21" s="188"/>
      <c r="NIH21" s="188"/>
      <c r="NII21" s="188"/>
      <c r="NIJ21" s="188"/>
      <c r="NIK21" s="188"/>
      <c r="NIL21" s="188"/>
      <c r="NIM21" s="188"/>
      <c r="NIN21" s="188"/>
      <c r="NIO21" s="188"/>
      <c r="NIP21" s="188"/>
      <c r="NIQ21" s="188"/>
      <c r="NIR21" s="188"/>
      <c r="NIS21" s="188"/>
      <c r="NIT21" s="188"/>
      <c r="NIU21" s="188"/>
      <c r="NIV21" s="188"/>
      <c r="NIW21" s="188"/>
      <c r="NIX21" s="188"/>
      <c r="NIY21" s="188"/>
      <c r="NIZ21" s="188"/>
      <c r="NJA21" s="188"/>
      <c r="NJB21" s="188"/>
      <c r="NJC21" s="188"/>
      <c r="NJD21" s="188"/>
      <c r="NJE21" s="188"/>
      <c r="NJF21" s="188"/>
      <c r="NJG21" s="188"/>
      <c r="NJH21" s="188"/>
      <c r="NJI21" s="188"/>
      <c r="NJJ21" s="188"/>
      <c r="NJK21" s="188"/>
      <c r="NJL21" s="188"/>
      <c r="NJM21" s="188"/>
      <c r="NJN21" s="188"/>
      <c r="NJO21" s="188"/>
      <c r="NJP21" s="188"/>
      <c r="NJQ21" s="188"/>
      <c r="NJR21" s="188"/>
      <c r="NJS21" s="188"/>
      <c r="NJT21" s="188"/>
      <c r="NJU21" s="188"/>
      <c r="NJV21" s="188"/>
      <c r="NJW21" s="188"/>
      <c r="NJX21" s="188"/>
      <c r="NJY21" s="188"/>
      <c r="NJZ21" s="188"/>
      <c r="NKA21" s="188"/>
      <c r="NKB21" s="188"/>
      <c r="NKC21" s="188"/>
      <c r="NKD21" s="188"/>
      <c r="NKE21" s="188"/>
      <c r="NKF21" s="188"/>
      <c r="NKG21" s="188"/>
      <c r="NKH21" s="188"/>
      <c r="NKI21" s="188"/>
      <c r="NKJ21" s="188"/>
      <c r="NKK21" s="188"/>
      <c r="NKL21" s="188"/>
      <c r="NKM21" s="188"/>
      <c r="NKN21" s="188"/>
      <c r="NKO21" s="188"/>
      <c r="NKP21" s="188"/>
      <c r="NKQ21" s="188"/>
      <c r="NKR21" s="188"/>
      <c r="NKS21" s="188"/>
      <c r="NKT21" s="188"/>
      <c r="NKU21" s="188"/>
      <c r="NKV21" s="188"/>
      <c r="NKW21" s="188"/>
      <c r="NKX21" s="188"/>
      <c r="NKY21" s="188"/>
      <c r="NKZ21" s="188"/>
      <c r="NLA21" s="188"/>
      <c r="NLB21" s="188"/>
      <c r="NLC21" s="188"/>
      <c r="NLD21" s="188"/>
      <c r="NLE21" s="188"/>
      <c r="NLF21" s="188"/>
      <c r="NLG21" s="188"/>
      <c r="NLH21" s="188"/>
      <c r="NLI21" s="188"/>
      <c r="NLJ21" s="188"/>
      <c r="NLK21" s="188"/>
      <c r="NLL21" s="188"/>
      <c r="NLM21" s="188"/>
      <c r="NLN21" s="188"/>
      <c r="NLO21" s="188"/>
      <c r="NLP21" s="188"/>
      <c r="NLQ21" s="188"/>
      <c r="NLR21" s="188"/>
      <c r="NLS21" s="188"/>
      <c r="NLT21" s="188"/>
      <c r="NLU21" s="188"/>
      <c r="NLV21" s="188"/>
      <c r="NLW21" s="188"/>
      <c r="NLX21" s="188"/>
      <c r="NLY21" s="188"/>
      <c r="NLZ21" s="188"/>
      <c r="NMA21" s="188"/>
      <c r="NMB21" s="188"/>
      <c r="NMC21" s="188"/>
      <c r="NMD21" s="188"/>
      <c r="NME21" s="188"/>
      <c r="NMF21" s="188"/>
      <c r="NMG21" s="188"/>
      <c r="NMH21" s="188"/>
      <c r="NMI21" s="188"/>
      <c r="NMJ21" s="188"/>
      <c r="NMK21" s="188"/>
      <c r="NML21" s="188"/>
      <c r="NMM21" s="188"/>
      <c r="NMN21" s="188"/>
      <c r="NMO21" s="188"/>
      <c r="NMP21" s="188"/>
      <c r="NMQ21" s="188"/>
      <c r="NMR21" s="188"/>
      <c r="NMS21" s="188"/>
      <c r="NMT21" s="188"/>
      <c r="NMU21" s="188"/>
      <c r="NMV21" s="188"/>
      <c r="NMW21" s="188"/>
      <c r="NMX21" s="188"/>
      <c r="NMY21" s="188"/>
      <c r="NMZ21" s="188"/>
      <c r="NNA21" s="188"/>
      <c r="NNB21" s="188"/>
      <c r="NNC21" s="188"/>
      <c r="NND21" s="188"/>
      <c r="NNE21" s="188"/>
      <c r="NNF21" s="188"/>
      <c r="NNG21" s="188"/>
      <c r="NNH21" s="188"/>
      <c r="NNI21" s="188"/>
      <c r="NNJ21" s="188"/>
      <c r="NNK21" s="188"/>
      <c r="NNL21" s="188"/>
      <c r="NNM21" s="188"/>
      <c r="NNN21" s="188"/>
      <c r="NNO21" s="188"/>
      <c r="NNP21" s="188"/>
      <c r="NNQ21" s="188"/>
      <c r="NNR21" s="188"/>
      <c r="NNS21" s="188"/>
      <c r="NNT21" s="188"/>
      <c r="NNU21" s="188"/>
      <c r="NNV21" s="188"/>
      <c r="NNW21" s="188"/>
      <c r="NNX21" s="188"/>
      <c r="NNY21" s="188"/>
      <c r="NNZ21" s="188"/>
      <c r="NOA21" s="188"/>
      <c r="NOB21" s="188"/>
      <c r="NOC21" s="188"/>
      <c r="NOD21" s="188"/>
      <c r="NOE21" s="188"/>
      <c r="NOF21" s="188"/>
      <c r="NOG21" s="188"/>
      <c r="NOH21" s="188"/>
      <c r="NOI21" s="188"/>
      <c r="NOJ21" s="188"/>
      <c r="NOK21" s="188"/>
      <c r="NOL21" s="188"/>
      <c r="NOM21" s="188"/>
      <c r="NON21" s="188"/>
      <c r="NOO21" s="188"/>
      <c r="NOP21" s="188"/>
      <c r="NOQ21" s="188"/>
      <c r="NOR21" s="188"/>
      <c r="NOS21" s="188"/>
      <c r="NOT21" s="188"/>
      <c r="NOU21" s="188"/>
      <c r="NOV21" s="188"/>
      <c r="NOW21" s="188"/>
      <c r="NOX21" s="188"/>
      <c r="NOY21" s="188"/>
      <c r="NOZ21" s="188"/>
      <c r="NPA21" s="188"/>
      <c r="NPB21" s="188"/>
      <c r="NPC21" s="188"/>
      <c r="NPD21" s="188"/>
      <c r="NPE21" s="188"/>
      <c r="NPF21" s="188"/>
      <c r="NPG21" s="188"/>
      <c r="NPH21" s="188"/>
      <c r="NPI21" s="188"/>
      <c r="NPJ21" s="188"/>
      <c r="NPK21" s="188"/>
      <c r="NPL21" s="188"/>
      <c r="NPM21" s="188"/>
      <c r="NPN21" s="188"/>
      <c r="NPO21" s="188"/>
      <c r="NPP21" s="188"/>
      <c r="NPQ21" s="188"/>
      <c r="NPR21" s="188"/>
      <c r="NPS21" s="188"/>
      <c r="NPT21" s="188"/>
      <c r="NPU21" s="188"/>
      <c r="NPV21" s="188"/>
      <c r="NPW21" s="188"/>
      <c r="NPX21" s="188"/>
      <c r="NPY21" s="188"/>
      <c r="NPZ21" s="188"/>
      <c r="NQA21" s="188"/>
      <c r="NQB21" s="188"/>
      <c r="NQC21" s="188"/>
      <c r="NQD21" s="188"/>
      <c r="NQE21" s="188"/>
      <c r="NQF21" s="188"/>
      <c r="NQG21" s="188"/>
      <c r="NQH21" s="188"/>
      <c r="NQI21" s="188"/>
      <c r="NQJ21" s="188"/>
      <c r="NQK21" s="188"/>
      <c r="NQL21" s="188"/>
      <c r="NQM21" s="188"/>
      <c r="NQN21" s="188"/>
      <c r="NQO21" s="188"/>
      <c r="NQP21" s="188"/>
      <c r="NQQ21" s="188"/>
      <c r="NQR21" s="188"/>
      <c r="NQS21" s="188"/>
      <c r="NQT21" s="188"/>
      <c r="NQU21" s="188"/>
      <c r="NQV21" s="188"/>
      <c r="NQW21" s="188"/>
      <c r="NQX21" s="188"/>
      <c r="NQY21" s="188"/>
      <c r="NQZ21" s="188"/>
      <c r="NRA21" s="188"/>
      <c r="NRB21" s="188"/>
      <c r="NRC21" s="188"/>
      <c r="NRD21" s="188"/>
      <c r="NRE21" s="188"/>
      <c r="NRF21" s="188"/>
      <c r="NRG21" s="188"/>
      <c r="NRH21" s="188"/>
      <c r="NRI21" s="188"/>
      <c r="NRJ21" s="188"/>
      <c r="NRK21" s="188"/>
      <c r="NRL21" s="188"/>
      <c r="NRM21" s="188"/>
      <c r="NRN21" s="188"/>
      <c r="NRO21" s="188"/>
      <c r="NRP21" s="188"/>
      <c r="NRQ21" s="188"/>
      <c r="NRR21" s="188"/>
      <c r="NRS21" s="188"/>
      <c r="NRT21" s="188"/>
      <c r="NRU21" s="188"/>
      <c r="NRV21" s="188"/>
      <c r="NRW21" s="188"/>
      <c r="NRX21" s="188"/>
      <c r="NRY21" s="188"/>
      <c r="NRZ21" s="188"/>
      <c r="NSA21" s="188"/>
      <c r="NSB21" s="188"/>
      <c r="NSC21" s="188"/>
      <c r="NSD21" s="188"/>
      <c r="NSE21" s="188"/>
      <c r="NSF21" s="188"/>
      <c r="NSG21" s="188"/>
      <c r="NSH21" s="188"/>
      <c r="NSI21" s="188"/>
      <c r="NSJ21" s="188"/>
      <c r="NSK21" s="188"/>
      <c r="NSL21" s="188"/>
      <c r="NSM21" s="188"/>
      <c r="NSN21" s="188"/>
      <c r="NSO21" s="188"/>
      <c r="NSP21" s="188"/>
      <c r="NSQ21" s="188"/>
      <c r="NSR21" s="188"/>
      <c r="NSS21" s="188"/>
      <c r="NST21" s="188"/>
      <c r="NSU21" s="188"/>
      <c r="NSV21" s="188"/>
      <c r="NSW21" s="188"/>
      <c r="NSX21" s="188"/>
      <c r="NSY21" s="188"/>
      <c r="NSZ21" s="188"/>
      <c r="NTA21" s="188"/>
      <c r="NTB21" s="188"/>
      <c r="NTC21" s="188"/>
      <c r="NTD21" s="188"/>
      <c r="NTE21" s="188"/>
      <c r="NTF21" s="188"/>
      <c r="NTG21" s="188"/>
      <c r="NTH21" s="188"/>
      <c r="NTI21" s="188"/>
      <c r="NTJ21" s="188"/>
      <c r="NTK21" s="188"/>
      <c r="NTL21" s="188"/>
      <c r="NTM21" s="188"/>
      <c r="NTN21" s="188"/>
      <c r="NTO21" s="188"/>
      <c r="NTP21" s="188"/>
      <c r="NTQ21" s="188"/>
      <c r="NTR21" s="188"/>
      <c r="NTS21" s="188"/>
      <c r="NTT21" s="188"/>
      <c r="NTU21" s="188"/>
      <c r="NTV21" s="188"/>
      <c r="NTW21" s="188"/>
      <c r="NTX21" s="188"/>
      <c r="NTY21" s="188"/>
      <c r="NTZ21" s="188"/>
      <c r="NUA21" s="188"/>
      <c r="NUB21" s="188"/>
      <c r="NUC21" s="188"/>
      <c r="NUD21" s="188"/>
      <c r="NUE21" s="188"/>
      <c r="NUF21" s="188"/>
      <c r="NUG21" s="188"/>
      <c r="NUH21" s="188"/>
      <c r="NUI21" s="188"/>
      <c r="NUJ21" s="188"/>
      <c r="NUK21" s="188"/>
      <c r="NUL21" s="188"/>
      <c r="NUM21" s="188"/>
      <c r="NUN21" s="188"/>
      <c r="NUO21" s="188"/>
      <c r="NUP21" s="188"/>
      <c r="NUQ21" s="188"/>
      <c r="NUR21" s="188"/>
      <c r="NUS21" s="188"/>
      <c r="NUT21" s="188"/>
      <c r="NUU21" s="188"/>
      <c r="NUV21" s="188"/>
      <c r="NUW21" s="188"/>
      <c r="NUX21" s="188"/>
      <c r="NUY21" s="188"/>
      <c r="NUZ21" s="188"/>
      <c r="NVA21" s="188"/>
      <c r="NVB21" s="188"/>
      <c r="NVC21" s="188"/>
      <c r="NVD21" s="188"/>
      <c r="NVE21" s="188"/>
      <c r="NVF21" s="188"/>
      <c r="NVG21" s="188"/>
      <c r="NVH21" s="188"/>
      <c r="NVI21" s="188"/>
      <c r="NVJ21" s="188"/>
      <c r="NVK21" s="188"/>
      <c r="NVL21" s="188"/>
      <c r="NVM21" s="188"/>
      <c r="NVN21" s="188"/>
      <c r="NVO21" s="188"/>
      <c r="NVP21" s="188"/>
      <c r="NVQ21" s="188"/>
      <c r="NVR21" s="188"/>
      <c r="NVS21" s="188"/>
      <c r="NVT21" s="188"/>
      <c r="NVU21" s="188"/>
      <c r="NVV21" s="188"/>
      <c r="NVW21" s="188"/>
      <c r="NVX21" s="188"/>
      <c r="NVY21" s="188"/>
      <c r="NVZ21" s="188"/>
      <c r="NWA21" s="188"/>
      <c r="NWB21" s="188"/>
      <c r="NWC21" s="188"/>
      <c r="NWD21" s="188"/>
      <c r="NWE21" s="188"/>
      <c r="NWF21" s="188"/>
      <c r="NWG21" s="188"/>
      <c r="NWH21" s="188"/>
      <c r="NWI21" s="188"/>
      <c r="NWJ21" s="188"/>
      <c r="NWK21" s="188"/>
      <c r="NWL21" s="188"/>
      <c r="NWM21" s="188"/>
      <c r="NWN21" s="188"/>
      <c r="NWO21" s="188"/>
      <c r="NWP21" s="188"/>
      <c r="NWQ21" s="188"/>
      <c r="NWR21" s="188"/>
      <c r="NWS21" s="188"/>
      <c r="NWT21" s="188"/>
      <c r="NWU21" s="188"/>
      <c r="NWV21" s="188"/>
      <c r="NWW21" s="188"/>
      <c r="NWX21" s="188"/>
      <c r="NWY21" s="188"/>
      <c r="NWZ21" s="188"/>
      <c r="NXA21" s="188"/>
      <c r="NXB21" s="188"/>
      <c r="NXC21" s="188"/>
      <c r="NXD21" s="188"/>
      <c r="NXE21" s="188"/>
      <c r="NXF21" s="188"/>
      <c r="NXG21" s="188"/>
      <c r="NXH21" s="188"/>
      <c r="NXI21" s="188"/>
      <c r="NXJ21" s="188"/>
      <c r="NXK21" s="188"/>
      <c r="NXL21" s="188"/>
      <c r="NXM21" s="188"/>
      <c r="NXN21" s="188"/>
      <c r="NXO21" s="188"/>
      <c r="NXP21" s="188"/>
      <c r="NXQ21" s="188"/>
      <c r="NXR21" s="188"/>
      <c r="NXS21" s="188"/>
      <c r="NXT21" s="188"/>
      <c r="NXU21" s="188"/>
      <c r="NXV21" s="188"/>
      <c r="NXW21" s="188"/>
      <c r="NXX21" s="188"/>
      <c r="NXY21" s="188"/>
      <c r="NXZ21" s="188"/>
      <c r="NYA21" s="188"/>
      <c r="NYB21" s="188"/>
      <c r="NYC21" s="188"/>
      <c r="NYD21" s="188"/>
      <c r="NYE21" s="188"/>
      <c r="NYF21" s="188"/>
      <c r="NYG21" s="188"/>
      <c r="NYH21" s="188"/>
      <c r="NYI21" s="188"/>
      <c r="NYJ21" s="188"/>
      <c r="NYK21" s="188"/>
      <c r="NYL21" s="188"/>
      <c r="NYM21" s="188"/>
      <c r="NYN21" s="188"/>
      <c r="NYO21" s="188"/>
      <c r="NYP21" s="188"/>
      <c r="NYQ21" s="188"/>
      <c r="NYR21" s="188"/>
      <c r="NYS21" s="188"/>
      <c r="NYT21" s="188"/>
      <c r="NYU21" s="188"/>
      <c r="NYV21" s="188"/>
      <c r="NYW21" s="188"/>
      <c r="NYX21" s="188"/>
      <c r="NYY21" s="188"/>
      <c r="NYZ21" s="188"/>
      <c r="NZA21" s="188"/>
      <c r="NZB21" s="188"/>
      <c r="NZC21" s="188"/>
      <c r="NZD21" s="188"/>
      <c r="NZE21" s="188"/>
      <c r="NZF21" s="188"/>
      <c r="NZG21" s="188"/>
      <c r="NZH21" s="188"/>
      <c r="NZI21" s="188"/>
      <c r="NZJ21" s="188"/>
      <c r="NZK21" s="188"/>
      <c r="NZL21" s="188"/>
      <c r="NZM21" s="188"/>
      <c r="NZN21" s="188"/>
      <c r="NZO21" s="188"/>
      <c r="NZP21" s="188"/>
      <c r="NZQ21" s="188"/>
      <c r="NZR21" s="188"/>
      <c r="NZS21" s="188"/>
      <c r="NZT21" s="188"/>
      <c r="NZU21" s="188"/>
      <c r="NZV21" s="188"/>
      <c r="NZW21" s="188"/>
      <c r="NZX21" s="188"/>
      <c r="NZY21" s="188"/>
      <c r="NZZ21" s="188"/>
      <c r="OAA21" s="188"/>
      <c r="OAB21" s="188"/>
      <c r="OAC21" s="188"/>
      <c r="OAD21" s="188"/>
      <c r="OAE21" s="188"/>
      <c r="OAF21" s="188"/>
      <c r="OAG21" s="188"/>
      <c r="OAH21" s="188"/>
      <c r="OAI21" s="188"/>
      <c r="OAJ21" s="188"/>
      <c r="OAK21" s="188"/>
      <c r="OAL21" s="188"/>
      <c r="OAM21" s="188"/>
      <c r="OAN21" s="188"/>
      <c r="OAO21" s="188"/>
      <c r="OAP21" s="188"/>
      <c r="OAQ21" s="188"/>
      <c r="OAR21" s="188"/>
      <c r="OAS21" s="188"/>
      <c r="OAT21" s="188"/>
      <c r="OAU21" s="188"/>
      <c r="OAV21" s="188"/>
      <c r="OAW21" s="188"/>
      <c r="OAX21" s="188"/>
      <c r="OAY21" s="188"/>
      <c r="OAZ21" s="188"/>
      <c r="OBA21" s="188"/>
      <c r="OBB21" s="188"/>
      <c r="OBC21" s="188"/>
      <c r="OBD21" s="188"/>
      <c r="OBE21" s="188"/>
      <c r="OBF21" s="188"/>
      <c r="OBG21" s="188"/>
      <c r="OBH21" s="188"/>
      <c r="OBI21" s="188"/>
      <c r="OBJ21" s="188"/>
      <c r="OBK21" s="188"/>
      <c r="OBL21" s="188"/>
      <c r="OBM21" s="188"/>
      <c r="OBN21" s="188"/>
      <c r="OBO21" s="188"/>
      <c r="OBP21" s="188"/>
      <c r="OBQ21" s="188"/>
      <c r="OBR21" s="188"/>
      <c r="OBS21" s="188"/>
      <c r="OBT21" s="188"/>
      <c r="OBU21" s="188"/>
      <c r="OBV21" s="188"/>
      <c r="OBW21" s="188"/>
      <c r="OBX21" s="188"/>
      <c r="OBY21" s="188"/>
      <c r="OBZ21" s="188"/>
      <c r="OCA21" s="188"/>
      <c r="OCB21" s="188"/>
      <c r="OCC21" s="188"/>
      <c r="OCD21" s="188"/>
      <c r="OCE21" s="188"/>
      <c r="OCF21" s="188"/>
      <c r="OCG21" s="188"/>
      <c r="OCH21" s="188"/>
      <c r="OCI21" s="188"/>
      <c r="OCJ21" s="188"/>
      <c r="OCK21" s="188"/>
      <c r="OCL21" s="188"/>
      <c r="OCM21" s="188"/>
      <c r="OCN21" s="188"/>
      <c r="OCO21" s="188"/>
      <c r="OCP21" s="188"/>
      <c r="OCQ21" s="188"/>
      <c r="OCR21" s="188"/>
      <c r="OCS21" s="188"/>
      <c r="OCT21" s="188"/>
      <c r="OCU21" s="188"/>
      <c r="OCV21" s="188"/>
      <c r="OCW21" s="188"/>
      <c r="OCX21" s="188"/>
      <c r="OCY21" s="188"/>
      <c r="OCZ21" s="188"/>
      <c r="ODA21" s="188"/>
      <c r="ODB21" s="188"/>
      <c r="ODC21" s="188"/>
      <c r="ODD21" s="188"/>
      <c r="ODE21" s="188"/>
      <c r="ODF21" s="188"/>
      <c r="ODG21" s="188"/>
      <c r="ODH21" s="188"/>
      <c r="ODI21" s="188"/>
      <c r="ODJ21" s="188"/>
      <c r="ODK21" s="188"/>
      <c r="ODL21" s="188"/>
      <c r="ODM21" s="188"/>
      <c r="ODN21" s="188"/>
      <c r="ODO21" s="188"/>
      <c r="ODP21" s="188"/>
      <c r="ODQ21" s="188"/>
      <c r="ODR21" s="188"/>
      <c r="ODS21" s="188"/>
      <c r="ODT21" s="188"/>
      <c r="ODU21" s="188"/>
      <c r="ODV21" s="188"/>
      <c r="ODW21" s="188"/>
      <c r="ODX21" s="188"/>
      <c r="ODY21" s="188"/>
      <c r="ODZ21" s="188"/>
      <c r="OEA21" s="188"/>
      <c r="OEB21" s="188"/>
      <c r="OEC21" s="188"/>
      <c r="OED21" s="188"/>
      <c r="OEE21" s="188"/>
      <c r="OEF21" s="188"/>
      <c r="OEG21" s="188"/>
      <c r="OEH21" s="188"/>
      <c r="OEI21" s="188"/>
      <c r="OEJ21" s="188"/>
      <c r="OEK21" s="188"/>
      <c r="OEL21" s="188"/>
      <c r="OEM21" s="188"/>
      <c r="OEN21" s="188"/>
      <c r="OEO21" s="188"/>
      <c r="OEP21" s="188"/>
      <c r="OEQ21" s="188"/>
      <c r="OER21" s="188"/>
      <c r="OES21" s="188"/>
      <c r="OET21" s="188"/>
      <c r="OEU21" s="188"/>
      <c r="OEV21" s="188"/>
      <c r="OEW21" s="188"/>
      <c r="OEX21" s="188"/>
      <c r="OEY21" s="188"/>
      <c r="OEZ21" s="188"/>
      <c r="OFA21" s="188"/>
      <c r="OFB21" s="188"/>
      <c r="OFC21" s="188"/>
      <c r="OFD21" s="188"/>
      <c r="OFE21" s="188"/>
      <c r="OFF21" s="188"/>
      <c r="OFG21" s="188"/>
      <c r="OFH21" s="188"/>
      <c r="OFI21" s="188"/>
      <c r="OFJ21" s="188"/>
      <c r="OFK21" s="188"/>
      <c r="OFL21" s="188"/>
      <c r="OFM21" s="188"/>
      <c r="OFN21" s="188"/>
      <c r="OFO21" s="188"/>
      <c r="OFP21" s="188"/>
      <c r="OFQ21" s="188"/>
      <c r="OFR21" s="188"/>
      <c r="OFS21" s="188"/>
      <c r="OFT21" s="188"/>
      <c r="OFU21" s="188"/>
      <c r="OFV21" s="188"/>
      <c r="OFW21" s="188"/>
      <c r="OFX21" s="188"/>
      <c r="OFY21" s="188"/>
      <c r="OFZ21" s="188"/>
      <c r="OGA21" s="188"/>
      <c r="OGB21" s="188"/>
      <c r="OGC21" s="188"/>
      <c r="OGD21" s="188"/>
      <c r="OGE21" s="188"/>
      <c r="OGF21" s="188"/>
      <c r="OGG21" s="188"/>
      <c r="OGH21" s="188"/>
      <c r="OGI21" s="188"/>
      <c r="OGJ21" s="188"/>
      <c r="OGK21" s="188"/>
      <c r="OGL21" s="188"/>
      <c r="OGM21" s="188"/>
      <c r="OGN21" s="188"/>
      <c r="OGO21" s="188"/>
      <c r="OGP21" s="188"/>
      <c r="OGQ21" s="188"/>
      <c r="OGR21" s="188"/>
      <c r="OGS21" s="188"/>
      <c r="OGT21" s="188"/>
      <c r="OGU21" s="188"/>
      <c r="OGV21" s="188"/>
      <c r="OGW21" s="188"/>
      <c r="OGX21" s="188"/>
      <c r="OGY21" s="188"/>
      <c r="OGZ21" s="188"/>
      <c r="OHA21" s="188"/>
      <c r="OHB21" s="188"/>
      <c r="OHC21" s="188"/>
      <c r="OHD21" s="188"/>
      <c r="OHE21" s="188"/>
      <c r="OHF21" s="188"/>
      <c r="OHG21" s="188"/>
      <c r="OHH21" s="188"/>
      <c r="OHI21" s="188"/>
      <c r="OHJ21" s="188"/>
      <c r="OHK21" s="188"/>
      <c r="OHL21" s="188"/>
      <c r="OHM21" s="188"/>
      <c r="OHN21" s="188"/>
      <c r="OHO21" s="188"/>
      <c r="OHP21" s="188"/>
      <c r="OHQ21" s="188"/>
      <c r="OHR21" s="188"/>
      <c r="OHS21" s="188"/>
      <c r="OHT21" s="188"/>
      <c r="OHU21" s="188"/>
      <c r="OHV21" s="188"/>
      <c r="OHW21" s="188"/>
      <c r="OHX21" s="188"/>
      <c r="OHY21" s="188"/>
      <c r="OHZ21" s="188"/>
      <c r="OIA21" s="188"/>
      <c r="OIB21" s="188"/>
      <c r="OIC21" s="188"/>
      <c r="OID21" s="188"/>
      <c r="OIE21" s="188"/>
      <c r="OIF21" s="188"/>
      <c r="OIG21" s="188"/>
      <c r="OIH21" s="188"/>
      <c r="OII21" s="188"/>
      <c r="OIJ21" s="188"/>
      <c r="OIK21" s="188"/>
      <c r="OIL21" s="188"/>
      <c r="OIM21" s="188"/>
      <c r="OIN21" s="188"/>
      <c r="OIO21" s="188"/>
      <c r="OIP21" s="188"/>
      <c r="OIQ21" s="188"/>
      <c r="OIR21" s="188"/>
      <c r="OIS21" s="188"/>
      <c r="OIT21" s="188"/>
      <c r="OIU21" s="188"/>
      <c r="OIV21" s="188"/>
      <c r="OIW21" s="188"/>
      <c r="OIX21" s="188"/>
      <c r="OIY21" s="188"/>
      <c r="OIZ21" s="188"/>
      <c r="OJA21" s="188"/>
      <c r="OJB21" s="188"/>
      <c r="OJC21" s="188"/>
      <c r="OJD21" s="188"/>
      <c r="OJE21" s="188"/>
      <c r="OJF21" s="188"/>
      <c r="OJG21" s="188"/>
      <c r="OJH21" s="188"/>
      <c r="OJI21" s="188"/>
      <c r="OJJ21" s="188"/>
      <c r="OJK21" s="188"/>
      <c r="OJL21" s="188"/>
      <c r="OJM21" s="188"/>
      <c r="OJN21" s="188"/>
      <c r="OJO21" s="188"/>
      <c r="OJP21" s="188"/>
      <c r="OJQ21" s="188"/>
      <c r="OJR21" s="188"/>
      <c r="OJS21" s="188"/>
      <c r="OJT21" s="188"/>
      <c r="OJU21" s="188"/>
      <c r="OJV21" s="188"/>
      <c r="OJW21" s="188"/>
      <c r="OJX21" s="188"/>
      <c r="OJY21" s="188"/>
      <c r="OJZ21" s="188"/>
      <c r="OKA21" s="188"/>
      <c r="OKB21" s="188"/>
      <c r="OKC21" s="188"/>
      <c r="OKD21" s="188"/>
      <c r="OKE21" s="188"/>
      <c r="OKF21" s="188"/>
      <c r="OKG21" s="188"/>
      <c r="OKH21" s="188"/>
      <c r="OKI21" s="188"/>
      <c r="OKJ21" s="188"/>
      <c r="OKK21" s="188"/>
      <c r="OKL21" s="188"/>
      <c r="OKM21" s="188"/>
      <c r="OKN21" s="188"/>
      <c r="OKO21" s="188"/>
      <c r="OKP21" s="188"/>
      <c r="OKQ21" s="188"/>
      <c r="OKR21" s="188"/>
      <c r="OKS21" s="188"/>
      <c r="OKT21" s="188"/>
      <c r="OKU21" s="188"/>
      <c r="OKV21" s="188"/>
      <c r="OKW21" s="188"/>
      <c r="OKX21" s="188"/>
      <c r="OKY21" s="188"/>
      <c r="OKZ21" s="188"/>
      <c r="OLA21" s="188"/>
      <c r="OLB21" s="188"/>
      <c r="OLC21" s="188"/>
      <c r="OLD21" s="188"/>
      <c r="OLE21" s="188"/>
      <c r="OLF21" s="188"/>
      <c r="OLG21" s="188"/>
      <c r="OLH21" s="188"/>
      <c r="OLI21" s="188"/>
      <c r="OLJ21" s="188"/>
      <c r="OLK21" s="188"/>
      <c r="OLL21" s="188"/>
      <c r="OLM21" s="188"/>
      <c r="OLN21" s="188"/>
      <c r="OLO21" s="188"/>
      <c r="OLP21" s="188"/>
      <c r="OLQ21" s="188"/>
      <c r="OLR21" s="188"/>
      <c r="OLS21" s="188"/>
      <c r="OLT21" s="188"/>
      <c r="OLU21" s="188"/>
      <c r="OLV21" s="188"/>
      <c r="OLW21" s="188"/>
      <c r="OLX21" s="188"/>
      <c r="OLY21" s="188"/>
      <c r="OLZ21" s="188"/>
      <c r="OMA21" s="188"/>
      <c r="OMB21" s="188"/>
      <c r="OMC21" s="188"/>
      <c r="OMD21" s="188"/>
      <c r="OME21" s="188"/>
      <c r="OMF21" s="188"/>
      <c r="OMG21" s="188"/>
      <c r="OMH21" s="188"/>
      <c r="OMI21" s="188"/>
      <c r="OMJ21" s="188"/>
      <c r="OMK21" s="188"/>
      <c r="OML21" s="188"/>
      <c r="OMM21" s="188"/>
      <c r="OMN21" s="188"/>
      <c r="OMO21" s="188"/>
      <c r="OMP21" s="188"/>
      <c r="OMQ21" s="188"/>
      <c r="OMR21" s="188"/>
      <c r="OMS21" s="188"/>
      <c r="OMT21" s="188"/>
      <c r="OMU21" s="188"/>
      <c r="OMV21" s="188"/>
      <c r="OMW21" s="188"/>
      <c r="OMX21" s="188"/>
      <c r="OMY21" s="188"/>
      <c r="OMZ21" s="188"/>
      <c r="ONA21" s="188"/>
      <c r="ONB21" s="188"/>
      <c r="ONC21" s="188"/>
      <c r="OND21" s="188"/>
      <c r="ONE21" s="188"/>
      <c r="ONF21" s="188"/>
      <c r="ONG21" s="188"/>
      <c r="ONH21" s="188"/>
      <c r="ONI21" s="188"/>
      <c r="ONJ21" s="188"/>
      <c r="ONK21" s="188"/>
      <c r="ONL21" s="188"/>
      <c r="ONM21" s="188"/>
      <c r="ONN21" s="188"/>
      <c r="ONO21" s="188"/>
      <c r="ONP21" s="188"/>
      <c r="ONQ21" s="188"/>
      <c r="ONR21" s="188"/>
      <c r="ONS21" s="188"/>
      <c r="ONT21" s="188"/>
      <c r="ONU21" s="188"/>
      <c r="ONV21" s="188"/>
      <c r="ONW21" s="188"/>
      <c r="ONX21" s="188"/>
      <c r="ONY21" s="188"/>
      <c r="ONZ21" s="188"/>
      <c r="OOA21" s="188"/>
      <c r="OOB21" s="188"/>
      <c r="OOC21" s="188"/>
      <c r="OOD21" s="188"/>
      <c r="OOE21" s="188"/>
      <c r="OOF21" s="188"/>
      <c r="OOG21" s="188"/>
      <c r="OOH21" s="188"/>
      <c r="OOI21" s="188"/>
      <c r="OOJ21" s="188"/>
      <c r="OOK21" s="188"/>
      <c r="OOL21" s="188"/>
      <c r="OOM21" s="188"/>
      <c r="OON21" s="188"/>
      <c r="OOO21" s="188"/>
      <c r="OOP21" s="188"/>
      <c r="OOQ21" s="188"/>
      <c r="OOR21" s="188"/>
      <c r="OOS21" s="188"/>
      <c r="OOT21" s="188"/>
      <c r="OOU21" s="188"/>
      <c r="OOV21" s="188"/>
      <c r="OOW21" s="188"/>
      <c r="OOX21" s="188"/>
      <c r="OOY21" s="188"/>
      <c r="OOZ21" s="188"/>
      <c r="OPA21" s="188"/>
      <c r="OPB21" s="188"/>
      <c r="OPC21" s="188"/>
      <c r="OPD21" s="188"/>
      <c r="OPE21" s="188"/>
      <c r="OPF21" s="188"/>
      <c r="OPG21" s="188"/>
      <c r="OPH21" s="188"/>
      <c r="OPI21" s="188"/>
      <c r="OPJ21" s="188"/>
      <c r="OPK21" s="188"/>
      <c r="OPL21" s="188"/>
      <c r="OPM21" s="188"/>
      <c r="OPN21" s="188"/>
      <c r="OPO21" s="188"/>
      <c r="OPP21" s="188"/>
      <c r="OPQ21" s="188"/>
      <c r="OPR21" s="188"/>
      <c r="OPS21" s="188"/>
      <c r="OPT21" s="188"/>
      <c r="OPU21" s="188"/>
      <c r="OPV21" s="188"/>
      <c r="OPW21" s="188"/>
      <c r="OPX21" s="188"/>
      <c r="OPY21" s="188"/>
      <c r="OPZ21" s="188"/>
      <c r="OQA21" s="188"/>
      <c r="OQB21" s="188"/>
      <c r="OQC21" s="188"/>
      <c r="OQD21" s="188"/>
      <c r="OQE21" s="188"/>
      <c r="OQF21" s="188"/>
      <c r="OQG21" s="188"/>
      <c r="OQH21" s="188"/>
      <c r="OQI21" s="188"/>
      <c r="OQJ21" s="188"/>
      <c r="OQK21" s="188"/>
      <c r="OQL21" s="188"/>
      <c r="OQM21" s="188"/>
      <c r="OQN21" s="188"/>
      <c r="OQO21" s="188"/>
      <c r="OQP21" s="188"/>
      <c r="OQQ21" s="188"/>
      <c r="OQR21" s="188"/>
      <c r="OQS21" s="188"/>
      <c r="OQT21" s="188"/>
      <c r="OQU21" s="188"/>
      <c r="OQV21" s="188"/>
      <c r="OQW21" s="188"/>
      <c r="OQX21" s="188"/>
      <c r="OQY21" s="188"/>
      <c r="OQZ21" s="188"/>
      <c r="ORA21" s="188"/>
      <c r="ORB21" s="188"/>
      <c r="ORC21" s="188"/>
      <c r="ORD21" s="188"/>
      <c r="ORE21" s="188"/>
      <c r="ORF21" s="188"/>
      <c r="ORG21" s="188"/>
      <c r="ORH21" s="188"/>
      <c r="ORI21" s="188"/>
      <c r="ORJ21" s="188"/>
      <c r="ORK21" s="188"/>
      <c r="ORL21" s="188"/>
      <c r="ORM21" s="188"/>
      <c r="ORN21" s="188"/>
      <c r="ORO21" s="188"/>
      <c r="ORP21" s="188"/>
      <c r="ORQ21" s="188"/>
      <c r="ORR21" s="188"/>
      <c r="ORS21" s="188"/>
      <c r="ORT21" s="188"/>
      <c r="ORU21" s="188"/>
      <c r="ORV21" s="188"/>
      <c r="ORW21" s="188"/>
      <c r="ORX21" s="188"/>
      <c r="ORY21" s="188"/>
      <c r="ORZ21" s="188"/>
      <c r="OSA21" s="188"/>
      <c r="OSB21" s="188"/>
      <c r="OSC21" s="188"/>
      <c r="OSD21" s="188"/>
      <c r="OSE21" s="188"/>
      <c r="OSF21" s="188"/>
      <c r="OSG21" s="188"/>
      <c r="OSH21" s="188"/>
      <c r="OSI21" s="188"/>
      <c r="OSJ21" s="188"/>
      <c r="OSK21" s="188"/>
      <c r="OSL21" s="188"/>
      <c r="OSM21" s="188"/>
      <c r="OSN21" s="188"/>
      <c r="OSO21" s="188"/>
      <c r="OSP21" s="188"/>
      <c r="OSQ21" s="188"/>
      <c r="OSR21" s="188"/>
      <c r="OSS21" s="188"/>
      <c r="OST21" s="188"/>
      <c r="OSU21" s="188"/>
      <c r="OSV21" s="188"/>
      <c r="OSW21" s="188"/>
      <c r="OSX21" s="188"/>
      <c r="OSY21" s="188"/>
      <c r="OSZ21" s="188"/>
      <c r="OTA21" s="188"/>
      <c r="OTB21" s="188"/>
      <c r="OTC21" s="188"/>
      <c r="OTD21" s="188"/>
      <c r="OTE21" s="188"/>
      <c r="OTF21" s="188"/>
      <c r="OTG21" s="188"/>
      <c r="OTH21" s="188"/>
      <c r="OTI21" s="188"/>
      <c r="OTJ21" s="188"/>
      <c r="OTK21" s="188"/>
      <c r="OTL21" s="188"/>
      <c r="OTM21" s="188"/>
      <c r="OTN21" s="188"/>
      <c r="OTO21" s="188"/>
      <c r="OTP21" s="188"/>
      <c r="OTQ21" s="188"/>
      <c r="OTR21" s="188"/>
      <c r="OTS21" s="188"/>
      <c r="OTT21" s="188"/>
      <c r="OTU21" s="188"/>
      <c r="OTV21" s="188"/>
      <c r="OTW21" s="188"/>
      <c r="OTX21" s="188"/>
      <c r="OTY21" s="188"/>
      <c r="OTZ21" s="188"/>
      <c r="OUA21" s="188"/>
      <c r="OUB21" s="188"/>
      <c r="OUC21" s="188"/>
      <c r="OUD21" s="188"/>
      <c r="OUE21" s="188"/>
      <c r="OUF21" s="188"/>
      <c r="OUG21" s="188"/>
      <c r="OUH21" s="188"/>
      <c r="OUI21" s="188"/>
      <c r="OUJ21" s="188"/>
      <c r="OUK21" s="188"/>
      <c r="OUL21" s="188"/>
      <c r="OUM21" s="188"/>
      <c r="OUN21" s="188"/>
      <c r="OUO21" s="188"/>
      <c r="OUP21" s="188"/>
      <c r="OUQ21" s="188"/>
      <c r="OUR21" s="188"/>
      <c r="OUS21" s="188"/>
      <c r="OUT21" s="188"/>
      <c r="OUU21" s="188"/>
      <c r="OUV21" s="188"/>
      <c r="OUW21" s="188"/>
      <c r="OUX21" s="188"/>
      <c r="OUY21" s="188"/>
      <c r="OUZ21" s="188"/>
      <c r="OVA21" s="188"/>
      <c r="OVB21" s="188"/>
      <c r="OVC21" s="188"/>
      <c r="OVD21" s="188"/>
      <c r="OVE21" s="188"/>
      <c r="OVF21" s="188"/>
      <c r="OVG21" s="188"/>
      <c r="OVH21" s="188"/>
      <c r="OVI21" s="188"/>
      <c r="OVJ21" s="188"/>
      <c r="OVK21" s="188"/>
      <c r="OVL21" s="188"/>
      <c r="OVM21" s="188"/>
      <c r="OVN21" s="188"/>
      <c r="OVO21" s="188"/>
      <c r="OVP21" s="188"/>
      <c r="OVQ21" s="188"/>
      <c r="OVR21" s="188"/>
      <c r="OVS21" s="188"/>
      <c r="OVT21" s="188"/>
      <c r="OVU21" s="188"/>
      <c r="OVV21" s="188"/>
      <c r="OVW21" s="188"/>
      <c r="OVX21" s="188"/>
      <c r="OVY21" s="188"/>
      <c r="OVZ21" s="188"/>
      <c r="OWA21" s="188"/>
      <c r="OWB21" s="188"/>
      <c r="OWC21" s="188"/>
      <c r="OWD21" s="188"/>
      <c r="OWE21" s="188"/>
      <c r="OWF21" s="188"/>
      <c r="OWG21" s="188"/>
      <c r="OWH21" s="188"/>
      <c r="OWI21" s="188"/>
      <c r="OWJ21" s="188"/>
      <c r="OWK21" s="188"/>
      <c r="OWL21" s="188"/>
      <c r="OWM21" s="188"/>
      <c r="OWN21" s="188"/>
      <c r="OWO21" s="188"/>
      <c r="OWP21" s="188"/>
      <c r="OWQ21" s="188"/>
      <c r="OWR21" s="188"/>
      <c r="OWS21" s="188"/>
      <c r="OWT21" s="188"/>
      <c r="OWU21" s="188"/>
      <c r="OWV21" s="188"/>
      <c r="OWW21" s="188"/>
      <c r="OWX21" s="188"/>
      <c r="OWY21" s="188"/>
      <c r="OWZ21" s="188"/>
      <c r="OXA21" s="188"/>
      <c r="OXB21" s="188"/>
      <c r="OXC21" s="188"/>
      <c r="OXD21" s="188"/>
      <c r="OXE21" s="188"/>
      <c r="OXF21" s="188"/>
      <c r="OXG21" s="188"/>
      <c r="OXH21" s="188"/>
      <c r="OXI21" s="188"/>
      <c r="OXJ21" s="188"/>
      <c r="OXK21" s="188"/>
      <c r="OXL21" s="188"/>
      <c r="OXM21" s="188"/>
      <c r="OXN21" s="188"/>
      <c r="OXO21" s="188"/>
      <c r="OXP21" s="188"/>
      <c r="OXQ21" s="188"/>
      <c r="OXR21" s="188"/>
      <c r="OXS21" s="188"/>
      <c r="OXT21" s="188"/>
      <c r="OXU21" s="188"/>
      <c r="OXV21" s="188"/>
      <c r="OXW21" s="188"/>
      <c r="OXX21" s="188"/>
      <c r="OXY21" s="188"/>
      <c r="OXZ21" s="188"/>
      <c r="OYA21" s="188"/>
      <c r="OYB21" s="188"/>
      <c r="OYC21" s="188"/>
      <c r="OYD21" s="188"/>
      <c r="OYE21" s="188"/>
      <c r="OYF21" s="188"/>
      <c r="OYG21" s="188"/>
      <c r="OYH21" s="188"/>
      <c r="OYI21" s="188"/>
      <c r="OYJ21" s="188"/>
      <c r="OYK21" s="188"/>
      <c r="OYL21" s="188"/>
      <c r="OYM21" s="188"/>
      <c r="OYN21" s="188"/>
      <c r="OYO21" s="188"/>
      <c r="OYP21" s="188"/>
      <c r="OYQ21" s="188"/>
      <c r="OYR21" s="188"/>
      <c r="OYS21" s="188"/>
      <c r="OYT21" s="188"/>
      <c r="OYU21" s="188"/>
      <c r="OYV21" s="188"/>
      <c r="OYW21" s="188"/>
      <c r="OYX21" s="188"/>
      <c r="OYY21" s="188"/>
      <c r="OYZ21" s="188"/>
      <c r="OZA21" s="188"/>
      <c r="OZB21" s="188"/>
      <c r="OZC21" s="188"/>
      <c r="OZD21" s="188"/>
      <c r="OZE21" s="188"/>
      <c r="OZF21" s="188"/>
      <c r="OZG21" s="188"/>
      <c r="OZH21" s="188"/>
      <c r="OZI21" s="188"/>
      <c r="OZJ21" s="188"/>
      <c r="OZK21" s="188"/>
      <c r="OZL21" s="188"/>
      <c r="OZM21" s="188"/>
      <c r="OZN21" s="188"/>
      <c r="OZO21" s="188"/>
      <c r="OZP21" s="188"/>
      <c r="OZQ21" s="188"/>
      <c r="OZR21" s="188"/>
      <c r="OZS21" s="188"/>
      <c r="OZT21" s="188"/>
      <c r="OZU21" s="188"/>
      <c r="OZV21" s="188"/>
      <c r="OZW21" s="188"/>
      <c r="OZX21" s="188"/>
      <c r="OZY21" s="188"/>
      <c r="OZZ21" s="188"/>
      <c r="PAA21" s="188"/>
      <c r="PAB21" s="188"/>
      <c r="PAC21" s="188"/>
      <c r="PAD21" s="188"/>
      <c r="PAE21" s="188"/>
      <c r="PAF21" s="188"/>
      <c r="PAG21" s="188"/>
      <c r="PAH21" s="188"/>
      <c r="PAI21" s="188"/>
      <c r="PAJ21" s="188"/>
      <c r="PAK21" s="188"/>
      <c r="PAL21" s="188"/>
      <c r="PAM21" s="188"/>
      <c r="PAN21" s="188"/>
      <c r="PAO21" s="188"/>
      <c r="PAP21" s="188"/>
      <c r="PAQ21" s="188"/>
      <c r="PAR21" s="188"/>
      <c r="PAS21" s="188"/>
      <c r="PAT21" s="188"/>
      <c r="PAU21" s="188"/>
      <c r="PAV21" s="188"/>
      <c r="PAW21" s="188"/>
      <c r="PAX21" s="188"/>
      <c r="PAY21" s="188"/>
      <c r="PAZ21" s="188"/>
      <c r="PBA21" s="188"/>
      <c r="PBB21" s="188"/>
      <c r="PBC21" s="188"/>
      <c r="PBD21" s="188"/>
      <c r="PBE21" s="188"/>
      <c r="PBF21" s="188"/>
      <c r="PBG21" s="188"/>
      <c r="PBH21" s="188"/>
      <c r="PBI21" s="188"/>
      <c r="PBJ21" s="188"/>
      <c r="PBK21" s="188"/>
      <c r="PBL21" s="188"/>
      <c r="PBM21" s="188"/>
      <c r="PBN21" s="188"/>
      <c r="PBO21" s="188"/>
      <c r="PBP21" s="188"/>
      <c r="PBQ21" s="188"/>
      <c r="PBR21" s="188"/>
      <c r="PBS21" s="188"/>
      <c r="PBT21" s="188"/>
      <c r="PBU21" s="188"/>
      <c r="PBV21" s="188"/>
      <c r="PBW21" s="188"/>
      <c r="PBX21" s="188"/>
      <c r="PBY21" s="188"/>
      <c r="PBZ21" s="188"/>
      <c r="PCA21" s="188"/>
      <c r="PCB21" s="188"/>
      <c r="PCC21" s="188"/>
      <c r="PCD21" s="188"/>
      <c r="PCE21" s="188"/>
      <c r="PCF21" s="188"/>
      <c r="PCG21" s="188"/>
      <c r="PCH21" s="188"/>
      <c r="PCI21" s="188"/>
      <c r="PCJ21" s="188"/>
      <c r="PCK21" s="188"/>
      <c r="PCL21" s="188"/>
      <c r="PCM21" s="188"/>
      <c r="PCN21" s="188"/>
      <c r="PCO21" s="188"/>
      <c r="PCP21" s="188"/>
      <c r="PCQ21" s="188"/>
      <c r="PCR21" s="188"/>
      <c r="PCS21" s="188"/>
      <c r="PCT21" s="188"/>
      <c r="PCU21" s="188"/>
      <c r="PCV21" s="188"/>
      <c r="PCW21" s="188"/>
      <c r="PCX21" s="188"/>
      <c r="PCY21" s="188"/>
      <c r="PCZ21" s="188"/>
      <c r="PDA21" s="188"/>
      <c r="PDB21" s="188"/>
      <c r="PDC21" s="188"/>
      <c r="PDD21" s="188"/>
      <c r="PDE21" s="188"/>
      <c r="PDF21" s="188"/>
      <c r="PDG21" s="188"/>
      <c r="PDH21" s="188"/>
      <c r="PDI21" s="188"/>
      <c r="PDJ21" s="188"/>
      <c r="PDK21" s="188"/>
      <c r="PDL21" s="188"/>
      <c r="PDM21" s="188"/>
      <c r="PDN21" s="188"/>
      <c r="PDO21" s="188"/>
      <c r="PDP21" s="188"/>
      <c r="PDQ21" s="188"/>
      <c r="PDR21" s="188"/>
      <c r="PDS21" s="188"/>
      <c r="PDT21" s="188"/>
      <c r="PDU21" s="188"/>
      <c r="PDV21" s="188"/>
      <c r="PDW21" s="188"/>
      <c r="PDX21" s="188"/>
      <c r="PDY21" s="188"/>
      <c r="PDZ21" s="188"/>
      <c r="PEA21" s="188"/>
      <c r="PEB21" s="188"/>
      <c r="PEC21" s="188"/>
      <c r="PED21" s="188"/>
      <c r="PEE21" s="188"/>
      <c r="PEF21" s="188"/>
      <c r="PEG21" s="188"/>
      <c r="PEH21" s="188"/>
      <c r="PEI21" s="188"/>
      <c r="PEJ21" s="188"/>
      <c r="PEK21" s="188"/>
      <c r="PEL21" s="188"/>
      <c r="PEM21" s="188"/>
      <c r="PEN21" s="188"/>
      <c r="PEO21" s="188"/>
      <c r="PEP21" s="188"/>
      <c r="PEQ21" s="188"/>
      <c r="PER21" s="188"/>
      <c r="PES21" s="188"/>
      <c r="PET21" s="188"/>
      <c r="PEU21" s="188"/>
      <c r="PEV21" s="188"/>
      <c r="PEW21" s="188"/>
      <c r="PEX21" s="188"/>
      <c r="PEY21" s="188"/>
      <c r="PEZ21" s="188"/>
      <c r="PFA21" s="188"/>
      <c r="PFB21" s="188"/>
      <c r="PFC21" s="188"/>
      <c r="PFD21" s="188"/>
      <c r="PFE21" s="188"/>
      <c r="PFF21" s="188"/>
      <c r="PFG21" s="188"/>
      <c r="PFH21" s="188"/>
      <c r="PFI21" s="188"/>
      <c r="PFJ21" s="188"/>
      <c r="PFK21" s="188"/>
      <c r="PFL21" s="188"/>
      <c r="PFM21" s="188"/>
      <c r="PFN21" s="188"/>
      <c r="PFO21" s="188"/>
      <c r="PFP21" s="188"/>
      <c r="PFQ21" s="188"/>
      <c r="PFR21" s="188"/>
      <c r="PFS21" s="188"/>
      <c r="PFT21" s="188"/>
      <c r="PFU21" s="188"/>
      <c r="PFV21" s="188"/>
      <c r="PFW21" s="188"/>
      <c r="PFX21" s="188"/>
      <c r="PFY21" s="188"/>
      <c r="PFZ21" s="188"/>
      <c r="PGA21" s="188"/>
      <c r="PGB21" s="188"/>
      <c r="PGC21" s="188"/>
      <c r="PGD21" s="188"/>
      <c r="PGE21" s="188"/>
      <c r="PGF21" s="188"/>
      <c r="PGG21" s="188"/>
      <c r="PGH21" s="188"/>
      <c r="PGI21" s="188"/>
      <c r="PGJ21" s="188"/>
      <c r="PGK21" s="188"/>
      <c r="PGL21" s="188"/>
      <c r="PGM21" s="188"/>
      <c r="PGN21" s="188"/>
      <c r="PGO21" s="188"/>
      <c r="PGP21" s="188"/>
      <c r="PGQ21" s="188"/>
      <c r="PGR21" s="188"/>
      <c r="PGS21" s="188"/>
      <c r="PGT21" s="188"/>
      <c r="PGU21" s="188"/>
      <c r="PGV21" s="188"/>
      <c r="PGW21" s="188"/>
      <c r="PGX21" s="188"/>
      <c r="PGY21" s="188"/>
      <c r="PGZ21" s="188"/>
      <c r="PHA21" s="188"/>
      <c r="PHB21" s="188"/>
      <c r="PHC21" s="188"/>
      <c r="PHD21" s="188"/>
      <c r="PHE21" s="188"/>
      <c r="PHF21" s="188"/>
      <c r="PHG21" s="188"/>
      <c r="PHH21" s="188"/>
      <c r="PHI21" s="188"/>
      <c r="PHJ21" s="188"/>
      <c r="PHK21" s="188"/>
      <c r="PHL21" s="188"/>
      <c r="PHM21" s="188"/>
      <c r="PHN21" s="188"/>
      <c r="PHO21" s="188"/>
      <c r="PHP21" s="188"/>
      <c r="PHQ21" s="188"/>
      <c r="PHR21" s="188"/>
      <c r="PHS21" s="188"/>
      <c r="PHT21" s="188"/>
      <c r="PHU21" s="188"/>
      <c r="PHV21" s="188"/>
      <c r="PHW21" s="188"/>
      <c r="PHX21" s="188"/>
      <c r="PHY21" s="188"/>
      <c r="PHZ21" s="188"/>
      <c r="PIA21" s="188"/>
      <c r="PIB21" s="188"/>
      <c r="PIC21" s="188"/>
      <c r="PID21" s="188"/>
      <c r="PIE21" s="188"/>
      <c r="PIF21" s="188"/>
      <c r="PIG21" s="188"/>
      <c r="PIH21" s="188"/>
      <c r="PII21" s="188"/>
      <c r="PIJ21" s="188"/>
      <c r="PIK21" s="188"/>
      <c r="PIL21" s="188"/>
      <c r="PIM21" s="188"/>
      <c r="PIN21" s="188"/>
      <c r="PIO21" s="188"/>
      <c r="PIP21" s="188"/>
      <c r="PIQ21" s="188"/>
      <c r="PIR21" s="188"/>
      <c r="PIS21" s="188"/>
      <c r="PIT21" s="188"/>
      <c r="PIU21" s="188"/>
      <c r="PIV21" s="188"/>
      <c r="PIW21" s="188"/>
      <c r="PIX21" s="188"/>
      <c r="PIY21" s="188"/>
      <c r="PIZ21" s="188"/>
      <c r="PJA21" s="188"/>
      <c r="PJB21" s="188"/>
      <c r="PJC21" s="188"/>
      <c r="PJD21" s="188"/>
      <c r="PJE21" s="188"/>
      <c r="PJF21" s="188"/>
      <c r="PJG21" s="188"/>
      <c r="PJH21" s="188"/>
      <c r="PJI21" s="188"/>
      <c r="PJJ21" s="188"/>
      <c r="PJK21" s="188"/>
      <c r="PJL21" s="188"/>
      <c r="PJM21" s="188"/>
      <c r="PJN21" s="188"/>
      <c r="PJO21" s="188"/>
      <c r="PJP21" s="188"/>
      <c r="PJQ21" s="188"/>
      <c r="PJR21" s="188"/>
      <c r="PJS21" s="188"/>
      <c r="PJT21" s="188"/>
      <c r="PJU21" s="188"/>
      <c r="PJV21" s="188"/>
      <c r="PJW21" s="188"/>
      <c r="PJX21" s="188"/>
      <c r="PJY21" s="188"/>
      <c r="PJZ21" s="188"/>
      <c r="PKA21" s="188"/>
      <c r="PKB21" s="188"/>
      <c r="PKC21" s="188"/>
      <c r="PKD21" s="188"/>
      <c r="PKE21" s="188"/>
      <c r="PKF21" s="188"/>
      <c r="PKG21" s="188"/>
      <c r="PKH21" s="188"/>
      <c r="PKI21" s="188"/>
      <c r="PKJ21" s="188"/>
      <c r="PKK21" s="188"/>
      <c r="PKL21" s="188"/>
      <c r="PKM21" s="188"/>
      <c r="PKN21" s="188"/>
      <c r="PKO21" s="188"/>
      <c r="PKP21" s="188"/>
      <c r="PKQ21" s="188"/>
      <c r="PKR21" s="188"/>
      <c r="PKS21" s="188"/>
      <c r="PKT21" s="188"/>
      <c r="PKU21" s="188"/>
      <c r="PKV21" s="188"/>
      <c r="PKW21" s="188"/>
      <c r="PKX21" s="188"/>
      <c r="PKY21" s="188"/>
      <c r="PKZ21" s="188"/>
      <c r="PLA21" s="188"/>
      <c r="PLB21" s="188"/>
      <c r="PLC21" s="188"/>
      <c r="PLD21" s="188"/>
      <c r="PLE21" s="188"/>
      <c r="PLF21" s="188"/>
      <c r="PLG21" s="188"/>
      <c r="PLH21" s="188"/>
      <c r="PLI21" s="188"/>
      <c r="PLJ21" s="188"/>
      <c r="PLK21" s="188"/>
      <c r="PLL21" s="188"/>
      <c r="PLM21" s="188"/>
      <c r="PLN21" s="188"/>
      <c r="PLO21" s="188"/>
      <c r="PLP21" s="188"/>
      <c r="PLQ21" s="188"/>
      <c r="PLR21" s="188"/>
      <c r="PLS21" s="188"/>
      <c r="PLT21" s="188"/>
      <c r="PLU21" s="188"/>
      <c r="PLV21" s="188"/>
      <c r="PLW21" s="188"/>
      <c r="PLX21" s="188"/>
      <c r="PLY21" s="188"/>
      <c r="PLZ21" s="188"/>
      <c r="PMA21" s="188"/>
      <c r="PMB21" s="188"/>
      <c r="PMC21" s="188"/>
      <c r="PMD21" s="188"/>
      <c r="PME21" s="188"/>
      <c r="PMF21" s="188"/>
      <c r="PMG21" s="188"/>
      <c r="PMH21" s="188"/>
      <c r="PMI21" s="188"/>
      <c r="PMJ21" s="188"/>
      <c r="PMK21" s="188"/>
      <c r="PML21" s="188"/>
      <c r="PMM21" s="188"/>
      <c r="PMN21" s="188"/>
      <c r="PMO21" s="188"/>
      <c r="PMP21" s="188"/>
      <c r="PMQ21" s="188"/>
      <c r="PMR21" s="188"/>
      <c r="PMS21" s="188"/>
      <c r="PMT21" s="188"/>
      <c r="PMU21" s="188"/>
      <c r="PMV21" s="188"/>
      <c r="PMW21" s="188"/>
      <c r="PMX21" s="188"/>
      <c r="PMY21" s="188"/>
      <c r="PMZ21" s="188"/>
      <c r="PNA21" s="188"/>
      <c r="PNB21" s="188"/>
      <c r="PNC21" s="188"/>
      <c r="PND21" s="188"/>
      <c r="PNE21" s="188"/>
      <c r="PNF21" s="188"/>
      <c r="PNG21" s="188"/>
      <c r="PNH21" s="188"/>
      <c r="PNI21" s="188"/>
      <c r="PNJ21" s="188"/>
      <c r="PNK21" s="188"/>
      <c r="PNL21" s="188"/>
      <c r="PNM21" s="188"/>
      <c r="PNN21" s="188"/>
      <c r="PNO21" s="188"/>
      <c r="PNP21" s="188"/>
      <c r="PNQ21" s="188"/>
      <c r="PNR21" s="188"/>
      <c r="PNS21" s="188"/>
      <c r="PNT21" s="188"/>
      <c r="PNU21" s="188"/>
      <c r="PNV21" s="188"/>
      <c r="PNW21" s="188"/>
      <c r="PNX21" s="188"/>
      <c r="PNY21" s="188"/>
      <c r="PNZ21" s="188"/>
      <c r="POA21" s="188"/>
      <c r="POB21" s="188"/>
      <c r="POC21" s="188"/>
      <c r="POD21" s="188"/>
      <c r="POE21" s="188"/>
      <c r="POF21" s="188"/>
      <c r="POG21" s="188"/>
      <c r="POH21" s="188"/>
      <c r="POI21" s="188"/>
      <c r="POJ21" s="188"/>
      <c r="POK21" s="188"/>
      <c r="POL21" s="188"/>
      <c r="POM21" s="188"/>
      <c r="PON21" s="188"/>
      <c r="POO21" s="188"/>
      <c r="POP21" s="188"/>
      <c r="POQ21" s="188"/>
      <c r="POR21" s="188"/>
      <c r="POS21" s="188"/>
      <c r="POT21" s="188"/>
      <c r="POU21" s="188"/>
      <c r="POV21" s="188"/>
      <c r="POW21" s="188"/>
      <c r="POX21" s="188"/>
      <c r="POY21" s="188"/>
      <c r="POZ21" s="188"/>
      <c r="PPA21" s="188"/>
      <c r="PPB21" s="188"/>
      <c r="PPC21" s="188"/>
      <c r="PPD21" s="188"/>
      <c r="PPE21" s="188"/>
      <c r="PPF21" s="188"/>
      <c r="PPG21" s="188"/>
      <c r="PPH21" s="188"/>
      <c r="PPI21" s="188"/>
      <c r="PPJ21" s="188"/>
      <c r="PPK21" s="188"/>
      <c r="PPL21" s="188"/>
      <c r="PPM21" s="188"/>
      <c r="PPN21" s="188"/>
      <c r="PPO21" s="188"/>
      <c r="PPP21" s="188"/>
      <c r="PPQ21" s="188"/>
      <c r="PPR21" s="188"/>
      <c r="PPS21" s="188"/>
      <c r="PPT21" s="188"/>
      <c r="PPU21" s="188"/>
      <c r="PPV21" s="188"/>
      <c r="PPW21" s="188"/>
      <c r="PPX21" s="188"/>
      <c r="PPY21" s="188"/>
      <c r="PPZ21" s="188"/>
      <c r="PQA21" s="188"/>
      <c r="PQB21" s="188"/>
      <c r="PQC21" s="188"/>
      <c r="PQD21" s="188"/>
      <c r="PQE21" s="188"/>
      <c r="PQF21" s="188"/>
      <c r="PQG21" s="188"/>
      <c r="PQH21" s="188"/>
      <c r="PQI21" s="188"/>
      <c r="PQJ21" s="188"/>
      <c r="PQK21" s="188"/>
      <c r="PQL21" s="188"/>
      <c r="PQM21" s="188"/>
      <c r="PQN21" s="188"/>
      <c r="PQO21" s="188"/>
      <c r="PQP21" s="188"/>
      <c r="PQQ21" s="188"/>
      <c r="PQR21" s="188"/>
      <c r="PQS21" s="188"/>
      <c r="PQT21" s="188"/>
      <c r="PQU21" s="188"/>
      <c r="PQV21" s="188"/>
      <c r="PQW21" s="188"/>
      <c r="PQX21" s="188"/>
      <c r="PQY21" s="188"/>
      <c r="PQZ21" s="188"/>
      <c r="PRA21" s="188"/>
      <c r="PRB21" s="188"/>
      <c r="PRC21" s="188"/>
      <c r="PRD21" s="188"/>
      <c r="PRE21" s="188"/>
      <c r="PRF21" s="188"/>
      <c r="PRG21" s="188"/>
      <c r="PRH21" s="188"/>
      <c r="PRI21" s="188"/>
      <c r="PRJ21" s="188"/>
      <c r="PRK21" s="188"/>
      <c r="PRL21" s="188"/>
      <c r="PRM21" s="188"/>
      <c r="PRN21" s="188"/>
      <c r="PRO21" s="188"/>
      <c r="PRP21" s="188"/>
      <c r="PRQ21" s="188"/>
      <c r="PRR21" s="188"/>
      <c r="PRS21" s="188"/>
      <c r="PRT21" s="188"/>
      <c r="PRU21" s="188"/>
      <c r="PRV21" s="188"/>
      <c r="PRW21" s="188"/>
      <c r="PRX21" s="188"/>
      <c r="PRY21" s="188"/>
      <c r="PRZ21" s="188"/>
      <c r="PSA21" s="188"/>
      <c r="PSB21" s="188"/>
      <c r="PSC21" s="188"/>
      <c r="PSD21" s="188"/>
      <c r="PSE21" s="188"/>
      <c r="PSF21" s="188"/>
      <c r="PSG21" s="188"/>
      <c r="PSH21" s="188"/>
      <c r="PSI21" s="188"/>
      <c r="PSJ21" s="188"/>
      <c r="PSK21" s="188"/>
      <c r="PSL21" s="188"/>
      <c r="PSM21" s="188"/>
      <c r="PSN21" s="188"/>
      <c r="PSO21" s="188"/>
      <c r="PSP21" s="188"/>
      <c r="PSQ21" s="188"/>
      <c r="PSR21" s="188"/>
      <c r="PSS21" s="188"/>
      <c r="PST21" s="188"/>
      <c r="PSU21" s="188"/>
      <c r="PSV21" s="188"/>
      <c r="PSW21" s="188"/>
      <c r="PSX21" s="188"/>
      <c r="PSY21" s="188"/>
      <c r="PSZ21" s="188"/>
      <c r="PTA21" s="188"/>
      <c r="PTB21" s="188"/>
      <c r="PTC21" s="188"/>
      <c r="PTD21" s="188"/>
      <c r="PTE21" s="188"/>
      <c r="PTF21" s="188"/>
      <c r="PTG21" s="188"/>
      <c r="PTH21" s="188"/>
      <c r="PTI21" s="188"/>
      <c r="PTJ21" s="188"/>
      <c r="PTK21" s="188"/>
      <c r="PTL21" s="188"/>
      <c r="PTM21" s="188"/>
      <c r="PTN21" s="188"/>
      <c r="PTO21" s="188"/>
      <c r="PTP21" s="188"/>
      <c r="PTQ21" s="188"/>
      <c r="PTR21" s="188"/>
      <c r="PTS21" s="188"/>
      <c r="PTT21" s="188"/>
      <c r="PTU21" s="188"/>
      <c r="PTV21" s="188"/>
      <c r="PTW21" s="188"/>
      <c r="PTX21" s="188"/>
      <c r="PTY21" s="188"/>
      <c r="PTZ21" s="188"/>
      <c r="PUA21" s="188"/>
      <c r="PUB21" s="188"/>
      <c r="PUC21" s="188"/>
      <c r="PUD21" s="188"/>
      <c r="PUE21" s="188"/>
      <c r="PUF21" s="188"/>
      <c r="PUG21" s="188"/>
      <c r="PUH21" s="188"/>
      <c r="PUI21" s="188"/>
      <c r="PUJ21" s="188"/>
      <c r="PUK21" s="188"/>
      <c r="PUL21" s="188"/>
      <c r="PUM21" s="188"/>
      <c r="PUN21" s="188"/>
      <c r="PUO21" s="188"/>
      <c r="PUP21" s="188"/>
      <c r="PUQ21" s="188"/>
      <c r="PUR21" s="188"/>
      <c r="PUS21" s="188"/>
      <c r="PUT21" s="188"/>
      <c r="PUU21" s="188"/>
      <c r="PUV21" s="188"/>
      <c r="PUW21" s="188"/>
      <c r="PUX21" s="188"/>
      <c r="PUY21" s="188"/>
      <c r="PUZ21" s="188"/>
      <c r="PVA21" s="188"/>
      <c r="PVB21" s="188"/>
      <c r="PVC21" s="188"/>
      <c r="PVD21" s="188"/>
      <c r="PVE21" s="188"/>
      <c r="PVF21" s="188"/>
      <c r="PVG21" s="188"/>
      <c r="PVH21" s="188"/>
      <c r="PVI21" s="188"/>
      <c r="PVJ21" s="188"/>
      <c r="PVK21" s="188"/>
      <c r="PVL21" s="188"/>
      <c r="PVM21" s="188"/>
      <c r="PVN21" s="188"/>
      <c r="PVO21" s="188"/>
      <c r="PVP21" s="188"/>
      <c r="PVQ21" s="188"/>
      <c r="PVR21" s="188"/>
      <c r="PVS21" s="188"/>
      <c r="PVT21" s="188"/>
      <c r="PVU21" s="188"/>
      <c r="PVV21" s="188"/>
      <c r="PVW21" s="188"/>
      <c r="PVX21" s="188"/>
      <c r="PVY21" s="188"/>
      <c r="PVZ21" s="188"/>
      <c r="PWA21" s="188"/>
      <c r="PWB21" s="188"/>
      <c r="PWC21" s="188"/>
      <c r="PWD21" s="188"/>
      <c r="PWE21" s="188"/>
      <c r="PWF21" s="188"/>
      <c r="PWG21" s="188"/>
      <c r="PWH21" s="188"/>
      <c r="PWI21" s="188"/>
      <c r="PWJ21" s="188"/>
      <c r="PWK21" s="188"/>
      <c r="PWL21" s="188"/>
      <c r="PWM21" s="188"/>
      <c r="PWN21" s="188"/>
      <c r="PWO21" s="188"/>
      <c r="PWP21" s="188"/>
      <c r="PWQ21" s="188"/>
      <c r="PWR21" s="188"/>
      <c r="PWS21" s="188"/>
      <c r="PWT21" s="188"/>
      <c r="PWU21" s="188"/>
      <c r="PWV21" s="188"/>
      <c r="PWW21" s="188"/>
      <c r="PWX21" s="188"/>
      <c r="PWY21" s="188"/>
      <c r="PWZ21" s="188"/>
      <c r="PXA21" s="188"/>
      <c r="PXB21" s="188"/>
      <c r="PXC21" s="188"/>
      <c r="PXD21" s="188"/>
      <c r="PXE21" s="188"/>
      <c r="PXF21" s="188"/>
      <c r="PXG21" s="188"/>
      <c r="PXH21" s="188"/>
      <c r="PXI21" s="188"/>
      <c r="PXJ21" s="188"/>
      <c r="PXK21" s="188"/>
      <c r="PXL21" s="188"/>
      <c r="PXM21" s="188"/>
      <c r="PXN21" s="188"/>
      <c r="PXO21" s="188"/>
      <c r="PXP21" s="188"/>
      <c r="PXQ21" s="188"/>
      <c r="PXR21" s="188"/>
      <c r="PXS21" s="188"/>
      <c r="PXT21" s="188"/>
      <c r="PXU21" s="188"/>
      <c r="PXV21" s="188"/>
      <c r="PXW21" s="188"/>
      <c r="PXX21" s="188"/>
      <c r="PXY21" s="188"/>
      <c r="PXZ21" s="188"/>
      <c r="PYA21" s="188"/>
      <c r="PYB21" s="188"/>
      <c r="PYC21" s="188"/>
      <c r="PYD21" s="188"/>
      <c r="PYE21" s="188"/>
      <c r="PYF21" s="188"/>
      <c r="PYG21" s="188"/>
      <c r="PYH21" s="188"/>
      <c r="PYI21" s="188"/>
      <c r="PYJ21" s="188"/>
      <c r="PYK21" s="188"/>
      <c r="PYL21" s="188"/>
      <c r="PYM21" s="188"/>
      <c r="PYN21" s="188"/>
      <c r="PYO21" s="188"/>
      <c r="PYP21" s="188"/>
      <c r="PYQ21" s="188"/>
      <c r="PYR21" s="188"/>
      <c r="PYS21" s="188"/>
      <c r="PYT21" s="188"/>
      <c r="PYU21" s="188"/>
      <c r="PYV21" s="188"/>
      <c r="PYW21" s="188"/>
      <c r="PYX21" s="188"/>
      <c r="PYY21" s="188"/>
      <c r="PYZ21" s="188"/>
      <c r="PZA21" s="188"/>
      <c r="PZB21" s="188"/>
      <c r="PZC21" s="188"/>
      <c r="PZD21" s="188"/>
      <c r="PZE21" s="188"/>
      <c r="PZF21" s="188"/>
      <c r="PZG21" s="188"/>
      <c r="PZH21" s="188"/>
      <c r="PZI21" s="188"/>
      <c r="PZJ21" s="188"/>
      <c r="PZK21" s="188"/>
      <c r="PZL21" s="188"/>
      <c r="PZM21" s="188"/>
      <c r="PZN21" s="188"/>
      <c r="PZO21" s="188"/>
      <c r="PZP21" s="188"/>
      <c r="PZQ21" s="188"/>
      <c r="PZR21" s="188"/>
      <c r="PZS21" s="188"/>
      <c r="PZT21" s="188"/>
      <c r="PZU21" s="188"/>
      <c r="PZV21" s="188"/>
      <c r="PZW21" s="188"/>
      <c r="PZX21" s="188"/>
      <c r="PZY21" s="188"/>
      <c r="PZZ21" s="188"/>
      <c r="QAA21" s="188"/>
      <c r="QAB21" s="188"/>
      <c r="QAC21" s="188"/>
      <c r="QAD21" s="188"/>
      <c r="QAE21" s="188"/>
      <c r="QAF21" s="188"/>
      <c r="QAG21" s="188"/>
      <c r="QAH21" s="188"/>
      <c r="QAI21" s="188"/>
      <c r="QAJ21" s="188"/>
      <c r="QAK21" s="188"/>
      <c r="QAL21" s="188"/>
      <c r="QAM21" s="188"/>
      <c r="QAN21" s="188"/>
      <c r="QAO21" s="188"/>
      <c r="QAP21" s="188"/>
      <c r="QAQ21" s="188"/>
      <c r="QAR21" s="188"/>
      <c r="QAS21" s="188"/>
      <c r="QAT21" s="188"/>
      <c r="QAU21" s="188"/>
      <c r="QAV21" s="188"/>
      <c r="QAW21" s="188"/>
      <c r="QAX21" s="188"/>
      <c r="QAY21" s="188"/>
      <c r="QAZ21" s="188"/>
      <c r="QBA21" s="188"/>
      <c r="QBB21" s="188"/>
      <c r="QBC21" s="188"/>
      <c r="QBD21" s="188"/>
      <c r="QBE21" s="188"/>
      <c r="QBF21" s="188"/>
      <c r="QBG21" s="188"/>
      <c r="QBH21" s="188"/>
      <c r="QBI21" s="188"/>
      <c r="QBJ21" s="188"/>
      <c r="QBK21" s="188"/>
      <c r="QBL21" s="188"/>
      <c r="QBM21" s="188"/>
      <c r="QBN21" s="188"/>
      <c r="QBO21" s="188"/>
      <c r="QBP21" s="188"/>
      <c r="QBQ21" s="188"/>
      <c r="QBR21" s="188"/>
      <c r="QBS21" s="188"/>
      <c r="QBT21" s="188"/>
      <c r="QBU21" s="188"/>
      <c r="QBV21" s="188"/>
      <c r="QBW21" s="188"/>
      <c r="QBX21" s="188"/>
      <c r="QBY21" s="188"/>
      <c r="QBZ21" s="188"/>
      <c r="QCA21" s="188"/>
      <c r="QCB21" s="188"/>
      <c r="QCC21" s="188"/>
      <c r="QCD21" s="188"/>
      <c r="QCE21" s="188"/>
      <c r="QCF21" s="188"/>
      <c r="QCG21" s="188"/>
      <c r="QCH21" s="188"/>
      <c r="QCI21" s="188"/>
      <c r="QCJ21" s="188"/>
      <c r="QCK21" s="188"/>
      <c r="QCL21" s="188"/>
      <c r="QCM21" s="188"/>
      <c r="QCN21" s="188"/>
      <c r="QCO21" s="188"/>
      <c r="QCP21" s="188"/>
      <c r="QCQ21" s="188"/>
      <c r="QCR21" s="188"/>
      <c r="QCS21" s="188"/>
      <c r="QCT21" s="188"/>
      <c r="QCU21" s="188"/>
      <c r="QCV21" s="188"/>
      <c r="QCW21" s="188"/>
      <c r="QCX21" s="188"/>
      <c r="QCY21" s="188"/>
      <c r="QCZ21" s="188"/>
      <c r="QDA21" s="188"/>
      <c r="QDB21" s="188"/>
      <c r="QDC21" s="188"/>
      <c r="QDD21" s="188"/>
      <c r="QDE21" s="188"/>
      <c r="QDF21" s="188"/>
      <c r="QDG21" s="188"/>
      <c r="QDH21" s="188"/>
      <c r="QDI21" s="188"/>
      <c r="QDJ21" s="188"/>
      <c r="QDK21" s="188"/>
      <c r="QDL21" s="188"/>
      <c r="QDM21" s="188"/>
      <c r="QDN21" s="188"/>
      <c r="QDO21" s="188"/>
      <c r="QDP21" s="188"/>
      <c r="QDQ21" s="188"/>
      <c r="QDR21" s="188"/>
      <c r="QDS21" s="188"/>
      <c r="QDT21" s="188"/>
      <c r="QDU21" s="188"/>
      <c r="QDV21" s="188"/>
      <c r="QDW21" s="188"/>
      <c r="QDX21" s="188"/>
      <c r="QDY21" s="188"/>
      <c r="QDZ21" s="188"/>
      <c r="QEA21" s="188"/>
      <c r="QEB21" s="188"/>
      <c r="QEC21" s="188"/>
      <c r="QED21" s="188"/>
      <c r="QEE21" s="188"/>
      <c r="QEF21" s="188"/>
      <c r="QEG21" s="188"/>
      <c r="QEH21" s="188"/>
      <c r="QEI21" s="188"/>
      <c r="QEJ21" s="188"/>
      <c r="QEK21" s="188"/>
      <c r="QEL21" s="188"/>
      <c r="QEM21" s="188"/>
      <c r="QEN21" s="188"/>
      <c r="QEO21" s="188"/>
      <c r="QEP21" s="188"/>
      <c r="QEQ21" s="188"/>
      <c r="QER21" s="188"/>
      <c r="QES21" s="188"/>
      <c r="QET21" s="188"/>
      <c r="QEU21" s="188"/>
      <c r="QEV21" s="188"/>
      <c r="QEW21" s="188"/>
      <c r="QEX21" s="188"/>
      <c r="QEY21" s="188"/>
      <c r="QEZ21" s="188"/>
      <c r="QFA21" s="188"/>
      <c r="QFB21" s="188"/>
      <c r="QFC21" s="188"/>
      <c r="QFD21" s="188"/>
      <c r="QFE21" s="188"/>
      <c r="QFF21" s="188"/>
      <c r="QFG21" s="188"/>
      <c r="QFH21" s="188"/>
      <c r="QFI21" s="188"/>
      <c r="QFJ21" s="188"/>
      <c r="QFK21" s="188"/>
      <c r="QFL21" s="188"/>
      <c r="QFM21" s="188"/>
      <c r="QFN21" s="188"/>
      <c r="QFO21" s="188"/>
      <c r="QFP21" s="188"/>
      <c r="QFQ21" s="188"/>
      <c r="QFR21" s="188"/>
      <c r="QFS21" s="188"/>
      <c r="QFT21" s="188"/>
      <c r="QFU21" s="188"/>
      <c r="QFV21" s="188"/>
      <c r="QFW21" s="188"/>
      <c r="QFX21" s="188"/>
      <c r="QFY21" s="188"/>
      <c r="QFZ21" s="188"/>
      <c r="QGA21" s="188"/>
      <c r="QGB21" s="188"/>
      <c r="QGC21" s="188"/>
      <c r="QGD21" s="188"/>
      <c r="QGE21" s="188"/>
      <c r="QGF21" s="188"/>
      <c r="QGG21" s="188"/>
      <c r="QGH21" s="188"/>
      <c r="QGI21" s="188"/>
      <c r="QGJ21" s="188"/>
      <c r="QGK21" s="188"/>
      <c r="QGL21" s="188"/>
      <c r="QGM21" s="188"/>
      <c r="QGN21" s="188"/>
      <c r="QGO21" s="188"/>
      <c r="QGP21" s="188"/>
      <c r="QGQ21" s="188"/>
      <c r="QGR21" s="188"/>
      <c r="QGS21" s="188"/>
      <c r="QGT21" s="188"/>
      <c r="QGU21" s="188"/>
      <c r="QGV21" s="188"/>
      <c r="QGW21" s="188"/>
      <c r="QGX21" s="188"/>
      <c r="QGY21" s="188"/>
      <c r="QGZ21" s="188"/>
      <c r="QHA21" s="188"/>
      <c r="QHB21" s="188"/>
      <c r="QHC21" s="188"/>
      <c r="QHD21" s="188"/>
      <c r="QHE21" s="188"/>
      <c r="QHF21" s="188"/>
      <c r="QHG21" s="188"/>
      <c r="QHH21" s="188"/>
      <c r="QHI21" s="188"/>
      <c r="QHJ21" s="188"/>
      <c r="QHK21" s="188"/>
      <c r="QHL21" s="188"/>
      <c r="QHM21" s="188"/>
      <c r="QHN21" s="188"/>
      <c r="QHO21" s="188"/>
      <c r="QHP21" s="188"/>
      <c r="QHQ21" s="188"/>
      <c r="QHR21" s="188"/>
      <c r="QHS21" s="188"/>
      <c r="QHT21" s="188"/>
      <c r="QHU21" s="188"/>
      <c r="QHV21" s="188"/>
      <c r="QHW21" s="188"/>
      <c r="QHX21" s="188"/>
      <c r="QHY21" s="188"/>
      <c r="QHZ21" s="188"/>
      <c r="QIA21" s="188"/>
      <c r="QIB21" s="188"/>
      <c r="QIC21" s="188"/>
      <c r="QID21" s="188"/>
      <c r="QIE21" s="188"/>
      <c r="QIF21" s="188"/>
      <c r="QIG21" s="188"/>
      <c r="QIH21" s="188"/>
      <c r="QII21" s="188"/>
      <c r="QIJ21" s="188"/>
      <c r="QIK21" s="188"/>
      <c r="QIL21" s="188"/>
      <c r="QIM21" s="188"/>
      <c r="QIN21" s="188"/>
      <c r="QIO21" s="188"/>
      <c r="QIP21" s="188"/>
      <c r="QIQ21" s="188"/>
      <c r="QIR21" s="188"/>
      <c r="QIS21" s="188"/>
      <c r="QIT21" s="188"/>
      <c r="QIU21" s="188"/>
      <c r="QIV21" s="188"/>
      <c r="QIW21" s="188"/>
      <c r="QIX21" s="188"/>
      <c r="QIY21" s="188"/>
      <c r="QIZ21" s="188"/>
      <c r="QJA21" s="188"/>
      <c r="QJB21" s="188"/>
      <c r="QJC21" s="188"/>
      <c r="QJD21" s="188"/>
      <c r="QJE21" s="188"/>
      <c r="QJF21" s="188"/>
      <c r="QJG21" s="188"/>
      <c r="QJH21" s="188"/>
      <c r="QJI21" s="188"/>
      <c r="QJJ21" s="188"/>
      <c r="QJK21" s="188"/>
      <c r="QJL21" s="188"/>
      <c r="QJM21" s="188"/>
      <c r="QJN21" s="188"/>
      <c r="QJO21" s="188"/>
      <c r="QJP21" s="188"/>
      <c r="QJQ21" s="188"/>
      <c r="QJR21" s="188"/>
      <c r="QJS21" s="188"/>
      <c r="QJT21" s="188"/>
      <c r="QJU21" s="188"/>
      <c r="QJV21" s="188"/>
      <c r="QJW21" s="188"/>
      <c r="QJX21" s="188"/>
      <c r="QJY21" s="188"/>
      <c r="QJZ21" s="188"/>
      <c r="QKA21" s="188"/>
      <c r="QKB21" s="188"/>
      <c r="QKC21" s="188"/>
      <c r="QKD21" s="188"/>
      <c r="QKE21" s="188"/>
      <c r="QKF21" s="188"/>
      <c r="QKG21" s="188"/>
      <c r="QKH21" s="188"/>
      <c r="QKI21" s="188"/>
      <c r="QKJ21" s="188"/>
      <c r="QKK21" s="188"/>
      <c r="QKL21" s="188"/>
      <c r="QKM21" s="188"/>
      <c r="QKN21" s="188"/>
      <c r="QKO21" s="188"/>
      <c r="QKP21" s="188"/>
      <c r="QKQ21" s="188"/>
      <c r="QKR21" s="188"/>
      <c r="QKS21" s="188"/>
      <c r="QKT21" s="188"/>
      <c r="QKU21" s="188"/>
      <c r="QKV21" s="188"/>
      <c r="QKW21" s="188"/>
      <c r="QKX21" s="188"/>
      <c r="QKY21" s="188"/>
      <c r="QKZ21" s="188"/>
      <c r="QLA21" s="188"/>
      <c r="QLB21" s="188"/>
      <c r="QLC21" s="188"/>
      <c r="QLD21" s="188"/>
      <c r="QLE21" s="188"/>
      <c r="QLF21" s="188"/>
      <c r="QLG21" s="188"/>
      <c r="QLH21" s="188"/>
      <c r="QLI21" s="188"/>
      <c r="QLJ21" s="188"/>
      <c r="QLK21" s="188"/>
      <c r="QLL21" s="188"/>
      <c r="QLM21" s="188"/>
      <c r="QLN21" s="188"/>
      <c r="QLO21" s="188"/>
      <c r="QLP21" s="188"/>
      <c r="QLQ21" s="188"/>
      <c r="QLR21" s="188"/>
      <c r="QLS21" s="188"/>
      <c r="QLT21" s="188"/>
      <c r="QLU21" s="188"/>
      <c r="QLV21" s="188"/>
      <c r="QLW21" s="188"/>
      <c r="QLX21" s="188"/>
      <c r="QLY21" s="188"/>
      <c r="QLZ21" s="188"/>
      <c r="QMA21" s="188"/>
      <c r="QMB21" s="188"/>
      <c r="QMC21" s="188"/>
      <c r="QMD21" s="188"/>
      <c r="QME21" s="188"/>
      <c r="QMF21" s="188"/>
      <c r="QMG21" s="188"/>
      <c r="QMH21" s="188"/>
      <c r="QMI21" s="188"/>
      <c r="QMJ21" s="188"/>
      <c r="QMK21" s="188"/>
      <c r="QML21" s="188"/>
      <c r="QMM21" s="188"/>
      <c r="QMN21" s="188"/>
      <c r="QMO21" s="188"/>
      <c r="QMP21" s="188"/>
      <c r="QMQ21" s="188"/>
      <c r="QMR21" s="188"/>
      <c r="QMS21" s="188"/>
      <c r="QMT21" s="188"/>
      <c r="QMU21" s="188"/>
      <c r="QMV21" s="188"/>
      <c r="QMW21" s="188"/>
      <c r="QMX21" s="188"/>
      <c r="QMY21" s="188"/>
      <c r="QMZ21" s="188"/>
      <c r="QNA21" s="188"/>
      <c r="QNB21" s="188"/>
      <c r="QNC21" s="188"/>
      <c r="QND21" s="188"/>
      <c r="QNE21" s="188"/>
      <c r="QNF21" s="188"/>
      <c r="QNG21" s="188"/>
      <c r="QNH21" s="188"/>
      <c r="QNI21" s="188"/>
      <c r="QNJ21" s="188"/>
      <c r="QNK21" s="188"/>
      <c r="QNL21" s="188"/>
      <c r="QNM21" s="188"/>
      <c r="QNN21" s="188"/>
      <c r="QNO21" s="188"/>
      <c r="QNP21" s="188"/>
      <c r="QNQ21" s="188"/>
      <c r="QNR21" s="188"/>
      <c r="QNS21" s="188"/>
      <c r="QNT21" s="188"/>
      <c r="QNU21" s="188"/>
      <c r="QNV21" s="188"/>
      <c r="QNW21" s="188"/>
      <c r="QNX21" s="188"/>
      <c r="QNY21" s="188"/>
      <c r="QNZ21" s="188"/>
      <c r="QOA21" s="188"/>
      <c r="QOB21" s="188"/>
      <c r="QOC21" s="188"/>
      <c r="QOD21" s="188"/>
      <c r="QOE21" s="188"/>
      <c r="QOF21" s="188"/>
      <c r="QOG21" s="188"/>
      <c r="QOH21" s="188"/>
      <c r="QOI21" s="188"/>
      <c r="QOJ21" s="188"/>
      <c r="QOK21" s="188"/>
      <c r="QOL21" s="188"/>
      <c r="QOM21" s="188"/>
      <c r="QON21" s="188"/>
      <c r="QOO21" s="188"/>
      <c r="QOP21" s="188"/>
      <c r="QOQ21" s="188"/>
      <c r="QOR21" s="188"/>
      <c r="QOS21" s="188"/>
      <c r="QOT21" s="188"/>
      <c r="QOU21" s="188"/>
      <c r="QOV21" s="188"/>
      <c r="QOW21" s="188"/>
      <c r="QOX21" s="188"/>
      <c r="QOY21" s="188"/>
      <c r="QOZ21" s="188"/>
      <c r="QPA21" s="188"/>
      <c r="QPB21" s="188"/>
      <c r="QPC21" s="188"/>
      <c r="QPD21" s="188"/>
      <c r="QPE21" s="188"/>
      <c r="QPF21" s="188"/>
      <c r="QPG21" s="188"/>
      <c r="QPH21" s="188"/>
      <c r="QPI21" s="188"/>
      <c r="QPJ21" s="188"/>
      <c r="QPK21" s="188"/>
      <c r="QPL21" s="188"/>
      <c r="QPM21" s="188"/>
      <c r="QPN21" s="188"/>
      <c r="QPO21" s="188"/>
      <c r="QPP21" s="188"/>
      <c r="QPQ21" s="188"/>
      <c r="QPR21" s="188"/>
      <c r="QPS21" s="188"/>
      <c r="QPT21" s="188"/>
      <c r="QPU21" s="188"/>
      <c r="QPV21" s="188"/>
      <c r="QPW21" s="188"/>
      <c r="QPX21" s="188"/>
      <c r="QPY21" s="188"/>
      <c r="QPZ21" s="188"/>
      <c r="QQA21" s="188"/>
      <c r="QQB21" s="188"/>
      <c r="QQC21" s="188"/>
      <c r="QQD21" s="188"/>
      <c r="QQE21" s="188"/>
      <c r="QQF21" s="188"/>
      <c r="QQG21" s="188"/>
      <c r="QQH21" s="188"/>
      <c r="QQI21" s="188"/>
      <c r="QQJ21" s="188"/>
      <c r="QQK21" s="188"/>
      <c r="QQL21" s="188"/>
      <c r="QQM21" s="188"/>
      <c r="QQN21" s="188"/>
      <c r="QQO21" s="188"/>
      <c r="QQP21" s="188"/>
      <c r="QQQ21" s="188"/>
      <c r="QQR21" s="188"/>
      <c r="QQS21" s="188"/>
      <c r="QQT21" s="188"/>
      <c r="QQU21" s="188"/>
      <c r="QQV21" s="188"/>
      <c r="QQW21" s="188"/>
      <c r="QQX21" s="188"/>
      <c r="QQY21" s="188"/>
      <c r="QQZ21" s="188"/>
      <c r="QRA21" s="188"/>
      <c r="QRB21" s="188"/>
      <c r="QRC21" s="188"/>
      <c r="QRD21" s="188"/>
      <c r="QRE21" s="188"/>
      <c r="QRF21" s="188"/>
      <c r="QRG21" s="188"/>
      <c r="QRH21" s="188"/>
      <c r="QRI21" s="188"/>
      <c r="QRJ21" s="188"/>
      <c r="QRK21" s="188"/>
      <c r="QRL21" s="188"/>
      <c r="QRM21" s="188"/>
      <c r="QRN21" s="188"/>
      <c r="QRO21" s="188"/>
      <c r="QRP21" s="188"/>
      <c r="QRQ21" s="188"/>
      <c r="QRR21" s="188"/>
      <c r="QRS21" s="188"/>
      <c r="QRT21" s="188"/>
      <c r="QRU21" s="188"/>
      <c r="QRV21" s="188"/>
      <c r="QRW21" s="188"/>
      <c r="QRX21" s="188"/>
      <c r="QRY21" s="188"/>
      <c r="QRZ21" s="188"/>
      <c r="QSA21" s="188"/>
      <c r="QSB21" s="188"/>
      <c r="QSC21" s="188"/>
      <c r="QSD21" s="188"/>
      <c r="QSE21" s="188"/>
      <c r="QSF21" s="188"/>
      <c r="QSG21" s="188"/>
      <c r="QSH21" s="188"/>
      <c r="QSI21" s="188"/>
      <c r="QSJ21" s="188"/>
      <c r="QSK21" s="188"/>
      <c r="QSL21" s="188"/>
      <c r="QSM21" s="188"/>
      <c r="QSN21" s="188"/>
      <c r="QSO21" s="188"/>
      <c r="QSP21" s="188"/>
      <c r="QSQ21" s="188"/>
      <c r="QSR21" s="188"/>
      <c r="QSS21" s="188"/>
      <c r="QST21" s="188"/>
      <c r="QSU21" s="188"/>
      <c r="QSV21" s="188"/>
      <c r="QSW21" s="188"/>
      <c r="QSX21" s="188"/>
      <c r="QSY21" s="188"/>
      <c r="QSZ21" s="188"/>
      <c r="QTA21" s="188"/>
      <c r="QTB21" s="188"/>
      <c r="QTC21" s="188"/>
      <c r="QTD21" s="188"/>
      <c r="QTE21" s="188"/>
      <c r="QTF21" s="188"/>
      <c r="QTG21" s="188"/>
      <c r="QTH21" s="188"/>
      <c r="QTI21" s="188"/>
      <c r="QTJ21" s="188"/>
      <c r="QTK21" s="188"/>
      <c r="QTL21" s="188"/>
      <c r="QTM21" s="188"/>
      <c r="QTN21" s="188"/>
      <c r="QTO21" s="188"/>
      <c r="QTP21" s="188"/>
      <c r="QTQ21" s="188"/>
      <c r="QTR21" s="188"/>
      <c r="QTS21" s="188"/>
      <c r="QTT21" s="188"/>
      <c r="QTU21" s="188"/>
      <c r="QTV21" s="188"/>
      <c r="QTW21" s="188"/>
      <c r="QTX21" s="188"/>
      <c r="QTY21" s="188"/>
      <c r="QTZ21" s="188"/>
      <c r="QUA21" s="188"/>
      <c r="QUB21" s="188"/>
      <c r="QUC21" s="188"/>
      <c r="QUD21" s="188"/>
      <c r="QUE21" s="188"/>
      <c r="QUF21" s="188"/>
      <c r="QUG21" s="188"/>
      <c r="QUH21" s="188"/>
      <c r="QUI21" s="188"/>
      <c r="QUJ21" s="188"/>
      <c r="QUK21" s="188"/>
      <c r="QUL21" s="188"/>
      <c r="QUM21" s="188"/>
      <c r="QUN21" s="188"/>
      <c r="QUO21" s="188"/>
      <c r="QUP21" s="188"/>
      <c r="QUQ21" s="188"/>
      <c r="QUR21" s="188"/>
      <c r="QUS21" s="188"/>
      <c r="QUT21" s="188"/>
      <c r="QUU21" s="188"/>
      <c r="QUV21" s="188"/>
      <c r="QUW21" s="188"/>
      <c r="QUX21" s="188"/>
      <c r="QUY21" s="188"/>
      <c r="QUZ21" s="188"/>
      <c r="QVA21" s="188"/>
      <c r="QVB21" s="188"/>
      <c r="QVC21" s="188"/>
      <c r="QVD21" s="188"/>
      <c r="QVE21" s="188"/>
      <c r="QVF21" s="188"/>
      <c r="QVG21" s="188"/>
      <c r="QVH21" s="188"/>
      <c r="QVI21" s="188"/>
      <c r="QVJ21" s="188"/>
      <c r="QVK21" s="188"/>
      <c r="QVL21" s="188"/>
      <c r="QVM21" s="188"/>
      <c r="QVN21" s="188"/>
      <c r="QVO21" s="188"/>
      <c r="QVP21" s="188"/>
      <c r="QVQ21" s="188"/>
      <c r="QVR21" s="188"/>
      <c r="QVS21" s="188"/>
      <c r="QVT21" s="188"/>
      <c r="QVU21" s="188"/>
      <c r="QVV21" s="188"/>
      <c r="QVW21" s="188"/>
      <c r="QVX21" s="188"/>
      <c r="QVY21" s="188"/>
      <c r="QVZ21" s="188"/>
      <c r="QWA21" s="188"/>
      <c r="QWB21" s="188"/>
      <c r="QWC21" s="188"/>
      <c r="QWD21" s="188"/>
      <c r="QWE21" s="188"/>
      <c r="QWF21" s="188"/>
      <c r="QWG21" s="188"/>
      <c r="QWH21" s="188"/>
      <c r="QWI21" s="188"/>
      <c r="QWJ21" s="188"/>
      <c r="QWK21" s="188"/>
      <c r="QWL21" s="188"/>
      <c r="QWM21" s="188"/>
      <c r="QWN21" s="188"/>
      <c r="QWO21" s="188"/>
      <c r="QWP21" s="188"/>
      <c r="QWQ21" s="188"/>
      <c r="QWR21" s="188"/>
      <c r="QWS21" s="188"/>
      <c r="QWT21" s="188"/>
      <c r="QWU21" s="188"/>
      <c r="QWV21" s="188"/>
      <c r="QWW21" s="188"/>
      <c r="QWX21" s="188"/>
      <c r="QWY21" s="188"/>
      <c r="QWZ21" s="188"/>
      <c r="QXA21" s="188"/>
      <c r="QXB21" s="188"/>
      <c r="QXC21" s="188"/>
      <c r="QXD21" s="188"/>
      <c r="QXE21" s="188"/>
      <c r="QXF21" s="188"/>
      <c r="QXG21" s="188"/>
      <c r="QXH21" s="188"/>
      <c r="QXI21" s="188"/>
      <c r="QXJ21" s="188"/>
      <c r="QXK21" s="188"/>
      <c r="QXL21" s="188"/>
      <c r="QXM21" s="188"/>
      <c r="QXN21" s="188"/>
      <c r="QXO21" s="188"/>
      <c r="QXP21" s="188"/>
      <c r="QXQ21" s="188"/>
      <c r="QXR21" s="188"/>
      <c r="QXS21" s="188"/>
      <c r="QXT21" s="188"/>
      <c r="QXU21" s="188"/>
      <c r="QXV21" s="188"/>
      <c r="QXW21" s="188"/>
      <c r="QXX21" s="188"/>
      <c r="QXY21" s="188"/>
      <c r="QXZ21" s="188"/>
      <c r="QYA21" s="188"/>
      <c r="QYB21" s="188"/>
      <c r="QYC21" s="188"/>
      <c r="QYD21" s="188"/>
      <c r="QYE21" s="188"/>
      <c r="QYF21" s="188"/>
      <c r="QYG21" s="188"/>
      <c r="QYH21" s="188"/>
      <c r="QYI21" s="188"/>
      <c r="QYJ21" s="188"/>
      <c r="QYK21" s="188"/>
      <c r="QYL21" s="188"/>
      <c r="QYM21" s="188"/>
      <c r="QYN21" s="188"/>
      <c r="QYO21" s="188"/>
      <c r="QYP21" s="188"/>
      <c r="QYQ21" s="188"/>
      <c r="QYR21" s="188"/>
      <c r="QYS21" s="188"/>
      <c r="QYT21" s="188"/>
      <c r="QYU21" s="188"/>
      <c r="QYV21" s="188"/>
      <c r="QYW21" s="188"/>
      <c r="QYX21" s="188"/>
      <c r="QYY21" s="188"/>
      <c r="QYZ21" s="188"/>
      <c r="QZA21" s="188"/>
      <c r="QZB21" s="188"/>
      <c r="QZC21" s="188"/>
      <c r="QZD21" s="188"/>
      <c r="QZE21" s="188"/>
      <c r="QZF21" s="188"/>
      <c r="QZG21" s="188"/>
      <c r="QZH21" s="188"/>
      <c r="QZI21" s="188"/>
      <c r="QZJ21" s="188"/>
      <c r="QZK21" s="188"/>
      <c r="QZL21" s="188"/>
      <c r="QZM21" s="188"/>
      <c r="QZN21" s="188"/>
      <c r="QZO21" s="188"/>
      <c r="QZP21" s="188"/>
      <c r="QZQ21" s="188"/>
      <c r="QZR21" s="188"/>
      <c r="QZS21" s="188"/>
      <c r="QZT21" s="188"/>
      <c r="QZU21" s="188"/>
      <c r="QZV21" s="188"/>
      <c r="QZW21" s="188"/>
      <c r="QZX21" s="188"/>
      <c r="QZY21" s="188"/>
      <c r="QZZ21" s="188"/>
      <c r="RAA21" s="188"/>
      <c r="RAB21" s="188"/>
      <c r="RAC21" s="188"/>
      <c r="RAD21" s="188"/>
      <c r="RAE21" s="188"/>
      <c r="RAF21" s="188"/>
      <c r="RAG21" s="188"/>
      <c r="RAH21" s="188"/>
      <c r="RAI21" s="188"/>
      <c r="RAJ21" s="188"/>
      <c r="RAK21" s="188"/>
      <c r="RAL21" s="188"/>
      <c r="RAM21" s="188"/>
      <c r="RAN21" s="188"/>
      <c r="RAO21" s="188"/>
      <c r="RAP21" s="188"/>
      <c r="RAQ21" s="188"/>
      <c r="RAR21" s="188"/>
      <c r="RAS21" s="188"/>
      <c r="RAT21" s="188"/>
      <c r="RAU21" s="188"/>
      <c r="RAV21" s="188"/>
      <c r="RAW21" s="188"/>
      <c r="RAX21" s="188"/>
      <c r="RAY21" s="188"/>
      <c r="RAZ21" s="188"/>
      <c r="RBA21" s="188"/>
      <c r="RBB21" s="188"/>
      <c r="RBC21" s="188"/>
      <c r="RBD21" s="188"/>
      <c r="RBE21" s="188"/>
      <c r="RBF21" s="188"/>
      <c r="RBG21" s="188"/>
      <c r="RBH21" s="188"/>
      <c r="RBI21" s="188"/>
      <c r="RBJ21" s="188"/>
      <c r="RBK21" s="188"/>
      <c r="RBL21" s="188"/>
      <c r="RBM21" s="188"/>
      <c r="RBN21" s="188"/>
      <c r="RBO21" s="188"/>
      <c r="RBP21" s="188"/>
      <c r="RBQ21" s="188"/>
      <c r="RBR21" s="188"/>
      <c r="RBS21" s="188"/>
      <c r="RBT21" s="188"/>
      <c r="RBU21" s="188"/>
      <c r="RBV21" s="188"/>
      <c r="RBW21" s="188"/>
      <c r="RBX21" s="188"/>
      <c r="RBY21" s="188"/>
      <c r="RBZ21" s="188"/>
      <c r="RCA21" s="188"/>
      <c r="RCB21" s="188"/>
      <c r="RCC21" s="188"/>
      <c r="RCD21" s="188"/>
      <c r="RCE21" s="188"/>
      <c r="RCF21" s="188"/>
      <c r="RCG21" s="188"/>
      <c r="RCH21" s="188"/>
      <c r="RCI21" s="188"/>
      <c r="RCJ21" s="188"/>
      <c r="RCK21" s="188"/>
      <c r="RCL21" s="188"/>
      <c r="RCM21" s="188"/>
      <c r="RCN21" s="188"/>
      <c r="RCO21" s="188"/>
      <c r="RCP21" s="188"/>
      <c r="RCQ21" s="188"/>
      <c r="RCR21" s="188"/>
      <c r="RCS21" s="188"/>
      <c r="RCT21" s="188"/>
      <c r="RCU21" s="188"/>
      <c r="RCV21" s="188"/>
      <c r="RCW21" s="188"/>
      <c r="RCX21" s="188"/>
      <c r="RCY21" s="188"/>
      <c r="RCZ21" s="188"/>
      <c r="RDA21" s="188"/>
      <c r="RDB21" s="188"/>
      <c r="RDC21" s="188"/>
      <c r="RDD21" s="188"/>
      <c r="RDE21" s="188"/>
      <c r="RDF21" s="188"/>
      <c r="RDG21" s="188"/>
      <c r="RDH21" s="188"/>
      <c r="RDI21" s="188"/>
      <c r="RDJ21" s="188"/>
      <c r="RDK21" s="188"/>
      <c r="RDL21" s="188"/>
      <c r="RDM21" s="188"/>
      <c r="RDN21" s="188"/>
      <c r="RDO21" s="188"/>
      <c r="RDP21" s="188"/>
      <c r="RDQ21" s="188"/>
      <c r="RDR21" s="188"/>
      <c r="RDS21" s="188"/>
      <c r="RDT21" s="188"/>
      <c r="RDU21" s="188"/>
      <c r="RDV21" s="188"/>
      <c r="RDW21" s="188"/>
      <c r="RDX21" s="188"/>
      <c r="RDY21" s="188"/>
      <c r="RDZ21" s="188"/>
      <c r="REA21" s="188"/>
      <c r="REB21" s="188"/>
      <c r="REC21" s="188"/>
      <c r="RED21" s="188"/>
      <c r="REE21" s="188"/>
      <c r="REF21" s="188"/>
      <c r="REG21" s="188"/>
      <c r="REH21" s="188"/>
      <c r="REI21" s="188"/>
      <c r="REJ21" s="188"/>
      <c r="REK21" s="188"/>
      <c r="REL21" s="188"/>
      <c r="REM21" s="188"/>
      <c r="REN21" s="188"/>
      <c r="REO21" s="188"/>
      <c r="REP21" s="188"/>
      <c r="REQ21" s="188"/>
      <c r="RER21" s="188"/>
      <c r="RES21" s="188"/>
      <c r="RET21" s="188"/>
      <c r="REU21" s="188"/>
      <c r="REV21" s="188"/>
      <c r="REW21" s="188"/>
      <c r="REX21" s="188"/>
      <c r="REY21" s="188"/>
      <c r="REZ21" s="188"/>
      <c r="RFA21" s="188"/>
      <c r="RFB21" s="188"/>
      <c r="RFC21" s="188"/>
      <c r="RFD21" s="188"/>
      <c r="RFE21" s="188"/>
      <c r="RFF21" s="188"/>
      <c r="RFG21" s="188"/>
      <c r="RFH21" s="188"/>
      <c r="RFI21" s="188"/>
      <c r="RFJ21" s="188"/>
      <c r="RFK21" s="188"/>
      <c r="RFL21" s="188"/>
      <c r="RFM21" s="188"/>
      <c r="RFN21" s="188"/>
      <c r="RFO21" s="188"/>
      <c r="RFP21" s="188"/>
      <c r="RFQ21" s="188"/>
      <c r="RFR21" s="188"/>
      <c r="RFS21" s="188"/>
      <c r="RFT21" s="188"/>
      <c r="RFU21" s="188"/>
      <c r="RFV21" s="188"/>
      <c r="RFW21" s="188"/>
      <c r="RFX21" s="188"/>
      <c r="RFY21" s="188"/>
      <c r="RFZ21" s="188"/>
      <c r="RGA21" s="188"/>
      <c r="RGB21" s="188"/>
      <c r="RGC21" s="188"/>
      <c r="RGD21" s="188"/>
      <c r="RGE21" s="188"/>
      <c r="RGF21" s="188"/>
      <c r="RGG21" s="188"/>
      <c r="RGH21" s="188"/>
      <c r="RGI21" s="188"/>
      <c r="RGJ21" s="188"/>
      <c r="RGK21" s="188"/>
      <c r="RGL21" s="188"/>
      <c r="RGM21" s="188"/>
      <c r="RGN21" s="188"/>
      <c r="RGO21" s="188"/>
      <c r="RGP21" s="188"/>
      <c r="RGQ21" s="188"/>
      <c r="RGR21" s="188"/>
      <c r="RGS21" s="188"/>
      <c r="RGT21" s="188"/>
      <c r="RGU21" s="188"/>
      <c r="RGV21" s="188"/>
      <c r="RGW21" s="188"/>
      <c r="RGX21" s="188"/>
      <c r="RGY21" s="188"/>
      <c r="RGZ21" s="188"/>
      <c r="RHA21" s="188"/>
      <c r="RHB21" s="188"/>
      <c r="RHC21" s="188"/>
      <c r="RHD21" s="188"/>
      <c r="RHE21" s="188"/>
      <c r="RHF21" s="188"/>
      <c r="RHG21" s="188"/>
      <c r="RHH21" s="188"/>
      <c r="RHI21" s="188"/>
      <c r="RHJ21" s="188"/>
      <c r="RHK21" s="188"/>
      <c r="RHL21" s="188"/>
      <c r="RHM21" s="188"/>
      <c r="RHN21" s="188"/>
      <c r="RHO21" s="188"/>
      <c r="RHP21" s="188"/>
      <c r="RHQ21" s="188"/>
      <c r="RHR21" s="188"/>
      <c r="RHS21" s="188"/>
      <c r="RHT21" s="188"/>
      <c r="RHU21" s="188"/>
      <c r="RHV21" s="188"/>
      <c r="RHW21" s="188"/>
      <c r="RHX21" s="188"/>
      <c r="RHY21" s="188"/>
      <c r="RHZ21" s="188"/>
      <c r="RIA21" s="188"/>
      <c r="RIB21" s="188"/>
      <c r="RIC21" s="188"/>
      <c r="RID21" s="188"/>
      <c r="RIE21" s="188"/>
      <c r="RIF21" s="188"/>
      <c r="RIG21" s="188"/>
      <c r="RIH21" s="188"/>
      <c r="RII21" s="188"/>
      <c r="RIJ21" s="188"/>
      <c r="RIK21" s="188"/>
      <c r="RIL21" s="188"/>
      <c r="RIM21" s="188"/>
      <c r="RIN21" s="188"/>
      <c r="RIO21" s="188"/>
      <c r="RIP21" s="188"/>
      <c r="RIQ21" s="188"/>
      <c r="RIR21" s="188"/>
      <c r="RIS21" s="188"/>
      <c r="RIT21" s="188"/>
      <c r="RIU21" s="188"/>
      <c r="RIV21" s="188"/>
      <c r="RIW21" s="188"/>
      <c r="RIX21" s="188"/>
      <c r="RIY21" s="188"/>
      <c r="RIZ21" s="188"/>
      <c r="RJA21" s="188"/>
      <c r="RJB21" s="188"/>
      <c r="RJC21" s="188"/>
      <c r="RJD21" s="188"/>
      <c r="RJE21" s="188"/>
      <c r="RJF21" s="188"/>
      <c r="RJG21" s="188"/>
      <c r="RJH21" s="188"/>
      <c r="RJI21" s="188"/>
      <c r="RJJ21" s="188"/>
      <c r="RJK21" s="188"/>
      <c r="RJL21" s="188"/>
      <c r="RJM21" s="188"/>
      <c r="RJN21" s="188"/>
      <c r="RJO21" s="188"/>
      <c r="RJP21" s="188"/>
      <c r="RJQ21" s="188"/>
      <c r="RJR21" s="188"/>
      <c r="RJS21" s="188"/>
      <c r="RJT21" s="188"/>
      <c r="RJU21" s="188"/>
      <c r="RJV21" s="188"/>
      <c r="RJW21" s="188"/>
      <c r="RJX21" s="188"/>
      <c r="RJY21" s="188"/>
      <c r="RJZ21" s="188"/>
      <c r="RKA21" s="188"/>
      <c r="RKB21" s="188"/>
      <c r="RKC21" s="188"/>
      <c r="RKD21" s="188"/>
      <c r="RKE21" s="188"/>
      <c r="RKF21" s="188"/>
      <c r="RKG21" s="188"/>
      <c r="RKH21" s="188"/>
      <c r="RKI21" s="188"/>
      <c r="RKJ21" s="188"/>
      <c r="RKK21" s="188"/>
      <c r="RKL21" s="188"/>
      <c r="RKM21" s="188"/>
      <c r="RKN21" s="188"/>
      <c r="RKO21" s="188"/>
      <c r="RKP21" s="188"/>
      <c r="RKQ21" s="188"/>
      <c r="RKR21" s="188"/>
      <c r="RKS21" s="188"/>
      <c r="RKT21" s="188"/>
      <c r="RKU21" s="188"/>
      <c r="RKV21" s="188"/>
      <c r="RKW21" s="188"/>
      <c r="RKX21" s="188"/>
      <c r="RKY21" s="188"/>
      <c r="RKZ21" s="188"/>
      <c r="RLA21" s="188"/>
      <c r="RLB21" s="188"/>
      <c r="RLC21" s="188"/>
      <c r="RLD21" s="188"/>
      <c r="RLE21" s="188"/>
      <c r="RLF21" s="188"/>
      <c r="RLG21" s="188"/>
      <c r="RLH21" s="188"/>
      <c r="RLI21" s="188"/>
      <c r="RLJ21" s="188"/>
      <c r="RLK21" s="188"/>
      <c r="RLL21" s="188"/>
      <c r="RLM21" s="188"/>
      <c r="RLN21" s="188"/>
      <c r="RLO21" s="188"/>
      <c r="RLP21" s="188"/>
      <c r="RLQ21" s="188"/>
      <c r="RLR21" s="188"/>
      <c r="RLS21" s="188"/>
      <c r="RLT21" s="188"/>
      <c r="RLU21" s="188"/>
      <c r="RLV21" s="188"/>
      <c r="RLW21" s="188"/>
      <c r="RLX21" s="188"/>
      <c r="RLY21" s="188"/>
      <c r="RLZ21" s="188"/>
      <c r="RMA21" s="188"/>
      <c r="RMB21" s="188"/>
      <c r="RMC21" s="188"/>
      <c r="RMD21" s="188"/>
      <c r="RME21" s="188"/>
      <c r="RMF21" s="188"/>
      <c r="RMG21" s="188"/>
      <c r="RMH21" s="188"/>
      <c r="RMI21" s="188"/>
      <c r="RMJ21" s="188"/>
      <c r="RMK21" s="188"/>
      <c r="RML21" s="188"/>
      <c r="RMM21" s="188"/>
      <c r="RMN21" s="188"/>
      <c r="RMO21" s="188"/>
      <c r="RMP21" s="188"/>
      <c r="RMQ21" s="188"/>
      <c r="RMR21" s="188"/>
      <c r="RMS21" s="188"/>
      <c r="RMT21" s="188"/>
      <c r="RMU21" s="188"/>
      <c r="RMV21" s="188"/>
      <c r="RMW21" s="188"/>
      <c r="RMX21" s="188"/>
      <c r="RMY21" s="188"/>
      <c r="RMZ21" s="188"/>
      <c r="RNA21" s="188"/>
      <c r="RNB21" s="188"/>
      <c r="RNC21" s="188"/>
      <c r="RND21" s="188"/>
      <c r="RNE21" s="188"/>
      <c r="RNF21" s="188"/>
      <c r="RNG21" s="188"/>
      <c r="RNH21" s="188"/>
      <c r="RNI21" s="188"/>
      <c r="RNJ21" s="188"/>
      <c r="RNK21" s="188"/>
      <c r="RNL21" s="188"/>
      <c r="RNM21" s="188"/>
      <c r="RNN21" s="188"/>
      <c r="RNO21" s="188"/>
      <c r="RNP21" s="188"/>
      <c r="RNQ21" s="188"/>
      <c r="RNR21" s="188"/>
      <c r="RNS21" s="188"/>
      <c r="RNT21" s="188"/>
      <c r="RNU21" s="188"/>
      <c r="RNV21" s="188"/>
      <c r="RNW21" s="188"/>
      <c r="RNX21" s="188"/>
      <c r="RNY21" s="188"/>
      <c r="RNZ21" s="188"/>
      <c r="ROA21" s="188"/>
      <c r="ROB21" s="188"/>
      <c r="ROC21" s="188"/>
      <c r="ROD21" s="188"/>
      <c r="ROE21" s="188"/>
      <c r="ROF21" s="188"/>
      <c r="ROG21" s="188"/>
      <c r="ROH21" s="188"/>
      <c r="ROI21" s="188"/>
      <c r="ROJ21" s="188"/>
      <c r="ROK21" s="188"/>
      <c r="ROL21" s="188"/>
      <c r="ROM21" s="188"/>
      <c r="RON21" s="188"/>
      <c r="ROO21" s="188"/>
      <c r="ROP21" s="188"/>
      <c r="ROQ21" s="188"/>
      <c r="ROR21" s="188"/>
      <c r="ROS21" s="188"/>
      <c r="ROT21" s="188"/>
      <c r="ROU21" s="188"/>
      <c r="ROV21" s="188"/>
      <c r="ROW21" s="188"/>
      <c r="ROX21" s="188"/>
      <c r="ROY21" s="188"/>
      <c r="ROZ21" s="188"/>
      <c r="RPA21" s="188"/>
      <c r="RPB21" s="188"/>
      <c r="RPC21" s="188"/>
      <c r="RPD21" s="188"/>
      <c r="RPE21" s="188"/>
      <c r="RPF21" s="188"/>
      <c r="RPG21" s="188"/>
      <c r="RPH21" s="188"/>
      <c r="RPI21" s="188"/>
      <c r="RPJ21" s="188"/>
      <c r="RPK21" s="188"/>
      <c r="RPL21" s="188"/>
      <c r="RPM21" s="188"/>
      <c r="RPN21" s="188"/>
      <c r="RPO21" s="188"/>
      <c r="RPP21" s="188"/>
      <c r="RPQ21" s="188"/>
      <c r="RPR21" s="188"/>
      <c r="RPS21" s="188"/>
      <c r="RPT21" s="188"/>
      <c r="RPU21" s="188"/>
      <c r="RPV21" s="188"/>
      <c r="RPW21" s="188"/>
      <c r="RPX21" s="188"/>
      <c r="RPY21" s="188"/>
      <c r="RPZ21" s="188"/>
      <c r="RQA21" s="188"/>
      <c r="RQB21" s="188"/>
      <c r="RQC21" s="188"/>
      <c r="RQD21" s="188"/>
      <c r="RQE21" s="188"/>
      <c r="RQF21" s="188"/>
      <c r="RQG21" s="188"/>
      <c r="RQH21" s="188"/>
      <c r="RQI21" s="188"/>
      <c r="RQJ21" s="188"/>
      <c r="RQK21" s="188"/>
      <c r="RQL21" s="188"/>
      <c r="RQM21" s="188"/>
      <c r="RQN21" s="188"/>
      <c r="RQO21" s="188"/>
      <c r="RQP21" s="188"/>
      <c r="RQQ21" s="188"/>
      <c r="RQR21" s="188"/>
      <c r="RQS21" s="188"/>
      <c r="RQT21" s="188"/>
      <c r="RQU21" s="188"/>
      <c r="RQV21" s="188"/>
      <c r="RQW21" s="188"/>
      <c r="RQX21" s="188"/>
      <c r="RQY21" s="188"/>
      <c r="RQZ21" s="188"/>
      <c r="RRA21" s="188"/>
      <c r="RRB21" s="188"/>
      <c r="RRC21" s="188"/>
      <c r="RRD21" s="188"/>
      <c r="RRE21" s="188"/>
      <c r="RRF21" s="188"/>
      <c r="RRG21" s="188"/>
      <c r="RRH21" s="188"/>
      <c r="RRI21" s="188"/>
      <c r="RRJ21" s="188"/>
      <c r="RRK21" s="188"/>
      <c r="RRL21" s="188"/>
      <c r="RRM21" s="188"/>
      <c r="RRN21" s="188"/>
      <c r="RRO21" s="188"/>
      <c r="RRP21" s="188"/>
      <c r="RRQ21" s="188"/>
      <c r="RRR21" s="188"/>
      <c r="RRS21" s="188"/>
      <c r="RRT21" s="188"/>
      <c r="RRU21" s="188"/>
      <c r="RRV21" s="188"/>
      <c r="RRW21" s="188"/>
      <c r="RRX21" s="188"/>
      <c r="RRY21" s="188"/>
      <c r="RRZ21" s="188"/>
      <c r="RSA21" s="188"/>
      <c r="RSB21" s="188"/>
      <c r="RSC21" s="188"/>
      <c r="RSD21" s="188"/>
      <c r="RSE21" s="188"/>
      <c r="RSF21" s="188"/>
      <c r="RSG21" s="188"/>
      <c r="RSH21" s="188"/>
      <c r="RSI21" s="188"/>
      <c r="RSJ21" s="188"/>
      <c r="RSK21" s="188"/>
      <c r="RSL21" s="188"/>
      <c r="RSM21" s="188"/>
      <c r="RSN21" s="188"/>
      <c r="RSO21" s="188"/>
      <c r="RSP21" s="188"/>
      <c r="RSQ21" s="188"/>
      <c r="RSR21" s="188"/>
      <c r="RSS21" s="188"/>
      <c r="RST21" s="188"/>
      <c r="RSU21" s="188"/>
      <c r="RSV21" s="188"/>
      <c r="RSW21" s="188"/>
      <c r="RSX21" s="188"/>
      <c r="RSY21" s="188"/>
      <c r="RSZ21" s="188"/>
      <c r="RTA21" s="188"/>
      <c r="RTB21" s="188"/>
      <c r="RTC21" s="188"/>
      <c r="RTD21" s="188"/>
      <c r="RTE21" s="188"/>
      <c r="RTF21" s="188"/>
      <c r="RTG21" s="188"/>
      <c r="RTH21" s="188"/>
      <c r="RTI21" s="188"/>
      <c r="RTJ21" s="188"/>
      <c r="RTK21" s="188"/>
      <c r="RTL21" s="188"/>
      <c r="RTM21" s="188"/>
      <c r="RTN21" s="188"/>
      <c r="RTO21" s="188"/>
      <c r="RTP21" s="188"/>
      <c r="RTQ21" s="188"/>
      <c r="RTR21" s="188"/>
      <c r="RTS21" s="188"/>
      <c r="RTT21" s="188"/>
      <c r="RTU21" s="188"/>
      <c r="RTV21" s="188"/>
      <c r="RTW21" s="188"/>
      <c r="RTX21" s="188"/>
      <c r="RTY21" s="188"/>
      <c r="RTZ21" s="188"/>
      <c r="RUA21" s="188"/>
      <c r="RUB21" s="188"/>
      <c r="RUC21" s="188"/>
      <c r="RUD21" s="188"/>
      <c r="RUE21" s="188"/>
      <c r="RUF21" s="188"/>
      <c r="RUG21" s="188"/>
      <c r="RUH21" s="188"/>
      <c r="RUI21" s="188"/>
      <c r="RUJ21" s="188"/>
      <c r="RUK21" s="188"/>
      <c r="RUL21" s="188"/>
      <c r="RUM21" s="188"/>
      <c r="RUN21" s="188"/>
      <c r="RUO21" s="188"/>
      <c r="RUP21" s="188"/>
      <c r="RUQ21" s="188"/>
      <c r="RUR21" s="188"/>
      <c r="RUS21" s="188"/>
      <c r="RUT21" s="188"/>
      <c r="RUU21" s="188"/>
      <c r="RUV21" s="188"/>
      <c r="RUW21" s="188"/>
      <c r="RUX21" s="188"/>
      <c r="RUY21" s="188"/>
      <c r="RUZ21" s="188"/>
      <c r="RVA21" s="188"/>
      <c r="RVB21" s="188"/>
      <c r="RVC21" s="188"/>
      <c r="RVD21" s="188"/>
      <c r="RVE21" s="188"/>
      <c r="RVF21" s="188"/>
      <c r="RVG21" s="188"/>
      <c r="RVH21" s="188"/>
      <c r="RVI21" s="188"/>
      <c r="RVJ21" s="188"/>
      <c r="RVK21" s="188"/>
      <c r="RVL21" s="188"/>
      <c r="RVM21" s="188"/>
      <c r="RVN21" s="188"/>
      <c r="RVO21" s="188"/>
      <c r="RVP21" s="188"/>
      <c r="RVQ21" s="188"/>
      <c r="RVR21" s="188"/>
      <c r="RVS21" s="188"/>
      <c r="RVT21" s="188"/>
      <c r="RVU21" s="188"/>
      <c r="RVV21" s="188"/>
      <c r="RVW21" s="188"/>
      <c r="RVX21" s="188"/>
      <c r="RVY21" s="188"/>
      <c r="RVZ21" s="188"/>
      <c r="RWA21" s="188"/>
      <c r="RWB21" s="188"/>
      <c r="RWC21" s="188"/>
      <c r="RWD21" s="188"/>
      <c r="RWE21" s="188"/>
      <c r="RWF21" s="188"/>
      <c r="RWG21" s="188"/>
      <c r="RWH21" s="188"/>
      <c r="RWI21" s="188"/>
      <c r="RWJ21" s="188"/>
      <c r="RWK21" s="188"/>
      <c r="RWL21" s="188"/>
      <c r="RWM21" s="188"/>
      <c r="RWN21" s="188"/>
      <c r="RWO21" s="188"/>
      <c r="RWP21" s="188"/>
      <c r="RWQ21" s="188"/>
      <c r="RWR21" s="188"/>
      <c r="RWS21" s="188"/>
      <c r="RWT21" s="188"/>
      <c r="RWU21" s="188"/>
      <c r="RWV21" s="188"/>
      <c r="RWW21" s="188"/>
      <c r="RWX21" s="188"/>
      <c r="RWY21" s="188"/>
      <c r="RWZ21" s="188"/>
      <c r="RXA21" s="188"/>
      <c r="RXB21" s="188"/>
      <c r="RXC21" s="188"/>
      <c r="RXD21" s="188"/>
      <c r="RXE21" s="188"/>
      <c r="RXF21" s="188"/>
      <c r="RXG21" s="188"/>
      <c r="RXH21" s="188"/>
      <c r="RXI21" s="188"/>
      <c r="RXJ21" s="188"/>
      <c r="RXK21" s="188"/>
      <c r="RXL21" s="188"/>
      <c r="RXM21" s="188"/>
      <c r="RXN21" s="188"/>
      <c r="RXO21" s="188"/>
      <c r="RXP21" s="188"/>
      <c r="RXQ21" s="188"/>
      <c r="RXR21" s="188"/>
      <c r="RXS21" s="188"/>
      <c r="RXT21" s="188"/>
      <c r="RXU21" s="188"/>
      <c r="RXV21" s="188"/>
      <c r="RXW21" s="188"/>
      <c r="RXX21" s="188"/>
      <c r="RXY21" s="188"/>
      <c r="RXZ21" s="188"/>
      <c r="RYA21" s="188"/>
      <c r="RYB21" s="188"/>
      <c r="RYC21" s="188"/>
      <c r="RYD21" s="188"/>
      <c r="RYE21" s="188"/>
      <c r="RYF21" s="188"/>
      <c r="RYG21" s="188"/>
      <c r="RYH21" s="188"/>
      <c r="RYI21" s="188"/>
      <c r="RYJ21" s="188"/>
      <c r="RYK21" s="188"/>
      <c r="RYL21" s="188"/>
      <c r="RYM21" s="188"/>
      <c r="RYN21" s="188"/>
      <c r="RYO21" s="188"/>
      <c r="RYP21" s="188"/>
      <c r="RYQ21" s="188"/>
      <c r="RYR21" s="188"/>
      <c r="RYS21" s="188"/>
      <c r="RYT21" s="188"/>
      <c r="RYU21" s="188"/>
      <c r="RYV21" s="188"/>
      <c r="RYW21" s="188"/>
      <c r="RYX21" s="188"/>
      <c r="RYY21" s="188"/>
      <c r="RYZ21" s="188"/>
      <c r="RZA21" s="188"/>
      <c r="RZB21" s="188"/>
      <c r="RZC21" s="188"/>
      <c r="RZD21" s="188"/>
      <c r="RZE21" s="188"/>
      <c r="RZF21" s="188"/>
      <c r="RZG21" s="188"/>
      <c r="RZH21" s="188"/>
      <c r="RZI21" s="188"/>
      <c r="RZJ21" s="188"/>
      <c r="RZK21" s="188"/>
      <c r="RZL21" s="188"/>
      <c r="RZM21" s="188"/>
      <c r="RZN21" s="188"/>
      <c r="RZO21" s="188"/>
      <c r="RZP21" s="188"/>
      <c r="RZQ21" s="188"/>
      <c r="RZR21" s="188"/>
      <c r="RZS21" s="188"/>
      <c r="RZT21" s="188"/>
      <c r="RZU21" s="188"/>
      <c r="RZV21" s="188"/>
      <c r="RZW21" s="188"/>
      <c r="RZX21" s="188"/>
      <c r="RZY21" s="188"/>
      <c r="RZZ21" s="188"/>
      <c r="SAA21" s="188"/>
      <c r="SAB21" s="188"/>
      <c r="SAC21" s="188"/>
      <c r="SAD21" s="188"/>
      <c r="SAE21" s="188"/>
      <c r="SAF21" s="188"/>
      <c r="SAG21" s="188"/>
      <c r="SAH21" s="188"/>
      <c r="SAI21" s="188"/>
      <c r="SAJ21" s="188"/>
      <c r="SAK21" s="188"/>
      <c r="SAL21" s="188"/>
      <c r="SAM21" s="188"/>
      <c r="SAN21" s="188"/>
      <c r="SAO21" s="188"/>
      <c r="SAP21" s="188"/>
      <c r="SAQ21" s="188"/>
      <c r="SAR21" s="188"/>
      <c r="SAS21" s="188"/>
      <c r="SAT21" s="188"/>
      <c r="SAU21" s="188"/>
      <c r="SAV21" s="188"/>
      <c r="SAW21" s="188"/>
      <c r="SAX21" s="188"/>
      <c r="SAY21" s="188"/>
      <c r="SAZ21" s="188"/>
      <c r="SBA21" s="188"/>
      <c r="SBB21" s="188"/>
      <c r="SBC21" s="188"/>
      <c r="SBD21" s="188"/>
      <c r="SBE21" s="188"/>
      <c r="SBF21" s="188"/>
      <c r="SBG21" s="188"/>
      <c r="SBH21" s="188"/>
      <c r="SBI21" s="188"/>
      <c r="SBJ21" s="188"/>
      <c r="SBK21" s="188"/>
      <c r="SBL21" s="188"/>
      <c r="SBM21" s="188"/>
      <c r="SBN21" s="188"/>
      <c r="SBO21" s="188"/>
      <c r="SBP21" s="188"/>
      <c r="SBQ21" s="188"/>
      <c r="SBR21" s="188"/>
      <c r="SBS21" s="188"/>
      <c r="SBT21" s="188"/>
      <c r="SBU21" s="188"/>
      <c r="SBV21" s="188"/>
      <c r="SBW21" s="188"/>
      <c r="SBX21" s="188"/>
      <c r="SBY21" s="188"/>
      <c r="SBZ21" s="188"/>
      <c r="SCA21" s="188"/>
      <c r="SCB21" s="188"/>
      <c r="SCC21" s="188"/>
      <c r="SCD21" s="188"/>
      <c r="SCE21" s="188"/>
      <c r="SCF21" s="188"/>
      <c r="SCG21" s="188"/>
      <c r="SCH21" s="188"/>
      <c r="SCI21" s="188"/>
      <c r="SCJ21" s="188"/>
      <c r="SCK21" s="188"/>
      <c r="SCL21" s="188"/>
      <c r="SCM21" s="188"/>
      <c r="SCN21" s="188"/>
      <c r="SCO21" s="188"/>
      <c r="SCP21" s="188"/>
      <c r="SCQ21" s="188"/>
      <c r="SCR21" s="188"/>
      <c r="SCS21" s="188"/>
      <c r="SCT21" s="188"/>
      <c r="SCU21" s="188"/>
      <c r="SCV21" s="188"/>
      <c r="SCW21" s="188"/>
      <c r="SCX21" s="188"/>
      <c r="SCY21" s="188"/>
      <c r="SCZ21" s="188"/>
      <c r="SDA21" s="188"/>
      <c r="SDB21" s="188"/>
      <c r="SDC21" s="188"/>
      <c r="SDD21" s="188"/>
      <c r="SDE21" s="188"/>
      <c r="SDF21" s="188"/>
      <c r="SDG21" s="188"/>
      <c r="SDH21" s="188"/>
      <c r="SDI21" s="188"/>
      <c r="SDJ21" s="188"/>
      <c r="SDK21" s="188"/>
      <c r="SDL21" s="188"/>
      <c r="SDM21" s="188"/>
      <c r="SDN21" s="188"/>
      <c r="SDO21" s="188"/>
      <c r="SDP21" s="188"/>
      <c r="SDQ21" s="188"/>
      <c r="SDR21" s="188"/>
      <c r="SDS21" s="188"/>
      <c r="SDT21" s="188"/>
      <c r="SDU21" s="188"/>
      <c r="SDV21" s="188"/>
      <c r="SDW21" s="188"/>
      <c r="SDX21" s="188"/>
      <c r="SDY21" s="188"/>
      <c r="SDZ21" s="188"/>
      <c r="SEA21" s="188"/>
      <c r="SEB21" s="188"/>
      <c r="SEC21" s="188"/>
      <c r="SED21" s="188"/>
      <c r="SEE21" s="188"/>
      <c r="SEF21" s="188"/>
      <c r="SEG21" s="188"/>
      <c r="SEH21" s="188"/>
      <c r="SEI21" s="188"/>
      <c r="SEJ21" s="188"/>
      <c r="SEK21" s="188"/>
      <c r="SEL21" s="188"/>
      <c r="SEM21" s="188"/>
      <c r="SEN21" s="188"/>
      <c r="SEO21" s="188"/>
      <c r="SEP21" s="188"/>
      <c r="SEQ21" s="188"/>
      <c r="SER21" s="188"/>
      <c r="SES21" s="188"/>
      <c r="SET21" s="188"/>
      <c r="SEU21" s="188"/>
      <c r="SEV21" s="188"/>
      <c r="SEW21" s="188"/>
      <c r="SEX21" s="188"/>
      <c r="SEY21" s="188"/>
      <c r="SEZ21" s="188"/>
      <c r="SFA21" s="188"/>
      <c r="SFB21" s="188"/>
      <c r="SFC21" s="188"/>
      <c r="SFD21" s="188"/>
      <c r="SFE21" s="188"/>
      <c r="SFF21" s="188"/>
      <c r="SFG21" s="188"/>
      <c r="SFH21" s="188"/>
      <c r="SFI21" s="188"/>
      <c r="SFJ21" s="188"/>
      <c r="SFK21" s="188"/>
      <c r="SFL21" s="188"/>
      <c r="SFM21" s="188"/>
      <c r="SFN21" s="188"/>
      <c r="SFO21" s="188"/>
      <c r="SFP21" s="188"/>
      <c r="SFQ21" s="188"/>
      <c r="SFR21" s="188"/>
      <c r="SFS21" s="188"/>
      <c r="SFT21" s="188"/>
      <c r="SFU21" s="188"/>
      <c r="SFV21" s="188"/>
      <c r="SFW21" s="188"/>
      <c r="SFX21" s="188"/>
      <c r="SFY21" s="188"/>
      <c r="SFZ21" s="188"/>
      <c r="SGA21" s="188"/>
      <c r="SGB21" s="188"/>
      <c r="SGC21" s="188"/>
      <c r="SGD21" s="188"/>
      <c r="SGE21" s="188"/>
      <c r="SGF21" s="188"/>
      <c r="SGG21" s="188"/>
      <c r="SGH21" s="188"/>
      <c r="SGI21" s="188"/>
      <c r="SGJ21" s="188"/>
      <c r="SGK21" s="188"/>
      <c r="SGL21" s="188"/>
      <c r="SGM21" s="188"/>
      <c r="SGN21" s="188"/>
      <c r="SGO21" s="188"/>
      <c r="SGP21" s="188"/>
      <c r="SGQ21" s="188"/>
      <c r="SGR21" s="188"/>
      <c r="SGS21" s="188"/>
      <c r="SGT21" s="188"/>
      <c r="SGU21" s="188"/>
      <c r="SGV21" s="188"/>
      <c r="SGW21" s="188"/>
      <c r="SGX21" s="188"/>
      <c r="SGY21" s="188"/>
      <c r="SGZ21" s="188"/>
      <c r="SHA21" s="188"/>
      <c r="SHB21" s="188"/>
      <c r="SHC21" s="188"/>
      <c r="SHD21" s="188"/>
      <c r="SHE21" s="188"/>
      <c r="SHF21" s="188"/>
      <c r="SHG21" s="188"/>
      <c r="SHH21" s="188"/>
      <c r="SHI21" s="188"/>
      <c r="SHJ21" s="188"/>
      <c r="SHK21" s="188"/>
      <c r="SHL21" s="188"/>
      <c r="SHM21" s="188"/>
      <c r="SHN21" s="188"/>
      <c r="SHO21" s="188"/>
      <c r="SHP21" s="188"/>
      <c r="SHQ21" s="188"/>
      <c r="SHR21" s="188"/>
      <c r="SHS21" s="188"/>
      <c r="SHT21" s="188"/>
      <c r="SHU21" s="188"/>
      <c r="SHV21" s="188"/>
      <c r="SHW21" s="188"/>
      <c r="SHX21" s="188"/>
      <c r="SHY21" s="188"/>
      <c r="SHZ21" s="188"/>
      <c r="SIA21" s="188"/>
      <c r="SIB21" s="188"/>
      <c r="SIC21" s="188"/>
      <c r="SID21" s="188"/>
      <c r="SIE21" s="188"/>
      <c r="SIF21" s="188"/>
      <c r="SIG21" s="188"/>
      <c r="SIH21" s="188"/>
      <c r="SII21" s="188"/>
      <c r="SIJ21" s="188"/>
      <c r="SIK21" s="188"/>
      <c r="SIL21" s="188"/>
      <c r="SIM21" s="188"/>
      <c r="SIN21" s="188"/>
      <c r="SIO21" s="188"/>
      <c r="SIP21" s="188"/>
      <c r="SIQ21" s="188"/>
      <c r="SIR21" s="188"/>
      <c r="SIS21" s="188"/>
      <c r="SIT21" s="188"/>
      <c r="SIU21" s="188"/>
      <c r="SIV21" s="188"/>
      <c r="SIW21" s="188"/>
      <c r="SIX21" s="188"/>
      <c r="SIY21" s="188"/>
      <c r="SIZ21" s="188"/>
      <c r="SJA21" s="188"/>
      <c r="SJB21" s="188"/>
      <c r="SJC21" s="188"/>
      <c r="SJD21" s="188"/>
      <c r="SJE21" s="188"/>
      <c r="SJF21" s="188"/>
      <c r="SJG21" s="188"/>
      <c r="SJH21" s="188"/>
      <c r="SJI21" s="188"/>
      <c r="SJJ21" s="188"/>
      <c r="SJK21" s="188"/>
      <c r="SJL21" s="188"/>
      <c r="SJM21" s="188"/>
      <c r="SJN21" s="188"/>
      <c r="SJO21" s="188"/>
      <c r="SJP21" s="188"/>
      <c r="SJQ21" s="188"/>
      <c r="SJR21" s="188"/>
      <c r="SJS21" s="188"/>
      <c r="SJT21" s="188"/>
      <c r="SJU21" s="188"/>
      <c r="SJV21" s="188"/>
      <c r="SJW21" s="188"/>
      <c r="SJX21" s="188"/>
      <c r="SJY21" s="188"/>
      <c r="SJZ21" s="188"/>
      <c r="SKA21" s="188"/>
      <c r="SKB21" s="188"/>
      <c r="SKC21" s="188"/>
      <c r="SKD21" s="188"/>
      <c r="SKE21" s="188"/>
      <c r="SKF21" s="188"/>
      <c r="SKG21" s="188"/>
      <c r="SKH21" s="188"/>
      <c r="SKI21" s="188"/>
      <c r="SKJ21" s="188"/>
      <c r="SKK21" s="188"/>
      <c r="SKL21" s="188"/>
      <c r="SKM21" s="188"/>
      <c r="SKN21" s="188"/>
      <c r="SKO21" s="188"/>
      <c r="SKP21" s="188"/>
      <c r="SKQ21" s="188"/>
      <c r="SKR21" s="188"/>
      <c r="SKS21" s="188"/>
      <c r="SKT21" s="188"/>
      <c r="SKU21" s="188"/>
      <c r="SKV21" s="188"/>
      <c r="SKW21" s="188"/>
      <c r="SKX21" s="188"/>
      <c r="SKY21" s="188"/>
      <c r="SKZ21" s="188"/>
      <c r="SLA21" s="188"/>
      <c r="SLB21" s="188"/>
      <c r="SLC21" s="188"/>
      <c r="SLD21" s="188"/>
      <c r="SLE21" s="188"/>
      <c r="SLF21" s="188"/>
      <c r="SLG21" s="188"/>
      <c r="SLH21" s="188"/>
      <c r="SLI21" s="188"/>
      <c r="SLJ21" s="188"/>
      <c r="SLK21" s="188"/>
      <c r="SLL21" s="188"/>
      <c r="SLM21" s="188"/>
      <c r="SLN21" s="188"/>
      <c r="SLO21" s="188"/>
      <c r="SLP21" s="188"/>
      <c r="SLQ21" s="188"/>
      <c r="SLR21" s="188"/>
      <c r="SLS21" s="188"/>
      <c r="SLT21" s="188"/>
      <c r="SLU21" s="188"/>
      <c r="SLV21" s="188"/>
      <c r="SLW21" s="188"/>
      <c r="SLX21" s="188"/>
      <c r="SLY21" s="188"/>
      <c r="SLZ21" s="188"/>
      <c r="SMA21" s="188"/>
      <c r="SMB21" s="188"/>
      <c r="SMC21" s="188"/>
      <c r="SMD21" s="188"/>
      <c r="SME21" s="188"/>
      <c r="SMF21" s="188"/>
      <c r="SMG21" s="188"/>
      <c r="SMH21" s="188"/>
      <c r="SMI21" s="188"/>
      <c r="SMJ21" s="188"/>
      <c r="SMK21" s="188"/>
      <c r="SML21" s="188"/>
      <c r="SMM21" s="188"/>
      <c r="SMN21" s="188"/>
      <c r="SMO21" s="188"/>
      <c r="SMP21" s="188"/>
      <c r="SMQ21" s="188"/>
      <c r="SMR21" s="188"/>
      <c r="SMS21" s="188"/>
      <c r="SMT21" s="188"/>
      <c r="SMU21" s="188"/>
      <c r="SMV21" s="188"/>
      <c r="SMW21" s="188"/>
      <c r="SMX21" s="188"/>
      <c r="SMY21" s="188"/>
      <c r="SMZ21" s="188"/>
      <c r="SNA21" s="188"/>
      <c r="SNB21" s="188"/>
      <c r="SNC21" s="188"/>
      <c r="SND21" s="188"/>
      <c r="SNE21" s="188"/>
      <c r="SNF21" s="188"/>
      <c r="SNG21" s="188"/>
      <c r="SNH21" s="188"/>
      <c r="SNI21" s="188"/>
      <c r="SNJ21" s="188"/>
      <c r="SNK21" s="188"/>
      <c r="SNL21" s="188"/>
      <c r="SNM21" s="188"/>
      <c r="SNN21" s="188"/>
      <c r="SNO21" s="188"/>
      <c r="SNP21" s="188"/>
      <c r="SNQ21" s="188"/>
      <c r="SNR21" s="188"/>
      <c r="SNS21" s="188"/>
      <c r="SNT21" s="188"/>
      <c r="SNU21" s="188"/>
      <c r="SNV21" s="188"/>
      <c r="SNW21" s="188"/>
      <c r="SNX21" s="188"/>
      <c r="SNY21" s="188"/>
      <c r="SNZ21" s="188"/>
      <c r="SOA21" s="188"/>
      <c r="SOB21" s="188"/>
      <c r="SOC21" s="188"/>
      <c r="SOD21" s="188"/>
      <c r="SOE21" s="188"/>
      <c r="SOF21" s="188"/>
      <c r="SOG21" s="188"/>
      <c r="SOH21" s="188"/>
      <c r="SOI21" s="188"/>
      <c r="SOJ21" s="188"/>
      <c r="SOK21" s="188"/>
      <c r="SOL21" s="188"/>
      <c r="SOM21" s="188"/>
      <c r="SON21" s="188"/>
      <c r="SOO21" s="188"/>
      <c r="SOP21" s="188"/>
      <c r="SOQ21" s="188"/>
      <c r="SOR21" s="188"/>
      <c r="SOS21" s="188"/>
      <c r="SOT21" s="188"/>
      <c r="SOU21" s="188"/>
      <c r="SOV21" s="188"/>
      <c r="SOW21" s="188"/>
      <c r="SOX21" s="188"/>
      <c r="SOY21" s="188"/>
      <c r="SOZ21" s="188"/>
      <c r="SPA21" s="188"/>
      <c r="SPB21" s="188"/>
      <c r="SPC21" s="188"/>
      <c r="SPD21" s="188"/>
      <c r="SPE21" s="188"/>
      <c r="SPF21" s="188"/>
      <c r="SPG21" s="188"/>
      <c r="SPH21" s="188"/>
      <c r="SPI21" s="188"/>
      <c r="SPJ21" s="188"/>
      <c r="SPK21" s="188"/>
      <c r="SPL21" s="188"/>
      <c r="SPM21" s="188"/>
      <c r="SPN21" s="188"/>
      <c r="SPO21" s="188"/>
      <c r="SPP21" s="188"/>
      <c r="SPQ21" s="188"/>
      <c r="SPR21" s="188"/>
      <c r="SPS21" s="188"/>
      <c r="SPT21" s="188"/>
      <c r="SPU21" s="188"/>
      <c r="SPV21" s="188"/>
      <c r="SPW21" s="188"/>
      <c r="SPX21" s="188"/>
      <c r="SPY21" s="188"/>
      <c r="SPZ21" s="188"/>
      <c r="SQA21" s="188"/>
      <c r="SQB21" s="188"/>
      <c r="SQC21" s="188"/>
      <c r="SQD21" s="188"/>
      <c r="SQE21" s="188"/>
      <c r="SQF21" s="188"/>
      <c r="SQG21" s="188"/>
      <c r="SQH21" s="188"/>
      <c r="SQI21" s="188"/>
      <c r="SQJ21" s="188"/>
      <c r="SQK21" s="188"/>
      <c r="SQL21" s="188"/>
      <c r="SQM21" s="188"/>
      <c r="SQN21" s="188"/>
      <c r="SQO21" s="188"/>
      <c r="SQP21" s="188"/>
      <c r="SQQ21" s="188"/>
      <c r="SQR21" s="188"/>
      <c r="SQS21" s="188"/>
      <c r="SQT21" s="188"/>
      <c r="SQU21" s="188"/>
      <c r="SQV21" s="188"/>
      <c r="SQW21" s="188"/>
      <c r="SQX21" s="188"/>
      <c r="SQY21" s="188"/>
      <c r="SQZ21" s="188"/>
      <c r="SRA21" s="188"/>
      <c r="SRB21" s="188"/>
      <c r="SRC21" s="188"/>
      <c r="SRD21" s="188"/>
      <c r="SRE21" s="188"/>
      <c r="SRF21" s="188"/>
      <c r="SRG21" s="188"/>
      <c r="SRH21" s="188"/>
      <c r="SRI21" s="188"/>
      <c r="SRJ21" s="188"/>
      <c r="SRK21" s="188"/>
      <c r="SRL21" s="188"/>
      <c r="SRM21" s="188"/>
      <c r="SRN21" s="188"/>
      <c r="SRO21" s="188"/>
      <c r="SRP21" s="188"/>
      <c r="SRQ21" s="188"/>
      <c r="SRR21" s="188"/>
      <c r="SRS21" s="188"/>
      <c r="SRT21" s="188"/>
      <c r="SRU21" s="188"/>
      <c r="SRV21" s="188"/>
      <c r="SRW21" s="188"/>
      <c r="SRX21" s="188"/>
      <c r="SRY21" s="188"/>
      <c r="SRZ21" s="188"/>
      <c r="SSA21" s="188"/>
      <c r="SSB21" s="188"/>
      <c r="SSC21" s="188"/>
      <c r="SSD21" s="188"/>
      <c r="SSE21" s="188"/>
      <c r="SSF21" s="188"/>
      <c r="SSG21" s="188"/>
      <c r="SSH21" s="188"/>
      <c r="SSI21" s="188"/>
      <c r="SSJ21" s="188"/>
      <c r="SSK21" s="188"/>
      <c r="SSL21" s="188"/>
      <c r="SSM21" s="188"/>
      <c r="SSN21" s="188"/>
      <c r="SSO21" s="188"/>
      <c r="SSP21" s="188"/>
      <c r="SSQ21" s="188"/>
      <c r="SSR21" s="188"/>
      <c r="SSS21" s="188"/>
      <c r="SST21" s="188"/>
      <c r="SSU21" s="188"/>
      <c r="SSV21" s="188"/>
      <c r="SSW21" s="188"/>
      <c r="SSX21" s="188"/>
      <c r="SSY21" s="188"/>
      <c r="SSZ21" s="188"/>
      <c r="STA21" s="188"/>
      <c r="STB21" s="188"/>
      <c r="STC21" s="188"/>
      <c r="STD21" s="188"/>
      <c r="STE21" s="188"/>
      <c r="STF21" s="188"/>
      <c r="STG21" s="188"/>
      <c r="STH21" s="188"/>
      <c r="STI21" s="188"/>
      <c r="STJ21" s="188"/>
      <c r="STK21" s="188"/>
      <c r="STL21" s="188"/>
      <c r="STM21" s="188"/>
      <c r="STN21" s="188"/>
      <c r="STO21" s="188"/>
      <c r="STP21" s="188"/>
      <c r="STQ21" s="188"/>
      <c r="STR21" s="188"/>
      <c r="STS21" s="188"/>
      <c r="STT21" s="188"/>
      <c r="STU21" s="188"/>
      <c r="STV21" s="188"/>
      <c r="STW21" s="188"/>
      <c r="STX21" s="188"/>
      <c r="STY21" s="188"/>
      <c r="STZ21" s="188"/>
      <c r="SUA21" s="188"/>
      <c r="SUB21" s="188"/>
      <c r="SUC21" s="188"/>
      <c r="SUD21" s="188"/>
      <c r="SUE21" s="188"/>
      <c r="SUF21" s="188"/>
      <c r="SUG21" s="188"/>
      <c r="SUH21" s="188"/>
      <c r="SUI21" s="188"/>
      <c r="SUJ21" s="188"/>
      <c r="SUK21" s="188"/>
      <c r="SUL21" s="188"/>
      <c r="SUM21" s="188"/>
      <c r="SUN21" s="188"/>
      <c r="SUO21" s="188"/>
      <c r="SUP21" s="188"/>
      <c r="SUQ21" s="188"/>
      <c r="SUR21" s="188"/>
      <c r="SUS21" s="188"/>
      <c r="SUT21" s="188"/>
      <c r="SUU21" s="188"/>
      <c r="SUV21" s="188"/>
      <c r="SUW21" s="188"/>
      <c r="SUX21" s="188"/>
      <c r="SUY21" s="188"/>
      <c r="SUZ21" s="188"/>
      <c r="SVA21" s="188"/>
      <c r="SVB21" s="188"/>
      <c r="SVC21" s="188"/>
      <c r="SVD21" s="188"/>
      <c r="SVE21" s="188"/>
      <c r="SVF21" s="188"/>
      <c r="SVG21" s="188"/>
      <c r="SVH21" s="188"/>
      <c r="SVI21" s="188"/>
      <c r="SVJ21" s="188"/>
      <c r="SVK21" s="188"/>
      <c r="SVL21" s="188"/>
      <c r="SVM21" s="188"/>
      <c r="SVN21" s="188"/>
      <c r="SVO21" s="188"/>
      <c r="SVP21" s="188"/>
      <c r="SVQ21" s="188"/>
      <c r="SVR21" s="188"/>
      <c r="SVS21" s="188"/>
      <c r="SVT21" s="188"/>
      <c r="SVU21" s="188"/>
      <c r="SVV21" s="188"/>
      <c r="SVW21" s="188"/>
      <c r="SVX21" s="188"/>
      <c r="SVY21" s="188"/>
      <c r="SVZ21" s="188"/>
      <c r="SWA21" s="188"/>
      <c r="SWB21" s="188"/>
      <c r="SWC21" s="188"/>
      <c r="SWD21" s="188"/>
      <c r="SWE21" s="188"/>
      <c r="SWF21" s="188"/>
      <c r="SWG21" s="188"/>
      <c r="SWH21" s="188"/>
      <c r="SWI21" s="188"/>
      <c r="SWJ21" s="188"/>
      <c r="SWK21" s="188"/>
      <c r="SWL21" s="188"/>
      <c r="SWM21" s="188"/>
      <c r="SWN21" s="188"/>
      <c r="SWO21" s="188"/>
      <c r="SWP21" s="188"/>
      <c r="SWQ21" s="188"/>
      <c r="SWR21" s="188"/>
      <c r="SWS21" s="188"/>
      <c r="SWT21" s="188"/>
      <c r="SWU21" s="188"/>
      <c r="SWV21" s="188"/>
      <c r="SWW21" s="188"/>
      <c r="SWX21" s="188"/>
      <c r="SWY21" s="188"/>
      <c r="SWZ21" s="188"/>
      <c r="SXA21" s="188"/>
      <c r="SXB21" s="188"/>
      <c r="SXC21" s="188"/>
      <c r="SXD21" s="188"/>
      <c r="SXE21" s="188"/>
      <c r="SXF21" s="188"/>
      <c r="SXG21" s="188"/>
      <c r="SXH21" s="188"/>
      <c r="SXI21" s="188"/>
      <c r="SXJ21" s="188"/>
      <c r="SXK21" s="188"/>
      <c r="SXL21" s="188"/>
      <c r="SXM21" s="188"/>
      <c r="SXN21" s="188"/>
      <c r="SXO21" s="188"/>
      <c r="SXP21" s="188"/>
      <c r="SXQ21" s="188"/>
      <c r="SXR21" s="188"/>
      <c r="SXS21" s="188"/>
      <c r="SXT21" s="188"/>
      <c r="SXU21" s="188"/>
      <c r="SXV21" s="188"/>
      <c r="SXW21" s="188"/>
      <c r="SXX21" s="188"/>
      <c r="SXY21" s="188"/>
      <c r="SXZ21" s="188"/>
      <c r="SYA21" s="188"/>
      <c r="SYB21" s="188"/>
      <c r="SYC21" s="188"/>
      <c r="SYD21" s="188"/>
      <c r="SYE21" s="188"/>
      <c r="SYF21" s="188"/>
      <c r="SYG21" s="188"/>
      <c r="SYH21" s="188"/>
      <c r="SYI21" s="188"/>
      <c r="SYJ21" s="188"/>
      <c r="SYK21" s="188"/>
      <c r="SYL21" s="188"/>
      <c r="SYM21" s="188"/>
      <c r="SYN21" s="188"/>
      <c r="SYO21" s="188"/>
      <c r="SYP21" s="188"/>
      <c r="SYQ21" s="188"/>
      <c r="SYR21" s="188"/>
      <c r="SYS21" s="188"/>
      <c r="SYT21" s="188"/>
      <c r="SYU21" s="188"/>
      <c r="SYV21" s="188"/>
      <c r="SYW21" s="188"/>
      <c r="SYX21" s="188"/>
      <c r="SYY21" s="188"/>
      <c r="SYZ21" s="188"/>
      <c r="SZA21" s="188"/>
      <c r="SZB21" s="188"/>
      <c r="SZC21" s="188"/>
      <c r="SZD21" s="188"/>
      <c r="SZE21" s="188"/>
      <c r="SZF21" s="188"/>
      <c r="SZG21" s="188"/>
      <c r="SZH21" s="188"/>
      <c r="SZI21" s="188"/>
      <c r="SZJ21" s="188"/>
      <c r="SZK21" s="188"/>
      <c r="SZL21" s="188"/>
      <c r="SZM21" s="188"/>
      <c r="SZN21" s="188"/>
      <c r="SZO21" s="188"/>
      <c r="SZP21" s="188"/>
      <c r="SZQ21" s="188"/>
      <c r="SZR21" s="188"/>
      <c r="SZS21" s="188"/>
      <c r="SZT21" s="188"/>
      <c r="SZU21" s="188"/>
      <c r="SZV21" s="188"/>
      <c r="SZW21" s="188"/>
      <c r="SZX21" s="188"/>
      <c r="SZY21" s="188"/>
      <c r="SZZ21" s="188"/>
      <c r="TAA21" s="188"/>
      <c r="TAB21" s="188"/>
      <c r="TAC21" s="188"/>
      <c r="TAD21" s="188"/>
      <c r="TAE21" s="188"/>
      <c r="TAF21" s="188"/>
      <c r="TAG21" s="188"/>
      <c r="TAH21" s="188"/>
      <c r="TAI21" s="188"/>
      <c r="TAJ21" s="188"/>
      <c r="TAK21" s="188"/>
      <c r="TAL21" s="188"/>
      <c r="TAM21" s="188"/>
      <c r="TAN21" s="188"/>
      <c r="TAO21" s="188"/>
      <c r="TAP21" s="188"/>
      <c r="TAQ21" s="188"/>
      <c r="TAR21" s="188"/>
      <c r="TAS21" s="188"/>
      <c r="TAT21" s="188"/>
      <c r="TAU21" s="188"/>
      <c r="TAV21" s="188"/>
      <c r="TAW21" s="188"/>
      <c r="TAX21" s="188"/>
      <c r="TAY21" s="188"/>
      <c r="TAZ21" s="188"/>
      <c r="TBA21" s="188"/>
      <c r="TBB21" s="188"/>
      <c r="TBC21" s="188"/>
      <c r="TBD21" s="188"/>
      <c r="TBE21" s="188"/>
      <c r="TBF21" s="188"/>
      <c r="TBG21" s="188"/>
      <c r="TBH21" s="188"/>
      <c r="TBI21" s="188"/>
      <c r="TBJ21" s="188"/>
      <c r="TBK21" s="188"/>
      <c r="TBL21" s="188"/>
      <c r="TBM21" s="188"/>
      <c r="TBN21" s="188"/>
      <c r="TBO21" s="188"/>
      <c r="TBP21" s="188"/>
      <c r="TBQ21" s="188"/>
      <c r="TBR21" s="188"/>
      <c r="TBS21" s="188"/>
      <c r="TBT21" s="188"/>
      <c r="TBU21" s="188"/>
      <c r="TBV21" s="188"/>
      <c r="TBW21" s="188"/>
      <c r="TBX21" s="188"/>
      <c r="TBY21" s="188"/>
      <c r="TBZ21" s="188"/>
      <c r="TCA21" s="188"/>
      <c r="TCB21" s="188"/>
      <c r="TCC21" s="188"/>
      <c r="TCD21" s="188"/>
      <c r="TCE21" s="188"/>
      <c r="TCF21" s="188"/>
      <c r="TCG21" s="188"/>
      <c r="TCH21" s="188"/>
      <c r="TCI21" s="188"/>
      <c r="TCJ21" s="188"/>
      <c r="TCK21" s="188"/>
      <c r="TCL21" s="188"/>
      <c r="TCM21" s="188"/>
      <c r="TCN21" s="188"/>
      <c r="TCO21" s="188"/>
      <c r="TCP21" s="188"/>
      <c r="TCQ21" s="188"/>
      <c r="TCR21" s="188"/>
      <c r="TCS21" s="188"/>
      <c r="TCT21" s="188"/>
      <c r="TCU21" s="188"/>
      <c r="TCV21" s="188"/>
      <c r="TCW21" s="188"/>
      <c r="TCX21" s="188"/>
      <c r="TCY21" s="188"/>
      <c r="TCZ21" s="188"/>
      <c r="TDA21" s="188"/>
      <c r="TDB21" s="188"/>
      <c r="TDC21" s="188"/>
      <c r="TDD21" s="188"/>
      <c r="TDE21" s="188"/>
      <c r="TDF21" s="188"/>
      <c r="TDG21" s="188"/>
      <c r="TDH21" s="188"/>
      <c r="TDI21" s="188"/>
      <c r="TDJ21" s="188"/>
      <c r="TDK21" s="188"/>
      <c r="TDL21" s="188"/>
      <c r="TDM21" s="188"/>
      <c r="TDN21" s="188"/>
      <c r="TDO21" s="188"/>
      <c r="TDP21" s="188"/>
      <c r="TDQ21" s="188"/>
      <c r="TDR21" s="188"/>
      <c r="TDS21" s="188"/>
      <c r="TDT21" s="188"/>
      <c r="TDU21" s="188"/>
      <c r="TDV21" s="188"/>
      <c r="TDW21" s="188"/>
      <c r="TDX21" s="188"/>
      <c r="TDY21" s="188"/>
      <c r="TDZ21" s="188"/>
      <c r="TEA21" s="188"/>
      <c r="TEB21" s="188"/>
      <c r="TEC21" s="188"/>
      <c r="TED21" s="188"/>
      <c r="TEE21" s="188"/>
      <c r="TEF21" s="188"/>
      <c r="TEG21" s="188"/>
      <c r="TEH21" s="188"/>
      <c r="TEI21" s="188"/>
      <c r="TEJ21" s="188"/>
      <c r="TEK21" s="188"/>
      <c r="TEL21" s="188"/>
      <c r="TEM21" s="188"/>
      <c r="TEN21" s="188"/>
      <c r="TEO21" s="188"/>
      <c r="TEP21" s="188"/>
      <c r="TEQ21" s="188"/>
      <c r="TER21" s="188"/>
      <c r="TES21" s="188"/>
      <c r="TET21" s="188"/>
      <c r="TEU21" s="188"/>
      <c r="TEV21" s="188"/>
      <c r="TEW21" s="188"/>
      <c r="TEX21" s="188"/>
      <c r="TEY21" s="188"/>
      <c r="TEZ21" s="188"/>
      <c r="TFA21" s="188"/>
      <c r="TFB21" s="188"/>
      <c r="TFC21" s="188"/>
      <c r="TFD21" s="188"/>
      <c r="TFE21" s="188"/>
      <c r="TFF21" s="188"/>
      <c r="TFG21" s="188"/>
      <c r="TFH21" s="188"/>
      <c r="TFI21" s="188"/>
      <c r="TFJ21" s="188"/>
      <c r="TFK21" s="188"/>
      <c r="TFL21" s="188"/>
      <c r="TFM21" s="188"/>
      <c r="TFN21" s="188"/>
      <c r="TFO21" s="188"/>
      <c r="TFP21" s="188"/>
      <c r="TFQ21" s="188"/>
      <c r="TFR21" s="188"/>
      <c r="TFS21" s="188"/>
      <c r="TFT21" s="188"/>
      <c r="TFU21" s="188"/>
      <c r="TFV21" s="188"/>
      <c r="TFW21" s="188"/>
      <c r="TFX21" s="188"/>
      <c r="TFY21" s="188"/>
      <c r="TFZ21" s="188"/>
      <c r="TGA21" s="188"/>
      <c r="TGB21" s="188"/>
      <c r="TGC21" s="188"/>
      <c r="TGD21" s="188"/>
      <c r="TGE21" s="188"/>
      <c r="TGF21" s="188"/>
      <c r="TGG21" s="188"/>
      <c r="TGH21" s="188"/>
      <c r="TGI21" s="188"/>
      <c r="TGJ21" s="188"/>
      <c r="TGK21" s="188"/>
      <c r="TGL21" s="188"/>
      <c r="TGM21" s="188"/>
      <c r="TGN21" s="188"/>
      <c r="TGO21" s="188"/>
      <c r="TGP21" s="188"/>
      <c r="TGQ21" s="188"/>
      <c r="TGR21" s="188"/>
      <c r="TGS21" s="188"/>
      <c r="TGT21" s="188"/>
      <c r="TGU21" s="188"/>
      <c r="TGV21" s="188"/>
      <c r="TGW21" s="188"/>
      <c r="TGX21" s="188"/>
      <c r="TGY21" s="188"/>
      <c r="TGZ21" s="188"/>
      <c r="THA21" s="188"/>
      <c r="THB21" s="188"/>
      <c r="THC21" s="188"/>
      <c r="THD21" s="188"/>
      <c r="THE21" s="188"/>
      <c r="THF21" s="188"/>
      <c r="THG21" s="188"/>
      <c r="THH21" s="188"/>
      <c r="THI21" s="188"/>
      <c r="THJ21" s="188"/>
      <c r="THK21" s="188"/>
      <c r="THL21" s="188"/>
      <c r="THM21" s="188"/>
      <c r="THN21" s="188"/>
      <c r="THO21" s="188"/>
      <c r="THP21" s="188"/>
      <c r="THQ21" s="188"/>
      <c r="THR21" s="188"/>
      <c r="THS21" s="188"/>
      <c r="THT21" s="188"/>
      <c r="THU21" s="188"/>
      <c r="THV21" s="188"/>
      <c r="THW21" s="188"/>
      <c r="THX21" s="188"/>
      <c r="THY21" s="188"/>
      <c r="THZ21" s="188"/>
      <c r="TIA21" s="188"/>
      <c r="TIB21" s="188"/>
      <c r="TIC21" s="188"/>
      <c r="TID21" s="188"/>
      <c r="TIE21" s="188"/>
      <c r="TIF21" s="188"/>
      <c r="TIG21" s="188"/>
      <c r="TIH21" s="188"/>
      <c r="TII21" s="188"/>
      <c r="TIJ21" s="188"/>
      <c r="TIK21" s="188"/>
      <c r="TIL21" s="188"/>
      <c r="TIM21" s="188"/>
      <c r="TIN21" s="188"/>
      <c r="TIO21" s="188"/>
      <c r="TIP21" s="188"/>
      <c r="TIQ21" s="188"/>
      <c r="TIR21" s="188"/>
      <c r="TIS21" s="188"/>
      <c r="TIT21" s="188"/>
      <c r="TIU21" s="188"/>
      <c r="TIV21" s="188"/>
      <c r="TIW21" s="188"/>
      <c r="TIX21" s="188"/>
      <c r="TIY21" s="188"/>
      <c r="TIZ21" s="188"/>
      <c r="TJA21" s="188"/>
      <c r="TJB21" s="188"/>
      <c r="TJC21" s="188"/>
      <c r="TJD21" s="188"/>
      <c r="TJE21" s="188"/>
      <c r="TJF21" s="188"/>
      <c r="TJG21" s="188"/>
      <c r="TJH21" s="188"/>
      <c r="TJI21" s="188"/>
      <c r="TJJ21" s="188"/>
      <c r="TJK21" s="188"/>
      <c r="TJL21" s="188"/>
      <c r="TJM21" s="188"/>
      <c r="TJN21" s="188"/>
      <c r="TJO21" s="188"/>
      <c r="TJP21" s="188"/>
      <c r="TJQ21" s="188"/>
      <c r="TJR21" s="188"/>
      <c r="TJS21" s="188"/>
      <c r="TJT21" s="188"/>
      <c r="TJU21" s="188"/>
      <c r="TJV21" s="188"/>
      <c r="TJW21" s="188"/>
      <c r="TJX21" s="188"/>
      <c r="TJY21" s="188"/>
      <c r="TJZ21" s="188"/>
      <c r="TKA21" s="188"/>
      <c r="TKB21" s="188"/>
      <c r="TKC21" s="188"/>
      <c r="TKD21" s="188"/>
      <c r="TKE21" s="188"/>
      <c r="TKF21" s="188"/>
      <c r="TKG21" s="188"/>
      <c r="TKH21" s="188"/>
      <c r="TKI21" s="188"/>
      <c r="TKJ21" s="188"/>
      <c r="TKK21" s="188"/>
      <c r="TKL21" s="188"/>
      <c r="TKM21" s="188"/>
      <c r="TKN21" s="188"/>
      <c r="TKO21" s="188"/>
      <c r="TKP21" s="188"/>
      <c r="TKQ21" s="188"/>
      <c r="TKR21" s="188"/>
      <c r="TKS21" s="188"/>
      <c r="TKT21" s="188"/>
      <c r="TKU21" s="188"/>
      <c r="TKV21" s="188"/>
      <c r="TKW21" s="188"/>
      <c r="TKX21" s="188"/>
      <c r="TKY21" s="188"/>
      <c r="TKZ21" s="188"/>
      <c r="TLA21" s="188"/>
      <c r="TLB21" s="188"/>
      <c r="TLC21" s="188"/>
      <c r="TLD21" s="188"/>
      <c r="TLE21" s="188"/>
      <c r="TLF21" s="188"/>
      <c r="TLG21" s="188"/>
      <c r="TLH21" s="188"/>
      <c r="TLI21" s="188"/>
      <c r="TLJ21" s="188"/>
      <c r="TLK21" s="188"/>
      <c r="TLL21" s="188"/>
      <c r="TLM21" s="188"/>
      <c r="TLN21" s="188"/>
      <c r="TLO21" s="188"/>
      <c r="TLP21" s="188"/>
      <c r="TLQ21" s="188"/>
      <c r="TLR21" s="188"/>
      <c r="TLS21" s="188"/>
      <c r="TLT21" s="188"/>
      <c r="TLU21" s="188"/>
      <c r="TLV21" s="188"/>
      <c r="TLW21" s="188"/>
      <c r="TLX21" s="188"/>
      <c r="TLY21" s="188"/>
      <c r="TLZ21" s="188"/>
      <c r="TMA21" s="188"/>
      <c r="TMB21" s="188"/>
      <c r="TMC21" s="188"/>
      <c r="TMD21" s="188"/>
      <c r="TME21" s="188"/>
      <c r="TMF21" s="188"/>
      <c r="TMG21" s="188"/>
      <c r="TMH21" s="188"/>
      <c r="TMI21" s="188"/>
      <c r="TMJ21" s="188"/>
      <c r="TMK21" s="188"/>
      <c r="TML21" s="188"/>
      <c r="TMM21" s="188"/>
      <c r="TMN21" s="188"/>
      <c r="TMO21" s="188"/>
      <c r="TMP21" s="188"/>
      <c r="TMQ21" s="188"/>
      <c r="TMR21" s="188"/>
      <c r="TMS21" s="188"/>
      <c r="TMT21" s="188"/>
      <c r="TMU21" s="188"/>
      <c r="TMV21" s="188"/>
      <c r="TMW21" s="188"/>
      <c r="TMX21" s="188"/>
      <c r="TMY21" s="188"/>
      <c r="TMZ21" s="188"/>
      <c r="TNA21" s="188"/>
      <c r="TNB21" s="188"/>
      <c r="TNC21" s="188"/>
      <c r="TND21" s="188"/>
      <c r="TNE21" s="188"/>
      <c r="TNF21" s="188"/>
      <c r="TNG21" s="188"/>
      <c r="TNH21" s="188"/>
      <c r="TNI21" s="188"/>
      <c r="TNJ21" s="188"/>
      <c r="TNK21" s="188"/>
      <c r="TNL21" s="188"/>
      <c r="TNM21" s="188"/>
      <c r="TNN21" s="188"/>
      <c r="TNO21" s="188"/>
      <c r="TNP21" s="188"/>
      <c r="TNQ21" s="188"/>
      <c r="TNR21" s="188"/>
      <c r="TNS21" s="188"/>
      <c r="TNT21" s="188"/>
      <c r="TNU21" s="188"/>
      <c r="TNV21" s="188"/>
      <c r="TNW21" s="188"/>
      <c r="TNX21" s="188"/>
      <c r="TNY21" s="188"/>
      <c r="TNZ21" s="188"/>
      <c r="TOA21" s="188"/>
      <c r="TOB21" s="188"/>
      <c r="TOC21" s="188"/>
      <c r="TOD21" s="188"/>
      <c r="TOE21" s="188"/>
      <c r="TOF21" s="188"/>
      <c r="TOG21" s="188"/>
      <c r="TOH21" s="188"/>
      <c r="TOI21" s="188"/>
      <c r="TOJ21" s="188"/>
      <c r="TOK21" s="188"/>
      <c r="TOL21" s="188"/>
      <c r="TOM21" s="188"/>
      <c r="TON21" s="188"/>
      <c r="TOO21" s="188"/>
      <c r="TOP21" s="188"/>
      <c r="TOQ21" s="188"/>
      <c r="TOR21" s="188"/>
      <c r="TOS21" s="188"/>
      <c r="TOT21" s="188"/>
      <c r="TOU21" s="188"/>
      <c r="TOV21" s="188"/>
      <c r="TOW21" s="188"/>
      <c r="TOX21" s="188"/>
      <c r="TOY21" s="188"/>
      <c r="TOZ21" s="188"/>
      <c r="TPA21" s="188"/>
      <c r="TPB21" s="188"/>
      <c r="TPC21" s="188"/>
      <c r="TPD21" s="188"/>
      <c r="TPE21" s="188"/>
      <c r="TPF21" s="188"/>
      <c r="TPG21" s="188"/>
      <c r="TPH21" s="188"/>
      <c r="TPI21" s="188"/>
      <c r="TPJ21" s="188"/>
      <c r="TPK21" s="188"/>
      <c r="TPL21" s="188"/>
      <c r="TPM21" s="188"/>
      <c r="TPN21" s="188"/>
      <c r="TPO21" s="188"/>
      <c r="TPP21" s="188"/>
      <c r="TPQ21" s="188"/>
      <c r="TPR21" s="188"/>
      <c r="TPS21" s="188"/>
      <c r="TPT21" s="188"/>
      <c r="TPU21" s="188"/>
      <c r="TPV21" s="188"/>
      <c r="TPW21" s="188"/>
      <c r="TPX21" s="188"/>
      <c r="TPY21" s="188"/>
      <c r="TPZ21" s="188"/>
      <c r="TQA21" s="188"/>
      <c r="TQB21" s="188"/>
      <c r="TQC21" s="188"/>
      <c r="TQD21" s="188"/>
      <c r="TQE21" s="188"/>
      <c r="TQF21" s="188"/>
      <c r="TQG21" s="188"/>
      <c r="TQH21" s="188"/>
      <c r="TQI21" s="188"/>
      <c r="TQJ21" s="188"/>
      <c r="TQK21" s="188"/>
      <c r="TQL21" s="188"/>
      <c r="TQM21" s="188"/>
      <c r="TQN21" s="188"/>
      <c r="TQO21" s="188"/>
      <c r="TQP21" s="188"/>
      <c r="TQQ21" s="188"/>
      <c r="TQR21" s="188"/>
      <c r="TQS21" s="188"/>
      <c r="TQT21" s="188"/>
      <c r="TQU21" s="188"/>
      <c r="TQV21" s="188"/>
      <c r="TQW21" s="188"/>
      <c r="TQX21" s="188"/>
      <c r="TQY21" s="188"/>
      <c r="TQZ21" s="188"/>
      <c r="TRA21" s="188"/>
      <c r="TRB21" s="188"/>
      <c r="TRC21" s="188"/>
      <c r="TRD21" s="188"/>
      <c r="TRE21" s="188"/>
      <c r="TRF21" s="188"/>
      <c r="TRG21" s="188"/>
      <c r="TRH21" s="188"/>
      <c r="TRI21" s="188"/>
      <c r="TRJ21" s="188"/>
      <c r="TRK21" s="188"/>
      <c r="TRL21" s="188"/>
      <c r="TRM21" s="188"/>
      <c r="TRN21" s="188"/>
      <c r="TRO21" s="188"/>
      <c r="TRP21" s="188"/>
      <c r="TRQ21" s="188"/>
      <c r="TRR21" s="188"/>
      <c r="TRS21" s="188"/>
      <c r="TRT21" s="188"/>
      <c r="TRU21" s="188"/>
      <c r="TRV21" s="188"/>
      <c r="TRW21" s="188"/>
      <c r="TRX21" s="188"/>
      <c r="TRY21" s="188"/>
      <c r="TRZ21" s="188"/>
      <c r="TSA21" s="188"/>
      <c r="TSB21" s="188"/>
      <c r="TSC21" s="188"/>
      <c r="TSD21" s="188"/>
      <c r="TSE21" s="188"/>
      <c r="TSF21" s="188"/>
      <c r="TSG21" s="188"/>
      <c r="TSH21" s="188"/>
      <c r="TSI21" s="188"/>
      <c r="TSJ21" s="188"/>
      <c r="TSK21" s="188"/>
      <c r="TSL21" s="188"/>
      <c r="TSM21" s="188"/>
      <c r="TSN21" s="188"/>
      <c r="TSO21" s="188"/>
      <c r="TSP21" s="188"/>
      <c r="TSQ21" s="188"/>
      <c r="TSR21" s="188"/>
      <c r="TSS21" s="188"/>
      <c r="TST21" s="188"/>
      <c r="TSU21" s="188"/>
      <c r="TSV21" s="188"/>
      <c r="TSW21" s="188"/>
      <c r="TSX21" s="188"/>
      <c r="TSY21" s="188"/>
      <c r="TSZ21" s="188"/>
      <c r="TTA21" s="188"/>
      <c r="TTB21" s="188"/>
      <c r="TTC21" s="188"/>
      <c r="TTD21" s="188"/>
      <c r="TTE21" s="188"/>
      <c r="TTF21" s="188"/>
      <c r="TTG21" s="188"/>
      <c r="TTH21" s="188"/>
      <c r="TTI21" s="188"/>
      <c r="TTJ21" s="188"/>
      <c r="TTK21" s="188"/>
      <c r="TTL21" s="188"/>
      <c r="TTM21" s="188"/>
      <c r="TTN21" s="188"/>
      <c r="TTO21" s="188"/>
      <c r="TTP21" s="188"/>
      <c r="TTQ21" s="188"/>
      <c r="TTR21" s="188"/>
      <c r="TTS21" s="188"/>
      <c r="TTT21" s="188"/>
      <c r="TTU21" s="188"/>
      <c r="TTV21" s="188"/>
      <c r="TTW21" s="188"/>
      <c r="TTX21" s="188"/>
      <c r="TTY21" s="188"/>
      <c r="TTZ21" s="188"/>
      <c r="TUA21" s="188"/>
      <c r="TUB21" s="188"/>
      <c r="TUC21" s="188"/>
      <c r="TUD21" s="188"/>
      <c r="TUE21" s="188"/>
      <c r="TUF21" s="188"/>
      <c r="TUG21" s="188"/>
      <c r="TUH21" s="188"/>
      <c r="TUI21" s="188"/>
      <c r="TUJ21" s="188"/>
      <c r="TUK21" s="188"/>
      <c r="TUL21" s="188"/>
      <c r="TUM21" s="188"/>
      <c r="TUN21" s="188"/>
      <c r="TUO21" s="188"/>
      <c r="TUP21" s="188"/>
      <c r="TUQ21" s="188"/>
      <c r="TUR21" s="188"/>
      <c r="TUS21" s="188"/>
      <c r="TUT21" s="188"/>
      <c r="TUU21" s="188"/>
      <c r="TUV21" s="188"/>
      <c r="TUW21" s="188"/>
      <c r="TUX21" s="188"/>
      <c r="TUY21" s="188"/>
      <c r="TUZ21" s="188"/>
      <c r="TVA21" s="188"/>
      <c r="TVB21" s="188"/>
      <c r="TVC21" s="188"/>
      <c r="TVD21" s="188"/>
      <c r="TVE21" s="188"/>
      <c r="TVF21" s="188"/>
      <c r="TVG21" s="188"/>
      <c r="TVH21" s="188"/>
      <c r="TVI21" s="188"/>
      <c r="TVJ21" s="188"/>
      <c r="TVK21" s="188"/>
      <c r="TVL21" s="188"/>
      <c r="TVM21" s="188"/>
      <c r="TVN21" s="188"/>
      <c r="TVO21" s="188"/>
      <c r="TVP21" s="188"/>
      <c r="TVQ21" s="188"/>
      <c r="TVR21" s="188"/>
      <c r="TVS21" s="188"/>
      <c r="TVT21" s="188"/>
      <c r="TVU21" s="188"/>
      <c r="TVV21" s="188"/>
      <c r="TVW21" s="188"/>
      <c r="TVX21" s="188"/>
      <c r="TVY21" s="188"/>
      <c r="TVZ21" s="188"/>
      <c r="TWA21" s="188"/>
      <c r="TWB21" s="188"/>
      <c r="TWC21" s="188"/>
      <c r="TWD21" s="188"/>
      <c r="TWE21" s="188"/>
      <c r="TWF21" s="188"/>
      <c r="TWG21" s="188"/>
      <c r="TWH21" s="188"/>
      <c r="TWI21" s="188"/>
      <c r="TWJ21" s="188"/>
      <c r="TWK21" s="188"/>
      <c r="TWL21" s="188"/>
      <c r="TWM21" s="188"/>
      <c r="TWN21" s="188"/>
      <c r="TWO21" s="188"/>
      <c r="TWP21" s="188"/>
      <c r="TWQ21" s="188"/>
      <c r="TWR21" s="188"/>
      <c r="TWS21" s="188"/>
      <c r="TWT21" s="188"/>
      <c r="TWU21" s="188"/>
      <c r="TWV21" s="188"/>
      <c r="TWW21" s="188"/>
      <c r="TWX21" s="188"/>
      <c r="TWY21" s="188"/>
      <c r="TWZ21" s="188"/>
      <c r="TXA21" s="188"/>
      <c r="TXB21" s="188"/>
      <c r="TXC21" s="188"/>
      <c r="TXD21" s="188"/>
      <c r="TXE21" s="188"/>
      <c r="TXF21" s="188"/>
      <c r="TXG21" s="188"/>
      <c r="TXH21" s="188"/>
      <c r="TXI21" s="188"/>
      <c r="TXJ21" s="188"/>
      <c r="TXK21" s="188"/>
      <c r="TXL21" s="188"/>
      <c r="TXM21" s="188"/>
      <c r="TXN21" s="188"/>
      <c r="TXO21" s="188"/>
      <c r="TXP21" s="188"/>
      <c r="TXQ21" s="188"/>
      <c r="TXR21" s="188"/>
      <c r="TXS21" s="188"/>
      <c r="TXT21" s="188"/>
      <c r="TXU21" s="188"/>
      <c r="TXV21" s="188"/>
      <c r="TXW21" s="188"/>
      <c r="TXX21" s="188"/>
      <c r="TXY21" s="188"/>
      <c r="TXZ21" s="188"/>
      <c r="TYA21" s="188"/>
      <c r="TYB21" s="188"/>
      <c r="TYC21" s="188"/>
      <c r="TYD21" s="188"/>
      <c r="TYE21" s="188"/>
      <c r="TYF21" s="188"/>
      <c r="TYG21" s="188"/>
      <c r="TYH21" s="188"/>
      <c r="TYI21" s="188"/>
      <c r="TYJ21" s="188"/>
      <c r="TYK21" s="188"/>
      <c r="TYL21" s="188"/>
      <c r="TYM21" s="188"/>
      <c r="TYN21" s="188"/>
      <c r="TYO21" s="188"/>
      <c r="TYP21" s="188"/>
      <c r="TYQ21" s="188"/>
      <c r="TYR21" s="188"/>
      <c r="TYS21" s="188"/>
      <c r="TYT21" s="188"/>
      <c r="TYU21" s="188"/>
      <c r="TYV21" s="188"/>
      <c r="TYW21" s="188"/>
      <c r="TYX21" s="188"/>
      <c r="TYY21" s="188"/>
      <c r="TYZ21" s="188"/>
      <c r="TZA21" s="188"/>
      <c r="TZB21" s="188"/>
      <c r="TZC21" s="188"/>
      <c r="TZD21" s="188"/>
      <c r="TZE21" s="188"/>
      <c r="TZF21" s="188"/>
      <c r="TZG21" s="188"/>
      <c r="TZH21" s="188"/>
      <c r="TZI21" s="188"/>
      <c r="TZJ21" s="188"/>
      <c r="TZK21" s="188"/>
      <c r="TZL21" s="188"/>
      <c r="TZM21" s="188"/>
      <c r="TZN21" s="188"/>
      <c r="TZO21" s="188"/>
      <c r="TZP21" s="188"/>
      <c r="TZQ21" s="188"/>
      <c r="TZR21" s="188"/>
      <c r="TZS21" s="188"/>
      <c r="TZT21" s="188"/>
      <c r="TZU21" s="188"/>
      <c r="TZV21" s="188"/>
      <c r="TZW21" s="188"/>
      <c r="TZX21" s="188"/>
      <c r="TZY21" s="188"/>
      <c r="TZZ21" s="188"/>
      <c r="UAA21" s="188"/>
      <c r="UAB21" s="188"/>
      <c r="UAC21" s="188"/>
      <c r="UAD21" s="188"/>
      <c r="UAE21" s="188"/>
      <c r="UAF21" s="188"/>
      <c r="UAG21" s="188"/>
      <c r="UAH21" s="188"/>
      <c r="UAI21" s="188"/>
      <c r="UAJ21" s="188"/>
      <c r="UAK21" s="188"/>
      <c r="UAL21" s="188"/>
      <c r="UAM21" s="188"/>
      <c r="UAN21" s="188"/>
      <c r="UAO21" s="188"/>
      <c r="UAP21" s="188"/>
      <c r="UAQ21" s="188"/>
      <c r="UAR21" s="188"/>
      <c r="UAS21" s="188"/>
      <c r="UAT21" s="188"/>
      <c r="UAU21" s="188"/>
      <c r="UAV21" s="188"/>
      <c r="UAW21" s="188"/>
      <c r="UAX21" s="188"/>
      <c r="UAY21" s="188"/>
      <c r="UAZ21" s="188"/>
      <c r="UBA21" s="188"/>
      <c r="UBB21" s="188"/>
      <c r="UBC21" s="188"/>
      <c r="UBD21" s="188"/>
      <c r="UBE21" s="188"/>
      <c r="UBF21" s="188"/>
      <c r="UBG21" s="188"/>
      <c r="UBH21" s="188"/>
      <c r="UBI21" s="188"/>
      <c r="UBJ21" s="188"/>
      <c r="UBK21" s="188"/>
      <c r="UBL21" s="188"/>
      <c r="UBM21" s="188"/>
      <c r="UBN21" s="188"/>
      <c r="UBO21" s="188"/>
      <c r="UBP21" s="188"/>
      <c r="UBQ21" s="188"/>
      <c r="UBR21" s="188"/>
      <c r="UBS21" s="188"/>
      <c r="UBT21" s="188"/>
      <c r="UBU21" s="188"/>
      <c r="UBV21" s="188"/>
      <c r="UBW21" s="188"/>
      <c r="UBX21" s="188"/>
      <c r="UBY21" s="188"/>
      <c r="UBZ21" s="188"/>
      <c r="UCA21" s="188"/>
      <c r="UCB21" s="188"/>
      <c r="UCC21" s="188"/>
      <c r="UCD21" s="188"/>
      <c r="UCE21" s="188"/>
      <c r="UCF21" s="188"/>
      <c r="UCG21" s="188"/>
      <c r="UCH21" s="188"/>
      <c r="UCI21" s="188"/>
      <c r="UCJ21" s="188"/>
      <c r="UCK21" s="188"/>
      <c r="UCL21" s="188"/>
      <c r="UCM21" s="188"/>
      <c r="UCN21" s="188"/>
      <c r="UCO21" s="188"/>
      <c r="UCP21" s="188"/>
      <c r="UCQ21" s="188"/>
      <c r="UCR21" s="188"/>
      <c r="UCS21" s="188"/>
      <c r="UCT21" s="188"/>
      <c r="UCU21" s="188"/>
      <c r="UCV21" s="188"/>
      <c r="UCW21" s="188"/>
      <c r="UCX21" s="188"/>
      <c r="UCY21" s="188"/>
      <c r="UCZ21" s="188"/>
      <c r="UDA21" s="188"/>
      <c r="UDB21" s="188"/>
      <c r="UDC21" s="188"/>
      <c r="UDD21" s="188"/>
      <c r="UDE21" s="188"/>
      <c r="UDF21" s="188"/>
      <c r="UDG21" s="188"/>
      <c r="UDH21" s="188"/>
      <c r="UDI21" s="188"/>
      <c r="UDJ21" s="188"/>
      <c r="UDK21" s="188"/>
      <c r="UDL21" s="188"/>
      <c r="UDM21" s="188"/>
      <c r="UDN21" s="188"/>
      <c r="UDO21" s="188"/>
      <c r="UDP21" s="188"/>
      <c r="UDQ21" s="188"/>
      <c r="UDR21" s="188"/>
      <c r="UDS21" s="188"/>
      <c r="UDT21" s="188"/>
      <c r="UDU21" s="188"/>
      <c r="UDV21" s="188"/>
      <c r="UDW21" s="188"/>
      <c r="UDX21" s="188"/>
      <c r="UDY21" s="188"/>
      <c r="UDZ21" s="188"/>
      <c r="UEA21" s="188"/>
      <c r="UEB21" s="188"/>
      <c r="UEC21" s="188"/>
      <c r="UED21" s="188"/>
      <c r="UEE21" s="188"/>
      <c r="UEF21" s="188"/>
      <c r="UEG21" s="188"/>
      <c r="UEH21" s="188"/>
      <c r="UEI21" s="188"/>
      <c r="UEJ21" s="188"/>
      <c r="UEK21" s="188"/>
      <c r="UEL21" s="188"/>
      <c r="UEM21" s="188"/>
      <c r="UEN21" s="188"/>
      <c r="UEO21" s="188"/>
      <c r="UEP21" s="188"/>
      <c r="UEQ21" s="188"/>
      <c r="UER21" s="188"/>
      <c r="UES21" s="188"/>
      <c r="UET21" s="188"/>
      <c r="UEU21" s="188"/>
      <c r="UEV21" s="188"/>
      <c r="UEW21" s="188"/>
      <c r="UEX21" s="188"/>
      <c r="UEY21" s="188"/>
      <c r="UEZ21" s="188"/>
      <c r="UFA21" s="188"/>
      <c r="UFB21" s="188"/>
      <c r="UFC21" s="188"/>
      <c r="UFD21" s="188"/>
      <c r="UFE21" s="188"/>
      <c r="UFF21" s="188"/>
      <c r="UFG21" s="188"/>
      <c r="UFH21" s="188"/>
      <c r="UFI21" s="188"/>
      <c r="UFJ21" s="188"/>
      <c r="UFK21" s="188"/>
      <c r="UFL21" s="188"/>
      <c r="UFM21" s="188"/>
      <c r="UFN21" s="188"/>
      <c r="UFO21" s="188"/>
      <c r="UFP21" s="188"/>
      <c r="UFQ21" s="188"/>
      <c r="UFR21" s="188"/>
      <c r="UFS21" s="188"/>
      <c r="UFT21" s="188"/>
      <c r="UFU21" s="188"/>
      <c r="UFV21" s="188"/>
      <c r="UFW21" s="188"/>
      <c r="UFX21" s="188"/>
      <c r="UFY21" s="188"/>
      <c r="UFZ21" s="188"/>
      <c r="UGA21" s="188"/>
      <c r="UGB21" s="188"/>
      <c r="UGC21" s="188"/>
      <c r="UGD21" s="188"/>
      <c r="UGE21" s="188"/>
      <c r="UGF21" s="188"/>
      <c r="UGG21" s="188"/>
      <c r="UGH21" s="188"/>
      <c r="UGI21" s="188"/>
      <c r="UGJ21" s="188"/>
      <c r="UGK21" s="188"/>
      <c r="UGL21" s="188"/>
      <c r="UGM21" s="188"/>
      <c r="UGN21" s="188"/>
      <c r="UGO21" s="188"/>
      <c r="UGP21" s="188"/>
      <c r="UGQ21" s="188"/>
      <c r="UGR21" s="188"/>
      <c r="UGS21" s="188"/>
      <c r="UGT21" s="188"/>
      <c r="UGU21" s="188"/>
      <c r="UGV21" s="188"/>
      <c r="UGW21" s="188"/>
      <c r="UGX21" s="188"/>
      <c r="UGY21" s="188"/>
      <c r="UGZ21" s="188"/>
      <c r="UHA21" s="188"/>
      <c r="UHB21" s="188"/>
      <c r="UHC21" s="188"/>
      <c r="UHD21" s="188"/>
      <c r="UHE21" s="188"/>
      <c r="UHF21" s="188"/>
      <c r="UHG21" s="188"/>
      <c r="UHH21" s="188"/>
      <c r="UHI21" s="188"/>
      <c r="UHJ21" s="188"/>
      <c r="UHK21" s="188"/>
      <c r="UHL21" s="188"/>
      <c r="UHM21" s="188"/>
      <c r="UHN21" s="188"/>
      <c r="UHO21" s="188"/>
      <c r="UHP21" s="188"/>
      <c r="UHQ21" s="188"/>
      <c r="UHR21" s="188"/>
      <c r="UHS21" s="188"/>
      <c r="UHT21" s="188"/>
      <c r="UHU21" s="188"/>
      <c r="UHV21" s="188"/>
      <c r="UHW21" s="188"/>
      <c r="UHX21" s="188"/>
      <c r="UHY21" s="188"/>
      <c r="UHZ21" s="188"/>
      <c r="UIA21" s="188"/>
      <c r="UIB21" s="188"/>
      <c r="UIC21" s="188"/>
      <c r="UID21" s="188"/>
      <c r="UIE21" s="188"/>
      <c r="UIF21" s="188"/>
      <c r="UIG21" s="188"/>
      <c r="UIH21" s="188"/>
      <c r="UII21" s="188"/>
      <c r="UIJ21" s="188"/>
      <c r="UIK21" s="188"/>
      <c r="UIL21" s="188"/>
      <c r="UIM21" s="188"/>
      <c r="UIN21" s="188"/>
      <c r="UIO21" s="188"/>
      <c r="UIP21" s="188"/>
      <c r="UIQ21" s="188"/>
      <c r="UIR21" s="188"/>
      <c r="UIS21" s="188"/>
      <c r="UIT21" s="188"/>
      <c r="UIU21" s="188"/>
      <c r="UIV21" s="188"/>
      <c r="UIW21" s="188"/>
      <c r="UIX21" s="188"/>
      <c r="UIY21" s="188"/>
      <c r="UIZ21" s="188"/>
      <c r="UJA21" s="188"/>
      <c r="UJB21" s="188"/>
      <c r="UJC21" s="188"/>
      <c r="UJD21" s="188"/>
      <c r="UJE21" s="188"/>
      <c r="UJF21" s="188"/>
      <c r="UJG21" s="188"/>
      <c r="UJH21" s="188"/>
      <c r="UJI21" s="188"/>
      <c r="UJJ21" s="188"/>
      <c r="UJK21" s="188"/>
      <c r="UJL21" s="188"/>
      <c r="UJM21" s="188"/>
      <c r="UJN21" s="188"/>
      <c r="UJO21" s="188"/>
      <c r="UJP21" s="188"/>
      <c r="UJQ21" s="188"/>
      <c r="UJR21" s="188"/>
      <c r="UJS21" s="188"/>
      <c r="UJT21" s="188"/>
      <c r="UJU21" s="188"/>
      <c r="UJV21" s="188"/>
      <c r="UJW21" s="188"/>
      <c r="UJX21" s="188"/>
      <c r="UJY21" s="188"/>
      <c r="UJZ21" s="188"/>
      <c r="UKA21" s="188"/>
      <c r="UKB21" s="188"/>
      <c r="UKC21" s="188"/>
      <c r="UKD21" s="188"/>
      <c r="UKE21" s="188"/>
      <c r="UKF21" s="188"/>
      <c r="UKG21" s="188"/>
      <c r="UKH21" s="188"/>
      <c r="UKI21" s="188"/>
      <c r="UKJ21" s="188"/>
      <c r="UKK21" s="188"/>
      <c r="UKL21" s="188"/>
      <c r="UKM21" s="188"/>
      <c r="UKN21" s="188"/>
      <c r="UKO21" s="188"/>
      <c r="UKP21" s="188"/>
      <c r="UKQ21" s="188"/>
      <c r="UKR21" s="188"/>
      <c r="UKS21" s="188"/>
      <c r="UKT21" s="188"/>
      <c r="UKU21" s="188"/>
      <c r="UKV21" s="188"/>
      <c r="UKW21" s="188"/>
      <c r="UKX21" s="188"/>
      <c r="UKY21" s="188"/>
      <c r="UKZ21" s="188"/>
      <c r="ULA21" s="188"/>
      <c r="ULB21" s="188"/>
      <c r="ULC21" s="188"/>
      <c r="ULD21" s="188"/>
      <c r="ULE21" s="188"/>
      <c r="ULF21" s="188"/>
      <c r="ULG21" s="188"/>
      <c r="ULH21" s="188"/>
      <c r="ULI21" s="188"/>
      <c r="ULJ21" s="188"/>
      <c r="ULK21" s="188"/>
      <c r="ULL21" s="188"/>
      <c r="ULM21" s="188"/>
      <c r="ULN21" s="188"/>
      <c r="ULO21" s="188"/>
      <c r="ULP21" s="188"/>
      <c r="ULQ21" s="188"/>
      <c r="ULR21" s="188"/>
      <c r="ULS21" s="188"/>
      <c r="ULT21" s="188"/>
      <c r="ULU21" s="188"/>
      <c r="ULV21" s="188"/>
      <c r="ULW21" s="188"/>
      <c r="ULX21" s="188"/>
      <c r="ULY21" s="188"/>
      <c r="ULZ21" s="188"/>
      <c r="UMA21" s="188"/>
      <c r="UMB21" s="188"/>
      <c r="UMC21" s="188"/>
      <c r="UMD21" s="188"/>
      <c r="UME21" s="188"/>
      <c r="UMF21" s="188"/>
      <c r="UMG21" s="188"/>
      <c r="UMH21" s="188"/>
      <c r="UMI21" s="188"/>
      <c r="UMJ21" s="188"/>
      <c r="UMK21" s="188"/>
      <c r="UML21" s="188"/>
      <c r="UMM21" s="188"/>
      <c r="UMN21" s="188"/>
      <c r="UMO21" s="188"/>
      <c r="UMP21" s="188"/>
      <c r="UMQ21" s="188"/>
      <c r="UMR21" s="188"/>
      <c r="UMS21" s="188"/>
      <c r="UMT21" s="188"/>
      <c r="UMU21" s="188"/>
      <c r="UMV21" s="188"/>
      <c r="UMW21" s="188"/>
      <c r="UMX21" s="188"/>
      <c r="UMY21" s="188"/>
      <c r="UMZ21" s="188"/>
      <c r="UNA21" s="188"/>
      <c r="UNB21" s="188"/>
      <c r="UNC21" s="188"/>
      <c r="UND21" s="188"/>
      <c r="UNE21" s="188"/>
      <c r="UNF21" s="188"/>
      <c r="UNG21" s="188"/>
      <c r="UNH21" s="188"/>
      <c r="UNI21" s="188"/>
      <c r="UNJ21" s="188"/>
      <c r="UNK21" s="188"/>
      <c r="UNL21" s="188"/>
      <c r="UNM21" s="188"/>
      <c r="UNN21" s="188"/>
      <c r="UNO21" s="188"/>
      <c r="UNP21" s="188"/>
      <c r="UNQ21" s="188"/>
      <c r="UNR21" s="188"/>
      <c r="UNS21" s="188"/>
      <c r="UNT21" s="188"/>
      <c r="UNU21" s="188"/>
      <c r="UNV21" s="188"/>
      <c r="UNW21" s="188"/>
      <c r="UNX21" s="188"/>
      <c r="UNY21" s="188"/>
      <c r="UNZ21" s="188"/>
      <c r="UOA21" s="188"/>
      <c r="UOB21" s="188"/>
      <c r="UOC21" s="188"/>
      <c r="UOD21" s="188"/>
      <c r="UOE21" s="188"/>
      <c r="UOF21" s="188"/>
      <c r="UOG21" s="188"/>
      <c r="UOH21" s="188"/>
      <c r="UOI21" s="188"/>
      <c r="UOJ21" s="188"/>
      <c r="UOK21" s="188"/>
      <c r="UOL21" s="188"/>
      <c r="UOM21" s="188"/>
      <c r="UON21" s="188"/>
      <c r="UOO21" s="188"/>
      <c r="UOP21" s="188"/>
      <c r="UOQ21" s="188"/>
      <c r="UOR21" s="188"/>
      <c r="UOS21" s="188"/>
      <c r="UOT21" s="188"/>
      <c r="UOU21" s="188"/>
      <c r="UOV21" s="188"/>
      <c r="UOW21" s="188"/>
      <c r="UOX21" s="188"/>
      <c r="UOY21" s="188"/>
      <c r="UOZ21" s="188"/>
      <c r="UPA21" s="188"/>
      <c r="UPB21" s="188"/>
      <c r="UPC21" s="188"/>
      <c r="UPD21" s="188"/>
      <c r="UPE21" s="188"/>
      <c r="UPF21" s="188"/>
      <c r="UPG21" s="188"/>
      <c r="UPH21" s="188"/>
      <c r="UPI21" s="188"/>
      <c r="UPJ21" s="188"/>
      <c r="UPK21" s="188"/>
      <c r="UPL21" s="188"/>
      <c r="UPM21" s="188"/>
      <c r="UPN21" s="188"/>
      <c r="UPO21" s="188"/>
      <c r="UPP21" s="188"/>
      <c r="UPQ21" s="188"/>
      <c r="UPR21" s="188"/>
      <c r="UPS21" s="188"/>
      <c r="UPT21" s="188"/>
      <c r="UPU21" s="188"/>
      <c r="UPV21" s="188"/>
      <c r="UPW21" s="188"/>
      <c r="UPX21" s="188"/>
      <c r="UPY21" s="188"/>
      <c r="UPZ21" s="188"/>
      <c r="UQA21" s="188"/>
      <c r="UQB21" s="188"/>
      <c r="UQC21" s="188"/>
      <c r="UQD21" s="188"/>
      <c r="UQE21" s="188"/>
      <c r="UQF21" s="188"/>
      <c r="UQG21" s="188"/>
      <c r="UQH21" s="188"/>
      <c r="UQI21" s="188"/>
      <c r="UQJ21" s="188"/>
      <c r="UQK21" s="188"/>
      <c r="UQL21" s="188"/>
      <c r="UQM21" s="188"/>
      <c r="UQN21" s="188"/>
      <c r="UQO21" s="188"/>
      <c r="UQP21" s="188"/>
      <c r="UQQ21" s="188"/>
      <c r="UQR21" s="188"/>
      <c r="UQS21" s="188"/>
      <c r="UQT21" s="188"/>
      <c r="UQU21" s="188"/>
      <c r="UQV21" s="188"/>
      <c r="UQW21" s="188"/>
      <c r="UQX21" s="188"/>
      <c r="UQY21" s="188"/>
      <c r="UQZ21" s="188"/>
      <c r="URA21" s="188"/>
      <c r="URB21" s="188"/>
      <c r="URC21" s="188"/>
      <c r="URD21" s="188"/>
      <c r="URE21" s="188"/>
      <c r="URF21" s="188"/>
      <c r="URG21" s="188"/>
      <c r="URH21" s="188"/>
      <c r="URI21" s="188"/>
      <c r="URJ21" s="188"/>
      <c r="URK21" s="188"/>
      <c r="URL21" s="188"/>
      <c r="URM21" s="188"/>
      <c r="URN21" s="188"/>
      <c r="URO21" s="188"/>
      <c r="URP21" s="188"/>
      <c r="URQ21" s="188"/>
      <c r="URR21" s="188"/>
      <c r="URS21" s="188"/>
      <c r="URT21" s="188"/>
      <c r="URU21" s="188"/>
      <c r="URV21" s="188"/>
      <c r="URW21" s="188"/>
      <c r="URX21" s="188"/>
      <c r="URY21" s="188"/>
      <c r="URZ21" s="188"/>
      <c r="USA21" s="188"/>
      <c r="USB21" s="188"/>
      <c r="USC21" s="188"/>
      <c r="USD21" s="188"/>
      <c r="USE21" s="188"/>
      <c r="USF21" s="188"/>
      <c r="USG21" s="188"/>
      <c r="USH21" s="188"/>
      <c r="USI21" s="188"/>
      <c r="USJ21" s="188"/>
      <c r="USK21" s="188"/>
      <c r="USL21" s="188"/>
      <c r="USM21" s="188"/>
      <c r="USN21" s="188"/>
      <c r="USO21" s="188"/>
      <c r="USP21" s="188"/>
      <c r="USQ21" s="188"/>
      <c r="USR21" s="188"/>
      <c r="USS21" s="188"/>
      <c r="UST21" s="188"/>
      <c r="USU21" s="188"/>
      <c r="USV21" s="188"/>
      <c r="USW21" s="188"/>
      <c r="USX21" s="188"/>
      <c r="USY21" s="188"/>
      <c r="USZ21" s="188"/>
      <c r="UTA21" s="188"/>
      <c r="UTB21" s="188"/>
      <c r="UTC21" s="188"/>
      <c r="UTD21" s="188"/>
      <c r="UTE21" s="188"/>
      <c r="UTF21" s="188"/>
      <c r="UTG21" s="188"/>
      <c r="UTH21" s="188"/>
      <c r="UTI21" s="188"/>
      <c r="UTJ21" s="188"/>
      <c r="UTK21" s="188"/>
      <c r="UTL21" s="188"/>
      <c r="UTM21" s="188"/>
      <c r="UTN21" s="188"/>
      <c r="UTO21" s="188"/>
      <c r="UTP21" s="188"/>
      <c r="UTQ21" s="188"/>
      <c r="UTR21" s="188"/>
      <c r="UTS21" s="188"/>
      <c r="UTT21" s="188"/>
      <c r="UTU21" s="188"/>
      <c r="UTV21" s="188"/>
      <c r="UTW21" s="188"/>
      <c r="UTX21" s="188"/>
      <c r="UTY21" s="188"/>
      <c r="UTZ21" s="188"/>
      <c r="UUA21" s="188"/>
      <c r="UUB21" s="188"/>
      <c r="UUC21" s="188"/>
      <c r="UUD21" s="188"/>
      <c r="UUE21" s="188"/>
      <c r="UUF21" s="188"/>
      <c r="UUG21" s="188"/>
      <c r="UUH21" s="188"/>
      <c r="UUI21" s="188"/>
      <c r="UUJ21" s="188"/>
      <c r="UUK21" s="188"/>
      <c r="UUL21" s="188"/>
      <c r="UUM21" s="188"/>
      <c r="UUN21" s="188"/>
      <c r="UUO21" s="188"/>
      <c r="UUP21" s="188"/>
      <c r="UUQ21" s="188"/>
      <c r="UUR21" s="188"/>
      <c r="UUS21" s="188"/>
      <c r="UUT21" s="188"/>
      <c r="UUU21" s="188"/>
      <c r="UUV21" s="188"/>
      <c r="UUW21" s="188"/>
      <c r="UUX21" s="188"/>
      <c r="UUY21" s="188"/>
      <c r="UUZ21" s="188"/>
      <c r="UVA21" s="188"/>
      <c r="UVB21" s="188"/>
      <c r="UVC21" s="188"/>
      <c r="UVD21" s="188"/>
      <c r="UVE21" s="188"/>
      <c r="UVF21" s="188"/>
      <c r="UVG21" s="188"/>
      <c r="UVH21" s="188"/>
      <c r="UVI21" s="188"/>
      <c r="UVJ21" s="188"/>
      <c r="UVK21" s="188"/>
      <c r="UVL21" s="188"/>
      <c r="UVM21" s="188"/>
      <c r="UVN21" s="188"/>
      <c r="UVO21" s="188"/>
      <c r="UVP21" s="188"/>
      <c r="UVQ21" s="188"/>
      <c r="UVR21" s="188"/>
      <c r="UVS21" s="188"/>
      <c r="UVT21" s="188"/>
      <c r="UVU21" s="188"/>
      <c r="UVV21" s="188"/>
      <c r="UVW21" s="188"/>
      <c r="UVX21" s="188"/>
      <c r="UVY21" s="188"/>
      <c r="UVZ21" s="188"/>
      <c r="UWA21" s="188"/>
      <c r="UWB21" s="188"/>
      <c r="UWC21" s="188"/>
      <c r="UWD21" s="188"/>
      <c r="UWE21" s="188"/>
      <c r="UWF21" s="188"/>
      <c r="UWG21" s="188"/>
      <c r="UWH21" s="188"/>
      <c r="UWI21" s="188"/>
      <c r="UWJ21" s="188"/>
      <c r="UWK21" s="188"/>
      <c r="UWL21" s="188"/>
      <c r="UWM21" s="188"/>
      <c r="UWN21" s="188"/>
      <c r="UWO21" s="188"/>
      <c r="UWP21" s="188"/>
      <c r="UWQ21" s="188"/>
      <c r="UWR21" s="188"/>
      <c r="UWS21" s="188"/>
      <c r="UWT21" s="188"/>
      <c r="UWU21" s="188"/>
      <c r="UWV21" s="188"/>
      <c r="UWW21" s="188"/>
      <c r="UWX21" s="188"/>
      <c r="UWY21" s="188"/>
      <c r="UWZ21" s="188"/>
      <c r="UXA21" s="188"/>
      <c r="UXB21" s="188"/>
      <c r="UXC21" s="188"/>
      <c r="UXD21" s="188"/>
      <c r="UXE21" s="188"/>
      <c r="UXF21" s="188"/>
      <c r="UXG21" s="188"/>
      <c r="UXH21" s="188"/>
      <c r="UXI21" s="188"/>
      <c r="UXJ21" s="188"/>
      <c r="UXK21" s="188"/>
      <c r="UXL21" s="188"/>
      <c r="UXM21" s="188"/>
      <c r="UXN21" s="188"/>
      <c r="UXO21" s="188"/>
      <c r="UXP21" s="188"/>
      <c r="UXQ21" s="188"/>
      <c r="UXR21" s="188"/>
      <c r="UXS21" s="188"/>
      <c r="UXT21" s="188"/>
      <c r="UXU21" s="188"/>
      <c r="UXV21" s="188"/>
      <c r="UXW21" s="188"/>
      <c r="UXX21" s="188"/>
      <c r="UXY21" s="188"/>
      <c r="UXZ21" s="188"/>
      <c r="UYA21" s="188"/>
      <c r="UYB21" s="188"/>
      <c r="UYC21" s="188"/>
      <c r="UYD21" s="188"/>
      <c r="UYE21" s="188"/>
      <c r="UYF21" s="188"/>
      <c r="UYG21" s="188"/>
      <c r="UYH21" s="188"/>
      <c r="UYI21" s="188"/>
      <c r="UYJ21" s="188"/>
      <c r="UYK21" s="188"/>
      <c r="UYL21" s="188"/>
      <c r="UYM21" s="188"/>
      <c r="UYN21" s="188"/>
      <c r="UYO21" s="188"/>
      <c r="UYP21" s="188"/>
      <c r="UYQ21" s="188"/>
      <c r="UYR21" s="188"/>
      <c r="UYS21" s="188"/>
      <c r="UYT21" s="188"/>
      <c r="UYU21" s="188"/>
      <c r="UYV21" s="188"/>
      <c r="UYW21" s="188"/>
      <c r="UYX21" s="188"/>
      <c r="UYY21" s="188"/>
      <c r="UYZ21" s="188"/>
      <c r="UZA21" s="188"/>
      <c r="UZB21" s="188"/>
      <c r="UZC21" s="188"/>
      <c r="UZD21" s="188"/>
      <c r="UZE21" s="188"/>
      <c r="UZF21" s="188"/>
      <c r="UZG21" s="188"/>
      <c r="UZH21" s="188"/>
      <c r="UZI21" s="188"/>
      <c r="UZJ21" s="188"/>
      <c r="UZK21" s="188"/>
      <c r="UZL21" s="188"/>
      <c r="UZM21" s="188"/>
      <c r="UZN21" s="188"/>
      <c r="UZO21" s="188"/>
      <c r="UZP21" s="188"/>
      <c r="UZQ21" s="188"/>
      <c r="UZR21" s="188"/>
      <c r="UZS21" s="188"/>
      <c r="UZT21" s="188"/>
      <c r="UZU21" s="188"/>
      <c r="UZV21" s="188"/>
      <c r="UZW21" s="188"/>
      <c r="UZX21" s="188"/>
      <c r="UZY21" s="188"/>
      <c r="UZZ21" s="188"/>
      <c r="VAA21" s="188"/>
      <c r="VAB21" s="188"/>
      <c r="VAC21" s="188"/>
      <c r="VAD21" s="188"/>
      <c r="VAE21" s="188"/>
      <c r="VAF21" s="188"/>
      <c r="VAG21" s="188"/>
      <c r="VAH21" s="188"/>
      <c r="VAI21" s="188"/>
      <c r="VAJ21" s="188"/>
      <c r="VAK21" s="188"/>
      <c r="VAL21" s="188"/>
      <c r="VAM21" s="188"/>
      <c r="VAN21" s="188"/>
      <c r="VAO21" s="188"/>
      <c r="VAP21" s="188"/>
      <c r="VAQ21" s="188"/>
      <c r="VAR21" s="188"/>
      <c r="VAS21" s="188"/>
      <c r="VAT21" s="188"/>
      <c r="VAU21" s="188"/>
      <c r="VAV21" s="188"/>
      <c r="VAW21" s="188"/>
      <c r="VAX21" s="188"/>
      <c r="VAY21" s="188"/>
      <c r="VAZ21" s="188"/>
      <c r="VBA21" s="188"/>
      <c r="VBB21" s="188"/>
      <c r="VBC21" s="188"/>
      <c r="VBD21" s="188"/>
      <c r="VBE21" s="188"/>
      <c r="VBF21" s="188"/>
      <c r="VBG21" s="188"/>
      <c r="VBH21" s="188"/>
      <c r="VBI21" s="188"/>
      <c r="VBJ21" s="188"/>
      <c r="VBK21" s="188"/>
      <c r="VBL21" s="188"/>
      <c r="VBM21" s="188"/>
      <c r="VBN21" s="188"/>
      <c r="VBO21" s="188"/>
      <c r="VBP21" s="188"/>
      <c r="VBQ21" s="188"/>
      <c r="VBR21" s="188"/>
      <c r="VBS21" s="188"/>
      <c r="VBT21" s="188"/>
      <c r="VBU21" s="188"/>
      <c r="VBV21" s="188"/>
      <c r="VBW21" s="188"/>
      <c r="VBX21" s="188"/>
      <c r="VBY21" s="188"/>
      <c r="VBZ21" s="188"/>
      <c r="VCA21" s="188"/>
      <c r="VCB21" s="188"/>
      <c r="VCC21" s="188"/>
      <c r="VCD21" s="188"/>
      <c r="VCE21" s="188"/>
      <c r="VCF21" s="188"/>
      <c r="VCG21" s="188"/>
      <c r="VCH21" s="188"/>
      <c r="VCI21" s="188"/>
      <c r="VCJ21" s="188"/>
      <c r="VCK21" s="188"/>
      <c r="VCL21" s="188"/>
      <c r="VCM21" s="188"/>
      <c r="VCN21" s="188"/>
      <c r="VCO21" s="188"/>
      <c r="VCP21" s="188"/>
      <c r="VCQ21" s="188"/>
      <c r="VCR21" s="188"/>
      <c r="VCS21" s="188"/>
      <c r="VCT21" s="188"/>
      <c r="VCU21" s="188"/>
      <c r="VCV21" s="188"/>
      <c r="VCW21" s="188"/>
      <c r="VCX21" s="188"/>
      <c r="VCY21" s="188"/>
      <c r="VCZ21" s="188"/>
      <c r="VDA21" s="188"/>
      <c r="VDB21" s="188"/>
      <c r="VDC21" s="188"/>
      <c r="VDD21" s="188"/>
      <c r="VDE21" s="188"/>
      <c r="VDF21" s="188"/>
      <c r="VDG21" s="188"/>
      <c r="VDH21" s="188"/>
      <c r="VDI21" s="188"/>
      <c r="VDJ21" s="188"/>
      <c r="VDK21" s="188"/>
      <c r="VDL21" s="188"/>
      <c r="VDM21" s="188"/>
      <c r="VDN21" s="188"/>
      <c r="VDO21" s="188"/>
      <c r="VDP21" s="188"/>
      <c r="VDQ21" s="188"/>
      <c r="VDR21" s="188"/>
      <c r="VDS21" s="188"/>
      <c r="VDT21" s="188"/>
      <c r="VDU21" s="188"/>
      <c r="VDV21" s="188"/>
      <c r="VDW21" s="188"/>
      <c r="VDX21" s="188"/>
      <c r="VDY21" s="188"/>
      <c r="VDZ21" s="188"/>
      <c r="VEA21" s="188"/>
      <c r="VEB21" s="188"/>
      <c r="VEC21" s="188"/>
      <c r="VED21" s="188"/>
      <c r="VEE21" s="188"/>
      <c r="VEF21" s="188"/>
      <c r="VEG21" s="188"/>
      <c r="VEH21" s="188"/>
      <c r="VEI21" s="188"/>
      <c r="VEJ21" s="188"/>
      <c r="VEK21" s="188"/>
      <c r="VEL21" s="188"/>
      <c r="VEM21" s="188"/>
      <c r="VEN21" s="188"/>
      <c r="VEO21" s="188"/>
      <c r="VEP21" s="188"/>
      <c r="VEQ21" s="188"/>
      <c r="VER21" s="188"/>
      <c r="VES21" s="188"/>
      <c r="VET21" s="188"/>
      <c r="VEU21" s="188"/>
      <c r="VEV21" s="188"/>
      <c r="VEW21" s="188"/>
      <c r="VEX21" s="188"/>
      <c r="VEY21" s="188"/>
      <c r="VEZ21" s="188"/>
      <c r="VFA21" s="188"/>
      <c r="VFB21" s="188"/>
      <c r="VFC21" s="188"/>
      <c r="VFD21" s="188"/>
      <c r="VFE21" s="188"/>
      <c r="VFF21" s="188"/>
      <c r="VFG21" s="188"/>
      <c r="VFH21" s="188"/>
      <c r="VFI21" s="188"/>
      <c r="VFJ21" s="188"/>
      <c r="VFK21" s="188"/>
      <c r="VFL21" s="188"/>
      <c r="VFM21" s="188"/>
      <c r="VFN21" s="188"/>
      <c r="VFO21" s="188"/>
      <c r="VFP21" s="188"/>
      <c r="VFQ21" s="188"/>
      <c r="VFR21" s="188"/>
      <c r="VFS21" s="188"/>
      <c r="VFT21" s="188"/>
      <c r="VFU21" s="188"/>
      <c r="VFV21" s="188"/>
      <c r="VFW21" s="188"/>
      <c r="VFX21" s="188"/>
      <c r="VFY21" s="188"/>
      <c r="VFZ21" s="188"/>
      <c r="VGA21" s="188"/>
      <c r="VGB21" s="188"/>
      <c r="VGC21" s="188"/>
      <c r="VGD21" s="188"/>
      <c r="VGE21" s="188"/>
      <c r="VGF21" s="188"/>
      <c r="VGG21" s="188"/>
      <c r="VGH21" s="188"/>
      <c r="VGI21" s="188"/>
      <c r="VGJ21" s="188"/>
      <c r="VGK21" s="188"/>
      <c r="VGL21" s="188"/>
      <c r="VGM21" s="188"/>
      <c r="VGN21" s="188"/>
      <c r="VGO21" s="188"/>
      <c r="VGP21" s="188"/>
      <c r="VGQ21" s="188"/>
      <c r="VGR21" s="188"/>
      <c r="VGS21" s="188"/>
      <c r="VGT21" s="188"/>
      <c r="VGU21" s="188"/>
      <c r="VGV21" s="188"/>
      <c r="VGW21" s="188"/>
      <c r="VGX21" s="188"/>
      <c r="VGY21" s="188"/>
      <c r="VGZ21" s="188"/>
      <c r="VHA21" s="188"/>
      <c r="VHB21" s="188"/>
      <c r="VHC21" s="188"/>
      <c r="VHD21" s="188"/>
      <c r="VHE21" s="188"/>
      <c r="VHF21" s="188"/>
      <c r="VHG21" s="188"/>
      <c r="VHH21" s="188"/>
      <c r="VHI21" s="188"/>
      <c r="VHJ21" s="188"/>
      <c r="VHK21" s="188"/>
      <c r="VHL21" s="188"/>
      <c r="VHM21" s="188"/>
      <c r="VHN21" s="188"/>
      <c r="VHO21" s="188"/>
      <c r="VHP21" s="188"/>
      <c r="VHQ21" s="188"/>
      <c r="VHR21" s="188"/>
      <c r="VHS21" s="188"/>
      <c r="VHT21" s="188"/>
      <c r="VHU21" s="188"/>
      <c r="VHV21" s="188"/>
      <c r="VHW21" s="188"/>
      <c r="VHX21" s="188"/>
      <c r="VHY21" s="188"/>
      <c r="VHZ21" s="188"/>
      <c r="VIA21" s="188"/>
      <c r="VIB21" s="188"/>
      <c r="VIC21" s="188"/>
      <c r="VID21" s="188"/>
      <c r="VIE21" s="188"/>
      <c r="VIF21" s="188"/>
      <c r="VIG21" s="188"/>
      <c r="VIH21" s="188"/>
      <c r="VII21" s="188"/>
      <c r="VIJ21" s="188"/>
      <c r="VIK21" s="188"/>
      <c r="VIL21" s="188"/>
      <c r="VIM21" s="188"/>
      <c r="VIN21" s="188"/>
      <c r="VIO21" s="188"/>
      <c r="VIP21" s="188"/>
      <c r="VIQ21" s="188"/>
      <c r="VIR21" s="188"/>
      <c r="VIS21" s="188"/>
      <c r="VIT21" s="188"/>
      <c r="VIU21" s="188"/>
      <c r="VIV21" s="188"/>
      <c r="VIW21" s="188"/>
      <c r="VIX21" s="188"/>
      <c r="VIY21" s="188"/>
      <c r="VIZ21" s="188"/>
      <c r="VJA21" s="188"/>
      <c r="VJB21" s="188"/>
      <c r="VJC21" s="188"/>
      <c r="VJD21" s="188"/>
      <c r="VJE21" s="188"/>
      <c r="VJF21" s="188"/>
      <c r="VJG21" s="188"/>
      <c r="VJH21" s="188"/>
      <c r="VJI21" s="188"/>
      <c r="VJJ21" s="188"/>
      <c r="VJK21" s="188"/>
      <c r="VJL21" s="188"/>
      <c r="VJM21" s="188"/>
      <c r="VJN21" s="188"/>
      <c r="VJO21" s="188"/>
      <c r="VJP21" s="188"/>
      <c r="VJQ21" s="188"/>
      <c r="VJR21" s="188"/>
      <c r="VJS21" s="188"/>
      <c r="VJT21" s="188"/>
      <c r="VJU21" s="188"/>
      <c r="VJV21" s="188"/>
      <c r="VJW21" s="188"/>
      <c r="VJX21" s="188"/>
      <c r="VJY21" s="188"/>
      <c r="VJZ21" s="188"/>
      <c r="VKA21" s="188"/>
      <c r="VKB21" s="188"/>
      <c r="VKC21" s="188"/>
      <c r="VKD21" s="188"/>
      <c r="VKE21" s="188"/>
      <c r="VKF21" s="188"/>
      <c r="VKG21" s="188"/>
      <c r="VKH21" s="188"/>
      <c r="VKI21" s="188"/>
      <c r="VKJ21" s="188"/>
      <c r="VKK21" s="188"/>
      <c r="VKL21" s="188"/>
      <c r="VKM21" s="188"/>
      <c r="VKN21" s="188"/>
      <c r="VKO21" s="188"/>
      <c r="VKP21" s="188"/>
      <c r="VKQ21" s="188"/>
      <c r="VKR21" s="188"/>
      <c r="VKS21" s="188"/>
      <c r="VKT21" s="188"/>
      <c r="VKU21" s="188"/>
      <c r="VKV21" s="188"/>
      <c r="VKW21" s="188"/>
      <c r="VKX21" s="188"/>
      <c r="VKY21" s="188"/>
      <c r="VKZ21" s="188"/>
      <c r="VLA21" s="188"/>
      <c r="VLB21" s="188"/>
      <c r="VLC21" s="188"/>
      <c r="VLD21" s="188"/>
      <c r="VLE21" s="188"/>
      <c r="VLF21" s="188"/>
      <c r="VLG21" s="188"/>
      <c r="VLH21" s="188"/>
      <c r="VLI21" s="188"/>
      <c r="VLJ21" s="188"/>
      <c r="VLK21" s="188"/>
      <c r="VLL21" s="188"/>
      <c r="VLM21" s="188"/>
      <c r="VLN21" s="188"/>
      <c r="VLO21" s="188"/>
      <c r="VLP21" s="188"/>
      <c r="VLQ21" s="188"/>
      <c r="VLR21" s="188"/>
      <c r="VLS21" s="188"/>
      <c r="VLT21" s="188"/>
      <c r="VLU21" s="188"/>
      <c r="VLV21" s="188"/>
      <c r="VLW21" s="188"/>
      <c r="VLX21" s="188"/>
      <c r="VLY21" s="188"/>
      <c r="VLZ21" s="188"/>
      <c r="VMA21" s="188"/>
      <c r="VMB21" s="188"/>
      <c r="VMC21" s="188"/>
      <c r="VMD21" s="188"/>
      <c r="VME21" s="188"/>
      <c r="VMF21" s="188"/>
      <c r="VMG21" s="188"/>
      <c r="VMH21" s="188"/>
      <c r="VMI21" s="188"/>
      <c r="VMJ21" s="188"/>
      <c r="VMK21" s="188"/>
      <c r="VML21" s="188"/>
      <c r="VMM21" s="188"/>
      <c r="VMN21" s="188"/>
      <c r="VMO21" s="188"/>
      <c r="VMP21" s="188"/>
      <c r="VMQ21" s="188"/>
      <c r="VMR21" s="188"/>
      <c r="VMS21" s="188"/>
      <c r="VMT21" s="188"/>
      <c r="VMU21" s="188"/>
      <c r="VMV21" s="188"/>
      <c r="VMW21" s="188"/>
      <c r="VMX21" s="188"/>
      <c r="VMY21" s="188"/>
      <c r="VMZ21" s="188"/>
      <c r="VNA21" s="188"/>
      <c r="VNB21" s="188"/>
      <c r="VNC21" s="188"/>
      <c r="VND21" s="188"/>
      <c r="VNE21" s="188"/>
      <c r="VNF21" s="188"/>
      <c r="VNG21" s="188"/>
      <c r="VNH21" s="188"/>
      <c r="VNI21" s="188"/>
      <c r="VNJ21" s="188"/>
      <c r="VNK21" s="188"/>
      <c r="VNL21" s="188"/>
      <c r="VNM21" s="188"/>
      <c r="VNN21" s="188"/>
      <c r="VNO21" s="188"/>
      <c r="VNP21" s="188"/>
      <c r="VNQ21" s="188"/>
      <c r="VNR21" s="188"/>
      <c r="VNS21" s="188"/>
      <c r="VNT21" s="188"/>
      <c r="VNU21" s="188"/>
      <c r="VNV21" s="188"/>
      <c r="VNW21" s="188"/>
      <c r="VNX21" s="188"/>
      <c r="VNY21" s="188"/>
      <c r="VNZ21" s="188"/>
      <c r="VOA21" s="188"/>
      <c r="VOB21" s="188"/>
      <c r="VOC21" s="188"/>
      <c r="VOD21" s="188"/>
      <c r="VOE21" s="188"/>
      <c r="VOF21" s="188"/>
      <c r="VOG21" s="188"/>
      <c r="VOH21" s="188"/>
      <c r="VOI21" s="188"/>
      <c r="VOJ21" s="188"/>
      <c r="VOK21" s="188"/>
      <c r="VOL21" s="188"/>
      <c r="VOM21" s="188"/>
      <c r="VON21" s="188"/>
      <c r="VOO21" s="188"/>
      <c r="VOP21" s="188"/>
      <c r="VOQ21" s="188"/>
      <c r="VOR21" s="188"/>
      <c r="VOS21" s="188"/>
      <c r="VOT21" s="188"/>
      <c r="VOU21" s="188"/>
      <c r="VOV21" s="188"/>
      <c r="VOW21" s="188"/>
      <c r="VOX21" s="188"/>
      <c r="VOY21" s="188"/>
      <c r="VOZ21" s="188"/>
      <c r="VPA21" s="188"/>
      <c r="VPB21" s="188"/>
      <c r="VPC21" s="188"/>
      <c r="VPD21" s="188"/>
      <c r="VPE21" s="188"/>
      <c r="VPF21" s="188"/>
      <c r="VPG21" s="188"/>
      <c r="VPH21" s="188"/>
      <c r="VPI21" s="188"/>
      <c r="VPJ21" s="188"/>
      <c r="VPK21" s="188"/>
      <c r="VPL21" s="188"/>
      <c r="VPM21" s="188"/>
      <c r="VPN21" s="188"/>
      <c r="VPO21" s="188"/>
      <c r="VPP21" s="188"/>
      <c r="VPQ21" s="188"/>
      <c r="VPR21" s="188"/>
      <c r="VPS21" s="188"/>
      <c r="VPT21" s="188"/>
      <c r="VPU21" s="188"/>
      <c r="VPV21" s="188"/>
      <c r="VPW21" s="188"/>
      <c r="VPX21" s="188"/>
      <c r="VPY21" s="188"/>
      <c r="VPZ21" s="188"/>
      <c r="VQA21" s="188"/>
      <c r="VQB21" s="188"/>
      <c r="VQC21" s="188"/>
      <c r="VQD21" s="188"/>
      <c r="VQE21" s="188"/>
      <c r="VQF21" s="188"/>
      <c r="VQG21" s="188"/>
      <c r="VQH21" s="188"/>
      <c r="VQI21" s="188"/>
      <c r="VQJ21" s="188"/>
      <c r="VQK21" s="188"/>
      <c r="VQL21" s="188"/>
      <c r="VQM21" s="188"/>
      <c r="VQN21" s="188"/>
      <c r="VQO21" s="188"/>
      <c r="VQP21" s="188"/>
      <c r="VQQ21" s="188"/>
      <c r="VQR21" s="188"/>
      <c r="VQS21" s="188"/>
      <c r="VQT21" s="188"/>
      <c r="VQU21" s="188"/>
      <c r="VQV21" s="188"/>
      <c r="VQW21" s="188"/>
      <c r="VQX21" s="188"/>
      <c r="VQY21" s="188"/>
      <c r="VQZ21" s="188"/>
      <c r="VRA21" s="188"/>
      <c r="VRB21" s="188"/>
      <c r="VRC21" s="188"/>
      <c r="VRD21" s="188"/>
      <c r="VRE21" s="188"/>
      <c r="VRF21" s="188"/>
      <c r="VRG21" s="188"/>
      <c r="VRH21" s="188"/>
      <c r="VRI21" s="188"/>
      <c r="VRJ21" s="188"/>
      <c r="VRK21" s="188"/>
      <c r="VRL21" s="188"/>
      <c r="VRM21" s="188"/>
      <c r="VRN21" s="188"/>
      <c r="VRO21" s="188"/>
      <c r="VRP21" s="188"/>
      <c r="VRQ21" s="188"/>
      <c r="VRR21" s="188"/>
      <c r="VRS21" s="188"/>
      <c r="VRT21" s="188"/>
      <c r="VRU21" s="188"/>
      <c r="VRV21" s="188"/>
      <c r="VRW21" s="188"/>
      <c r="VRX21" s="188"/>
      <c r="VRY21" s="188"/>
      <c r="VRZ21" s="188"/>
      <c r="VSA21" s="188"/>
      <c r="VSB21" s="188"/>
      <c r="VSC21" s="188"/>
      <c r="VSD21" s="188"/>
      <c r="VSE21" s="188"/>
      <c r="VSF21" s="188"/>
      <c r="VSG21" s="188"/>
      <c r="VSH21" s="188"/>
      <c r="VSI21" s="188"/>
      <c r="VSJ21" s="188"/>
      <c r="VSK21" s="188"/>
      <c r="VSL21" s="188"/>
      <c r="VSM21" s="188"/>
      <c r="VSN21" s="188"/>
      <c r="VSO21" s="188"/>
      <c r="VSP21" s="188"/>
      <c r="VSQ21" s="188"/>
      <c r="VSR21" s="188"/>
      <c r="VSS21" s="188"/>
      <c r="VST21" s="188"/>
      <c r="VSU21" s="188"/>
      <c r="VSV21" s="188"/>
      <c r="VSW21" s="188"/>
      <c r="VSX21" s="188"/>
      <c r="VSY21" s="188"/>
      <c r="VSZ21" s="188"/>
      <c r="VTA21" s="188"/>
      <c r="VTB21" s="188"/>
      <c r="VTC21" s="188"/>
      <c r="VTD21" s="188"/>
      <c r="VTE21" s="188"/>
      <c r="VTF21" s="188"/>
      <c r="VTG21" s="188"/>
      <c r="VTH21" s="188"/>
      <c r="VTI21" s="188"/>
      <c r="VTJ21" s="188"/>
      <c r="VTK21" s="188"/>
      <c r="VTL21" s="188"/>
      <c r="VTM21" s="188"/>
      <c r="VTN21" s="188"/>
      <c r="VTO21" s="188"/>
      <c r="VTP21" s="188"/>
      <c r="VTQ21" s="188"/>
      <c r="VTR21" s="188"/>
      <c r="VTS21" s="188"/>
      <c r="VTT21" s="188"/>
      <c r="VTU21" s="188"/>
      <c r="VTV21" s="188"/>
      <c r="VTW21" s="188"/>
      <c r="VTX21" s="188"/>
      <c r="VTY21" s="188"/>
      <c r="VTZ21" s="188"/>
      <c r="VUA21" s="188"/>
      <c r="VUB21" s="188"/>
      <c r="VUC21" s="188"/>
      <c r="VUD21" s="188"/>
      <c r="VUE21" s="188"/>
      <c r="VUF21" s="188"/>
      <c r="VUG21" s="188"/>
      <c r="VUH21" s="188"/>
      <c r="VUI21" s="188"/>
      <c r="VUJ21" s="188"/>
      <c r="VUK21" s="188"/>
      <c r="VUL21" s="188"/>
      <c r="VUM21" s="188"/>
      <c r="VUN21" s="188"/>
      <c r="VUO21" s="188"/>
      <c r="VUP21" s="188"/>
      <c r="VUQ21" s="188"/>
      <c r="VUR21" s="188"/>
      <c r="VUS21" s="188"/>
      <c r="VUT21" s="188"/>
      <c r="VUU21" s="188"/>
      <c r="VUV21" s="188"/>
      <c r="VUW21" s="188"/>
      <c r="VUX21" s="188"/>
      <c r="VUY21" s="188"/>
      <c r="VUZ21" s="188"/>
      <c r="VVA21" s="188"/>
      <c r="VVB21" s="188"/>
      <c r="VVC21" s="188"/>
      <c r="VVD21" s="188"/>
      <c r="VVE21" s="188"/>
      <c r="VVF21" s="188"/>
      <c r="VVG21" s="188"/>
      <c r="VVH21" s="188"/>
      <c r="VVI21" s="188"/>
      <c r="VVJ21" s="188"/>
      <c r="VVK21" s="188"/>
      <c r="VVL21" s="188"/>
      <c r="VVM21" s="188"/>
      <c r="VVN21" s="188"/>
      <c r="VVO21" s="188"/>
      <c r="VVP21" s="188"/>
      <c r="VVQ21" s="188"/>
      <c r="VVR21" s="188"/>
      <c r="VVS21" s="188"/>
      <c r="VVT21" s="188"/>
      <c r="VVU21" s="188"/>
      <c r="VVV21" s="188"/>
      <c r="VVW21" s="188"/>
      <c r="VVX21" s="188"/>
      <c r="VVY21" s="188"/>
      <c r="VVZ21" s="188"/>
      <c r="VWA21" s="188"/>
      <c r="VWB21" s="188"/>
      <c r="VWC21" s="188"/>
      <c r="VWD21" s="188"/>
      <c r="VWE21" s="188"/>
      <c r="VWF21" s="188"/>
      <c r="VWG21" s="188"/>
      <c r="VWH21" s="188"/>
      <c r="VWI21" s="188"/>
      <c r="VWJ21" s="188"/>
      <c r="VWK21" s="188"/>
      <c r="VWL21" s="188"/>
      <c r="VWM21" s="188"/>
      <c r="VWN21" s="188"/>
      <c r="VWO21" s="188"/>
      <c r="VWP21" s="188"/>
      <c r="VWQ21" s="188"/>
      <c r="VWR21" s="188"/>
      <c r="VWS21" s="188"/>
      <c r="VWT21" s="188"/>
      <c r="VWU21" s="188"/>
      <c r="VWV21" s="188"/>
      <c r="VWW21" s="188"/>
      <c r="VWX21" s="188"/>
      <c r="VWY21" s="188"/>
      <c r="VWZ21" s="188"/>
      <c r="VXA21" s="188"/>
      <c r="VXB21" s="188"/>
      <c r="VXC21" s="188"/>
      <c r="VXD21" s="188"/>
      <c r="VXE21" s="188"/>
      <c r="VXF21" s="188"/>
      <c r="VXG21" s="188"/>
      <c r="VXH21" s="188"/>
      <c r="VXI21" s="188"/>
      <c r="VXJ21" s="188"/>
      <c r="VXK21" s="188"/>
      <c r="VXL21" s="188"/>
      <c r="VXM21" s="188"/>
      <c r="VXN21" s="188"/>
      <c r="VXO21" s="188"/>
      <c r="VXP21" s="188"/>
      <c r="VXQ21" s="188"/>
      <c r="VXR21" s="188"/>
      <c r="VXS21" s="188"/>
      <c r="VXT21" s="188"/>
      <c r="VXU21" s="188"/>
      <c r="VXV21" s="188"/>
      <c r="VXW21" s="188"/>
      <c r="VXX21" s="188"/>
      <c r="VXY21" s="188"/>
      <c r="VXZ21" s="188"/>
      <c r="VYA21" s="188"/>
      <c r="VYB21" s="188"/>
      <c r="VYC21" s="188"/>
      <c r="VYD21" s="188"/>
      <c r="VYE21" s="188"/>
      <c r="VYF21" s="188"/>
      <c r="VYG21" s="188"/>
      <c r="VYH21" s="188"/>
      <c r="VYI21" s="188"/>
      <c r="VYJ21" s="188"/>
      <c r="VYK21" s="188"/>
      <c r="VYL21" s="188"/>
      <c r="VYM21" s="188"/>
      <c r="VYN21" s="188"/>
      <c r="VYO21" s="188"/>
      <c r="VYP21" s="188"/>
      <c r="VYQ21" s="188"/>
      <c r="VYR21" s="188"/>
      <c r="VYS21" s="188"/>
      <c r="VYT21" s="188"/>
      <c r="VYU21" s="188"/>
      <c r="VYV21" s="188"/>
      <c r="VYW21" s="188"/>
      <c r="VYX21" s="188"/>
      <c r="VYY21" s="188"/>
      <c r="VYZ21" s="188"/>
      <c r="VZA21" s="188"/>
      <c r="VZB21" s="188"/>
      <c r="VZC21" s="188"/>
      <c r="VZD21" s="188"/>
      <c r="VZE21" s="188"/>
      <c r="VZF21" s="188"/>
      <c r="VZG21" s="188"/>
      <c r="VZH21" s="188"/>
      <c r="VZI21" s="188"/>
      <c r="VZJ21" s="188"/>
      <c r="VZK21" s="188"/>
      <c r="VZL21" s="188"/>
      <c r="VZM21" s="188"/>
      <c r="VZN21" s="188"/>
      <c r="VZO21" s="188"/>
      <c r="VZP21" s="188"/>
      <c r="VZQ21" s="188"/>
      <c r="VZR21" s="188"/>
      <c r="VZS21" s="188"/>
      <c r="VZT21" s="188"/>
      <c r="VZU21" s="188"/>
      <c r="VZV21" s="188"/>
      <c r="VZW21" s="188"/>
      <c r="VZX21" s="188"/>
      <c r="VZY21" s="188"/>
      <c r="VZZ21" s="188"/>
      <c r="WAA21" s="188"/>
      <c r="WAB21" s="188"/>
      <c r="WAC21" s="188"/>
      <c r="WAD21" s="188"/>
      <c r="WAE21" s="188"/>
      <c r="WAF21" s="188"/>
      <c r="WAG21" s="188"/>
      <c r="WAH21" s="188"/>
      <c r="WAI21" s="188"/>
      <c r="WAJ21" s="188"/>
      <c r="WAK21" s="188"/>
      <c r="WAL21" s="188"/>
      <c r="WAM21" s="188"/>
      <c r="WAN21" s="188"/>
      <c r="WAO21" s="188"/>
      <c r="WAP21" s="188"/>
      <c r="WAQ21" s="188"/>
      <c r="WAR21" s="188"/>
      <c r="WAS21" s="188"/>
      <c r="WAT21" s="188"/>
      <c r="WAU21" s="188"/>
      <c r="WAV21" s="188"/>
      <c r="WAW21" s="188"/>
      <c r="WAX21" s="188"/>
      <c r="WAY21" s="188"/>
      <c r="WAZ21" s="188"/>
      <c r="WBA21" s="188"/>
      <c r="WBB21" s="188"/>
      <c r="WBC21" s="188"/>
      <c r="WBD21" s="188"/>
      <c r="WBE21" s="188"/>
      <c r="WBF21" s="188"/>
      <c r="WBG21" s="188"/>
      <c r="WBH21" s="188"/>
      <c r="WBI21" s="188"/>
      <c r="WBJ21" s="188"/>
      <c r="WBK21" s="188"/>
      <c r="WBL21" s="188"/>
      <c r="WBM21" s="188"/>
      <c r="WBN21" s="188"/>
      <c r="WBO21" s="188"/>
      <c r="WBP21" s="188"/>
      <c r="WBQ21" s="188"/>
      <c r="WBR21" s="188"/>
      <c r="WBS21" s="188"/>
      <c r="WBT21" s="188"/>
      <c r="WBU21" s="188"/>
      <c r="WBV21" s="188"/>
      <c r="WBW21" s="188"/>
      <c r="WBX21" s="188"/>
      <c r="WBY21" s="188"/>
      <c r="WBZ21" s="188"/>
      <c r="WCA21" s="188"/>
      <c r="WCB21" s="188"/>
      <c r="WCC21" s="188"/>
      <c r="WCD21" s="188"/>
      <c r="WCE21" s="188"/>
      <c r="WCF21" s="188"/>
      <c r="WCG21" s="188"/>
      <c r="WCH21" s="188"/>
      <c r="WCI21" s="188"/>
      <c r="WCJ21" s="188"/>
      <c r="WCK21" s="188"/>
      <c r="WCL21" s="188"/>
      <c r="WCM21" s="188"/>
      <c r="WCN21" s="188"/>
      <c r="WCO21" s="188"/>
      <c r="WCP21" s="188"/>
      <c r="WCQ21" s="188"/>
      <c r="WCR21" s="188"/>
      <c r="WCS21" s="188"/>
      <c r="WCT21" s="188"/>
      <c r="WCU21" s="188"/>
      <c r="WCV21" s="188"/>
      <c r="WCW21" s="188"/>
      <c r="WCX21" s="188"/>
      <c r="WCY21" s="188"/>
      <c r="WCZ21" s="188"/>
      <c r="WDA21" s="188"/>
      <c r="WDB21" s="188"/>
      <c r="WDC21" s="188"/>
      <c r="WDD21" s="188"/>
      <c r="WDE21" s="188"/>
      <c r="WDF21" s="188"/>
      <c r="WDG21" s="188"/>
      <c r="WDH21" s="188"/>
      <c r="WDI21" s="188"/>
      <c r="WDJ21" s="188"/>
      <c r="WDK21" s="188"/>
      <c r="WDL21" s="188"/>
      <c r="WDM21" s="188"/>
      <c r="WDN21" s="188"/>
      <c r="WDO21" s="188"/>
      <c r="WDP21" s="188"/>
      <c r="WDQ21" s="188"/>
      <c r="WDR21" s="188"/>
      <c r="WDS21" s="188"/>
      <c r="WDT21" s="188"/>
      <c r="WDU21" s="188"/>
      <c r="WDV21" s="188"/>
      <c r="WDW21" s="188"/>
      <c r="WDX21" s="188"/>
      <c r="WDY21" s="188"/>
      <c r="WDZ21" s="188"/>
      <c r="WEA21" s="188"/>
      <c r="WEB21" s="188"/>
      <c r="WEC21" s="188"/>
      <c r="WED21" s="188"/>
      <c r="WEE21" s="188"/>
      <c r="WEF21" s="188"/>
      <c r="WEG21" s="188"/>
      <c r="WEH21" s="188"/>
      <c r="WEI21" s="188"/>
      <c r="WEJ21" s="188"/>
      <c r="WEK21" s="188"/>
      <c r="WEL21" s="188"/>
      <c r="WEM21" s="188"/>
      <c r="WEN21" s="188"/>
      <c r="WEO21" s="188"/>
      <c r="WEP21" s="188"/>
      <c r="WEQ21" s="188"/>
      <c r="WER21" s="188"/>
      <c r="WES21" s="188"/>
      <c r="WET21" s="188"/>
      <c r="WEU21" s="188"/>
      <c r="WEV21" s="188"/>
      <c r="WEW21" s="188"/>
      <c r="WEX21" s="188"/>
      <c r="WEY21" s="188"/>
      <c r="WEZ21" s="188"/>
      <c r="WFA21" s="188"/>
      <c r="WFB21" s="188"/>
      <c r="WFC21" s="188"/>
      <c r="WFD21" s="188"/>
      <c r="WFE21" s="188"/>
      <c r="WFF21" s="188"/>
      <c r="WFG21" s="188"/>
      <c r="WFH21" s="188"/>
      <c r="WFI21" s="188"/>
      <c r="WFJ21" s="188"/>
      <c r="WFK21" s="188"/>
      <c r="WFL21" s="188"/>
      <c r="WFM21" s="188"/>
      <c r="WFN21" s="188"/>
      <c r="WFO21" s="188"/>
      <c r="WFP21" s="188"/>
      <c r="WFQ21" s="188"/>
      <c r="WFR21" s="188"/>
      <c r="WFS21" s="188"/>
      <c r="WFT21" s="188"/>
      <c r="WFU21" s="188"/>
      <c r="WFV21" s="188"/>
      <c r="WFW21" s="188"/>
      <c r="WFX21" s="188"/>
      <c r="WFY21" s="188"/>
      <c r="WFZ21" s="188"/>
      <c r="WGA21" s="188"/>
      <c r="WGB21" s="188"/>
      <c r="WGC21" s="188"/>
      <c r="WGD21" s="188"/>
      <c r="WGE21" s="188"/>
      <c r="WGF21" s="188"/>
      <c r="WGG21" s="188"/>
      <c r="WGH21" s="188"/>
      <c r="WGI21" s="188"/>
      <c r="WGJ21" s="188"/>
      <c r="WGK21" s="188"/>
      <c r="WGL21" s="188"/>
      <c r="WGM21" s="188"/>
      <c r="WGN21" s="188"/>
      <c r="WGO21" s="188"/>
      <c r="WGP21" s="188"/>
      <c r="WGQ21" s="188"/>
      <c r="WGR21" s="188"/>
      <c r="WGS21" s="188"/>
      <c r="WGT21" s="188"/>
      <c r="WGU21" s="188"/>
      <c r="WGV21" s="188"/>
      <c r="WGW21" s="188"/>
      <c r="WGX21" s="188"/>
      <c r="WGY21" s="188"/>
      <c r="WGZ21" s="188"/>
      <c r="WHA21" s="188"/>
      <c r="WHB21" s="188"/>
      <c r="WHC21" s="188"/>
      <c r="WHD21" s="188"/>
      <c r="WHE21" s="188"/>
      <c r="WHF21" s="188"/>
      <c r="WHG21" s="188"/>
      <c r="WHH21" s="188"/>
      <c r="WHI21" s="188"/>
      <c r="WHJ21" s="188"/>
      <c r="WHK21" s="188"/>
      <c r="WHL21" s="188"/>
      <c r="WHM21" s="188"/>
      <c r="WHN21" s="188"/>
      <c r="WHO21" s="188"/>
      <c r="WHP21" s="188"/>
      <c r="WHQ21" s="188"/>
      <c r="WHR21" s="188"/>
      <c r="WHS21" s="188"/>
      <c r="WHT21" s="188"/>
      <c r="WHU21" s="188"/>
      <c r="WHV21" s="188"/>
      <c r="WHW21" s="188"/>
      <c r="WHX21" s="188"/>
      <c r="WHY21" s="188"/>
      <c r="WHZ21" s="188"/>
      <c r="WIA21" s="188"/>
      <c r="WIB21" s="188"/>
      <c r="WIC21" s="188"/>
      <c r="WID21" s="188"/>
      <c r="WIE21" s="188"/>
      <c r="WIF21" s="188"/>
      <c r="WIG21" s="188"/>
      <c r="WIH21" s="188"/>
      <c r="WII21" s="188"/>
      <c r="WIJ21" s="188"/>
      <c r="WIK21" s="188"/>
      <c r="WIL21" s="188"/>
      <c r="WIM21" s="188"/>
      <c r="WIN21" s="188"/>
      <c r="WIO21" s="188"/>
      <c r="WIP21" s="188"/>
      <c r="WIQ21" s="188"/>
      <c r="WIR21" s="188"/>
      <c r="WIS21" s="188"/>
      <c r="WIT21" s="188"/>
      <c r="WIU21" s="188"/>
      <c r="WIV21" s="188"/>
      <c r="WIW21" s="188"/>
      <c r="WIX21" s="188"/>
      <c r="WIY21" s="188"/>
      <c r="WIZ21" s="188"/>
      <c r="WJA21" s="188"/>
      <c r="WJB21" s="188"/>
      <c r="WJC21" s="188"/>
      <c r="WJD21" s="188"/>
      <c r="WJE21" s="188"/>
      <c r="WJF21" s="188"/>
      <c r="WJG21" s="188"/>
      <c r="WJH21" s="188"/>
      <c r="WJI21" s="188"/>
      <c r="WJJ21" s="188"/>
      <c r="WJK21" s="188"/>
      <c r="WJL21" s="188"/>
      <c r="WJM21" s="188"/>
      <c r="WJN21" s="188"/>
      <c r="WJO21" s="188"/>
      <c r="WJP21" s="188"/>
      <c r="WJQ21" s="188"/>
      <c r="WJR21" s="188"/>
      <c r="WJS21" s="188"/>
      <c r="WJT21" s="188"/>
      <c r="WJU21" s="188"/>
      <c r="WJV21" s="188"/>
      <c r="WJW21" s="188"/>
      <c r="WJX21" s="188"/>
      <c r="WJY21" s="188"/>
      <c r="WJZ21" s="188"/>
      <c r="WKA21" s="188"/>
      <c r="WKB21" s="188"/>
      <c r="WKC21" s="188"/>
      <c r="WKD21" s="188"/>
      <c r="WKE21" s="188"/>
      <c r="WKF21" s="188"/>
      <c r="WKG21" s="188"/>
      <c r="WKH21" s="188"/>
      <c r="WKI21" s="188"/>
      <c r="WKJ21" s="188"/>
      <c r="WKK21" s="188"/>
      <c r="WKL21" s="188"/>
      <c r="WKM21" s="188"/>
      <c r="WKN21" s="188"/>
      <c r="WKO21" s="188"/>
      <c r="WKP21" s="188"/>
      <c r="WKQ21" s="188"/>
      <c r="WKR21" s="188"/>
      <c r="WKS21" s="188"/>
      <c r="WKT21" s="188"/>
      <c r="WKU21" s="188"/>
      <c r="WKV21" s="188"/>
      <c r="WKW21" s="188"/>
      <c r="WKX21" s="188"/>
      <c r="WKY21" s="188"/>
      <c r="WKZ21" s="188"/>
      <c r="WLA21" s="188"/>
      <c r="WLB21" s="188"/>
      <c r="WLC21" s="188"/>
      <c r="WLD21" s="188"/>
      <c r="WLE21" s="188"/>
      <c r="WLF21" s="188"/>
      <c r="WLG21" s="188"/>
      <c r="WLH21" s="188"/>
      <c r="WLI21" s="188"/>
      <c r="WLJ21" s="188"/>
      <c r="WLK21" s="188"/>
      <c r="WLL21" s="188"/>
      <c r="WLM21" s="188"/>
      <c r="WLN21" s="188"/>
      <c r="WLO21" s="188"/>
      <c r="WLP21" s="188"/>
      <c r="WLQ21" s="188"/>
      <c r="WLR21" s="188"/>
      <c r="WLS21" s="188"/>
      <c r="WLT21" s="188"/>
      <c r="WLU21" s="188"/>
      <c r="WLV21" s="188"/>
      <c r="WLW21" s="188"/>
      <c r="WLX21" s="188"/>
      <c r="WLY21" s="188"/>
      <c r="WLZ21" s="188"/>
      <c r="WMA21" s="188"/>
      <c r="WMB21" s="188"/>
      <c r="WMC21" s="188"/>
      <c r="WMD21" s="188"/>
      <c r="WME21" s="188"/>
      <c r="WMF21" s="188"/>
      <c r="WMG21" s="188"/>
      <c r="WMH21" s="188"/>
      <c r="WMI21" s="188"/>
      <c r="WMJ21" s="188"/>
      <c r="WMK21" s="188"/>
      <c r="WML21" s="188"/>
      <c r="WMM21" s="188"/>
      <c r="WMN21" s="188"/>
      <c r="WMO21" s="188"/>
      <c r="WMP21" s="188"/>
      <c r="WMQ21" s="188"/>
      <c r="WMR21" s="188"/>
      <c r="WMS21" s="188"/>
      <c r="WMT21" s="188"/>
      <c r="WMU21" s="188"/>
      <c r="WMV21" s="188"/>
      <c r="WMW21" s="188"/>
      <c r="WMX21" s="188"/>
      <c r="WMY21" s="188"/>
      <c r="WMZ21" s="188"/>
      <c r="WNA21" s="188"/>
      <c r="WNB21" s="188"/>
      <c r="WNC21" s="188"/>
      <c r="WND21" s="188"/>
      <c r="WNE21" s="188"/>
      <c r="WNF21" s="188"/>
      <c r="WNG21" s="188"/>
      <c r="WNH21" s="188"/>
      <c r="WNI21" s="188"/>
      <c r="WNJ21" s="188"/>
      <c r="WNK21" s="188"/>
      <c r="WNL21" s="188"/>
      <c r="WNM21" s="188"/>
      <c r="WNN21" s="188"/>
      <c r="WNO21" s="188"/>
      <c r="WNP21" s="188"/>
      <c r="WNQ21" s="188"/>
      <c r="WNR21" s="188"/>
      <c r="WNS21" s="188"/>
      <c r="WNT21" s="188"/>
      <c r="WNU21" s="188"/>
      <c r="WNV21" s="188"/>
      <c r="WNW21" s="188"/>
      <c r="WNX21" s="188"/>
      <c r="WNY21" s="188"/>
      <c r="WNZ21" s="188"/>
      <c r="WOA21" s="188"/>
      <c r="WOB21" s="188"/>
      <c r="WOC21" s="188"/>
      <c r="WOD21" s="188"/>
      <c r="WOE21" s="188"/>
      <c r="WOF21" s="188"/>
      <c r="WOG21" s="188"/>
      <c r="WOH21" s="188"/>
      <c r="WOI21" s="188"/>
      <c r="WOJ21" s="188"/>
      <c r="WOK21" s="188"/>
      <c r="WOL21" s="188"/>
      <c r="WOM21" s="188"/>
      <c r="WON21" s="188"/>
      <c r="WOO21" s="188"/>
      <c r="WOP21" s="188"/>
      <c r="WOQ21" s="188"/>
      <c r="WOR21" s="188"/>
      <c r="WOS21" s="188"/>
      <c r="WOT21" s="188"/>
      <c r="WOU21" s="188"/>
      <c r="WOV21" s="188"/>
      <c r="WOW21" s="188"/>
      <c r="WOX21" s="188"/>
      <c r="WOY21" s="188"/>
      <c r="WOZ21" s="188"/>
      <c r="WPA21" s="188"/>
      <c r="WPB21" s="188"/>
      <c r="WPC21" s="188"/>
      <c r="WPD21" s="188"/>
      <c r="WPE21" s="188"/>
      <c r="WPF21" s="188"/>
      <c r="WPG21" s="188"/>
      <c r="WPH21" s="188"/>
      <c r="WPI21" s="188"/>
      <c r="WPJ21" s="188"/>
      <c r="WPK21" s="188"/>
      <c r="WPL21" s="188"/>
      <c r="WPM21" s="188"/>
      <c r="WPN21" s="188"/>
      <c r="WPO21" s="188"/>
      <c r="WPP21" s="188"/>
      <c r="WPQ21" s="188"/>
      <c r="WPR21" s="188"/>
      <c r="WPS21" s="188"/>
      <c r="WPT21" s="188"/>
      <c r="WPU21" s="188"/>
      <c r="WPV21" s="188"/>
      <c r="WPW21" s="188"/>
      <c r="WPX21" s="188"/>
      <c r="WPY21" s="188"/>
      <c r="WPZ21" s="188"/>
      <c r="WQA21" s="188"/>
      <c r="WQB21" s="188"/>
      <c r="WQC21" s="188"/>
      <c r="WQD21" s="188"/>
      <c r="WQE21" s="188"/>
      <c r="WQF21" s="188"/>
      <c r="WQG21" s="188"/>
      <c r="WQH21" s="188"/>
      <c r="WQI21" s="188"/>
      <c r="WQJ21" s="188"/>
      <c r="WQK21" s="188"/>
      <c r="WQL21" s="188"/>
      <c r="WQM21" s="188"/>
      <c r="WQN21" s="188"/>
      <c r="WQO21" s="188"/>
      <c r="WQP21" s="188"/>
      <c r="WQQ21" s="188"/>
      <c r="WQR21" s="188"/>
      <c r="WQS21" s="188"/>
      <c r="WQT21" s="188"/>
      <c r="WQU21" s="188"/>
      <c r="WQV21" s="188"/>
      <c r="WQW21" s="188"/>
      <c r="WQX21" s="188"/>
      <c r="WQY21" s="188"/>
      <c r="WQZ21" s="188"/>
      <c r="WRA21" s="188"/>
      <c r="WRB21" s="188"/>
      <c r="WRC21" s="188"/>
      <c r="WRD21" s="188"/>
      <c r="WRE21" s="188"/>
      <c r="WRF21" s="188"/>
      <c r="WRG21" s="188"/>
      <c r="WRH21" s="188"/>
      <c r="WRI21" s="188"/>
      <c r="WRJ21" s="188"/>
      <c r="WRK21" s="188"/>
      <c r="WRL21" s="188"/>
      <c r="WRM21" s="188"/>
      <c r="WRN21" s="188"/>
      <c r="WRO21" s="188"/>
      <c r="WRP21" s="188"/>
      <c r="WRQ21" s="188"/>
      <c r="WRR21" s="188"/>
      <c r="WRS21" s="188"/>
      <c r="WRT21" s="188"/>
      <c r="WRU21" s="188"/>
      <c r="WRV21" s="188"/>
      <c r="WRW21" s="188"/>
      <c r="WRX21" s="188"/>
      <c r="WRY21" s="188"/>
      <c r="WRZ21" s="188"/>
      <c r="WSA21" s="188"/>
      <c r="WSB21" s="188"/>
      <c r="WSC21" s="188"/>
      <c r="WSD21" s="188"/>
      <c r="WSE21" s="188"/>
      <c r="WSF21" s="188"/>
      <c r="WSG21" s="188"/>
      <c r="WSH21" s="188"/>
      <c r="WSI21" s="188"/>
      <c r="WSJ21" s="188"/>
      <c r="WSK21" s="188"/>
      <c r="WSL21" s="188"/>
      <c r="WSM21" s="188"/>
      <c r="WSN21" s="188"/>
      <c r="WSO21" s="188"/>
      <c r="WSP21" s="188"/>
      <c r="WSQ21" s="188"/>
      <c r="WSR21" s="188"/>
      <c r="WSS21" s="188"/>
      <c r="WST21" s="188"/>
      <c r="WSU21" s="188"/>
      <c r="WSV21" s="188"/>
      <c r="WSW21" s="188"/>
      <c r="WSX21" s="188"/>
      <c r="WSY21" s="188"/>
      <c r="WSZ21" s="188"/>
      <c r="WTA21" s="188"/>
      <c r="WTB21" s="188"/>
      <c r="WTC21" s="188"/>
      <c r="WTD21" s="188"/>
      <c r="WTE21" s="188"/>
      <c r="WTF21" s="188"/>
      <c r="WTG21" s="188"/>
      <c r="WTH21" s="188"/>
      <c r="WTI21" s="188"/>
      <c r="WTJ21" s="188"/>
      <c r="WTK21" s="188"/>
      <c r="WTL21" s="188"/>
      <c r="WTM21" s="188"/>
      <c r="WTN21" s="188"/>
      <c r="WTO21" s="188"/>
      <c r="WTP21" s="188"/>
      <c r="WTQ21" s="188"/>
      <c r="WTR21" s="188"/>
      <c r="WTS21" s="188"/>
      <c r="WTT21" s="188"/>
      <c r="WTU21" s="188"/>
      <c r="WTV21" s="188"/>
      <c r="WTW21" s="188"/>
      <c r="WTX21" s="188"/>
      <c r="WTY21" s="188"/>
      <c r="WTZ21" s="188"/>
      <c r="WUA21" s="188"/>
      <c r="WUB21" s="188"/>
      <c r="WUC21" s="188"/>
      <c r="WUD21" s="188"/>
      <c r="WUE21" s="188"/>
      <c r="WUF21" s="188"/>
      <c r="WUG21" s="188"/>
      <c r="WUH21" s="188"/>
      <c r="WUI21" s="188"/>
      <c r="WUJ21" s="188"/>
      <c r="WUK21" s="188"/>
      <c r="WUL21" s="188"/>
      <c r="WUM21" s="188"/>
      <c r="WUN21" s="188"/>
      <c r="WUO21" s="188"/>
      <c r="WUP21" s="188"/>
      <c r="WUQ21" s="188"/>
      <c r="WUR21" s="188"/>
      <c r="WUS21" s="188"/>
      <c r="WUT21" s="188"/>
      <c r="WUU21" s="188"/>
      <c r="WUV21" s="188"/>
      <c r="WUW21" s="188"/>
      <c r="WUX21" s="188"/>
      <c r="WUY21" s="188"/>
      <c r="WUZ21" s="188"/>
      <c r="WVA21" s="188"/>
      <c r="WVB21" s="188"/>
      <c r="WVC21" s="188"/>
      <c r="WVD21" s="188"/>
      <c r="WVE21" s="188"/>
      <c r="WVF21" s="188"/>
      <c r="WVG21" s="188"/>
      <c r="WVH21" s="188"/>
      <c r="WVI21" s="188"/>
      <c r="WVJ21" s="188"/>
      <c r="WVK21" s="188"/>
      <c r="WVL21" s="188"/>
      <c r="WVM21" s="188"/>
      <c r="WVN21" s="188"/>
      <c r="WVO21" s="188"/>
      <c r="WVP21" s="188"/>
      <c r="WVQ21" s="188"/>
      <c r="WVR21" s="188"/>
      <c r="WVS21" s="188"/>
      <c r="WVT21" s="188"/>
      <c r="WVU21" s="188"/>
      <c r="WVV21" s="188"/>
      <c r="WVW21" s="188"/>
      <c r="WVX21" s="188"/>
      <c r="WVY21" s="188"/>
      <c r="WVZ21" s="188"/>
      <c r="WWA21" s="188"/>
      <c r="WWB21" s="188"/>
      <c r="WWC21" s="188"/>
      <c r="WWD21" s="188"/>
      <c r="WWE21" s="188"/>
      <c r="WWF21" s="188"/>
      <c r="WWG21" s="188"/>
      <c r="WWH21" s="188"/>
      <c r="WWI21" s="188"/>
      <c r="WWJ21" s="188"/>
      <c r="WWK21" s="188"/>
      <c r="WWL21" s="188"/>
      <c r="WWM21" s="188"/>
      <c r="WWN21" s="188"/>
      <c r="WWO21" s="188"/>
      <c r="WWP21" s="188"/>
      <c r="WWQ21" s="188"/>
      <c r="WWR21" s="188"/>
      <c r="WWS21" s="188"/>
      <c r="WWT21" s="188"/>
      <c r="WWU21" s="188"/>
      <c r="WWV21" s="188"/>
      <c r="WWW21" s="188"/>
      <c r="WWX21" s="188"/>
      <c r="WWY21" s="188"/>
      <c r="WWZ21" s="188"/>
      <c r="WXA21" s="188"/>
      <c r="WXB21" s="188"/>
      <c r="WXC21" s="188"/>
      <c r="WXD21" s="188"/>
      <c r="WXE21" s="188"/>
      <c r="WXF21" s="188"/>
      <c r="WXG21" s="188"/>
      <c r="WXH21" s="188"/>
      <c r="WXI21" s="188"/>
      <c r="WXJ21" s="188"/>
      <c r="WXK21" s="188"/>
      <c r="WXL21" s="188"/>
      <c r="WXM21" s="188"/>
      <c r="WXN21" s="188"/>
      <c r="WXO21" s="188"/>
      <c r="WXP21" s="188"/>
      <c r="WXQ21" s="188"/>
      <c r="WXR21" s="188"/>
      <c r="WXS21" s="188"/>
      <c r="WXT21" s="188"/>
      <c r="WXU21" s="188"/>
      <c r="WXV21" s="188"/>
      <c r="WXW21" s="188"/>
      <c r="WXX21" s="188"/>
      <c r="WXY21" s="188"/>
      <c r="WXZ21" s="188"/>
      <c r="WYA21" s="188"/>
      <c r="WYB21" s="188"/>
      <c r="WYC21" s="188"/>
      <c r="WYD21" s="188"/>
      <c r="WYE21" s="188"/>
      <c r="WYF21" s="188"/>
      <c r="WYG21" s="188"/>
      <c r="WYH21" s="188"/>
      <c r="WYI21" s="188"/>
      <c r="WYJ21" s="188"/>
      <c r="WYK21" s="188"/>
      <c r="WYL21" s="188"/>
      <c r="WYM21" s="188"/>
      <c r="WYN21" s="188"/>
      <c r="WYO21" s="188"/>
      <c r="WYP21" s="188"/>
      <c r="WYQ21" s="188"/>
      <c r="WYR21" s="188"/>
      <c r="WYS21" s="188"/>
      <c r="WYT21" s="188"/>
      <c r="WYU21" s="188"/>
      <c r="WYV21" s="188"/>
      <c r="WYW21" s="188"/>
      <c r="WYX21" s="188"/>
      <c r="WYY21" s="188"/>
      <c r="WYZ21" s="188"/>
      <c r="WZA21" s="188"/>
      <c r="WZB21" s="188"/>
      <c r="WZC21" s="188"/>
      <c r="WZD21" s="188"/>
      <c r="WZE21" s="188"/>
      <c r="WZF21" s="188"/>
      <c r="WZG21" s="188"/>
      <c r="WZH21" s="188"/>
      <c r="WZI21" s="188"/>
      <c r="WZJ21" s="188"/>
      <c r="WZK21" s="188"/>
      <c r="WZL21" s="188"/>
      <c r="WZM21" s="188"/>
      <c r="WZN21" s="188"/>
      <c r="WZO21" s="188"/>
      <c r="WZP21" s="188"/>
      <c r="WZQ21" s="188"/>
      <c r="WZR21" s="188"/>
      <c r="WZS21" s="188"/>
      <c r="WZT21" s="188"/>
      <c r="WZU21" s="188"/>
      <c r="WZV21" s="188"/>
      <c r="WZW21" s="188"/>
      <c r="WZX21" s="188"/>
      <c r="WZY21" s="188"/>
      <c r="WZZ21" s="188"/>
      <c r="XAA21" s="188"/>
      <c r="XAB21" s="188"/>
      <c r="XAC21" s="188"/>
      <c r="XAD21" s="188"/>
      <c r="XAE21" s="188"/>
      <c r="XAF21" s="188"/>
      <c r="XAG21" s="188"/>
      <c r="XAH21" s="188"/>
      <c r="XAI21" s="188"/>
      <c r="XAJ21" s="188"/>
      <c r="XAK21" s="188"/>
      <c r="XAL21" s="188"/>
      <c r="XAM21" s="188"/>
      <c r="XAN21" s="188"/>
      <c r="XAO21" s="188"/>
      <c r="XAP21" s="188"/>
      <c r="XAQ21" s="188"/>
      <c r="XAR21" s="188"/>
      <c r="XAS21" s="188"/>
      <c r="XAT21" s="188"/>
      <c r="XAU21" s="188"/>
      <c r="XAV21" s="188"/>
      <c r="XAW21" s="188"/>
      <c r="XAX21" s="188"/>
      <c r="XAY21" s="188"/>
      <c r="XAZ21" s="188"/>
      <c r="XBA21" s="188"/>
      <c r="XBB21" s="188"/>
      <c r="XBC21" s="188"/>
      <c r="XBD21" s="188"/>
      <c r="XBE21" s="188"/>
      <c r="XBF21" s="188"/>
      <c r="XBG21" s="188"/>
      <c r="XBH21" s="188"/>
      <c r="XBI21" s="188"/>
      <c r="XBJ21" s="188"/>
      <c r="XBK21" s="188"/>
      <c r="XBL21" s="188"/>
      <c r="XBM21" s="188"/>
      <c r="XBN21" s="188"/>
      <c r="XBO21" s="188"/>
      <c r="XBP21" s="188"/>
      <c r="XBQ21" s="188"/>
      <c r="XBR21" s="188"/>
      <c r="XBS21" s="188"/>
      <c r="XBT21" s="188"/>
      <c r="XBU21" s="188"/>
      <c r="XBV21" s="188"/>
      <c r="XBW21" s="188"/>
      <c r="XBX21" s="188"/>
      <c r="XBY21" s="188"/>
      <c r="XBZ21" s="188"/>
      <c r="XCA21" s="188"/>
      <c r="XCB21" s="188"/>
      <c r="XCC21" s="188"/>
      <c r="XCD21" s="188"/>
      <c r="XCE21" s="188"/>
      <c r="XCF21" s="188"/>
      <c r="XCG21" s="188"/>
      <c r="XCH21" s="188"/>
      <c r="XCI21" s="188"/>
      <c r="XCJ21" s="188"/>
      <c r="XCK21" s="188"/>
      <c r="XCL21" s="188"/>
      <c r="XCM21" s="188"/>
      <c r="XCN21" s="188"/>
      <c r="XCO21" s="188"/>
      <c r="XCP21" s="188"/>
      <c r="XCQ21" s="188"/>
      <c r="XCR21" s="188"/>
      <c r="XCS21" s="188"/>
      <c r="XCT21" s="188"/>
      <c r="XCU21" s="188"/>
      <c r="XCV21" s="188"/>
      <c r="XCW21" s="188"/>
      <c r="XCX21" s="188"/>
      <c r="XCY21" s="188"/>
      <c r="XCZ21" s="188"/>
      <c r="XDA21" s="188"/>
      <c r="XDB21" s="188"/>
      <c r="XDC21" s="188"/>
      <c r="XDD21" s="188"/>
      <c r="XDE21" s="188"/>
      <c r="XDF21" s="188"/>
      <c r="XDG21" s="188"/>
      <c r="XDH21" s="188"/>
      <c r="XDI21" s="188"/>
      <c r="XDJ21" s="188"/>
      <c r="XDK21" s="188"/>
      <c r="XDL21" s="188"/>
      <c r="XDM21" s="188"/>
      <c r="XDN21" s="188"/>
      <c r="XDO21" s="188"/>
      <c r="XDP21" s="188"/>
      <c r="XDQ21" s="188"/>
      <c r="XDR21" s="188"/>
      <c r="XDS21" s="188"/>
      <c r="XDT21" s="188"/>
      <c r="XDU21" s="188"/>
      <c r="XDV21" s="188"/>
      <c r="XDW21" s="188"/>
      <c r="XDX21" s="188"/>
      <c r="XDY21" s="188"/>
      <c r="XDZ21" s="188"/>
      <c r="XEA21" s="188"/>
      <c r="XEB21" s="188"/>
      <c r="XEC21" s="188"/>
      <c r="XED21" s="188"/>
      <c r="XEE21" s="188"/>
      <c r="XEF21" s="188"/>
      <c r="XEG21" s="188"/>
      <c r="XEH21" s="188"/>
      <c r="XEI21" s="188"/>
      <c r="XEJ21" s="188"/>
      <c r="XEK21" s="188"/>
      <c r="XEL21" s="188"/>
      <c r="XEM21" s="188"/>
      <c r="XEN21" s="188"/>
      <c r="XEO21" s="188"/>
      <c r="XEP21" s="188"/>
      <c r="XEQ21" s="188"/>
      <c r="XER21" s="188"/>
      <c r="XES21" s="188"/>
      <c r="XET21" s="188"/>
    </row>
    <row r="22" spans="2:16374" s="207" customFormat="1" ht="18.75" x14ac:dyDescent="0.25">
      <c r="C22" s="427" t="s">
        <v>298</v>
      </c>
      <c r="E22" s="421" t="s">
        <v>664</v>
      </c>
      <c r="F22" s="421" t="s">
        <v>665</v>
      </c>
      <c r="G22" s="426" t="s">
        <v>55</v>
      </c>
      <c r="J22" s="427" t="s">
        <v>298</v>
      </c>
      <c r="K22" s="421" t="s">
        <v>664</v>
      </c>
      <c r="L22" s="421" t="s">
        <v>665</v>
      </c>
      <c r="M22" s="426" t="s">
        <v>55</v>
      </c>
      <c r="P22" s="427" t="s">
        <v>298</v>
      </c>
      <c r="Q22" s="421" t="s">
        <v>664</v>
      </c>
      <c r="R22" s="421" t="s">
        <v>665</v>
      </c>
      <c r="S22" s="426" t="s">
        <v>55</v>
      </c>
      <c r="V22" s="427" t="s">
        <v>298</v>
      </c>
      <c r="W22" s="421" t="s">
        <v>664</v>
      </c>
      <c r="X22" s="421" t="s">
        <v>665</v>
      </c>
      <c r="Y22" s="426" t="s">
        <v>55</v>
      </c>
      <c r="AB22" s="427" t="s">
        <v>298</v>
      </c>
      <c r="AC22" s="421" t="s">
        <v>664</v>
      </c>
      <c r="AD22" s="421" t="s">
        <v>665</v>
      </c>
      <c r="AE22" s="426" t="s">
        <v>55</v>
      </c>
    </row>
    <row r="23" spans="2:16374" x14ac:dyDescent="0.25">
      <c r="C23" s="418" t="s">
        <v>2</v>
      </c>
      <c r="E23" s="423">
        <f>+E4</f>
        <v>166666.66666666666</v>
      </c>
      <c r="F23" s="423">
        <f>+E4</f>
        <v>166666.66666666666</v>
      </c>
      <c r="G23" s="423">
        <f>+G4</f>
        <v>1500000</v>
      </c>
      <c r="H23" s="207"/>
      <c r="I23" s="207"/>
      <c r="J23" s="418" t="s">
        <v>2</v>
      </c>
      <c r="K23" s="423">
        <f>+K4</f>
        <v>80645.161290322576</v>
      </c>
      <c r="L23" s="423">
        <f>+K4</f>
        <v>80645.161290322576</v>
      </c>
      <c r="M23" s="423">
        <f>+M4</f>
        <v>2500000</v>
      </c>
      <c r="N23" s="207"/>
      <c r="O23" s="207"/>
      <c r="P23" s="418" t="s">
        <v>2</v>
      </c>
      <c r="Q23" s="423">
        <f>+Q4</f>
        <v>83333.333333333328</v>
      </c>
      <c r="R23" s="423">
        <f>+Q4</f>
        <v>83333.333333333328</v>
      </c>
      <c r="S23" s="423">
        <f>+S4</f>
        <v>2500000</v>
      </c>
      <c r="T23" s="207"/>
      <c r="U23" s="207"/>
      <c r="V23" s="418" t="s">
        <v>2</v>
      </c>
      <c r="W23" s="423">
        <f>+W4</f>
        <v>80645.161290322576</v>
      </c>
      <c r="X23" s="423">
        <f>+W4</f>
        <v>80645.161290322576</v>
      </c>
      <c r="Y23" s="423">
        <f>(((Y4/31)*22)/31)*22</f>
        <v>1259105.098855359</v>
      </c>
      <c r="Z23" s="207"/>
      <c r="AA23" s="207"/>
      <c r="AB23" s="418" t="s">
        <v>2</v>
      </c>
      <c r="AC23" s="423">
        <f>+AC4</f>
        <v>80645.161290322576</v>
      </c>
      <c r="AD23" s="423">
        <f>+AC4</f>
        <v>80645.161290322576</v>
      </c>
      <c r="AE23" s="423">
        <f>(((AE4/31)*22)/31)*22</f>
        <v>1259105.098855359</v>
      </c>
    </row>
    <row r="24" spans="2:16374" x14ac:dyDescent="0.25">
      <c r="C24" s="418" t="s">
        <v>10</v>
      </c>
      <c r="E24" s="138">
        <v>0</v>
      </c>
      <c r="F24" s="138">
        <v>0</v>
      </c>
      <c r="G24" s="138">
        <v>0</v>
      </c>
      <c r="H24" s="207"/>
      <c r="I24" s="207"/>
      <c r="J24" s="418" t="s">
        <v>10</v>
      </c>
      <c r="K24" s="138">
        <f>+SUM(K5:L7)</f>
        <v>25806.451612903227</v>
      </c>
      <c r="L24" s="138">
        <f>+SUM(K5:L8)</f>
        <v>25806.451612903227</v>
      </c>
      <c r="M24" s="138">
        <f>+SUM(M5:M8)</f>
        <v>800000</v>
      </c>
      <c r="N24" s="207"/>
      <c r="O24" s="207"/>
      <c r="P24" s="418" t="s">
        <v>10</v>
      </c>
      <c r="Q24" s="138">
        <f>+SUM(Q5:R7)</f>
        <v>26666.666666666672</v>
      </c>
      <c r="R24" s="138">
        <f>+SUM(Q5:R8)</f>
        <v>26666.666666666672</v>
      </c>
      <c r="S24" s="138">
        <f>+SUM(S5:S8)</f>
        <v>800000</v>
      </c>
      <c r="T24" s="207"/>
      <c r="U24" s="207"/>
      <c r="V24" s="418" t="s">
        <v>10</v>
      </c>
      <c r="W24" s="138">
        <f>+SUM(W5:X8)</f>
        <v>26000.000000000004</v>
      </c>
      <c r="X24" s="138">
        <f>+SUM(X5:Y8)</f>
        <v>780000</v>
      </c>
      <c r="Y24" s="138">
        <f>((+SUM(Y5:Z8))/31)*22</f>
        <v>553548.38709677418</v>
      </c>
      <c r="Z24" s="207"/>
      <c r="AA24" s="207"/>
      <c r="AB24" s="418" t="s">
        <v>10</v>
      </c>
      <c r="AC24" s="138">
        <f>+SUM(AC5:AC8)</f>
        <v>0</v>
      </c>
      <c r="AD24" s="138">
        <f>+SUM(AD5:AD8)</f>
        <v>26000.000000000004</v>
      </c>
      <c r="AE24" s="138">
        <f>+SUM(AE5:AE8)</f>
        <v>780000</v>
      </c>
    </row>
    <row r="25" spans="2:16374" x14ac:dyDescent="0.25">
      <c r="C25" s="418" t="s">
        <v>56</v>
      </c>
      <c r="E25" s="422">
        <f>+SUM(E9:E14)</f>
        <v>110000</v>
      </c>
      <c r="F25" s="422">
        <f>+SUM(F9:F14)</f>
        <v>205000</v>
      </c>
      <c r="G25" s="422">
        <f>+SUM(G9:G14)</f>
        <v>1420000</v>
      </c>
      <c r="H25" s="207"/>
      <c r="I25" s="207"/>
      <c r="J25" s="418" t="s">
        <v>56</v>
      </c>
      <c r="K25" s="422">
        <f>+SUM(K9:K14)</f>
        <v>140000</v>
      </c>
      <c r="L25" s="422">
        <f>+SUM(L9:L14)</f>
        <v>215000</v>
      </c>
      <c r="M25" s="422">
        <f>+SUM(M9:M14)</f>
        <v>4535000</v>
      </c>
      <c r="N25" s="207"/>
      <c r="O25" s="207"/>
      <c r="P25" s="418" t="s">
        <v>56</v>
      </c>
      <c r="Q25" s="422">
        <f>+SUM(Q9:Q14)</f>
        <v>110000</v>
      </c>
      <c r="R25" s="422">
        <f>+SUM(R9:R14)</f>
        <v>160000</v>
      </c>
      <c r="S25" s="422">
        <f>+SUM(S9:S14)</f>
        <v>4100000</v>
      </c>
      <c r="T25" s="207"/>
      <c r="U25" s="207"/>
      <c r="V25" s="418" t="s">
        <v>56</v>
      </c>
      <c r="W25" s="422">
        <f>+SUM(W9:W14)</f>
        <v>85000</v>
      </c>
      <c r="X25" s="422">
        <f>+SUM(X9:X14)</f>
        <v>160000</v>
      </c>
      <c r="Y25" s="422">
        <f>((+SUM(Y9:Y14))/31)*22</f>
        <v>2615161.2903225808</v>
      </c>
      <c r="Z25" s="207"/>
      <c r="AA25" s="207"/>
      <c r="AB25" s="418" t="s">
        <v>56</v>
      </c>
      <c r="AC25" s="422">
        <f>+SUM(AC9:AC14)</f>
        <v>0</v>
      </c>
      <c r="AD25" s="422">
        <f>+SUM(AD9:AD14)</f>
        <v>139000</v>
      </c>
      <c r="AE25" s="422">
        <f>((+SUM(AE9:AE14))/31)*22</f>
        <v>735225.80645161285</v>
      </c>
    </row>
    <row r="26" spans="2:16374" x14ac:dyDescent="0.25">
      <c r="C26" s="418" t="s">
        <v>11</v>
      </c>
      <c r="E26" s="142">
        <v>0</v>
      </c>
      <c r="F26" s="142">
        <v>0</v>
      </c>
      <c r="G26" s="142">
        <v>0</v>
      </c>
      <c r="H26" s="207"/>
      <c r="I26" s="207"/>
      <c r="J26" s="418" t="s">
        <v>11</v>
      </c>
      <c r="K26" s="142">
        <f>+SUM(K17:L20)</f>
        <v>25076.677419354841</v>
      </c>
      <c r="L26" s="142">
        <f>+SUM(K17:L20)</f>
        <v>25076.677419354841</v>
      </c>
      <c r="M26" s="142">
        <f>+SUM(M17:M20)</f>
        <v>777377</v>
      </c>
      <c r="N26" s="207"/>
      <c r="O26" s="207"/>
      <c r="P26" s="418" t="s">
        <v>11</v>
      </c>
      <c r="Q26" s="142">
        <f>+SUM(Q17:R20)</f>
        <v>0</v>
      </c>
      <c r="R26" s="142">
        <f>+SUM(Q17:R20)</f>
        <v>0</v>
      </c>
      <c r="S26" s="142">
        <f>+SUM(S17:S20)</f>
        <v>0</v>
      </c>
      <c r="T26" s="207"/>
      <c r="U26" s="207"/>
      <c r="V26" s="418" t="s">
        <v>11</v>
      </c>
      <c r="W26" s="142">
        <f>+SUM(W17:X20)</f>
        <v>19354.83870967742</v>
      </c>
      <c r="X26" s="142">
        <f>+SUM(W17:X20)</f>
        <v>19354.83870967742</v>
      </c>
      <c r="Y26" s="142">
        <f>((+SUM(Y17:Y20))/31)*22</f>
        <v>425806.45161290327</v>
      </c>
      <c r="Z26" s="207"/>
      <c r="AA26" s="207"/>
      <c r="AB26" s="418" t="s">
        <v>11</v>
      </c>
      <c r="AC26" s="142">
        <f>+SUM(AC17:AD20)</f>
        <v>0</v>
      </c>
      <c r="AD26" s="142">
        <f>+SUM(AC17:AD20)</f>
        <v>0</v>
      </c>
      <c r="AE26" s="142">
        <f>((+SUM(AE17:AE20))/31)*22</f>
        <v>0</v>
      </c>
    </row>
    <row r="27" spans="2:16374" ht="18.75" x14ac:dyDescent="0.25">
      <c r="C27" s="424" t="s">
        <v>671</v>
      </c>
      <c r="E27" s="424">
        <f>+SUM(E4:F8,E17:F20,E9:E16)</f>
        <v>276666.66666666663</v>
      </c>
      <c r="F27" s="424">
        <f>+SUM(E4:F8,E17:F20,F9:F16)</f>
        <v>371666.66666666663</v>
      </c>
      <c r="G27" s="424">
        <f>+SUM(G4:G20)</f>
        <v>2920000</v>
      </c>
      <c r="J27" s="424" t="s">
        <v>671</v>
      </c>
      <c r="K27" s="424">
        <f>+SUM(K4:L8,K17:L20,K9:K16)</f>
        <v>271528.29032258061</v>
      </c>
      <c r="L27" s="424">
        <f>+SUM(K4:L8,K17:L20,L9:L16)</f>
        <v>346528.29032258061</v>
      </c>
      <c r="M27" s="424">
        <f>+SUM(M4:M20)</f>
        <v>8612377</v>
      </c>
      <c r="P27" s="424" t="s">
        <v>671</v>
      </c>
      <c r="Q27" s="424">
        <f>+SUM(Q4:R8,Q17:R20,Q9:Q16)</f>
        <v>220000</v>
      </c>
      <c r="R27" s="424">
        <f>+SUM(Q4:R8,Q17:R20,R9:R16)</f>
        <v>270000</v>
      </c>
      <c r="S27" s="424">
        <f>+SUM(S4:S20)</f>
        <v>7400000</v>
      </c>
      <c r="V27" s="424" t="s">
        <v>671</v>
      </c>
      <c r="W27" s="424">
        <f>+SUM(W4:X8,W17:X20,W9:W16)</f>
        <v>211000</v>
      </c>
      <c r="X27" s="424">
        <f>+SUM(W4:X8,W17:X20,X9:X16)</f>
        <v>286000</v>
      </c>
      <c r="Y27" s="424">
        <f>((+SUM(Y4:Y20))/31)*31</f>
        <v>7565000</v>
      </c>
      <c r="AB27" s="424" t="s">
        <v>671</v>
      </c>
      <c r="AC27" s="424">
        <f>+SUM(AC4:AD8,AC17:AD20,AC9:AC16)</f>
        <v>106645.16129032258</v>
      </c>
      <c r="AD27" s="424">
        <f>+SUM(AC4:AD8,AC17:AD20,AD9:AD16)</f>
        <v>278645.16129032255</v>
      </c>
      <c r="AE27" s="424">
        <f>((+SUM(AE4:AE20))/31)*22</f>
        <v>3414258.0645161294</v>
      </c>
    </row>
    <row r="29" spans="2:16374" ht="18.75" x14ac:dyDescent="0.3">
      <c r="B29" s="208"/>
      <c r="C29" s="420" t="s">
        <v>256</v>
      </c>
      <c r="E29" s="66" t="s">
        <v>664</v>
      </c>
      <c r="F29" s="66" t="s">
        <v>665</v>
      </c>
      <c r="G29" s="436" t="s">
        <v>55</v>
      </c>
      <c r="J29" s="420" t="s">
        <v>256</v>
      </c>
      <c r="K29" s="66" t="s">
        <v>664</v>
      </c>
      <c r="L29" s="66" t="s">
        <v>665</v>
      </c>
      <c r="M29" s="436" t="s">
        <v>55</v>
      </c>
      <c r="P29" s="420" t="s">
        <v>256</v>
      </c>
      <c r="Q29" s="66" t="s">
        <v>664</v>
      </c>
      <c r="R29" s="66" t="s">
        <v>665</v>
      </c>
      <c r="S29" s="436" t="s">
        <v>55</v>
      </c>
      <c r="V29" s="420" t="s">
        <v>256</v>
      </c>
      <c r="W29" s="66" t="s">
        <v>664</v>
      </c>
      <c r="X29" s="66" t="s">
        <v>665</v>
      </c>
      <c r="Y29" s="436" t="s">
        <v>55</v>
      </c>
      <c r="AB29" s="420" t="s">
        <v>256</v>
      </c>
      <c r="AC29" s="66" t="s">
        <v>664</v>
      </c>
      <c r="AD29" s="66" t="s">
        <v>665</v>
      </c>
      <c r="AE29" s="436" t="s">
        <v>55</v>
      </c>
    </row>
    <row r="30" spans="2:16374" x14ac:dyDescent="0.25">
      <c r="B30" s="430">
        <v>0.6</v>
      </c>
      <c r="C30" s="418" t="s">
        <v>669</v>
      </c>
      <c r="E30" s="419">
        <f>+E32*$B$30</f>
        <v>174325.19999999998</v>
      </c>
      <c r="F30" s="419">
        <f>+F32*$B$30</f>
        <v>390375</v>
      </c>
      <c r="G30" s="419">
        <f>+G32*$B$30</f>
        <v>2433126</v>
      </c>
      <c r="J30" s="418" t="s">
        <v>669</v>
      </c>
      <c r="K30" s="419">
        <f>+K32*$B$30</f>
        <v>189606.66666666666</v>
      </c>
      <c r="L30" s="419">
        <f>+L32*$B$30</f>
        <v>538306.15384615387</v>
      </c>
      <c r="M30" s="419">
        <f>+M32*$B$30</f>
        <v>10410900</v>
      </c>
      <c r="P30" s="418" t="s">
        <v>669</v>
      </c>
      <c r="Q30" s="419">
        <f>+Q32*$B$30</f>
        <v>167914.28571428571</v>
      </c>
      <c r="R30" s="419">
        <f>+R32*$B$30</f>
        <v>481308.75</v>
      </c>
      <c r="S30" s="419">
        <f>+S32*$B$30</f>
        <v>10051740</v>
      </c>
      <c r="V30" s="418" t="s">
        <v>669</v>
      </c>
      <c r="W30" s="419">
        <f>+W32*$B$30</f>
        <v>126747.99999999999</v>
      </c>
      <c r="X30" s="419">
        <f>+X32*$B$30</f>
        <v>396637.5</v>
      </c>
      <c r="Y30" s="419">
        <f>+Y32*$B$30</f>
        <v>8247420</v>
      </c>
      <c r="AB30" s="418" t="s">
        <v>669</v>
      </c>
      <c r="AC30" s="419">
        <v>0</v>
      </c>
      <c r="AD30" s="419">
        <f>+AD32*$B$30</f>
        <v>396637.5</v>
      </c>
      <c r="AE30" s="419">
        <f>+AE32*$B$30</f>
        <v>5949562.5</v>
      </c>
    </row>
    <row r="31" spans="2:16374" x14ac:dyDescent="0.25">
      <c r="B31" s="430">
        <v>0.4</v>
      </c>
      <c r="C31" s="429" t="s">
        <v>666</v>
      </c>
      <c r="E31" s="419">
        <f>+E32*$B$31</f>
        <v>116216.8</v>
      </c>
      <c r="F31" s="419">
        <f>+F32*$B$31</f>
        <v>260250</v>
      </c>
      <c r="G31" s="419">
        <f>+G32*$B$31</f>
        <v>1622084</v>
      </c>
      <c r="J31" s="429" t="s">
        <v>666</v>
      </c>
      <c r="K31" s="419">
        <f>+K32*$B$31</f>
        <v>126404.44444444445</v>
      </c>
      <c r="L31" s="419">
        <f>+L32*$B$31</f>
        <v>358870.76923076925</v>
      </c>
      <c r="M31" s="419">
        <f>+M32*$B$31</f>
        <v>6940600</v>
      </c>
      <c r="P31" s="429" t="s">
        <v>666</v>
      </c>
      <c r="Q31" s="419">
        <f>+Q32*$B$31</f>
        <v>111942.85714285714</v>
      </c>
      <c r="R31" s="419">
        <f>+R32*$B$31</f>
        <v>320872.5</v>
      </c>
      <c r="S31" s="419">
        <f>+S32*$B$31</f>
        <v>6701160</v>
      </c>
      <c r="V31" s="429" t="s">
        <v>666</v>
      </c>
      <c r="W31" s="419">
        <f>+W32*$B$31</f>
        <v>84498.666666666672</v>
      </c>
      <c r="X31" s="419">
        <f>+X32*$B$31</f>
        <v>264425</v>
      </c>
      <c r="Y31" s="419">
        <f>+Y32*$B$31</f>
        <v>5498280</v>
      </c>
      <c r="AB31" s="429" t="s">
        <v>666</v>
      </c>
      <c r="AC31" s="419">
        <v>0</v>
      </c>
      <c r="AD31" s="419">
        <f>+AD32*$B$31</f>
        <v>264425</v>
      </c>
      <c r="AE31" s="419">
        <f>+AE32*$B$31</f>
        <v>3966375</v>
      </c>
    </row>
    <row r="32" spans="2:16374" ht="18.75" x14ac:dyDescent="0.3">
      <c r="B32" s="430">
        <v>1</v>
      </c>
      <c r="C32" s="428" t="s">
        <v>670</v>
      </c>
      <c r="E32" s="425">
        <f>+AVERAGE('Anàlisis de ingreso'!C9:C12,'Anàlisis de ingreso'!D9)</f>
        <v>290542</v>
      </c>
      <c r="F32" s="425">
        <f>+AVERAGE('Anàlisis de ingreso'!B15,'Anàlisis de ingreso'!C13:C15)</f>
        <v>650625</v>
      </c>
      <c r="G32" s="424">
        <v>4055210</v>
      </c>
      <c r="J32" s="428" t="s">
        <v>670</v>
      </c>
      <c r="K32" s="425">
        <f>+AVERAGE('Anàlisis de ingreso'!D10:D12,'Anàlisis de ingreso'!E9:E12,'Anàlisis de ingreso'!F10:F12,'Anàlisis de ingreso'!G9:G12,'Anàlisis de ingreso'!H9:H12)</f>
        <v>316011.11111111112</v>
      </c>
      <c r="L32" s="425">
        <f>+AVERAGE('Anàlisis de ingreso'!D13:G15,'Anàlisis de ingreso'!F9)</f>
        <v>897176.92307692312</v>
      </c>
      <c r="M32" s="424">
        <v>17351500</v>
      </c>
      <c r="P32" s="428" t="s">
        <v>670</v>
      </c>
      <c r="Q32" s="425">
        <f>+AVERAGE('Anàlisis de ingreso'!I10:L12,'Anàlisis de ingreso'!L9,'Anàlisis de ingreso'!K9)</f>
        <v>279857.14285714284</v>
      </c>
      <c r="R32" s="425">
        <f>+AVERAGE('Anàlisis de ingreso'!H13:K15,'Anàlisis de ingreso'!L13:L14,'Anàlisis de ingreso'!I9:J9)</f>
        <v>802181.25</v>
      </c>
      <c r="S32" s="424">
        <v>16752900</v>
      </c>
      <c r="V32" s="428" t="s">
        <v>670</v>
      </c>
      <c r="W32" s="425">
        <f>+AVERAGE('Anàlisis de ingreso'!M9:O12,'Anàlisis de ingreso'!P12,'Anàlisis de ingreso'!P9,'Anàlisis de ingreso'!Q9)</f>
        <v>211246.66666666666</v>
      </c>
      <c r="X32" s="425">
        <f>+AVERAGE('Anàlisis de ingreso'!L15,'Anàlisis de ingreso'!M13:P15,'Anàlisis de ingreso'!P11,'Anàlisis de ingreso'!P10,'Anàlisis de ingreso'!Q10)</f>
        <v>661062.5</v>
      </c>
      <c r="Y32" s="424">
        <v>13745700</v>
      </c>
      <c r="AB32" s="428" t="s">
        <v>670</v>
      </c>
      <c r="AC32" s="425">
        <v>0</v>
      </c>
      <c r="AD32" s="425">
        <f>+X32</f>
        <v>661062.5</v>
      </c>
      <c r="AE32" s="424">
        <f>+AD32*AD3</f>
        <v>9915937.5</v>
      </c>
    </row>
    <row r="33" spans="3:31" x14ac:dyDescent="0.25">
      <c r="E33" s="2"/>
      <c r="K33" s="2"/>
      <c r="Q33" s="2"/>
      <c r="W33" s="2"/>
      <c r="Z33" s="1">
        <f>+Y30/31</f>
        <v>266045.80645161291</v>
      </c>
      <c r="AC33" s="2"/>
    </row>
    <row r="34" spans="3:31" ht="15.75" x14ac:dyDescent="0.25">
      <c r="E34" s="437"/>
      <c r="F34" s="438" t="s">
        <v>672</v>
      </c>
      <c r="G34" s="431">
        <f>+G31-G27</f>
        <v>-1297916</v>
      </c>
      <c r="K34" s="2"/>
      <c r="L34" s="438" t="s">
        <v>672</v>
      </c>
      <c r="M34" s="431">
        <f>+M31-M27</f>
        <v>-1671777</v>
      </c>
      <c r="Q34" s="2"/>
      <c r="R34" s="438" t="s">
        <v>672</v>
      </c>
      <c r="S34" s="431">
        <f>+S31-S27</f>
        <v>-698840</v>
      </c>
      <c r="W34" s="2"/>
      <c r="X34" s="438" t="s">
        <v>672</v>
      </c>
      <c r="Y34" s="431">
        <f>+Y31-Y27</f>
        <v>-2066720</v>
      </c>
      <c r="AC34" s="2"/>
      <c r="AD34" s="438" t="s">
        <v>672</v>
      </c>
      <c r="AE34" s="431">
        <f>+AE31-AE27</f>
        <v>552116.93548387056</v>
      </c>
    </row>
    <row r="35" spans="3:31" ht="15.75" thickBot="1" x14ac:dyDescent="0.3">
      <c r="E35" s="2"/>
      <c r="F35" s="416"/>
      <c r="G35" s="146">
        <v>0</v>
      </c>
      <c r="K35" s="2"/>
      <c r="L35" s="416" t="s">
        <v>673</v>
      </c>
      <c r="M35" s="146">
        <v>0</v>
      </c>
      <c r="Q35" s="2"/>
      <c r="R35" s="416" t="s">
        <v>673</v>
      </c>
      <c r="S35" s="146">
        <v>0</v>
      </c>
      <c r="W35" s="2"/>
      <c r="X35" s="416" t="s">
        <v>673</v>
      </c>
      <c r="Y35" s="146">
        <v>0</v>
      </c>
      <c r="AC35" s="2"/>
      <c r="AD35" s="416" t="s">
        <v>673</v>
      </c>
      <c r="AE35" s="146">
        <v>0</v>
      </c>
    </row>
    <row r="36" spans="3:31" ht="16.5" thickTop="1" x14ac:dyDescent="0.25">
      <c r="E36" s="2"/>
      <c r="G36" s="431">
        <f>+SUM(G34:G35)</f>
        <v>-1297916</v>
      </c>
      <c r="K36" s="2"/>
      <c r="M36" s="431">
        <f>+SUM(M34:M35)</f>
        <v>-1671777</v>
      </c>
      <c r="Q36" s="2"/>
      <c r="S36" s="431">
        <f>+SUM(S34:S35)</f>
        <v>-698840</v>
      </c>
      <c r="W36" s="2"/>
      <c r="Y36" s="431">
        <f>+SUM(Y34:Y35)</f>
        <v>-2066720</v>
      </c>
      <c r="AC36" s="2"/>
      <c r="AE36" s="431">
        <f>+SUM(AE34:AE35)</f>
        <v>552116.93548387056</v>
      </c>
    </row>
    <row r="37" spans="3:31" x14ac:dyDescent="0.25">
      <c r="E37" s="2"/>
      <c r="K37" s="2"/>
      <c r="Q37" s="2"/>
      <c r="W37" s="2"/>
    </row>
    <row r="38" spans="3:31" x14ac:dyDescent="0.25">
      <c r="E38" s="2"/>
      <c r="K38" s="2"/>
      <c r="Q38" s="2"/>
      <c r="W38" s="2"/>
    </row>
    <row r="39" spans="3:31" x14ac:dyDescent="0.25">
      <c r="C39" s="2"/>
      <c r="D39" s="2"/>
      <c r="E39" s="417" t="s">
        <v>667</v>
      </c>
      <c r="F39" s="43">
        <f>+E23*E3</f>
        <v>833333.33333333326</v>
      </c>
      <c r="K39" s="417" t="s">
        <v>667</v>
      </c>
      <c r="L39" s="43">
        <f>+K23*K3</f>
        <v>1451612.9032258063</v>
      </c>
      <c r="Q39" s="417" t="s">
        <v>667</v>
      </c>
      <c r="R39" s="43">
        <f>+Q23*Q3</f>
        <v>1166666.6666666665</v>
      </c>
      <c r="W39" s="417" t="s">
        <v>667</v>
      </c>
      <c r="X39" s="43">
        <f>+W23*W3</f>
        <v>1370967.7419354839</v>
      </c>
    </row>
    <row r="40" spans="3:31" ht="15.75" thickBot="1" x14ac:dyDescent="0.3">
      <c r="C40" s="2"/>
      <c r="D40" s="2"/>
      <c r="E40" s="433" t="s">
        <v>668</v>
      </c>
      <c r="F40" s="434">
        <f>(E31-E27)*E3</f>
        <v>-802249.33333333326</v>
      </c>
      <c r="K40" s="433" t="s">
        <v>668</v>
      </c>
      <c r="L40" s="434">
        <f>(K31-K27)*K3</f>
        <v>-2612229.2258064509</v>
      </c>
      <c r="Q40" s="433" t="s">
        <v>668</v>
      </c>
      <c r="R40" s="434">
        <f>(Q31-Q27)*Q3</f>
        <v>-1512800</v>
      </c>
      <c r="W40" s="433" t="s">
        <v>668</v>
      </c>
      <c r="X40" s="434">
        <f>(W31-W27)*W3</f>
        <v>-2150522.6666666665</v>
      </c>
    </row>
    <row r="41" spans="3:31" ht="19.5" thickTop="1" x14ac:dyDescent="0.3">
      <c r="F41" s="435">
        <f>+F39+F40</f>
        <v>31084</v>
      </c>
      <c r="L41" s="432">
        <f>+L39+L40</f>
        <v>-1160616.3225806446</v>
      </c>
      <c r="R41" s="432">
        <f>+R39+R40</f>
        <v>-346133.33333333349</v>
      </c>
      <c r="X41" s="432">
        <f>+X39+X40</f>
        <v>-779554.92473118263</v>
      </c>
    </row>
    <row r="43" spans="3:31" ht="18.75" x14ac:dyDescent="0.3">
      <c r="L43" s="439" t="s">
        <v>674</v>
      </c>
      <c r="M43" s="441">
        <f>+M36-L41</f>
        <v>-511160.67741935537</v>
      </c>
      <c r="R43" s="439" t="s">
        <v>674</v>
      </c>
      <c r="S43" s="441">
        <f>+S36-R41</f>
        <v>-352706.66666666651</v>
      </c>
      <c r="X43" s="439" t="s">
        <v>674</v>
      </c>
      <c r="Y43" s="440">
        <f>+Y36-X41</f>
        <v>-1287165.0752688174</v>
      </c>
    </row>
  </sheetData>
  <mergeCells count="58">
    <mergeCell ref="B1:G1"/>
    <mergeCell ref="E4:F4"/>
    <mergeCell ref="B5:B8"/>
    <mergeCell ref="B9:B16"/>
    <mergeCell ref="B17:B20"/>
    <mergeCell ref="E17:F17"/>
    <mergeCell ref="E18:F18"/>
    <mergeCell ref="E19:F19"/>
    <mergeCell ref="E20:F20"/>
    <mergeCell ref="I1:M1"/>
    <mergeCell ref="K4:L4"/>
    <mergeCell ref="I5:I8"/>
    <mergeCell ref="K5:L5"/>
    <mergeCell ref="K6:L6"/>
    <mergeCell ref="K7:L7"/>
    <mergeCell ref="K8:L8"/>
    <mergeCell ref="I9:I16"/>
    <mergeCell ref="I17:I20"/>
    <mergeCell ref="K17:L17"/>
    <mergeCell ref="K18:L18"/>
    <mergeCell ref="K19:L19"/>
    <mergeCell ref="K20:L20"/>
    <mergeCell ref="U17:U20"/>
    <mergeCell ref="U1:Y1"/>
    <mergeCell ref="W4:X4"/>
    <mergeCell ref="U5:U8"/>
    <mergeCell ref="W5:X5"/>
    <mergeCell ref="W6:X6"/>
    <mergeCell ref="W7:X7"/>
    <mergeCell ref="W8:X8"/>
    <mergeCell ref="W17:X17"/>
    <mergeCell ref="W18:X18"/>
    <mergeCell ref="W19:X19"/>
    <mergeCell ref="W20:X20"/>
    <mergeCell ref="O17:O20"/>
    <mergeCell ref="Q17:R17"/>
    <mergeCell ref="Q19:R19"/>
    <mergeCell ref="Q18:R18"/>
    <mergeCell ref="Q20:R20"/>
    <mergeCell ref="AA1:AE1"/>
    <mergeCell ref="AC4:AD4"/>
    <mergeCell ref="AA5:AA8"/>
    <mergeCell ref="AC8:AD8"/>
    <mergeCell ref="O9:O16"/>
    <mergeCell ref="O1:S1"/>
    <mergeCell ref="Q4:R4"/>
    <mergeCell ref="O5:O8"/>
    <mergeCell ref="Q5:R5"/>
    <mergeCell ref="Q6:R6"/>
    <mergeCell ref="Q7:R7"/>
    <mergeCell ref="Q8:R8"/>
    <mergeCell ref="U9:U16"/>
    <mergeCell ref="AA9:AA16"/>
    <mergeCell ref="AA17:AA20"/>
    <mergeCell ref="AC17:AD17"/>
    <mergeCell ref="AC18:AD18"/>
    <mergeCell ref="AC19:AD19"/>
    <mergeCell ref="AC20:AD20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0.59999389629810485"/>
  </sheetPr>
  <dimension ref="A1:Q41"/>
  <sheetViews>
    <sheetView workbookViewId="0">
      <selection activeCell="C9" sqref="C9:C10"/>
    </sheetView>
  </sheetViews>
  <sheetFormatPr baseColWidth="10" defaultRowHeight="15" x14ac:dyDescent="0.25"/>
  <cols>
    <col min="2" max="2" width="15.85546875" bestFit="1" customWidth="1"/>
    <col min="3" max="3" width="15.85546875" customWidth="1"/>
    <col min="4" max="4" width="17.42578125" bestFit="1" customWidth="1"/>
    <col min="5" max="5" width="16.5703125" style="118" bestFit="1" customWidth="1"/>
    <col min="6" max="6" width="16.5703125" style="118" customWidth="1"/>
    <col min="7" max="9" width="15.85546875" style="118" customWidth="1"/>
    <col min="10" max="10" width="13.140625" style="118" bestFit="1" customWidth="1"/>
    <col min="11" max="11" width="11.42578125" style="118" bestFit="1" customWidth="1"/>
    <col min="12" max="12" width="12" style="118" bestFit="1" customWidth="1"/>
    <col min="13" max="13" width="11.42578125" style="118"/>
    <col min="14" max="14" width="13.28515625" style="118" bestFit="1" customWidth="1"/>
    <col min="15" max="17" width="12" style="118" bestFit="1" customWidth="1"/>
    <col min="18" max="16384" width="11.42578125" style="118"/>
  </cols>
  <sheetData>
    <row r="1" spans="1:17" customFormat="1" ht="21" x14ac:dyDescent="0.35">
      <c r="M1" s="488" t="s">
        <v>563</v>
      </c>
      <c r="N1" s="489"/>
      <c r="O1" s="489"/>
      <c r="P1" s="490"/>
    </row>
    <row r="2" spans="1:17" customFormat="1" x14ac:dyDescent="0.25">
      <c r="M2" s="294" t="s">
        <v>56</v>
      </c>
      <c r="N2" s="299">
        <f>+SUM(OPEX!O9:O16)</f>
        <v>0</v>
      </c>
      <c r="O2" s="292">
        <f>+N2-A2</f>
        <v>0</v>
      </c>
      <c r="P2" s="301" t="e">
        <f>+N2/A2-1</f>
        <v>#DIV/0!</v>
      </c>
    </row>
    <row r="3" spans="1:17" customFormat="1" x14ac:dyDescent="0.25">
      <c r="M3" s="294" t="s">
        <v>2</v>
      </c>
      <c r="N3" s="299">
        <f>OPEX!$AE$4</f>
        <v>2500000</v>
      </c>
      <c r="O3" s="292">
        <f>+N3-A3</f>
        <v>2500000</v>
      </c>
      <c r="P3" s="301" t="e">
        <f>+N3/A3-1</f>
        <v>#DIV/0!</v>
      </c>
    </row>
    <row r="4" spans="1:17" customFormat="1" x14ac:dyDescent="0.25">
      <c r="M4" s="294" t="s">
        <v>11</v>
      </c>
      <c r="N4" s="299">
        <f>+SUM(OPEX!O17:O20)</f>
        <v>0</v>
      </c>
      <c r="O4" s="292">
        <f>+N4-A4</f>
        <v>0</v>
      </c>
      <c r="P4" s="404" t="e">
        <f>+N4/A4-1</f>
        <v>#DIV/0!</v>
      </c>
    </row>
    <row r="5" spans="1:17" customFormat="1" x14ac:dyDescent="0.25">
      <c r="M5" s="294" t="s">
        <v>10</v>
      </c>
      <c r="N5" s="299">
        <f>+SUM(OPEX!O5:O8)</f>
        <v>0</v>
      </c>
      <c r="O5" s="300" t="e">
        <f>+N5-A9</f>
        <v>#VALUE!</v>
      </c>
      <c r="P5" s="302" t="e">
        <f>+N5/A9-1</f>
        <v>#VALUE!</v>
      </c>
    </row>
    <row r="6" spans="1:17" customFormat="1" ht="18" x14ac:dyDescent="0.4">
      <c r="N6" s="297">
        <f>+SUM(N2:N5)</f>
        <v>2500000</v>
      </c>
      <c r="O6" s="284">
        <f>+N6-A11</f>
        <v>2456169</v>
      </c>
      <c r="P6" s="303">
        <f>+N6/A11-1</f>
        <v>56.037256736100019</v>
      </c>
    </row>
    <row r="7" spans="1:17" customFormat="1" x14ac:dyDescent="0.25"/>
    <row r="8" spans="1:17" customFormat="1" ht="18.75" x14ac:dyDescent="0.3">
      <c r="D8" s="460"/>
      <c r="E8" s="460"/>
      <c r="F8" s="460"/>
    </row>
    <row r="9" spans="1:17" customFormat="1" ht="18.75" x14ac:dyDescent="0.25">
      <c r="A9" s="486" t="s">
        <v>691</v>
      </c>
      <c r="B9" s="491" t="s">
        <v>690</v>
      </c>
      <c r="C9" s="491" t="s">
        <v>700</v>
      </c>
      <c r="D9" s="487" t="s">
        <v>698</v>
      </c>
      <c r="E9" s="487" t="s">
        <v>699</v>
      </c>
      <c r="F9" s="487" t="s">
        <v>698</v>
      </c>
      <c r="G9" s="487" t="s">
        <v>256</v>
      </c>
      <c r="H9" s="456"/>
      <c r="I9" s="456"/>
      <c r="J9" s="469" t="s">
        <v>692</v>
      </c>
      <c r="K9" s="469"/>
      <c r="L9" s="469" t="s">
        <v>34</v>
      </c>
      <c r="M9" s="469"/>
      <c r="N9" s="469" t="s">
        <v>694</v>
      </c>
      <c r="O9" s="469"/>
      <c r="P9" s="486" t="s">
        <v>697</v>
      </c>
      <c r="Q9" s="486" t="s">
        <v>696</v>
      </c>
    </row>
    <row r="10" spans="1:17" customFormat="1" ht="23.25" customHeight="1" x14ac:dyDescent="0.25">
      <c r="A10" s="486"/>
      <c r="B10" s="491"/>
      <c r="C10" s="491"/>
      <c r="D10" s="487"/>
      <c r="E10" s="487"/>
      <c r="F10" s="487"/>
      <c r="G10" s="487"/>
      <c r="H10" s="456"/>
      <c r="I10" s="456"/>
      <c r="J10" s="121" t="s">
        <v>695</v>
      </c>
      <c r="K10" s="121" t="s">
        <v>693</v>
      </c>
      <c r="L10" s="121" t="s">
        <v>695</v>
      </c>
      <c r="M10" s="121" t="s">
        <v>693</v>
      </c>
      <c r="N10" s="121" t="s">
        <v>695</v>
      </c>
      <c r="O10" s="121" t="s">
        <v>693</v>
      </c>
      <c r="P10" s="486"/>
      <c r="Q10" s="486"/>
    </row>
    <row r="11" spans="1:17" x14ac:dyDescent="0.25">
      <c r="A11" s="130">
        <v>43831</v>
      </c>
      <c r="B11" s="457" t="str">
        <f>+TEXT(A11,"dddd")</f>
        <v>miércoles</v>
      </c>
      <c r="C11" s="458">
        <f t="shared" ref="C11:D41" si="0">+D11*60%</f>
        <v>237982.5</v>
      </c>
      <c r="D11" s="458">
        <f t="shared" si="0"/>
        <v>396637.5</v>
      </c>
      <c r="E11" s="458">
        <f>OPEX!$AD$32</f>
        <v>661062.5</v>
      </c>
      <c r="F11" s="458">
        <f>+G11*60%</f>
        <v>396637.5</v>
      </c>
      <c r="G11" s="458">
        <f>OPEX!$AD$32</f>
        <v>661062.5</v>
      </c>
      <c r="H11" s="458"/>
      <c r="I11" s="458"/>
      <c r="J11" s="458">
        <v>0</v>
      </c>
      <c r="K11" s="458"/>
      <c r="L11" s="458"/>
      <c r="M11" s="458">
        <f t="shared" ref="M11:M41" si="1">$N$3/31</f>
        <v>80645.161290322576</v>
      </c>
      <c r="N11" s="458"/>
      <c r="O11" s="458"/>
      <c r="P11" s="458">
        <f>+E11-SUM(J11,L11,N11)</f>
        <v>661062.5</v>
      </c>
      <c r="Q11" s="458">
        <f>+J11-SUM(K11:O11)</f>
        <v>-80645.161290322576</v>
      </c>
    </row>
    <row r="12" spans="1:17" x14ac:dyDescent="0.25">
      <c r="A12" s="130">
        <f>+A11+1</f>
        <v>43832</v>
      </c>
      <c r="B12" s="457" t="str">
        <f t="shared" ref="B12:B41" si="2">+TEXT(A12,"dddd")</f>
        <v>jueves</v>
      </c>
      <c r="C12" s="458">
        <f t="shared" si="0"/>
        <v>0</v>
      </c>
      <c r="D12" s="458">
        <f t="shared" si="0"/>
        <v>0</v>
      </c>
      <c r="E12" s="458"/>
      <c r="F12" s="458">
        <f t="shared" ref="F12:F41" si="3">+G12*60%</f>
        <v>0</v>
      </c>
      <c r="G12" s="458"/>
      <c r="H12" s="458"/>
      <c r="I12" s="458"/>
      <c r="J12" s="458"/>
      <c r="K12" s="458"/>
      <c r="L12" s="458"/>
      <c r="M12" s="458">
        <f t="shared" si="1"/>
        <v>80645.161290322576</v>
      </c>
      <c r="N12" s="458"/>
      <c r="O12" s="458">
        <v>0</v>
      </c>
      <c r="P12" s="458">
        <f t="shared" ref="P12:P29" si="4">+E12-SUM(J12:O12)</f>
        <v>-80645.161290322576</v>
      </c>
      <c r="Q12" s="458">
        <f t="shared" ref="Q12:Q41" si="5">+E12-SUM(J12:O12)+Q11</f>
        <v>-161290.32258064515</v>
      </c>
    </row>
    <row r="13" spans="1:17" x14ac:dyDescent="0.25">
      <c r="A13" s="130">
        <f t="shared" ref="A13:A41" si="6">+A12+1</f>
        <v>43833</v>
      </c>
      <c r="B13" s="457" t="str">
        <f t="shared" si="2"/>
        <v>viernes</v>
      </c>
      <c r="C13" s="458">
        <f t="shared" si="0"/>
        <v>237982.5</v>
      </c>
      <c r="D13" s="458">
        <f t="shared" si="0"/>
        <v>396637.5</v>
      </c>
      <c r="E13" s="458">
        <f>OPEX!$AD$32</f>
        <v>661062.5</v>
      </c>
      <c r="F13" s="458">
        <f t="shared" si="3"/>
        <v>396637.5</v>
      </c>
      <c r="G13" s="458">
        <f>OPEX!$AD$32</f>
        <v>661062.5</v>
      </c>
      <c r="H13" s="458"/>
      <c r="I13" s="458"/>
      <c r="J13" s="458"/>
      <c r="K13" s="458"/>
      <c r="L13" s="458"/>
      <c r="M13" s="458">
        <f t="shared" si="1"/>
        <v>80645.161290322576</v>
      </c>
      <c r="N13" s="458"/>
      <c r="O13" s="458"/>
      <c r="P13" s="458">
        <f t="shared" si="4"/>
        <v>580417.33870967745</v>
      </c>
      <c r="Q13" s="458">
        <f t="shared" si="5"/>
        <v>419127.0161290323</v>
      </c>
    </row>
    <row r="14" spans="1:17" x14ac:dyDescent="0.25">
      <c r="A14" s="130">
        <f t="shared" si="6"/>
        <v>43834</v>
      </c>
      <c r="B14" s="457" t="str">
        <f t="shared" si="2"/>
        <v>sábado</v>
      </c>
      <c r="C14" s="458">
        <f t="shared" si="0"/>
        <v>237982.5</v>
      </c>
      <c r="D14" s="458">
        <f t="shared" si="0"/>
        <v>396637.5</v>
      </c>
      <c r="E14" s="458">
        <f>OPEX!$AD$32</f>
        <v>661062.5</v>
      </c>
      <c r="F14" s="458">
        <f t="shared" si="3"/>
        <v>396637.5</v>
      </c>
      <c r="G14" s="458">
        <f>OPEX!$AD$32</f>
        <v>661062.5</v>
      </c>
      <c r="H14" s="458"/>
      <c r="I14" s="458"/>
      <c r="J14" s="458"/>
      <c r="K14" s="458"/>
      <c r="L14" s="458"/>
      <c r="M14" s="458">
        <f t="shared" si="1"/>
        <v>80645.161290322576</v>
      </c>
      <c r="N14" s="458"/>
      <c r="O14" s="458"/>
      <c r="P14" s="458">
        <f t="shared" si="4"/>
        <v>580417.33870967745</v>
      </c>
      <c r="Q14" s="458">
        <f t="shared" si="5"/>
        <v>999544.35483870981</v>
      </c>
    </row>
    <row r="15" spans="1:17" x14ac:dyDescent="0.25">
      <c r="A15" s="130">
        <f t="shared" si="6"/>
        <v>43835</v>
      </c>
      <c r="B15" s="457" t="str">
        <f t="shared" si="2"/>
        <v>domingo</v>
      </c>
      <c r="C15" s="458">
        <f t="shared" si="0"/>
        <v>237982.5</v>
      </c>
      <c r="D15" s="458">
        <f t="shared" si="0"/>
        <v>396637.5</v>
      </c>
      <c r="E15" s="458">
        <f>OPEX!$AD$32</f>
        <v>661062.5</v>
      </c>
      <c r="F15" s="458">
        <f t="shared" si="3"/>
        <v>396637.5</v>
      </c>
      <c r="G15" s="458">
        <f>OPEX!$AD$32</f>
        <v>661062.5</v>
      </c>
      <c r="H15" s="458"/>
      <c r="I15" s="458"/>
      <c r="J15" s="458"/>
      <c r="K15" s="458"/>
      <c r="L15" s="458"/>
      <c r="M15" s="458">
        <f t="shared" si="1"/>
        <v>80645.161290322576</v>
      </c>
      <c r="N15" s="458"/>
      <c r="O15" s="458"/>
      <c r="P15" s="458">
        <f t="shared" si="4"/>
        <v>580417.33870967745</v>
      </c>
      <c r="Q15" s="458">
        <f t="shared" si="5"/>
        <v>1579961.6935483874</v>
      </c>
    </row>
    <row r="16" spans="1:17" x14ac:dyDescent="0.25">
      <c r="A16" s="130">
        <f t="shared" si="6"/>
        <v>43836</v>
      </c>
      <c r="B16" s="457" t="str">
        <f t="shared" si="2"/>
        <v>lunes</v>
      </c>
      <c r="C16" s="458">
        <f t="shared" si="0"/>
        <v>237982.5</v>
      </c>
      <c r="D16" s="458">
        <f t="shared" si="0"/>
        <v>396637.5</v>
      </c>
      <c r="E16" s="458">
        <f>OPEX!$AD$32</f>
        <v>661062.5</v>
      </c>
      <c r="F16" s="458">
        <f t="shared" si="3"/>
        <v>396637.5</v>
      </c>
      <c r="G16" s="458">
        <f>OPEX!$AD$32</f>
        <v>661062.5</v>
      </c>
      <c r="H16" s="458"/>
      <c r="I16" s="458"/>
      <c r="J16" s="458"/>
      <c r="K16" s="458"/>
      <c r="L16" s="458"/>
      <c r="M16" s="458">
        <f t="shared" si="1"/>
        <v>80645.161290322576</v>
      </c>
      <c r="N16" s="458"/>
      <c r="O16" s="458"/>
      <c r="P16" s="458">
        <f t="shared" si="4"/>
        <v>580417.33870967745</v>
      </c>
      <c r="Q16" s="458">
        <f t="shared" si="5"/>
        <v>2160379.032258065</v>
      </c>
    </row>
    <row r="17" spans="1:17" x14ac:dyDescent="0.25">
      <c r="A17" s="130">
        <f t="shared" si="6"/>
        <v>43837</v>
      </c>
      <c r="B17" s="457" t="str">
        <f t="shared" si="2"/>
        <v>martes</v>
      </c>
      <c r="C17" s="458">
        <f t="shared" si="0"/>
        <v>0</v>
      </c>
      <c r="D17" s="458">
        <f t="shared" si="0"/>
        <v>0</v>
      </c>
      <c r="E17" s="458"/>
      <c r="F17" s="458">
        <f t="shared" si="3"/>
        <v>0</v>
      </c>
      <c r="G17" s="458"/>
      <c r="H17" s="458"/>
      <c r="I17" s="458"/>
      <c r="J17" s="458"/>
      <c r="K17" s="458"/>
      <c r="L17" s="458"/>
      <c r="M17" s="458">
        <f t="shared" si="1"/>
        <v>80645.161290322576</v>
      </c>
      <c r="N17" s="458"/>
      <c r="O17" s="458"/>
      <c r="P17" s="458">
        <f t="shared" si="4"/>
        <v>-80645.161290322576</v>
      </c>
      <c r="Q17" s="458">
        <f t="shared" si="5"/>
        <v>2079733.8709677423</v>
      </c>
    </row>
    <row r="18" spans="1:17" x14ac:dyDescent="0.25">
      <c r="A18" s="130">
        <f t="shared" si="6"/>
        <v>43838</v>
      </c>
      <c r="B18" s="457" t="str">
        <f t="shared" si="2"/>
        <v>miércoles</v>
      </c>
      <c r="C18" s="458">
        <f t="shared" si="0"/>
        <v>0</v>
      </c>
      <c r="D18" s="458">
        <f t="shared" si="0"/>
        <v>0</v>
      </c>
      <c r="E18" s="458"/>
      <c r="F18" s="458">
        <f t="shared" si="3"/>
        <v>0</v>
      </c>
      <c r="G18" s="458"/>
      <c r="H18" s="458"/>
      <c r="I18" s="458"/>
      <c r="J18" s="458">
        <v>0</v>
      </c>
      <c r="K18" s="458"/>
      <c r="L18" s="458"/>
      <c r="M18" s="458">
        <f t="shared" si="1"/>
        <v>80645.161290322576</v>
      </c>
      <c r="N18" s="458"/>
      <c r="O18" s="458"/>
      <c r="P18" s="458">
        <f t="shared" si="4"/>
        <v>-80645.161290322576</v>
      </c>
      <c r="Q18" s="458">
        <f t="shared" si="5"/>
        <v>1999088.7096774196</v>
      </c>
    </row>
    <row r="19" spans="1:17" x14ac:dyDescent="0.25">
      <c r="A19" s="130">
        <f t="shared" si="6"/>
        <v>43839</v>
      </c>
      <c r="B19" s="457" t="str">
        <f t="shared" si="2"/>
        <v>jueves</v>
      </c>
      <c r="C19" s="458">
        <f t="shared" si="0"/>
        <v>0</v>
      </c>
      <c r="D19" s="458">
        <f t="shared" si="0"/>
        <v>0</v>
      </c>
      <c r="E19" s="458"/>
      <c r="F19" s="458">
        <f t="shared" si="3"/>
        <v>0</v>
      </c>
      <c r="G19" s="458"/>
      <c r="H19" s="458"/>
      <c r="I19" s="458"/>
      <c r="J19" s="458">
        <v>0</v>
      </c>
      <c r="K19" s="458"/>
      <c r="L19" s="458"/>
      <c r="M19" s="458">
        <f t="shared" si="1"/>
        <v>80645.161290322576</v>
      </c>
      <c r="N19" s="458"/>
      <c r="O19" s="458"/>
      <c r="P19" s="458">
        <f t="shared" si="4"/>
        <v>-80645.161290322576</v>
      </c>
      <c r="Q19" s="458">
        <f t="shared" si="5"/>
        <v>1918443.548387097</v>
      </c>
    </row>
    <row r="20" spans="1:17" x14ac:dyDescent="0.25">
      <c r="A20" s="130">
        <f t="shared" si="6"/>
        <v>43840</v>
      </c>
      <c r="B20" s="457" t="str">
        <f t="shared" si="2"/>
        <v>viernes</v>
      </c>
      <c r="C20" s="458">
        <f t="shared" si="0"/>
        <v>237982.5</v>
      </c>
      <c r="D20" s="458">
        <f t="shared" si="0"/>
        <v>396637.5</v>
      </c>
      <c r="E20" s="458">
        <f>OPEX!$AD$32</f>
        <v>661062.5</v>
      </c>
      <c r="F20" s="458">
        <f t="shared" si="3"/>
        <v>396637.5</v>
      </c>
      <c r="G20" s="458">
        <f>OPEX!$AD$32</f>
        <v>661062.5</v>
      </c>
      <c r="H20" s="458"/>
      <c r="I20" s="458"/>
      <c r="J20" s="458"/>
      <c r="K20" s="458"/>
      <c r="L20" s="458"/>
      <c r="M20" s="458">
        <f t="shared" si="1"/>
        <v>80645.161290322576</v>
      </c>
      <c r="N20" s="458"/>
      <c r="O20" s="458"/>
      <c r="P20" s="458">
        <f t="shared" si="4"/>
        <v>580417.33870967745</v>
      </c>
      <c r="Q20" s="458">
        <f t="shared" si="5"/>
        <v>2498860.8870967743</v>
      </c>
    </row>
    <row r="21" spans="1:17" x14ac:dyDescent="0.25">
      <c r="A21" s="130">
        <f t="shared" si="6"/>
        <v>43841</v>
      </c>
      <c r="B21" s="457" t="str">
        <f t="shared" si="2"/>
        <v>sábado</v>
      </c>
      <c r="C21" s="458">
        <f t="shared" si="0"/>
        <v>237982.5</v>
      </c>
      <c r="D21" s="458">
        <f t="shared" si="0"/>
        <v>396637.5</v>
      </c>
      <c r="E21" s="458">
        <f>OPEX!$AD$32</f>
        <v>661062.5</v>
      </c>
      <c r="F21" s="458">
        <f t="shared" si="3"/>
        <v>396637.5</v>
      </c>
      <c r="G21" s="458">
        <f>OPEX!$AD$32</f>
        <v>661062.5</v>
      </c>
      <c r="H21" s="458"/>
      <c r="I21" s="458"/>
      <c r="J21" s="458"/>
      <c r="K21" s="458"/>
      <c r="L21" s="458"/>
      <c r="M21" s="458">
        <f t="shared" si="1"/>
        <v>80645.161290322576</v>
      </c>
      <c r="N21" s="458"/>
      <c r="O21" s="458"/>
      <c r="P21" s="458">
        <f t="shared" si="4"/>
        <v>580417.33870967745</v>
      </c>
      <c r="Q21" s="458">
        <f t="shared" si="5"/>
        <v>3079278.2258064519</v>
      </c>
    </row>
    <row r="22" spans="1:17" x14ac:dyDescent="0.25">
      <c r="A22" s="130">
        <f t="shared" si="6"/>
        <v>43842</v>
      </c>
      <c r="B22" s="457" t="str">
        <f t="shared" si="2"/>
        <v>domingo</v>
      </c>
      <c r="C22" s="458">
        <f t="shared" si="0"/>
        <v>237982.5</v>
      </c>
      <c r="D22" s="458">
        <f t="shared" si="0"/>
        <v>396637.5</v>
      </c>
      <c r="E22" s="458">
        <f>OPEX!$AD$32</f>
        <v>661062.5</v>
      </c>
      <c r="F22" s="458">
        <f t="shared" si="3"/>
        <v>396637.5</v>
      </c>
      <c r="G22" s="458">
        <f>OPEX!$AD$32</f>
        <v>661062.5</v>
      </c>
      <c r="H22" s="458"/>
      <c r="I22" s="458"/>
      <c r="J22" s="458"/>
      <c r="K22" s="458"/>
      <c r="L22" s="458"/>
      <c r="M22" s="458">
        <f t="shared" si="1"/>
        <v>80645.161290322576</v>
      </c>
      <c r="N22" s="458"/>
      <c r="O22" s="458"/>
      <c r="P22" s="458">
        <f t="shared" si="4"/>
        <v>580417.33870967745</v>
      </c>
      <c r="Q22" s="458">
        <f t="shared" si="5"/>
        <v>3659695.5645161294</v>
      </c>
    </row>
    <row r="23" spans="1:17" x14ac:dyDescent="0.25">
      <c r="A23" s="130">
        <f t="shared" si="6"/>
        <v>43843</v>
      </c>
      <c r="B23" s="457" t="str">
        <f t="shared" si="2"/>
        <v>lunes</v>
      </c>
      <c r="C23" s="458">
        <f t="shared" si="0"/>
        <v>0</v>
      </c>
      <c r="D23" s="458">
        <f t="shared" si="0"/>
        <v>0</v>
      </c>
      <c r="E23" s="458"/>
      <c r="F23" s="458">
        <f t="shared" si="3"/>
        <v>0</v>
      </c>
      <c r="G23" s="458"/>
      <c r="H23" s="458"/>
      <c r="I23" s="458"/>
      <c r="J23" s="458"/>
      <c r="K23" s="458"/>
      <c r="L23" s="458"/>
      <c r="M23" s="458">
        <f t="shared" si="1"/>
        <v>80645.161290322576</v>
      </c>
      <c r="N23" s="458"/>
      <c r="O23" s="458"/>
      <c r="P23" s="458">
        <f t="shared" si="4"/>
        <v>-80645.161290322576</v>
      </c>
      <c r="Q23" s="458">
        <f t="shared" si="5"/>
        <v>3579050.403225807</v>
      </c>
    </row>
    <row r="24" spans="1:17" x14ac:dyDescent="0.25">
      <c r="A24" s="130">
        <f t="shared" si="6"/>
        <v>43844</v>
      </c>
      <c r="B24" s="457" t="str">
        <f t="shared" si="2"/>
        <v>martes</v>
      </c>
      <c r="C24" s="458">
        <f t="shared" si="0"/>
        <v>0</v>
      </c>
      <c r="D24" s="458">
        <f t="shared" si="0"/>
        <v>0</v>
      </c>
      <c r="E24" s="458"/>
      <c r="F24" s="458">
        <f t="shared" si="3"/>
        <v>0</v>
      </c>
      <c r="G24" s="458"/>
      <c r="H24" s="458"/>
      <c r="I24" s="458"/>
      <c r="J24" s="458"/>
      <c r="K24" s="458"/>
      <c r="L24" s="458"/>
      <c r="M24" s="458">
        <f t="shared" si="1"/>
        <v>80645.161290322576</v>
      </c>
      <c r="N24" s="458"/>
      <c r="O24" s="458"/>
      <c r="P24" s="458">
        <f t="shared" si="4"/>
        <v>-80645.161290322576</v>
      </c>
      <c r="Q24" s="458">
        <f t="shared" si="5"/>
        <v>3498405.2419354846</v>
      </c>
    </row>
    <row r="25" spans="1:17" x14ac:dyDescent="0.25">
      <c r="A25" s="130">
        <f t="shared" si="6"/>
        <v>43845</v>
      </c>
      <c r="B25" s="457" t="str">
        <f t="shared" si="2"/>
        <v>miércoles</v>
      </c>
      <c r="C25" s="458">
        <f t="shared" si="0"/>
        <v>0</v>
      </c>
      <c r="D25" s="458">
        <f t="shared" si="0"/>
        <v>0</v>
      </c>
      <c r="E25" s="458"/>
      <c r="F25" s="458">
        <f t="shared" si="3"/>
        <v>0</v>
      </c>
      <c r="G25" s="458"/>
      <c r="H25" s="458"/>
      <c r="I25" s="458"/>
      <c r="J25" s="458"/>
      <c r="K25" s="458"/>
      <c r="L25" s="458"/>
      <c r="M25" s="458">
        <f t="shared" si="1"/>
        <v>80645.161290322576</v>
      </c>
      <c r="N25" s="458"/>
      <c r="O25" s="458"/>
      <c r="P25" s="458">
        <f t="shared" si="4"/>
        <v>-80645.161290322576</v>
      </c>
      <c r="Q25" s="458">
        <f t="shared" si="5"/>
        <v>3417760.0806451621</v>
      </c>
    </row>
    <row r="26" spans="1:17" x14ac:dyDescent="0.25">
      <c r="A26" s="130">
        <f t="shared" si="6"/>
        <v>43846</v>
      </c>
      <c r="B26" s="457" t="str">
        <f t="shared" si="2"/>
        <v>jueves</v>
      </c>
      <c r="C26" s="458">
        <f t="shared" si="0"/>
        <v>0</v>
      </c>
      <c r="D26" s="458">
        <f t="shared" si="0"/>
        <v>0</v>
      </c>
      <c r="E26" s="458"/>
      <c r="F26" s="458">
        <f t="shared" si="3"/>
        <v>0</v>
      </c>
      <c r="G26" s="458"/>
      <c r="H26" s="458"/>
      <c r="I26" s="458"/>
      <c r="J26" s="458"/>
      <c r="K26" s="458"/>
      <c r="L26" s="458"/>
      <c r="M26" s="458">
        <f t="shared" si="1"/>
        <v>80645.161290322576</v>
      </c>
      <c r="N26" s="458"/>
      <c r="O26" s="458"/>
      <c r="P26" s="458">
        <f t="shared" si="4"/>
        <v>-80645.161290322576</v>
      </c>
      <c r="Q26" s="458">
        <f t="shared" si="5"/>
        <v>3337114.9193548397</v>
      </c>
    </row>
    <row r="27" spans="1:17" x14ac:dyDescent="0.25">
      <c r="A27" s="130">
        <f t="shared" si="6"/>
        <v>43847</v>
      </c>
      <c r="B27" s="457" t="str">
        <f t="shared" si="2"/>
        <v>viernes</v>
      </c>
      <c r="C27" s="458">
        <f t="shared" si="0"/>
        <v>237982.5</v>
      </c>
      <c r="D27" s="458">
        <f t="shared" si="0"/>
        <v>396637.5</v>
      </c>
      <c r="E27" s="458">
        <f>OPEX!$AD$32</f>
        <v>661062.5</v>
      </c>
      <c r="F27" s="458">
        <f t="shared" si="3"/>
        <v>396637.5</v>
      </c>
      <c r="G27" s="458">
        <f>OPEX!$AD$32</f>
        <v>661062.5</v>
      </c>
      <c r="H27" s="458"/>
      <c r="I27" s="458"/>
      <c r="J27" s="458"/>
      <c r="K27" s="458"/>
      <c r="L27" s="458"/>
      <c r="M27" s="458">
        <f t="shared" si="1"/>
        <v>80645.161290322576</v>
      </c>
      <c r="N27" s="458"/>
      <c r="O27" s="458"/>
      <c r="P27" s="458">
        <f t="shared" si="4"/>
        <v>580417.33870967745</v>
      </c>
      <c r="Q27" s="458">
        <f t="shared" si="5"/>
        <v>3917532.2580645173</v>
      </c>
    </row>
    <row r="28" spans="1:17" x14ac:dyDescent="0.25">
      <c r="A28" s="130">
        <f t="shared" si="6"/>
        <v>43848</v>
      </c>
      <c r="B28" s="457" t="str">
        <f t="shared" si="2"/>
        <v>sábado</v>
      </c>
      <c r="C28" s="458">
        <f t="shared" si="0"/>
        <v>237982.5</v>
      </c>
      <c r="D28" s="458">
        <f t="shared" si="0"/>
        <v>396637.5</v>
      </c>
      <c r="E28" s="458">
        <f>OPEX!$AD$32</f>
        <v>661062.5</v>
      </c>
      <c r="F28" s="458">
        <f t="shared" si="3"/>
        <v>396637.5</v>
      </c>
      <c r="G28" s="458">
        <f>OPEX!$AD$32</f>
        <v>661062.5</v>
      </c>
      <c r="H28" s="458"/>
      <c r="I28" s="458"/>
      <c r="J28" s="458"/>
      <c r="K28" s="458"/>
      <c r="L28" s="458"/>
      <c r="M28" s="458">
        <f t="shared" si="1"/>
        <v>80645.161290322576</v>
      </c>
      <c r="N28" s="458"/>
      <c r="O28" s="458"/>
      <c r="P28" s="458">
        <f t="shared" si="4"/>
        <v>580417.33870967745</v>
      </c>
      <c r="Q28" s="458">
        <f t="shared" si="5"/>
        <v>4497949.5967741944</v>
      </c>
    </row>
    <row r="29" spans="1:17" x14ac:dyDescent="0.25">
      <c r="A29" s="130">
        <f t="shared" si="6"/>
        <v>43849</v>
      </c>
      <c r="B29" s="457" t="str">
        <f t="shared" si="2"/>
        <v>domingo</v>
      </c>
      <c r="C29" s="458">
        <f t="shared" si="0"/>
        <v>237982.5</v>
      </c>
      <c r="D29" s="458">
        <f t="shared" si="0"/>
        <v>396637.5</v>
      </c>
      <c r="E29" s="458">
        <f>OPEX!$AD$32</f>
        <v>661062.5</v>
      </c>
      <c r="F29" s="458">
        <f t="shared" si="3"/>
        <v>396637.5</v>
      </c>
      <c r="G29" s="458">
        <f>OPEX!$AD$32</f>
        <v>661062.5</v>
      </c>
      <c r="H29" s="458"/>
      <c r="I29" s="458"/>
      <c r="J29" s="458"/>
      <c r="K29" s="458"/>
      <c r="L29" s="458"/>
      <c r="M29" s="458">
        <f t="shared" si="1"/>
        <v>80645.161290322576</v>
      </c>
      <c r="N29" s="458"/>
      <c r="O29" s="458"/>
      <c r="P29" s="458">
        <f t="shared" si="4"/>
        <v>580417.33870967745</v>
      </c>
      <c r="Q29" s="458">
        <f t="shared" si="5"/>
        <v>5078366.935483872</v>
      </c>
    </row>
    <row r="30" spans="1:17" x14ac:dyDescent="0.25">
      <c r="A30" s="130">
        <f t="shared" si="6"/>
        <v>43850</v>
      </c>
      <c r="B30" s="457" t="str">
        <f t="shared" si="2"/>
        <v>lunes</v>
      </c>
      <c r="C30" s="458">
        <f t="shared" si="0"/>
        <v>0</v>
      </c>
      <c r="D30" s="458">
        <f t="shared" si="0"/>
        <v>0</v>
      </c>
      <c r="E30" s="458"/>
      <c r="F30" s="458">
        <f t="shared" si="3"/>
        <v>0</v>
      </c>
      <c r="G30" s="458"/>
      <c r="H30" s="458"/>
      <c r="I30" s="458"/>
      <c r="J30" s="458"/>
      <c r="K30" s="458"/>
      <c r="L30" s="458"/>
      <c r="M30" s="458">
        <f t="shared" si="1"/>
        <v>80645.161290322576</v>
      </c>
      <c r="N30" s="458"/>
      <c r="O30" s="458"/>
      <c r="P30" s="458">
        <f>+E30-J30-L30-N30</f>
        <v>0</v>
      </c>
      <c r="Q30" s="458">
        <f t="shared" si="5"/>
        <v>4997721.7741935495</v>
      </c>
    </row>
    <row r="31" spans="1:17" x14ac:dyDescent="0.25">
      <c r="A31" s="130">
        <f t="shared" si="6"/>
        <v>43851</v>
      </c>
      <c r="B31" s="457" t="str">
        <f t="shared" si="2"/>
        <v>martes</v>
      </c>
      <c r="C31" s="458">
        <f t="shared" si="0"/>
        <v>0</v>
      </c>
      <c r="D31" s="458">
        <f t="shared" si="0"/>
        <v>0</v>
      </c>
      <c r="E31" s="458"/>
      <c r="F31" s="458">
        <f t="shared" si="3"/>
        <v>0</v>
      </c>
      <c r="G31" s="458"/>
      <c r="H31" s="458"/>
      <c r="I31" s="458"/>
      <c r="J31" s="458"/>
      <c r="K31" s="458"/>
      <c r="L31" s="458"/>
      <c r="M31" s="458">
        <f t="shared" si="1"/>
        <v>80645.161290322576</v>
      </c>
      <c r="N31" s="458"/>
      <c r="O31" s="458"/>
      <c r="P31" s="458"/>
      <c r="Q31" s="458">
        <f t="shared" si="5"/>
        <v>4917076.6129032271</v>
      </c>
    </row>
    <row r="32" spans="1:17" x14ac:dyDescent="0.25">
      <c r="A32" s="130">
        <f t="shared" si="6"/>
        <v>43852</v>
      </c>
      <c r="B32" s="457" t="str">
        <f t="shared" si="2"/>
        <v>miércoles</v>
      </c>
      <c r="C32" s="458">
        <f t="shared" si="0"/>
        <v>0</v>
      </c>
      <c r="D32" s="458">
        <f t="shared" si="0"/>
        <v>0</v>
      </c>
      <c r="E32" s="458"/>
      <c r="F32" s="458">
        <f t="shared" si="3"/>
        <v>0</v>
      </c>
      <c r="G32" s="458"/>
      <c r="H32" s="458"/>
      <c r="I32" s="458"/>
      <c r="J32" s="458"/>
      <c r="K32" s="458"/>
      <c r="L32" s="458"/>
      <c r="M32" s="458">
        <f t="shared" si="1"/>
        <v>80645.161290322576</v>
      </c>
      <c r="N32" s="458"/>
      <c r="O32" s="458"/>
      <c r="P32" s="458"/>
      <c r="Q32" s="458">
        <f t="shared" si="5"/>
        <v>4836431.4516129047</v>
      </c>
    </row>
    <row r="33" spans="1:17" x14ac:dyDescent="0.25">
      <c r="A33" s="130">
        <f t="shared" si="6"/>
        <v>43853</v>
      </c>
      <c r="B33" s="457" t="str">
        <f t="shared" si="2"/>
        <v>jueves</v>
      </c>
      <c r="C33" s="458">
        <f t="shared" si="0"/>
        <v>0</v>
      </c>
      <c r="D33" s="458">
        <f t="shared" si="0"/>
        <v>0</v>
      </c>
      <c r="E33" s="458"/>
      <c r="F33" s="458">
        <f t="shared" si="3"/>
        <v>0</v>
      </c>
      <c r="G33" s="458"/>
      <c r="H33" s="458"/>
      <c r="I33" s="458"/>
      <c r="J33" s="458"/>
      <c r="K33" s="458"/>
      <c r="L33" s="458"/>
      <c r="M33" s="458">
        <f t="shared" si="1"/>
        <v>80645.161290322576</v>
      </c>
      <c r="N33" s="458"/>
      <c r="O33" s="458"/>
      <c r="P33" s="458"/>
      <c r="Q33" s="458">
        <f t="shared" si="5"/>
        <v>4755786.2903225822</v>
      </c>
    </row>
    <row r="34" spans="1:17" x14ac:dyDescent="0.25">
      <c r="A34" s="130">
        <f t="shared" si="6"/>
        <v>43854</v>
      </c>
      <c r="B34" s="457" t="str">
        <f t="shared" si="2"/>
        <v>viernes</v>
      </c>
      <c r="C34" s="458">
        <f t="shared" si="0"/>
        <v>237982.5</v>
      </c>
      <c r="D34" s="458">
        <f t="shared" si="0"/>
        <v>396637.5</v>
      </c>
      <c r="E34" s="458">
        <f>OPEX!$AD$32</f>
        <v>661062.5</v>
      </c>
      <c r="F34" s="458">
        <f t="shared" si="3"/>
        <v>396637.5</v>
      </c>
      <c r="G34" s="458">
        <f>OPEX!$AD$32</f>
        <v>661062.5</v>
      </c>
      <c r="H34" s="458"/>
      <c r="I34" s="458"/>
      <c r="J34" s="458"/>
      <c r="K34" s="458"/>
      <c r="L34" s="458"/>
      <c r="M34" s="458">
        <f t="shared" si="1"/>
        <v>80645.161290322576</v>
      </c>
      <c r="N34" s="458"/>
      <c r="O34" s="458"/>
      <c r="P34" s="458"/>
      <c r="Q34" s="458">
        <f t="shared" si="5"/>
        <v>5336203.6290322598</v>
      </c>
    </row>
    <row r="35" spans="1:17" x14ac:dyDescent="0.25">
      <c r="A35" s="130">
        <f t="shared" si="6"/>
        <v>43855</v>
      </c>
      <c r="B35" s="457" t="str">
        <f t="shared" si="2"/>
        <v>sábado</v>
      </c>
      <c r="C35" s="458">
        <f t="shared" si="0"/>
        <v>237982.5</v>
      </c>
      <c r="D35" s="458">
        <f t="shared" si="0"/>
        <v>396637.5</v>
      </c>
      <c r="E35" s="458">
        <f>OPEX!$AD$32</f>
        <v>661062.5</v>
      </c>
      <c r="F35" s="458">
        <f t="shared" si="3"/>
        <v>396637.5</v>
      </c>
      <c r="G35" s="458">
        <f>OPEX!$AD$32</f>
        <v>661062.5</v>
      </c>
      <c r="H35" s="458"/>
      <c r="I35" s="458"/>
      <c r="J35" s="458"/>
      <c r="K35" s="458"/>
      <c r="L35" s="458"/>
      <c r="M35" s="458">
        <f t="shared" si="1"/>
        <v>80645.161290322576</v>
      </c>
      <c r="N35" s="458"/>
      <c r="O35" s="458"/>
      <c r="P35" s="458"/>
      <c r="Q35" s="458">
        <f t="shared" si="5"/>
        <v>5916620.9677419374</v>
      </c>
    </row>
    <row r="36" spans="1:17" x14ac:dyDescent="0.25">
      <c r="A36" s="130">
        <f t="shared" si="6"/>
        <v>43856</v>
      </c>
      <c r="B36" s="457" t="str">
        <f t="shared" si="2"/>
        <v>domingo</v>
      </c>
      <c r="C36" s="458">
        <f t="shared" si="0"/>
        <v>237982.5</v>
      </c>
      <c r="D36" s="458">
        <f t="shared" si="0"/>
        <v>396637.5</v>
      </c>
      <c r="E36" s="458">
        <f>OPEX!$AD$32</f>
        <v>661062.5</v>
      </c>
      <c r="F36" s="458">
        <f t="shared" si="3"/>
        <v>396637.5</v>
      </c>
      <c r="G36" s="458">
        <f>OPEX!$AD$32</f>
        <v>661062.5</v>
      </c>
      <c r="H36" s="458"/>
      <c r="I36" s="458"/>
      <c r="J36" s="458"/>
      <c r="K36" s="458"/>
      <c r="L36" s="458"/>
      <c r="M36" s="458">
        <f t="shared" si="1"/>
        <v>80645.161290322576</v>
      </c>
      <c r="N36" s="458"/>
      <c r="O36" s="458"/>
      <c r="P36" s="458"/>
      <c r="Q36" s="458">
        <f t="shared" si="5"/>
        <v>6497038.3064516149</v>
      </c>
    </row>
    <row r="37" spans="1:17" x14ac:dyDescent="0.25">
      <c r="A37" s="130">
        <f t="shared" si="6"/>
        <v>43857</v>
      </c>
      <c r="B37" s="457" t="str">
        <f t="shared" si="2"/>
        <v>lunes</v>
      </c>
      <c r="C37" s="458">
        <f t="shared" si="0"/>
        <v>0</v>
      </c>
      <c r="D37" s="458">
        <f t="shared" si="0"/>
        <v>0</v>
      </c>
      <c r="E37" s="458"/>
      <c r="F37" s="458">
        <f t="shared" si="3"/>
        <v>0</v>
      </c>
      <c r="G37" s="458"/>
      <c r="H37" s="458"/>
      <c r="I37" s="458"/>
      <c r="J37" s="458"/>
      <c r="K37" s="458"/>
      <c r="L37" s="458"/>
      <c r="M37" s="458">
        <f t="shared" si="1"/>
        <v>80645.161290322576</v>
      </c>
      <c r="N37" s="458"/>
      <c r="O37" s="458"/>
      <c r="P37" s="458"/>
      <c r="Q37" s="458">
        <f t="shared" si="5"/>
        <v>6416393.1451612925</v>
      </c>
    </row>
    <row r="38" spans="1:17" x14ac:dyDescent="0.25">
      <c r="A38" s="130">
        <f t="shared" si="6"/>
        <v>43858</v>
      </c>
      <c r="B38" s="457" t="str">
        <f t="shared" si="2"/>
        <v>martes</v>
      </c>
      <c r="C38" s="458">
        <f t="shared" si="0"/>
        <v>0</v>
      </c>
      <c r="D38" s="458">
        <f t="shared" si="0"/>
        <v>0</v>
      </c>
      <c r="E38" s="458"/>
      <c r="F38" s="458">
        <f t="shared" si="3"/>
        <v>0</v>
      </c>
      <c r="G38" s="458"/>
      <c r="H38" s="458"/>
      <c r="I38" s="458"/>
      <c r="J38" s="458"/>
      <c r="K38" s="458"/>
      <c r="L38" s="458"/>
      <c r="M38" s="458">
        <f t="shared" si="1"/>
        <v>80645.161290322576</v>
      </c>
      <c r="N38" s="458"/>
      <c r="O38" s="458"/>
      <c r="P38" s="458"/>
      <c r="Q38" s="458">
        <f t="shared" si="5"/>
        <v>6335747.9838709701</v>
      </c>
    </row>
    <row r="39" spans="1:17" x14ac:dyDescent="0.25">
      <c r="A39" s="130">
        <f t="shared" si="6"/>
        <v>43859</v>
      </c>
      <c r="B39" s="457" t="str">
        <f t="shared" si="2"/>
        <v>miércoles</v>
      </c>
      <c r="C39" s="458">
        <f t="shared" si="0"/>
        <v>0</v>
      </c>
      <c r="D39" s="458">
        <f t="shared" si="0"/>
        <v>0</v>
      </c>
      <c r="E39" s="458"/>
      <c r="F39" s="458">
        <f t="shared" si="3"/>
        <v>0</v>
      </c>
      <c r="G39" s="458"/>
      <c r="H39" s="458"/>
      <c r="I39" s="458"/>
      <c r="J39" s="458"/>
      <c r="K39" s="458"/>
      <c r="L39" s="458"/>
      <c r="M39" s="458">
        <f t="shared" si="1"/>
        <v>80645.161290322576</v>
      </c>
      <c r="N39" s="458"/>
      <c r="O39" s="458"/>
      <c r="P39" s="458"/>
      <c r="Q39" s="458">
        <f t="shared" si="5"/>
        <v>6255102.8225806477</v>
      </c>
    </row>
    <row r="40" spans="1:17" x14ac:dyDescent="0.25">
      <c r="A40" s="130">
        <f t="shared" si="6"/>
        <v>43860</v>
      </c>
      <c r="B40" s="457" t="str">
        <f t="shared" si="2"/>
        <v>jueves</v>
      </c>
      <c r="C40" s="458">
        <f t="shared" si="0"/>
        <v>0</v>
      </c>
      <c r="D40" s="458">
        <f t="shared" si="0"/>
        <v>0</v>
      </c>
      <c r="E40" s="458"/>
      <c r="F40" s="458">
        <f t="shared" si="3"/>
        <v>0</v>
      </c>
      <c r="G40" s="458"/>
      <c r="H40" s="458"/>
      <c r="I40" s="458"/>
      <c r="J40" s="458"/>
      <c r="K40" s="458"/>
      <c r="L40" s="458"/>
      <c r="M40" s="458">
        <f t="shared" si="1"/>
        <v>80645.161290322576</v>
      </c>
      <c r="N40" s="458"/>
      <c r="O40" s="458"/>
      <c r="P40" s="458"/>
      <c r="Q40" s="458">
        <f t="shared" si="5"/>
        <v>6174457.6612903252</v>
      </c>
    </row>
    <row r="41" spans="1:17" x14ac:dyDescent="0.25">
      <c r="A41" s="130">
        <f t="shared" si="6"/>
        <v>43861</v>
      </c>
      <c r="B41" s="457" t="str">
        <f t="shared" si="2"/>
        <v>viernes</v>
      </c>
      <c r="C41" s="458">
        <f t="shared" si="0"/>
        <v>237982.5</v>
      </c>
      <c r="D41" s="458">
        <f t="shared" si="0"/>
        <v>396637.5</v>
      </c>
      <c r="E41" s="458">
        <f>OPEX!$AD$32</f>
        <v>661062.5</v>
      </c>
      <c r="F41" s="458">
        <f t="shared" si="3"/>
        <v>396637.5</v>
      </c>
      <c r="G41" s="458">
        <f>OPEX!$AD$32</f>
        <v>661062.5</v>
      </c>
      <c r="H41" s="458"/>
      <c r="I41" s="458"/>
      <c r="J41" s="458"/>
      <c r="K41" s="458"/>
      <c r="L41" s="458"/>
      <c r="M41" s="458">
        <f t="shared" si="1"/>
        <v>80645.161290322576</v>
      </c>
      <c r="N41" s="458"/>
      <c r="O41" s="458"/>
      <c r="P41" s="458"/>
      <c r="Q41" s="458">
        <f t="shared" si="5"/>
        <v>6754875.0000000028</v>
      </c>
    </row>
  </sheetData>
  <autoFilter ref="A9:E41" xr:uid="{00000000-0009-0000-0000-000011000000}"/>
  <mergeCells count="13">
    <mergeCell ref="Q9:Q10"/>
    <mergeCell ref="D9:D10"/>
    <mergeCell ref="M1:P1"/>
    <mergeCell ref="J9:K9"/>
    <mergeCell ref="A9:A10"/>
    <mergeCell ref="B9:B10"/>
    <mergeCell ref="E9:E10"/>
    <mergeCell ref="L9:M9"/>
    <mergeCell ref="N9:O9"/>
    <mergeCell ref="P9:P10"/>
    <mergeCell ref="G9:G10"/>
    <mergeCell ref="C9:C10"/>
    <mergeCell ref="F9:F10"/>
  </mergeCells>
  <conditionalFormatting sqref="O2:P6">
    <cfRule type="cellIs" dxfId="45" priority="1" operator="lessThan">
      <formula>0</formula>
    </cfRule>
    <cfRule type="cellIs" dxfId="44" priority="2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4" tint="0.59999389629810485"/>
  </sheetPr>
  <dimension ref="A1:T37"/>
  <sheetViews>
    <sheetView topLeftCell="F1" workbookViewId="0">
      <selection activeCell="K2" sqref="K2"/>
    </sheetView>
  </sheetViews>
  <sheetFormatPr baseColWidth="10" defaultRowHeight="15" x14ac:dyDescent="0.25"/>
  <cols>
    <col min="1" max="1" width="7.140625" customWidth="1"/>
    <col min="2" max="2" width="12" customWidth="1"/>
    <col min="3" max="3" width="13" customWidth="1"/>
    <col min="4" max="4" width="11.85546875" customWidth="1"/>
    <col min="5" max="5" width="7.140625" customWidth="1"/>
    <col min="6" max="6" width="13" customWidth="1"/>
    <col min="7" max="7" width="13.28515625" bestFit="1" customWidth="1"/>
    <col min="9" max="9" width="7.140625" bestFit="1" customWidth="1"/>
    <col min="10" max="10" width="13" bestFit="1" customWidth="1"/>
    <col min="11" max="11" width="13.28515625" bestFit="1" customWidth="1"/>
    <col min="12" max="13" width="11.85546875" customWidth="1"/>
    <col min="15" max="15" width="7.140625" bestFit="1" customWidth="1"/>
    <col min="16" max="16" width="13" bestFit="1" customWidth="1"/>
    <col min="17" max="17" width="19.28515625" bestFit="1" customWidth="1"/>
    <col min="18" max="18" width="12" bestFit="1" customWidth="1"/>
    <col min="19" max="19" width="13.5703125" bestFit="1" customWidth="1"/>
  </cols>
  <sheetData>
    <row r="1" spans="1:20" ht="21" x14ac:dyDescent="0.35">
      <c r="A1" s="283"/>
      <c r="B1" s="492" t="s">
        <v>571</v>
      </c>
      <c r="C1" s="492"/>
      <c r="D1" s="289"/>
      <c r="E1" s="283"/>
      <c r="F1" s="492" t="s">
        <v>572</v>
      </c>
      <c r="G1" s="492"/>
      <c r="H1" s="289"/>
      <c r="I1" s="283"/>
      <c r="J1" s="488" t="s">
        <v>573</v>
      </c>
      <c r="K1" s="489"/>
      <c r="L1" s="489"/>
      <c r="M1" s="490"/>
      <c r="N1" s="289"/>
      <c r="O1" s="283"/>
      <c r="P1" s="488" t="s">
        <v>574</v>
      </c>
      <c r="Q1" s="489"/>
      <c r="R1" s="489"/>
      <c r="S1" s="490"/>
      <c r="T1" s="289"/>
    </row>
    <row r="2" spans="1:20" x14ac:dyDescent="0.25">
      <c r="A2" s="283"/>
      <c r="B2" s="294" t="s">
        <v>56</v>
      </c>
      <c r="C2" s="295">
        <f>+SUM(OPEX!G9:G16)</f>
        <v>1420000</v>
      </c>
      <c r="D2" s="289"/>
      <c r="E2" s="283"/>
      <c r="F2" s="294" t="s">
        <v>56</v>
      </c>
      <c r="G2" s="295">
        <f>+SUM(OPEX!M9:M16)</f>
        <v>4535000</v>
      </c>
      <c r="H2" s="289"/>
      <c r="I2" s="283"/>
      <c r="J2" s="294" t="s">
        <v>56</v>
      </c>
      <c r="K2" s="365">
        <f>+SUM(OPEX!S9:S16)</f>
        <v>4100000</v>
      </c>
      <c r="L2" s="292">
        <f>+K2-G2</f>
        <v>-435000</v>
      </c>
      <c r="M2" s="301">
        <f>+K2/G2-1</f>
        <v>-9.592061742006619E-2</v>
      </c>
      <c r="N2" s="289"/>
      <c r="O2" s="283"/>
      <c r="P2" s="294" t="s">
        <v>56</v>
      </c>
      <c r="Q2" s="299">
        <f>+SUM(OPEX!Y9:Y16)</f>
        <v>3685000</v>
      </c>
      <c r="R2" s="292">
        <f>+Q2-K2</f>
        <v>-415000</v>
      </c>
      <c r="S2" s="301">
        <f>+Q2/K2-1</f>
        <v>-0.10121951219512193</v>
      </c>
      <c r="T2" s="289"/>
    </row>
    <row r="3" spans="1:20" x14ac:dyDescent="0.25">
      <c r="A3" s="283"/>
      <c r="B3" s="296" t="s">
        <v>2</v>
      </c>
      <c r="C3" s="293">
        <f>+OPEX!G4</f>
        <v>1500000</v>
      </c>
      <c r="D3" s="289"/>
      <c r="E3" s="283"/>
      <c r="F3" s="296" t="s">
        <v>2</v>
      </c>
      <c r="G3" s="293">
        <f>OPEX!$M$4</f>
        <v>2500000</v>
      </c>
      <c r="H3" s="289"/>
      <c r="I3" s="283"/>
      <c r="J3" s="294" t="s">
        <v>2</v>
      </c>
      <c r="K3" s="299">
        <f>OPEX!$M$4</f>
        <v>2500000</v>
      </c>
      <c r="L3" s="291">
        <f>+K3-G3</f>
        <v>0</v>
      </c>
      <c r="M3" s="301">
        <f>+K3/G3-1</f>
        <v>0</v>
      </c>
      <c r="N3" s="289"/>
      <c r="O3" s="283"/>
      <c r="P3" s="294" t="s">
        <v>2</v>
      </c>
      <c r="Q3" s="299">
        <f>+OPEX!Y4</f>
        <v>2500000</v>
      </c>
      <c r="R3" s="292">
        <f t="shared" ref="R3:R6" si="0">+Q3-K3</f>
        <v>0</v>
      </c>
      <c r="S3" s="301">
        <f t="shared" ref="S3:S6" si="1">+Q3/K3-1</f>
        <v>0</v>
      </c>
      <c r="T3" s="289"/>
    </row>
    <row r="4" spans="1:20" x14ac:dyDescent="0.25">
      <c r="A4" s="283"/>
      <c r="B4" s="294" t="s">
        <v>11</v>
      </c>
      <c r="C4" s="169">
        <f>+SUM(OPEX!G17:G20)</f>
        <v>0</v>
      </c>
      <c r="D4" s="289"/>
      <c r="E4" s="283"/>
      <c r="F4" s="294" t="s">
        <v>11</v>
      </c>
      <c r="G4" s="169">
        <f>+SUM(OPEX!M17:M20)</f>
        <v>777377</v>
      </c>
      <c r="H4" s="289"/>
      <c r="I4" s="283"/>
      <c r="J4" s="294" t="s">
        <v>11</v>
      </c>
      <c r="K4" s="299">
        <f>+SUM(OPEX!S17:S20)</f>
        <v>0</v>
      </c>
      <c r="L4" s="290">
        <f>+K4-G4</f>
        <v>-777377</v>
      </c>
      <c r="M4" s="301">
        <f>+K4/G4-1</f>
        <v>-1</v>
      </c>
      <c r="N4" s="289"/>
      <c r="O4" s="283"/>
      <c r="P4" s="294" t="s">
        <v>11</v>
      </c>
      <c r="Q4" s="299">
        <f>+SUM(OPEX!Y17:Y20)</f>
        <v>600000</v>
      </c>
      <c r="R4" s="292">
        <f>+Q4-K4</f>
        <v>600000</v>
      </c>
      <c r="S4" s="404" t="e">
        <f>+Q4/K4-1</f>
        <v>#DIV/0!</v>
      </c>
      <c r="T4" s="289"/>
    </row>
    <row r="5" spans="1:20" x14ac:dyDescent="0.25">
      <c r="A5" s="283"/>
      <c r="B5" s="294" t="s">
        <v>10</v>
      </c>
      <c r="C5" s="169">
        <f>+SUM(OPEX!G5:G8)</f>
        <v>0</v>
      </c>
      <c r="D5" s="289"/>
      <c r="E5" s="283"/>
      <c r="F5" s="294" t="s">
        <v>10</v>
      </c>
      <c r="G5" s="169">
        <f>+SUM(OPEX!M5:M8)</f>
        <v>800000</v>
      </c>
      <c r="H5" s="289"/>
      <c r="I5" s="283"/>
      <c r="J5" s="294" t="s">
        <v>10</v>
      </c>
      <c r="K5" s="299">
        <f>+SUM(OPEX!S5:S7)</f>
        <v>800000</v>
      </c>
      <c r="L5" s="298">
        <f>+K5-G5</f>
        <v>0</v>
      </c>
      <c r="M5" s="302">
        <f>+K5/G5-1</f>
        <v>0</v>
      </c>
      <c r="N5" s="289"/>
      <c r="O5" s="283"/>
      <c r="P5" s="294" t="s">
        <v>10</v>
      </c>
      <c r="Q5" s="299">
        <f>+SUM(OPEX!Y5:Y8)</f>
        <v>780000</v>
      </c>
      <c r="R5" s="300">
        <f t="shared" si="0"/>
        <v>-20000</v>
      </c>
      <c r="S5" s="302">
        <f t="shared" si="1"/>
        <v>-2.5000000000000022E-2</v>
      </c>
      <c r="T5" s="289"/>
    </row>
    <row r="6" spans="1:20" ht="18" x14ac:dyDescent="0.4">
      <c r="A6" s="283"/>
      <c r="C6" s="297">
        <f>+SUM(C2:C5)</f>
        <v>2920000</v>
      </c>
      <c r="D6" s="289"/>
      <c r="E6" s="283"/>
      <c r="G6" s="297">
        <f>+SUM(G2:G5)</f>
        <v>8612377</v>
      </c>
      <c r="H6" s="289"/>
      <c r="I6" s="283"/>
      <c r="K6" s="297">
        <f>+SUM(K2:K5)</f>
        <v>7400000</v>
      </c>
      <c r="L6" s="145">
        <f>+K6-G6</f>
        <v>-1212377</v>
      </c>
      <c r="M6" s="303">
        <f>+K6/G6-1</f>
        <v>-0.14077147342713869</v>
      </c>
      <c r="N6" s="289"/>
      <c r="O6" s="283"/>
      <c r="Q6" s="297">
        <f>+SUM(Q2:Q5)</f>
        <v>7565000</v>
      </c>
      <c r="R6" s="284">
        <f t="shared" si="0"/>
        <v>165000</v>
      </c>
      <c r="S6" s="303">
        <f t="shared" si="1"/>
        <v>2.2297297297297236E-2</v>
      </c>
      <c r="T6" s="289"/>
    </row>
    <row r="7" spans="1:20" ht="18" x14ac:dyDescent="0.4">
      <c r="A7" s="283"/>
      <c r="C7" s="297"/>
      <c r="D7" s="289"/>
      <c r="E7" s="283"/>
      <c r="G7" s="297"/>
      <c r="H7" s="289"/>
      <c r="I7" s="283"/>
      <c r="K7" s="297"/>
      <c r="L7" s="145"/>
      <c r="M7" s="303"/>
      <c r="N7" s="289"/>
      <c r="O7" s="283"/>
      <c r="Q7" s="297"/>
      <c r="R7" s="284"/>
      <c r="S7" s="303"/>
      <c r="T7" s="289"/>
    </row>
    <row r="8" spans="1:20" ht="30" x14ac:dyDescent="0.25">
      <c r="A8" s="315">
        <v>0.4</v>
      </c>
      <c r="B8" s="304" t="s">
        <v>598</v>
      </c>
      <c r="C8" s="295">
        <f>+C6/OPEX!G3</f>
        <v>324444.44444444444</v>
      </c>
      <c r="D8" s="355">
        <f>+C8/C$23</f>
        <v>0.54547567159823995</v>
      </c>
      <c r="E8" s="283"/>
      <c r="F8" s="304" t="s">
        <v>598</v>
      </c>
      <c r="G8" s="295">
        <f>+G6/OPEX!M3</f>
        <v>277818.61290322582</v>
      </c>
      <c r="H8" s="355">
        <f>+G8/G$23</f>
        <v>0.45272836010325668</v>
      </c>
      <c r="I8" s="283"/>
      <c r="J8" s="304" t="s">
        <v>598</v>
      </c>
      <c r="K8" s="295">
        <f>+K6/OPEX!S3</f>
        <v>246666.66666666666</v>
      </c>
      <c r="L8" s="355">
        <f>+K8/K$23</f>
        <v>0.4240264867571944</v>
      </c>
      <c r="M8" s="303"/>
      <c r="N8" s="289"/>
      <c r="O8" s="283"/>
      <c r="P8" s="304" t="s">
        <v>598</v>
      </c>
      <c r="Q8" s="295">
        <f>+Q6/OPEX!Y3</f>
        <v>244032.25806451612</v>
      </c>
      <c r="R8" s="355">
        <f>+Q8/Q$23</f>
        <v>0.47842139280388452</v>
      </c>
      <c r="S8" s="303"/>
      <c r="T8" s="289"/>
    </row>
    <row r="9" spans="1:20" x14ac:dyDescent="0.25">
      <c r="A9" s="283"/>
      <c r="D9" s="289"/>
      <c r="E9" s="283"/>
      <c r="H9" s="289"/>
      <c r="I9" s="283"/>
      <c r="N9" s="289"/>
      <c r="O9" s="283"/>
      <c r="T9" s="289"/>
    </row>
    <row r="10" spans="1:20" x14ac:dyDescent="0.25">
      <c r="A10" s="283"/>
      <c r="D10" s="289"/>
      <c r="E10" s="283"/>
      <c r="H10" s="289"/>
      <c r="I10" s="283"/>
      <c r="N10" s="289"/>
      <c r="O10" s="283"/>
      <c r="T10" s="289"/>
    </row>
    <row r="11" spans="1:20" x14ac:dyDescent="0.25">
      <c r="A11" s="283"/>
      <c r="D11" s="289"/>
      <c r="E11" s="283"/>
      <c r="H11" s="289"/>
      <c r="I11" s="283"/>
      <c r="N11" s="289"/>
      <c r="O11" s="283"/>
      <c r="T11" s="289"/>
    </row>
    <row r="12" spans="1:20" x14ac:dyDescent="0.25">
      <c r="A12" s="283"/>
      <c r="D12" s="289"/>
      <c r="E12" s="283"/>
      <c r="H12" s="289"/>
      <c r="I12" s="283"/>
      <c r="N12" s="289"/>
      <c r="O12" s="283"/>
      <c r="T12" s="289"/>
    </row>
    <row r="13" spans="1:20" x14ac:dyDescent="0.25">
      <c r="A13" s="283"/>
      <c r="D13" s="289"/>
      <c r="E13" s="283"/>
      <c r="H13" s="289"/>
      <c r="I13" s="283"/>
      <c r="N13" s="289"/>
      <c r="O13" s="283"/>
      <c r="T13" s="289"/>
    </row>
    <row r="14" spans="1:20" x14ac:dyDescent="0.25">
      <c r="A14" s="283"/>
      <c r="D14" s="289"/>
      <c r="E14" s="283"/>
      <c r="H14" s="289"/>
      <c r="I14" s="283"/>
      <c r="N14" s="289"/>
      <c r="O14" s="283"/>
      <c r="T14" s="289"/>
    </row>
    <row r="15" spans="1:20" x14ac:dyDescent="0.25">
      <c r="A15" s="283"/>
      <c r="D15" s="289"/>
      <c r="E15" s="283"/>
      <c r="H15" s="289"/>
      <c r="I15" s="283"/>
      <c r="N15" s="289"/>
      <c r="O15" s="283"/>
      <c r="T15" s="289"/>
    </row>
    <row r="16" spans="1:20" x14ac:dyDescent="0.25">
      <c r="A16" s="283"/>
      <c r="D16" s="289"/>
      <c r="E16" s="283"/>
      <c r="H16" s="289"/>
      <c r="I16" s="283"/>
      <c r="N16" s="289"/>
      <c r="O16" s="283"/>
      <c r="T16" s="289"/>
    </row>
    <row r="17" spans="1:20" x14ac:dyDescent="0.25">
      <c r="A17" s="283"/>
      <c r="D17" s="289"/>
      <c r="E17" s="283"/>
      <c r="H17" s="289"/>
      <c r="I17" s="283"/>
      <c r="N17" s="289"/>
      <c r="O17" s="283"/>
      <c r="T17" s="289"/>
    </row>
    <row r="18" spans="1:20" x14ac:dyDescent="0.25">
      <c r="A18" s="283"/>
      <c r="D18" s="289"/>
      <c r="E18" s="283"/>
      <c r="H18" s="289"/>
      <c r="I18" s="283"/>
      <c r="N18" s="289"/>
      <c r="O18" s="283"/>
      <c r="T18" s="289"/>
    </row>
    <row r="19" spans="1:20" x14ac:dyDescent="0.25">
      <c r="A19" s="283"/>
      <c r="D19" s="289"/>
      <c r="E19" s="283"/>
      <c r="H19" s="289"/>
      <c r="I19" s="283"/>
      <c r="N19" s="289"/>
      <c r="O19" s="283"/>
      <c r="T19" s="289"/>
    </row>
    <row r="20" spans="1:20" x14ac:dyDescent="0.25">
      <c r="A20" s="283"/>
      <c r="D20" s="289"/>
      <c r="E20" s="283"/>
      <c r="H20" s="289"/>
      <c r="I20" s="283"/>
      <c r="N20" s="289"/>
      <c r="O20" s="283"/>
      <c r="T20" s="289"/>
    </row>
    <row r="21" spans="1:20" x14ac:dyDescent="0.25">
      <c r="A21" s="283"/>
      <c r="D21" s="289"/>
      <c r="E21" s="283"/>
      <c r="H21" s="289"/>
      <c r="I21" s="283"/>
      <c r="N21" s="289"/>
      <c r="O21" s="283"/>
      <c r="T21" s="289"/>
    </row>
    <row r="22" spans="1:20" ht="30" x14ac:dyDescent="0.25">
      <c r="A22" s="315">
        <v>0.6</v>
      </c>
      <c r="B22" s="314" t="s">
        <v>583</v>
      </c>
      <c r="C22" s="295">
        <f>+(B26*$A$22)/OPEX!G3</f>
        <v>270347.33333333331</v>
      </c>
      <c r="D22" s="355">
        <f>+C22/C$23</f>
        <v>0.45452432840175999</v>
      </c>
      <c r="E22" s="283"/>
      <c r="F22" s="314" t="s">
        <v>583</v>
      </c>
      <c r="G22" s="295">
        <f>+(F26*$A$22)/OPEX!M3</f>
        <v>335835.48387096776</v>
      </c>
      <c r="H22" s="355">
        <f>+G22/G$23</f>
        <v>0.54727163989674332</v>
      </c>
      <c r="I22" s="283"/>
      <c r="J22" s="314" t="s">
        <v>583</v>
      </c>
      <c r="K22" s="295">
        <f>+(J26*$A$22)/M26</f>
        <v>335058</v>
      </c>
      <c r="L22" s="355">
        <f>+K22/K$23</f>
        <v>0.57597351324280566</v>
      </c>
      <c r="M22" s="303"/>
      <c r="N22" s="289"/>
      <c r="O22" s="283"/>
      <c r="P22" s="314" t="s">
        <v>583</v>
      </c>
      <c r="Q22" s="295">
        <f>+(P26*$A$22)/OPEX!Y3</f>
        <v>266045.80645161291</v>
      </c>
      <c r="R22" s="355">
        <f>+Q22/Q$23</f>
        <v>0.52157860719611548</v>
      </c>
      <c r="S22" s="303"/>
      <c r="T22" s="289"/>
    </row>
    <row r="23" spans="1:20" ht="18" x14ac:dyDescent="0.4">
      <c r="B23" t="s">
        <v>599</v>
      </c>
      <c r="C23" s="297">
        <f>+C8+C22</f>
        <v>594791.77777777775</v>
      </c>
      <c r="F23" t="s">
        <v>599</v>
      </c>
      <c r="G23" s="297">
        <f>+G8+G22</f>
        <v>613654.09677419357</v>
      </c>
      <c r="J23" t="s">
        <v>599</v>
      </c>
      <c r="K23" s="297">
        <f>+K8+K22</f>
        <v>581724.66666666663</v>
      </c>
      <c r="P23" t="s">
        <v>599</v>
      </c>
      <c r="Q23" s="297">
        <f>+Q8+Q22</f>
        <v>510078.06451612903</v>
      </c>
    </row>
    <row r="24" spans="1:20" ht="15.75" thickBot="1" x14ac:dyDescent="0.3"/>
    <row r="25" spans="1:20" x14ac:dyDescent="0.25">
      <c r="A25" s="158" t="s">
        <v>55</v>
      </c>
      <c r="B25" t="s">
        <v>627</v>
      </c>
      <c r="E25" s="158" t="s">
        <v>55</v>
      </c>
      <c r="F25" t="s">
        <v>627</v>
      </c>
      <c r="I25" s="158" t="s">
        <v>55</v>
      </c>
      <c r="J25" t="s">
        <v>627</v>
      </c>
      <c r="M25" s="342" t="s">
        <v>628</v>
      </c>
      <c r="O25" s="158" t="s">
        <v>55</v>
      </c>
      <c r="P25" t="s">
        <v>627</v>
      </c>
      <c r="Q25" s="158"/>
      <c r="R25" s="158"/>
      <c r="S25" s="342" t="s">
        <v>628</v>
      </c>
      <c r="T25" s="158"/>
    </row>
    <row r="26" spans="1:20" x14ac:dyDescent="0.25">
      <c r="A26" s="502" t="s">
        <v>318</v>
      </c>
      <c r="B26" s="501">
        <v>4055210</v>
      </c>
      <c r="C26" s="9">
        <f>+B26/OPEX!G3</f>
        <v>450578.88888888888</v>
      </c>
      <c r="E26" s="502" t="s">
        <v>319</v>
      </c>
      <c r="F26" s="501">
        <v>17351500</v>
      </c>
      <c r="G26" s="9">
        <f>+F26/OPEX!M3</f>
        <v>559725.80645161285</v>
      </c>
      <c r="I26" s="502" t="s">
        <v>558</v>
      </c>
      <c r="J26" s="501">
        <v>16752900</v>
      </c>
      <c r="K26" s="9">
        <f>+J26/M26</f>
        <v>558430</v>
      </c>
      <c r="M26" s="364">
        <v>30</v>
      </c>
      <c r="O26" s="400" t="s">
        <v>651</v>
      </c>
      <c r="P26" s="501">
        <v>13745700</v>
      </c>
      <c r="Q26" s="9">
        <f>+P26/S26</f>
        <v>443409.67741935485</v>
      </c>
      <c r="S26" s="364">
        <v>31</v>
      </c>
    </row>
    <row r="27" spans="1:20" x14ac:dyDescent="0.25">
      <c r="B27" s="358" t="s">
        <v>633</v>
      </c>
      <c r="C27" s="341">
        <f>+C26-C23</f>
        <v>-144212.88888888888</v>
      </c>
      <c r="F27" s="358" t="s">
        <v>633</v>
      </c>
      <c r="G27" s="341">
        <f>+G26-G23</f>
        <v>-53928.290322580724</v>
      </c>
      <c r="J27" s="358" t="s">
        <v>633</v>
      </c>
      <c r="K27" s="341">
        <f>+K26-K23</f>
        <v>-23294.666666666628</v>
      </c>
      <c r="P27" s="358" t="s">
        <v>633</v>
      </c>
      <c r="Q27" s="341">
        <f>+Q26-Q23</f>
        <v>-66668.387096774182</v>
      </c>
    </row>
    <row r="28" spans="1:20" x14ac:dyDescent="0.25">
      <c r="B28" s="358" t="s">
        <v>634</v>
      </c>
      <c r="C28" s="341">
        <f>+C27*OPEX!G3</f>
        <v>-1297916</v>
      </c>
      <c r="F28" s="358" t="s">
        <v>634</v>
      </c>
      <c r="G28" s="341">
        <f>+G27*OPEX!M3</f>
        <v>-1671777.0000000023</v>
      </c>
      <c r="J28" s="358" t="s">
        <v>634</v>
      </c>
      <c r="K28" s="341">
        <f>+K27*M26</f>
        <v>-698839.99999999884</v>
      </c>
      <c r="P28" s="358" t="s">
        <v>634</v>
      </c>
      <c r="Q28" s="341">
        <f>+Q27*S26</f>
        <v>-2066719.9999999995</v>
      </c>
    </row>
    <row r="32" spans="1:20" ht="30" x14ac:dyDescent="0.25">
      <c r="A32" s="363">
        <f>+C32/B26</f>
        <v>0.6</v>
      </c>
      <c r="B32" s="314" t="s">
        <v>637</v>
      </c>
      <c r="C32" s="295">
        <f>+C22*OPEX!G3</f>
        <v>2433126</v>
      </c>
      <c r="E32" s="363">
        <f>+G32/F26</f>
        <v>0.6</v>
      </c>
      <c r="F32" s="314" t="s">
        <v>637</v>
      </c>
      <c r="G32" s="295">
        <f>+G22*OPEX!M3</f>
        <v>10410900</v>
      </c>
      <c r="I32" s="363">
        <f>+K32/J26</f>
        <v>0.6</v>
      </c>
      <c r="J32" s="314" t="s">
        <v>637</v>
      </c>
      <c r="K32" s="295">
        <f>+K22*M26</f>
        <v>10051740</v>
      </c>
      <c r="O32" s="363">
        <f>+Q32/P26</f>
        <v>0.6</v>
      </c>
      <c r="P32" s="314" t="s">
        <v>637</v>
      </c>
      <c r="Q32" s="295">
        <f>+Q22*S26</f>
        <v>8247420</v>
      </c>
    </row>
    <row r="33" spans="2:17" ht="30" x14ac:dyDescent="0.25">
      <c r="B33" s="304" t="s">
        <v>638</v>
      </c>
      <c r="C33" s="295">
        <f>+C6</f>
        <v>2920000</v>
      </c>
      <c r="F33" s="304" t="s">
        <v>638</v>
      </c>
      <c r="G33" s="295">
        <f>+G6</f>
        <v>8612377</v>
      </c>
      <c r="J33" s="304" t="s">
        <v>638</v>
      </c>
      <c r="K33" s="295">
        <f>+(K6/OPEX!S3)*M26</f>
        <v>7400000</v>
      </c>
      <c r="P33" s="304" t="s">
        <v>638</v>
      </c>
      <c r="Q33" s="295">
        <f>+(Q6/OPEX!Y3)*S26</f>
        <v>7565000</v>
      </c>
    </row>
    <row r="34" spans="2:17" ht="26.25" x14ac:dyDescent="0.25">
      <c r="B34" s="362" t="s">
        <v>639</v>
      </c>
      <c r="C34" s="293">
        <f>+C32+C33</f>
        <v>5353126</v>
      </c>
      <c r="F34" s="362" t="s">
        <v>639</v>
      </c>
      <c r="G34" s="293">
        <f>+G32+G33</f>
        <v>19023277</v>
      </c>
      <c r="J34" s="362" t="s">
        <v>639</v>
      </c>
      <c r="K34" s="293">
        <f>+K32+K33</f>
        <v>17451740</v>
      </c>
      <c r="P34" s="362" t="s">
        <v>639</v>
      </c>
      <c r="Q34" s="293">
        <f>+Q32+Q33</f>
        <v>15812420</v>
      </c>
    </row>
    <row r="36" spans="2:17" ht="30" x14ac:dyDescent="0.25">
      <c r="B36" s="314" t="s">
        <v>640</v>
      </c>
      <c r="C36" s="361">
        <f>+B26-C34</f>
        <v>-1297916</v>
      </c>
      <c r="F36" s="314" t="s">
        <v>640</v>
      </c>
      <c r="G36" s="361">
        <f>+F26-G34</f>
        <v>-1671777</v>
      </c>
      <c r="J36" s="314" t="s">
        <v>640</v>
      </c>
      <c r="K36" s="361">
        <f>+J26-K34</f>
        <v>-698840</v>
      </c>
      <c r="P36" s="314" t="s">
        <v>640</v>
      </c>
      <c r="Q36" s="361">
        <f>P26-Q34</f>
        <v>-2066720</v>
      </c>
    </row>
    <row r="37" spans="2:17" x14ac:dyDescent="0.25">
      <c r="C37" s="133"/>
    </row>
  </sheetData>
  <mergeCells count="4">
    <mergeCell ref="J1:M1"/>
    <mergeCell ref="P1:S1"/>
    <mergeCell ref="F1:G1"/>
    <mergeCell ref="B1:C1"/>
  </mergeCells>
  <conditionalFormatting sqref="L2:L7">
    <cfRule type="cellIs" dxfId="43" priority="47" operator="greaterThan">
      <formula>0</formula>
    </cfRule>
    <cfRule type="cellIs" dxfId="42" priority="48" operator="lessThan">
      <formula>0</formula>
    </cfRule>
  </conditionalFormatting>
  <conditionalFormatting sqref="M2:M8">
    <cfRule type="cellIs" dxfId="41" priority="45" operator="lessThan">
      <formula>0</formula>
    </cfRule>
    <cfRule type="cellIs" dxfId="40" priority="46" operator="greaterThan">
      <formula>0</formula>
    </cfRule>
  </conditionalFormatting>
  <conditionalFormatting sqref="M22">
    <cfRule type="cellIs" dxfId="39" priority="21" operator="lessThan">
      <formula>0</formula>
    </cfRule>
    <cfRule type="cellIs" dxfId="38" priority="22" operator="greaterThan">
      <formula>0</formula>
    </cfRule>
  </conditionalFormatting>
  <conditionalFormatting sqref="R2:R7">
    <cfRule type="cellIs" dxfId="37" priority="27" operator="greaterThan">
      <formula>0</formula>
    </cfRule>
    <cfRule type="cellIs" dxfId="36" priority="28" operator="lessThan">
      <formula>0</formula>
    </cfRule>
  </conditionalFormatting>
  <conditionalFormatting sqref="S2:S8">
    <cfRule type="cellIs" dxfId="35" priority="25" operator="lessThan">
      <formula>0</formula>
    </cfRule>
    <cfRule type="cellIs" dxfId="34" priority="26" operator="greaterThan">
      <formula>0</formula>
    </cfRule>
  </conditionalFormatting>
  <conditionalFormatting sqref="S22">
    <cfRule type="cellIs" dxfId="33" priority="13" operator="lessThan">
      <formula>0</formula>
    </cfRule>
    <cfRule type="cellIs" dxfId="32" priority="14" operator="greaterThan">
      <formula>0</formula>
    </cfRule>
  </conditionalFormatting>
  <pageMargins left="0.7" right="0.7" top="0.75" bottom="0.75" header="0.3" footer="0.3"/>
  <drawing r:id="rId5"/>
  <legacy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0.59999389629810485"/>
  </sheetPr>
  <dimension ref="A1:T42"/>
  <sheetViews>
    <sheetView topLeftCell="J1" workbookViewId="0">
      <selection activeCell="O1" sqref="O1"/>
    </sheetView>
  </sheetViews>
  <sheetFormatPr baseColWidth="10" defaultRowHeight="15" outlineLevelRow="1" x14ac:dyDescent="0.25"/>
  <cols>
    <col min="1" max="1" width="8" bestFit="1" customWidth="1"/>
    <col min="2" max="2" width="14.5703125" customWidth="1"/>
    <col min="3" max="3" width="13.28515625" bestFit="1" customWidth="1"/>
    <col min="5" max="5" width="8" style="283" customWidth="1"/>
    <col min="6" max="6" width="14.5703125" customWidth="1"/>
    <col min="7" max="7" width="13.28515625" bestFit="1" customWidth="1"/>
    <col min="8" max="8" width="11.42578125" style="289"/>
    <col min="9" max="9" width="8" customWidth="1"/>
    <col min="10" max="10" width="14.5703125" customWidth="1"/>
    <col min="11" max="11" width="13.28515625" bestFit="1" customWidth="1"/>
    <col min="12" max="13" width="11.85546875" customWidth="1"/>
    <col min="15" max="15" width="8" style="283" bestFit="1" customWidth="1"/>
    <col min="16" max="16" width="14.5703125" bestFit="1" customWidth="1"/>
    <col min="17" max="17" width="13.28515625" bestFit="1" customWidth="1"/>
    <col min="18" max="18" width="12" bestFit="1" customWidth="1"/>
    <col min="19" max="19" width="13.5703125" bestFit="1" customWidth="1"/>
  </cols>
  <sheetData>
    <row r="1" spans="1:20" ht="21" x14ac:dyDescent="0.35">
      <c r="A1" s="283"/>
      <c r="B1" s="492" t="s">
        <v>571</v>
      </c>
      <c r="C1" s="492"/>
      <c r="F1" s="492" t="s">
        <v>572</v>
      </c>
      <c r="G1" s="492"/>
      <c r="J1" s="488" t="s">
        <v>573</v>
      </c>
      <c r="K1" s="489"/>
      <c r="L1" s="489"/>
      <c r="M1" s="490"/>
      <c r="P1" s="488" t="s">
        <v>574</v>
      </c>
      <c r="Q1" s="489"/>
      <c r="R1" s="489"/>
      <c r="S1" s="490"/>
      <c r="T1" s="289"/>
    </row>
    <row r="2" spans="1:20" x14ac:dyDescent="0.25">
      <c r="A2" s="283"/>
      <c r="B2" s="294" t="s">
        <v>56</v>
      </c>
      <c r="C2" s="295">
        <f>+SUM(OPEX_deuda!G9:G17)</f>
        <v>1380000</v>
      </c>
      <c r="F2" s="294" t="s">
        <v>56</v>
      </c>
      <c r="G2" s="295">
        <f>+SUM(OPEX_deuda!O9:O17)</f>
        <v>2375000</v>
      </c>
      <c r="J2" s="294" t="s">
        <v>56</v>
      </c>
      <c r="K2" s="299">
        <f>+SUM(OPEX_deuda!W9:W17)</f>
        <v>2310000</v>
      </c>
      <c r="L2" s="292">
        <f>+K2-G2</f>
        <v>-65000</v>
      </c>
      <c r="M2" s="301">
        <f>+K2/G2-1</f>
        <v>-2.7368421052631597E-2</v>
      </c>
      <c r="P2" s="294" t="s">
        <v>56</v>
      </c>
      <c r="Q2" s="299">
        <f>+SUM(OPEX_deuda!AE9:AE17)</f>
        <v>1990000</v>
      </c>
      <c r="R2" s="292">
        <f>+Q2-K2</f>
        <v>-320000</v>
      </c>
      <c r="S2" s="301">
        <f>+Q2/K2-1</f>
        <v>-0.1385281385281385</v>
      </c>
      <c r="T2" s="289"/>
    </row>
    <row r="3" spans="1:20" x14ac:dyDescent="0.25">
      <c r="A3" s="283"/>
      <c r="B3" s="296" t="s">
        <v>2</v>
      </c>
      <c r="C3" s="293">
        <f>+OPEX_deuda!G4</f>
        <v>1500000</v>
      </c>
      <c r="F3" s="296" t="s">
        <v>2</v>
      </c>
      <c r="G3" s="293">
        <f>+OPEX_deuda!O4</f>
        <v>2500000</v>
      </c>
      <c r="J3" s="294" t="s">
        <v>2</v>
      </c>
      <c r="K3" s="299">
        <f>+OPEX_deuda!W4</f>
        <v>2500000</v>
      </c>
      <c r="L3" s="291">
        <f>+K3-G3</f>
        <v>0</v>
      </c>
      <c r="M3" s="301">
        <f>+K3/G3-1</f>
        <v>0</v>
      </c>
      <c r="P3" s="294" t="s">
        <v>2</v>
      </c>
      <c r="Q3" s="299">
        <f>+SUM(OPEX_deuda!AE4)</f>
        <v>2500000</v>
      </c>
      <c r="R3" s="292">
        <f t="shared" ref="R3:R6" si="0">+Q3-K3</f>
        <v>0</v>
      </c>
      <c r="S3" s="301">
        <f t="shared" ref="S3:S6" si="1">+Q3/K3-1</f>
        <v>0</v>
      </c>
      <c r="T3" s="289"/>
    </row>
    <row r="4" spans="1:20" x14ac:dyDescent="0.25">
      <c r="A4" s="283"/>
      <c r="B4" s="294" t="s">
        <v>11</v>
      </c>
      <c r="C4" s="169">
        <f>+SUM(OPEX!G17:G20)</f>
        <v>0</v>
      </c>
      <c r="F4" s="294" t="s">
        <v>11</v>
      </c>
      <c r="G4" s="169">
        <f>+SUM(OPEX_deuda!O18:O21)</f>
        <v>777377</v>
      </c>
      <c r="J4" s="294" t="s">
        <v>11</v>
      </c>
      <c r="K4" s="299">
        <f>+SUM(OPEX_deuda!W18:W21)</f>
        <v>0</v>
      </c>
      <c r="L4" s="290">
        <f>+K4-G4</f>
        <v>-777377</v>
      </c>
      <c r="M4" s="301">
        <f>+K4/G4-1</f>
        <v>-1</v>
      </c>
      <c r="P4" s="294" t="s">
        <v>11</v>
      </c>
      <c r="Q4" s="299">
        <f>+SUM(OPEX_deuda!AE18:AE21)</f>
        <v>600000</v>
      </c>
      <c r="R4" s="292">
        <f t="shared" si="0"/>
        <v>600000</v>
      </c>
      <c r="S4" s="301" t="e">
        <f t="shared" si="1"/>
        <v>#DIV/0!</v>
      </c>
      <c r="T4" s="289"/>
    </row>
    <row r="5" spans="1:20" x14ac:dyDescent="0.25">
      <c r="A5" s="283"/>
      <c r="B5" s="294" t="s">
        <v>10</v>
      </c>
      <c r="C5" s="169">
        <f>+SUM(OPEX!G5:G8)</f>
        <v>0</v>
      </c>
      <c r="F5" s="294" t="s">
        <v>10</v>
      </c>
      <c r="G5" s="287">
        <f>+SUM(OPEX_deuda!O5:O8)</f>
        <v>800000</v>
      </c>
      <c r="J5" s="294" t="s">
        <v>10</v>
      </c>
      <c r="K5" s="354">
        <f>+SUM(OPEX_deuda!W5:W8)</f>
        <v>780000</v>
      </c>
      <c r="L5" s="298">
        <f>+K5-G5</f>
        <v>-20000</v>
      </c>
      <c r="M5" s="302">
        <f>+K5/G5-1</f>
        <v>-2.5000000000000022E-2</v>
      </c>
      <c r="P5" s="294" t="s">
        <v>10</v>
      </c>
      <c r="Q5" s="354">
        <f>+SUM(OPEX_deuda!AE5:AE7)</f>
        <v>650000</v>
      </c>
      <c r="R5" s="300">
        <f t="shared" si="0"/>
        <v>-130000</v>
      </c>
      <c r="S5" s="302">
        <f t="shared" si="1"/>
        <v>-0.16666666666666663</v>
      </c>
      <c r="T5" s="289"/>
    </row>
    <row r="6" spans="1:20" ht="18" x14ac:dyDescent="0.4">
      <c r="A6" s="283"/>
      <c r="C6" s="297">
        <f>+SUM(C2:C5)</f>
        <v>2880000</v>
      </c>
      <c r="G6" s="297">
        <f>+SUM(G2:G5)</f>
        <v>6452377</v>
      </c>
      <c r="K6" s="297">
        <f>+SUM(K2:K5)</f>
        <v>5590000</v>
      </c>
      <c r="L6" s="145">
        <f>+K6-G6</f>
        <v>-862377</v>
      </c>
      <c r="M6" s="303">
        <f>+K6/G6-1</f>
        <v>-0.13365260585362571</v>
      </c>
      <c r="Q6" s="297">
        <f>+SUM(Q2:Q5)</f>
        <v>5740000</v>
      </c>
      <c r="R6" s="284">
        <f t="shared" si="0"/>
        <v>150000</v>
      </c>
      <c r="S6" s="303">
        <f t="shared" si="1"/>
        <v>2.683363148479434E-2</v>
      </c>
      <c r="T6" s="289"/>
    </row>
    <row r="7" spans="1:20" ht="18" x14ac:dyDescent="0.4">
      <c r="A7" s="283"/>
      <c r="C7" s="297"/>
      <c r="G7" s="297"/>
      <c r="K7" s="297">
        <f>(K6/OPEX_deuda!W3)*M28</f>
        <v>5590000</v>
      </c>
      <c r="L7" s="145"/>
      <c r="M7" s="303"/>
      <c r="Q7" s="297"/>
      <c r="R7" s="284"/>
      <c r="S7" s="303"/>
      <c r="T7" s="289"/>
    </row>
    <row r="8" spans="1:20" ht="30" x14ac:dyDescent="0.25">
      <c r="A8" s="315">
        <v>0.4</v>
      </c>
      <c r="B8" s="304" t="s">
        <v>598</v>
      </c>
      <c r="C8" s="295">
        <f>+C6/OPEX_deuda!G3</f>
        <v>576000</v>
      </c>
      <c r="D8" s="371">
        <f>+C8/C$24</f>
        <v>0.64842958459979738</v>
      </c>
      <c r="F8" s="304" t="s">
        <v>598</v>
      </c>
      <c r="G8" s="295">
        <f>+G6/OPEX_deuda!O3</f>
        <v>496336.69230769231</v>
      </c>
      <c r="H8" s="355">
        <f>+G8/G$24</f>
        <v>0.47971789893755235</v>
      </c>
      <c r="J8" s="304" t="s">
        <v>598</v>
      </c>
      <c r="K8" s="295">
        <f>+K7/M28</f>
        <v>349375</v>
      </c>
      <c r="L8" s="355"/>
      <c r="M8" s="303"/>
      <c r="P8" s="304" t="s">
        <v>598</v>
      </c>
      <c r="Q8" s="295">
        <f>+Q6/OPEX_deuda!AE3</f>
        <v>410000</v>
      </c>
      <c r="R8" s="355">
        <f>+Q8/Q$24</f>
        <v>0.50704026288359272</v>
      </c>
      <c r="S8" s="303"/>
      <c r="T8" s="289"/>
    </row>
    <row r="9" spans="1:20" ht="30" outlineLevel="1" x14ac:dyDescent="0.25">
      <c r="A9" s="315" t="s">
        <v>55</v>
      </c>
      <c r="B9" s="304" t="s">
        <v>598</v>
      </c>
      <c r="C9" s="295">
        <f>+C6/OPEX!G3</f>
        <v>320000</v>
      </c>
      <c r="D9" s="371">
        <f>+C9/C$24</f>
        <v>0.36023865811099853</v>
      </c>
      <c r="F9" s="304" t="s">
        <v>598</v>
      </c>
      <c r="G9" s="295">
        <f>+G6/OPEX!M3</f>
        <v>208141.19354838709</v>
      </c>
      <c r="H9" s="355">
        <f>+G9/G$24</f>
        <v>0.20117202213510257</v>
      </c>
      <c r="J9" s="304" t="s">
        <v>598</v>
      </c>
      <c r="K9" s="295">
        <f>+K6/OPEX!S3</f>
        <v>186333.33333333334</v>
      </c>
      <c r="L9" s="355">
        <f>+K9/K$24</f>
        <v>0.22431320383158254</v>
      </c>
      <c r="M9" s="303"/>
      <c r="P9" s="304" t="s">
        <v>598</v>
      </c>
      <c r="Q9" s="295">
        <f>+Q6/OPEX!Y3</f>
        <v>185161.29032258064</v>
      </c>
      <c r="R9" s="355">
        <f>+Q9/Q$24</f>
        <v>0.22898592517323543</v>
      </c>
      <c r="S9" s="303"/>
      <c r="T9" s="289"/>
    </row>
    <row r="10" spans="1:20" x14ac:dyDescent="0.25">
      <c r="A10" s="283"/>
      <c r="T10" s="289"/>
    </row>
    <row r="11" spans="1:20" x14ac:dyDescent="0.25">
      <c r="A11" s="283"/>
      <c r="T11" s="289"/>
    </row>
    <row r="12" spans="1:20" x14ac:dyDescent="0.25">
      <c r="A12" s="283"/>
      <c r="T12" s="289"/>
    </row>
    <row r="13" spans="1:20" x14ac:dyDescent="0.25">
      <c r="A13" s="283"/>
      <c r="T13" s="289"/>
    </row>
    <row r="14" spans="1:20" x14ac:dyDescent="0.25">
      <c r="A14" s="283"/>
      <c r="T14" s="289"/>
    </row>
    <row r="15" spans="1:20" x14ac:dyDescent="0.25">
      <c r="A15" s="283"/>
      <c r="T15" s="289"/>
    </row>
    <row r="16" spans="1:20" x14ac:dyDescent="0.25">
      <c r="A16" s="283"/>
      <c r="T16" s="289"/>
    </row>
    <row r="17" spans="1:20" x14ac:dyDescent="0.25">
      <c r="A17" s="283"/>
      <c r="T17" s="289"/>
    </row>
    <row r="18" spans="1:20" x14ac:dyDescent="0.25">
      <c r="A18" s="283"/>
      <c r="T18" s="289"/>
    </row>
    <row r="19" spans="1:20" x14ac:dyDescent="0.25">
      <c r="A19" s="283"/>
      <c r="T19" s="289"/>
    </row>
    <row r="20" spans="1:20" x14ac:dyDescent="0.25">
      <c r="A20" s="283"/>
      <c r="T20" s="289"/>
    </row>
    <row r="21" spans="1:20" x14ac:dyDescent="0.25">
      <c r="A21" s="283"/>
      <c r="T21" s="289"/>
    </row>
    <row r="22" spans="1:20" x14ac:dyDescent="0.25">
      <c r="A22" s="283"/>
      <c r="T22" s="289"/>
    </row>
    <row r="23" spans="1:20" ht="30" x14ac:dyDescent="0.25">
      <c r="A23" s="315">
        <v>0.6</v>
      </c>
      <c r="B23" s="314" t="s">
        <v>583</v>
      </c>
      <c r="C23" s="295">
        <f>+($A$23*B28)/OPEX_deuda!G3</f>
        <v>312300</v>
      </c>
      <c r="D23" s="371">
        <f>+C23/C$24</f>
        <v>0.35157041540020262</v>
      </c>
      <c r="F23" s="314" t="s">
        <v>583</v>
      </c>
      <c r="G23" s="295">
        <f>+($A$23*F28)/OPEX_deuda!O3</f>
        <v>538306.15384615387</v>
      </c>
      <c r="H23" s="355">
        <f>+G23/G$24</f>
        <v>0.52028210106244765</v>
      </c>
      <c r="J23" s="314" t="s">
        <v>583</v>
      </c>
      <c r="K23" s="295">
        <f>+($A$23*J28)/M28</f>
        <v>481308.75</v>
      </c>
      <c r="L23" s="355">
        <f>+K23/K$24</f>
        <v>0.57941274281578281</v>
      </c>
      <c r="M23" s="303"/>
      <c r="P23" s="314" t="s">
        <v>583</v>
      </c>
      <c r="Q23" s="295">
        <f>+($A$23*P28)/OPEX_deuda!AE3</f>
        <v>398614.28571428574</v>
      </c>
      <c r="R23" s="355">
        <f>+Q23/Q$24</f>
        <v>0.49295973711640728</v>
      </c>
      <c r="S23" s="303"/>
      <c r="T23" s="289"/>
    </row>
    <row r="24" spans="1:20" ht="18" x14ac:dyDescent="0.4">
      <c r="B24" t="s">
        <v>599</v>
      </c>
      <c r="C24" s="297">
        <f>+C8+C23</f>
        <v>888300</v>
      </c>
      <c r="F24" t="s">
        <v>599</v>
      </c>
      <c r="G24" s="297">
        <f>+G8+G23</f>
        <v>1034642.8461538462</v>
      </c>
      <c r="J24" t="s">
        <v>599</v>
      </c>
      <c r="K24" s="297">
        <f>+K8+K23</f>
        <v>830683.75</v>
      </c>
      <c r="L24" t="s">
        <v>599</v>
      </c>
      <c r="M24" s="297">
        <f>+K23+K9</f>
        <v>667642.08333333337</v>
      </c>
      <c r="N24" s="289"/>
      <c r="O24"/>
      <c r="P24" t="s">
        <v>599</v>
      </c>
      <c r="Q24" s="297">
        <f>+Q8+Q23</f>
        <v>808614.28571428568</v>
      </c>
    </row>
    <row r="25" spans="1:20" x14ac:dyDescent="0.25">
      <c r="A25" s="158" t="s">
        <v>625</v>
      </c>
      <c r="B25" t="s">
        <v>624</v>
      </c>
      <c r="E25" s="372" t="s">
        <v>625</v>
      </c>
      <c r="F25" s="289" t="s">
        <v>624</v>
      </c>
      <c r="I25" s="158" t="s">
        <v>625</v>
      </c>
      <c r="J25" t="s">
        <v>624</v>
      </c>
      <c r="N25" s="289"/>
      <c r="O25" s="158" t="s">
        <v>625</v>
      </c>
      <c r="P25" t="s">
        <v>624</v>
      </c>
    </row>
    <row r="26" spans="1:20" ht="15.75" thickBot="1" x14ac:dyDescent="0.3">
      <c r="N26" s="289"/>
      <c r="O26"/>
    </row>
    <row r="27" spans="1:20" x14ac:dyDescent="0.25">
      <c r="A27" s="158" t="s">
        <v>55</v>
      </c>
      <c r="B27" t="s">
        <v>627</v>
      </c>
      <c r="E27" s="377" t="s">
        <v>55</v>
      </c>
      <c r="F27" s="378" t="s">
        <v>627</v>
      </c>
      <c r="I27" s="158" t="s">
        <v>55</v>
      </c>
      <c r="J27" t="s">
        <v>627</v>
      </c>
      <c r="M27" s="342" t="s">
        <v>628</v>
      </c>
      <c r="N27" s="289"/>
      <c r="O27" s="158" t="s">
        <v>55</v>
      </c>
      <c r="P27" t="s">
        <v>627</v>
      </c>
      <c r="Q27" s="158"/>
      <c r="R27" s="158"/>
      <c r="S27" s="342" t="s">
        <v>628</v>
      </c>
      <c r="T27" s="158"/>
    </row>
    <row r="28" spans="1:20" x14ac:dyDescent="0.25">
      <c r="A28" s="502" t="s">
        <v>318</v>
      </c>
      <c r="B28" s="501">
        <v>2602500</v>
      </c>
      <c r="C28" s="9">
        <f>+B28/OPEX_deuda!G3</f>
        <v>520500</v>
      </c>
      <c r="E28" s="503" t="s">
        <v>319</v>
      </c>
      <c r="F28" s="504">
        <v>11663300</v>
      </c>
      <c r="G28" s="50">
        <f>+F28/OPEX_deuda!O3</f>
        <v>897176.92307692312</v>
      </c>
      <c r="I28" s="502" t="s">
        <v>558</v>
      </c>
      <c r="J28" s="501">
        <v>12834900</v>
      </c>
      <c r="K28" s="9">
        <f>+J28/OPEX_deuda!W3</f>
        <v>802181.25</v>
      </c>
      <c r="M28" s="364">
        <v>16</v>
      </c>
      <c r="N28" s="289"/>
      <c r="O28" s="400" t="s">
        <v>651</v>
      </c>
      <c r="P28" s="501">
        <v>9301000</v>
      </c>
      <c r="Q28" s="9">
        <f>+P28/S28</f>
        <v>930100</v>
      </c>
      <c r="S28" s="364">
        <v>10</v>
      </c>
    </row>
    <row r="29" spans="1:20" x14ac:dyDescent="0.25">
      <c r="B29" s="358" t="s">
        <v>633</v>
      </c>
      <c r="C29" s="341">
        <f>+C28-C24</f>
        <v>-367800</v>
      </c>
      <c r="F29" s="358" t="s">
        <v>633</v>
      </c>
      <c r="G29" s="369">
        <f>+G28-G24</f>
        <v>-137465.92307692312</v>
      </c>
      <c r="J29" s="358" t="s">
        <v>633</v>
      </c>
      <c r="K29" s="341">
        <f>+K28-K24</f>
        <v>-28502.5</v>
      </c>
      <c r="N29" s="289"/>
      <c r="O29"/>
      <c r="P29" s="358" t="s">
        <v>633</v>
      </c>
      <c r="Q29" s="341">
        <f>+Q28-Q24</f>
        <v>121485.71428571432</v>
      </c>
    </row>
    <row r="30" spans="1:20" x14ac:dyDescent="0.25">
      <c r="B30" s="358" t="s">
        <v>634</v>
      </c>
      <c r="C30" s="341">
        <f>+C29*OPEX_deuda!G3</f>
        <v>-1839000</v>
      </c>
      <c r="F30" s="358" t="s">
        <v>634</v>
      </c>
      <c r="G30" s="369">
        <f>+G29*OPEX_deuda!O3</f>
        <v>-1787057.0000000005</v>
      </c>
      <c r="J30" s="358" t="s">
        <v>634</v>
      </c>
      <c r="K30" s="341">
        <f>+K29*M28</f>
        <v>-456040</v>
      </c>
      <c r="N30" s="289"/>
      <c r="O30"/>
      <c r="P30" s="358" t="s">
        <v>634</v>
      </c>
      <c r="Q30" s="341">
        <f>+Q29*S28</f>
        <v>1214857.1428571432</v>
      </c>
    </row>
    <row r="31" spans="1:20" ht="15.75" thickBot="1" x14ac:dyDescent="0.3">
      <c r="B31" s="359" t="s">
        <v>635</v>
      </c>
      <c r="C31" s="344">
        <f>+C30-PE!C28</f>
        <v>-541084</v>
      </c>
      <c r="F31" s="359" t="s">
        <v>635</v>
      </c>
      <c r="G31" s="344">
        <f>+G30-PE!G28</f>
        <v>-115279.99999999814</v>
      </c>
      <c r="J31" s="359" t="s">
        <v>635</v>
      </c>
      <c r="K31" s="344">
        <f>+K30-PE!K28</f>
        <v>242799.99999999884</v>
      </c>
      <c r="N31" s="289"/>
      <c r="O31"/>
      <c r="P31" s="359" t="s">
        <v>635</v>
      </c>
      <c r="Q31" s="344">
        <f>+Q30-PE!Q28</f>
        <v>3281577.1428571427</v>
      </c>
    </row>
    <row r="32" spans="1:20" ht="15.75" thickBot="1" x14ac:dyDescent="0.3">
      <c r="B32" s="359"/>
      <c r="C32" s="359"/>
      <c r="D32" s="359"/>
      <c r="E32" s="373"/>
      <c r="F32" s="359"/>
      <c r="G32" s="359"/>
      <c r="H32" s="370"/>
      <c r="I32" s="359"/>
      <c r="J32" s="359"/>
      <c r="K32" s="359"/>
      <c r="N32" s="289"/>
      <c r="O32" s="359"/>
      <c r="P32" s="359"/>
      <c r="Q32" s="359"/>
      <c r="S32" s="342" t="s">
        <v>643</v>
      </c>
    </row>
    <row r="33" spans="1:19" ht="30" x14ac:dyDescent="0.25">
      <c r="A33" s="363">
        <f>+C33/B28</f>
        <v>0.6</v>
      </c>
      <c r="B33" s="314" t="s">
        <v>637</v>
      </c>
      <c r="C33" s="295">
        <f>+C23*OPEX_deuda!G3</f>
        <v>1561500</v>
      </c>
      <c r="E33" s="374">
        <f>+G33/F28</f>
        <v>0.6</v>
      </c>
      <c r="F33" s="314" t="s">
        <v>637</v>
      </c>
      <c r="G33" s="295">
        <f>+G23*OPEX_deuda!O3</f>
        <v>6997980</v>
      </c>
      <c r="I33" t="s">
        <v>55</v>
      </c>
      <c r="J33" s="314" t="s">
        <v>637</v>
      </c>
      <c r="K33" s="295">
        <f>+K23*M28</f>
        <v>7700940</v>
      </c>
      <c r="M33" s="342" t="s">
        <v>643</v>
      </c>
      <c r="N33" s="289"/>
      <c r="O33" t="s">
        <v>55</v>
      </c>
      <c r="P33" s="314" t="s">
        <v>637</v>
      </c>
      <c r="Q33" s="295">
        <f>+Q23*S28</f>
        <v>3986142.8571428573</v>
      </c>
      <c r="S33" s="343">
        <f>PE!$M$26</f>
        <v>30</v>
      </c>
    </row>
    <row r="34" spans="1:19" ht="30" x14ac:dyDescent="0.25">
      <c r="B34" s="304" t="s">
        <v>638</v>
      </c>
      <c r="C34" s="295">
        <f>+C6</f>
        <v>2880000</v>
      </c>
      <c r="F34" s="304" t="s">
        <v>638</v>
      </c>
      <c r="G34" s="295">
        <f>+G6</f>
        <v>6452377</v>
      </c>
      <c r="I34" t="s">
        <v>55</v>
      </c>
      <c r="J34" s="304" t="s">
        <v>638</v>
      </c>
      <c r="K34" s="295">
        <f>(K6/OPEX!S3)*M34</f>
        <v>5590000</v>
      </c>
      <c r="L34" s="368"/>
      <c r="M34" s="343">
        <f>PE!$M$26</f>
        <v>30</v>
      </c>
      <c r="N34" s="289"/>
      <c r="O34" t="s">
        <v>55</v>
      </c>
      <c r="P34" s="304" t="s">
        <v>638</v>
      </c>
      <c r="Q34" s="295">
        <f>(Q6/OPEX!W3)*S34</f>
        <v>0</v>
      </c>
    </row>
    <row r="35" spans="1:19" ht="26.25" x14ac:dyDescent="0.25">
      <c r="B35" s="362" t="s">
        <v>639</v>
      </c>
      <c r="C35" s="293">
        <f>+C33+C34</f>
        <v>4441500</v>
      </c>
      <c r="F35" s="362" t="s">
        <v>639</v>
      </c>
      <c r="G35" s="293">
        <f>+G33+G34</f>
        <v>13450357</v>
      </c>
      <c r="J35" s="362" t="s">
        <v>639</v>
      </c>
      <c r="K35" s="293">
        <f>+K33+K34</f>
        <v>13290940</v>
      </c>
      <c r="N35" s="289"/>
      <c r="O35"/>
      <c r="P35" s="362" t="s">
        <v>639</v>
      </c>
      <c r="Q35" s="293">
        <f>+Q33+Q34</f>
        <v>3986142.8571428573</v>
      </c>
    </row>
    <row r="36" spans="1:19" x14ac:dyDescent="0.25">
      <c r="N36" s="289"/>
      <c r="O36"/>
    </row>
    <row r="37" spans="1:19" ht="30" x14ac:dyDescent="0.25">
      <c r="B37" s="314" t="s">
        <v>640</v>
      </c>
      <c r="C37" s="361">
        <f>+B28-C35</f>
        <v>-1839000</v>
      </c>
      <c r="F37" s="314" t="s">
        <v>640</v>
      </c>
      <c r="G37" s="361">
        <f>+F28-G35</f>
        <v>-1787057</v>
      </c>
      <c r="J37" s="314" t="s">
        <v>640</v>
      </c>
      <c r="K37" s="361">
        <f>+J28-K35</f>
        <v>-456040</v>
      </c>
      <c r="N37" s="289"/>
      <c r="O37"/>
      <c r="P37" s="314" t="s">
        <v>640</v>
      </c>
      <c r="Q37" s="361">
        <f>+P28-Q35</f>
        <v>5314857.1428571427</v>
      </c>
    </row>
    <row r="38" spans="1:19" x14ac:dyDescent="0.25">
      <c r="N38" s="289"/>
      <c r="O38"/>
    </row>
    <row r="39" spans="1:19" x14ac:dyDescent="0.25">
      <c r="N39" s="289"/>
      <c r="O39"/>
    </row>
    <row r="40" spans="1:19" x14ac:dyDescent="0.25">
      <c r="M40" s="1"/>
      <c r="N40" s="289"/>
      <c r="O40"/>
    </row>
    <row r="41" spans="1:19" x14ac:dyDescent="0.25">
      <c r="N41" s="289"/>
      <c r="O41"/>
    </row>
    <row r="42" spans="1:19" x14ac:dyDescent="0.25">
      <c r="N42" s="289"/>
      <c r="O42"/>
    </row>
  </sheetData>
  <mergeCells count="4">
    <mergeCell ref="B1:C1"/>
    <mergeCell ref="F1:G1"/>
    <mergeCell ref="J1:M1"/>
    <mergeCell ref="P1:S1"/>
  </mergeCells>
  <conditionalFormatting sqref="L2:L7">
    <cfRule type="cellIs" dxfId="31" priority="53" operator="greaterThan">
      <formula>0</formula>
    </cfRule>
    <cfRule type="cellIs" dxfId="30" priority="54" operator="lessThan">
      <formula>0</formula>
    </cfRule>
  </conditionalFormatting>
  <conditionalFormatting sqref="M2:M9">
    <cfRule type="cellIs" dxfId="29" priority="51" operator="lessThan">
      <formula>0</formula>
    </cfRule>
    <cfRule type="cellIs" dxfId="28" priority="52" operator="greaterThan">
      <formula>0</formula>
    </cfRule>
  </conditionalFormatting>
  <conditionalFormatting sqref="M23">
    <cfRule type="cellIs" dxfId="27" priority="35" operator="lessThan">
      <formula>0</formula>
    </cfRule>
    <cfRule type="cellIs" dxfId="26" priority="36" operator="greaterThan">
      <formula>0</formula>
    </cfRule>
  </conditionalFormatting>
  <conditionalFormatting sqref="R2:R7">
    <cfRule type="cellIs" dxfId="25" priority="41" operator="greaterThan">
      <formula>0</formula>
    </cfRule>
    <cfRule type="cellIs" dxfId="24" priority="42" operator="lessThan">
      <formula>0</formula>
    </cfRule>
  </conditionalFormatting>
  <conditionalFormatting sqref="S2:S9">
    <cfRule type="cellIs" dxfId="23" priority="39" operator="lessThan">
      <formula>0</formula>
    </cfRule>
    <cfRule type="cellIs" dxfId="22" priority="40" operator="greaterThan">
      <formula>0</formula>
    </cfRule>
  </conditionalFormatting>
  <conditionalFormatting sqref="S23">
    <cfRule type="cellIs" dxfId="21" priority="27" operator="lessThan">
      <formula>0</formula>
    </cfRule>
    <cfRule type="cellIs" dxfId="20" priority="28" operator="greaterThan">
      <formula>0</formula>
    </cfRule>
  </conditionalFormatting>
  <pageMargins left="0.7" right="0.7" top="0.75" bottom="0.75" header="0.3" footer="0.3"/>
  <drawing r:id="rId5"/>
  <legacyDrawing r:id="rId6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tabColor rgb="FF92D050"/>
  </sheetPr>
  <dimension ref="B1:Q153"/>
  <sheetViews>
    <sheetView topLeftCell="F1" zoomScaleNormal="100" workbookViewId="0">
      <selection activeCell="I8" sqref="I8"/>
    </sheetView>
  </sheetViews>
  <sheetFormatPr baseColWidth="10" defaultColWidth="11.42578125" defaultRowHeight="15" outlineLevelRow="1" outlineLevelCol="1" x14ac:dyDescent="0.25"/>
  <cols>
    <col min="1" max="1" width="4.42578125" customWidth="1"/>
    <col min="2" max="2" width="7.42578125" customWidth="1"/>
    <col min="3" max="3" width="9.42578125" bestFit="1" customWidth="1"/>
    <col min="4" max="4" width="8.42578125" style="47" bestFit="1" customWidth="1"/>
    <col min="5" max="5" width="12.5703125" style="47" bestFit="1" customWidth="1"/>
    <col min="6" max="6" width="12" style="9" bestFit="1" customWidth="1"/>
    <col min="7" max="7" width="17.85546875" style="46" bestFit="1" customWidth="1" outlineLevel="1"/>
    <col min="8" max="8" width="25.28515625" style="9" customWidth="1" outlineLevel="1"/>
    <col min="9" max="9" width="17.85546875" style="9" customWidth="1"/>
    <col min="10" max="10" width="21.140625" style="318" bestFit="1" customWidth="1"/>
    <col min="11" max="11" width="19.42578125" customWidth="1"/>
    <col min="12" max="12" width="23" customWidth="1"/>
    <col min="13" max="13" width="23.85546875" customWidth="1"/>
    <col min="14" max="14" width="16.42578125" customWidth="1"/>
    <col min="15" max="15" width="17.42578125" customWidth="1"/>
    <col min="16" max="21" width="15.7109375" customWidth="1"/>
    <col min="22" max="22" width="17.140625" customWidth="1"/>
    <col min="23" max="26" width="15.7109375" customWidth="1"/>
    <col min="27" max="27" width="17.140625" customWidth="1"/>
    <col min="28" max="28" width="15.7109375" customWidth="1"/>
    <col min="29" max="30" width="17.140625" customWidth="1"/>
    <col min="31" max="31" width="15.7109375" customWidth="1"/>
    <col min="32" max="32" width="15.28515625" customWidth="1"/>
    <col min="33" max="33" width="15.7109375" customWidth="1"/>
    <col min="34" max="37" width="15.7109375" bestFit="1" customWidth="1"/>
    <col min="38" max="38" width="17.140625" bestFit="1" customWidth="1"/>
    <col min="39" max="39" width="17.42578125" bestFit="1" customWidth="1"/>
    <col min="40" max="41" width="15.7109375" bestFit="1" customWidth="1"/>
    <col min="42" max="42" width="15.28515625" bestFit="1" customWidth="1"/>
    <col min="43" max="43" width="14.28515625" bestFit="1" customWidth="1"/>
    <col min="44" max="45" width="15.7109375" bestFit="1" customWidth="1"/>
    <col min="46" max="46" width="17.42578125" bestFit="1" customWidth="1"/>
    <col min="47" max="52" width="15.7109375" bestFit="1" customWidth="1"/>
    <col min="53" max="53" width="17.140625" bestFit="1" customWidth="1"/>
    <col min="54" max="57" width="15.7109375" bestFit="1" customWidth="1"/>
    <col min="58" max="58" width="17.42578125" bestFit="1" customWidth="1"/>
    <col min="59" max="59" width="15.7109375" bestFit="1" customWidth="1"/>
    <col min="60" max="60" width="17.42578125" bestFit="1" customWidth="1"/>
    <col min="61" max="64" width="15.7109375" bestFit="1" customWidth="1"/>
    <col min="65" max="65" width="18.85546875" bestFit="1" customWidth="1"/>
    <col min="66" max="66" width="15.7109375" bestFit="1" customWidth="1"/>
    <col min="67" max="67" width="15.28515625" bestFit="1" customWidth="1"/>
    <col min="68" max="68" width="15.7109375" bestFit="1" customWidth="1"/>
    <col min="69" max="72" width="15.28515625" bestFit="1" customWidth="1"/>
    <col min="73" max="73" width="15.7109375" bestFit="1" customWidth="1"/>
    <col min="74" max="74" width="14.85546875" bestFit="1" customWidth="1"/>
    <col min="75" max="75" width="17.42578125" bestFit="1" customWidth="1"/>
    <col min="16378" max="16384" width="2" customWidth="1"/>
  </cols>
  <sheetData>
    <row r="1" spans="2:17" x14ac:dyDescent="0.25">
      <c r="D1" s="158" t="s">
        <v>55</v>
      </c>
      <c r="E1"/>
      <c r="F1"/>
      <c r="J1" s="352"/>
      <c r="K1" s="349" t="s">
        <v>318</v>
      </c>
      <c r="L1" s="349" t="s">
        <v>319</v>
      </c>
      <c r="M1" s="349" t="s">
        <v>558</v>
      </c>
      <c r="N1" s="352" t="s">
        <v>614</v>
      </c>
    </row>
    <row r="2" spans="2:17" x14ac:dyDescent="0.25">
      <c r="D2" s="389" t="s">
        <v>318</v>
      </c>
      <c r="E2" s="389" t="s">
        <v>319</v>
      </c>
      <c r="F2" s="389" t="s">
        <v>558</v>
      </c>
      <c r="J2" s="349" t="s">
        <v>332</v>
      </c>
      <c r="K2" s="350">
        <f>+SUMIFS($J$14:$J$83,$C$14:$C$83,K$1,$E$14:$E$83,$J2)</f>
        <v>-864373.5555555555</v>
      </c>
      <c r="L2" s="350">
        <f t="shared" ref="K2:M8" si="0">+SUMIFS($J$14:$J$83,$C$14:$C$83,L$1,$E$14:$E$83,$J2)</f>
        <v>-579116.3870967743</v>
      </c>
      <c r="M2" s="350">
        <f t="shared" si="0"/>
        <v>-176898.66666666651</v>
      </c>
      <c r="N2" s="351">
        <f>+SUM(K2:M2)</f>
        <v>-1620388.6093189963</v>
      </c>
    </row>
    <row r="3" spans="2:17" x14ac:dyDescent="0.25">
      <c r="C3" s="47" t="s">
        <v>607</v>
      </c>
      <c r="D3" s="145">
        <v>4055210</v>
      </c>
      <c r="E3" s="145">
        <v>17351500</v>
      </c>
      <c r="F3" s="235">
        <v>16752900</v>
      </c>
      <c r="J3" s="349" t="s">
        <v>333</v>
      </c>
      <c r="K3" s="350">
        <f t="shared" si="0"/>
        <v>-201791.77777777775</v>
      </c>
      <c r="L3" s="350">
        <f t="shared" si="0"/>
        <v>-1585170.4838709678</v>
      </c>
      <c r="M3" s="350">
        <f t="shared" si="0"/>
        <v>-1390898.6666666665</v>
      </c>
      <c r="N3" s="351">
        <f t="shared" ref="N3:N8" si="1">+SUM(K3:M3)</f>
        <v>-3177860.9283154123</v>
      </c>
    </row>
    <row r="4" spans="2:17" ht="45" x14ac:dyDescent="0.25">
      <c r="B4" s="311">
        <v>0.4</v>
      </c>
      <c r="C4" s="307" t="s">
        <v>584</v>
      </c>
      <c r="D4" s="309">
        <f>OPEX!G27</f>
        <v>2920000</v>
      </c>
      <c r="E4" s="309" t="str">
        <f>OPEX!M22</f>
        <v>Mes</v>
      </c>
      <c r="F4"/>
      <c r="J4" s="349" t="s">
        <v>334</v>
      </c>
      <c r="K4" s="350">
        <f t="shared" si="0"/>
        <v>-175291.77777777775</v>
      </c>
      <c r="L4" s="350">
        <f t="shared" si="0"/>
        <v>-1440970.4838709678</v>
      </c>
      <c r="M4" s="350">
        <f t="shared" si="0"/>
        <v>-1004898.6666666665</v>
      </c>
      <c r="N4" s="351">
        <f t="shared" si="1"/>
        <v>-2621160.9283154123</v>
      </c>
    </row>
    <row r="5" spans="2:17" ht="30" x14ac:dyDescent="0.25">
      <c r="B5" s="313">
        <v>0.6</v>
      </c>
      <c r="C5" s="310" t="s">
        <v>583</v>
      </c>
      <c r="D5" s="5" t="e">
        <f>OPEX!#REF!</f>
        <v>#REF!</v>
      </c>
      <c r="E5" s="5" t="e">
        <f>OPEX!#REF!</f>
        <v>#REF!</v>
      </c>
      <c r="F5"/>
      <c r="J5" s="349" t="s">
        <v>335</v>
      </c>
      <c r="K5" s="350">
        <f t="shared" si="0"/>
        <v>-279791.77777777775</v>
      </c>
      <c r="L5" s="350">
        <f t="shared" si="0"/>
        <v>-1743970.4838709678</v>
      </c>
      <c r="M5" s="350">
        <f t="shared" si="0"/>
        <v>-1516898.6666666665</v>
      </c>
      <c r="N5" s="351">
        <f t="shared" si="1"/>
        <v>-3540660.9283154123</v>
      </c>
    </row>
    <row r="6" spans="2:17" ht="15.75" thickBot="1" x14ac:dyDescent="0.3">
      <c r="D6" s="146" t="e">
        <f>OPEX!#REF!</f>
        <v>#REF!</v>
      </c>
      <c r="E6" s="146" t="e">
        <f>OPEX!#REF!</f>
        <v>#REF!</v>
      </c>
      <c r="F6"/>
      <c r="J6" s="349" t="s">
        <v>336</v>
      </c>
      <c r="K6" s="350">
        <f t="shared" si="0"/>
        <v>-173791.77777777775</v>
      </c>
      <c r="L6" s="350">
        <f t="shared" si="0"/>
        <v>-42716.387096774299</v>
      </c>
      <c r="M6" s="350">
        <f t="shared" si="0"/>
        <v>-1375623.333333333</v>
      </c>
      <c r="N6" s="351">
        <f t="shared" si="1"/>
        <v>-1592131.4982078851</v>
      </c>
    </row>
    <row r="7" spans="2:17" ht="15.75" thickTop="1" x14ac:dyDescent="0.25">
      <c r="D7" s="1" t="e">
        <f>+D3-D6</f>
        <v>#REF!</v>
      </c>
      <c r="E7" s="1" t="e">
        <f>+E3-E6</f>
        <v>#REF!</v>
      </c>
      <c r="F7"/>
      <c r="J7" s="349" t="s">
        <v>337</v>
      </c>
      <c r="K7" s="350">
        <f t="shared" si="0"/>
        <v>356708.22222222225</v>
      </c>
      <c r="L7" s="350">
        <f t="shared" si="0"/>
        <v>795183.6129032257</v>
      </c>
      <c r="M7" s="350">
        <f t="shared" si="0"/>
        <v>1442376.666666667</v>
      </c>
      <c r="N7" s="351">
        <f t="shared" si="1"/>
        <v>2594268.5017921152</v>
      </c>
    </row>
    <row r="8" spans="2:17" x14ac:dyDescent="0.25">
      <c r="F8"/>
      <c r="G8" s="1"/>
      <c r="J8" s="349" t="s">
        <v>338</v>
      </c>
      <c r="K8" s="350">
        <f>+SUMIFS($J$14:$J$83,$C$14:$C$83,K$1,$E$14:$E$83,$J8)</f>
        <v>40416.444444444496</v>
      </c>
      <c r="L8" s="350">
        <f t="shared" si="0"/>
        <v>2924983.6129032257</v>
      </c>
      <c r="M8" s="350">
        <f t="shared" si="0"/>
        <v>3324001.333333334</v>
      </c>
      <c r="N8" s="351">
        <f t="shared" si="1"/>
        <v>6289401.3906810042</v>
      </c>
      <c r="P8" s="50">
        <v>650000</v>
      </c>
      <c r="Q8" t="s">
        <v>645</v>
      </c>
    </row>
    <row r="9" spans="2:17" ht="19.5" thickBot="1" x14ac:dyDescent="0.35">
      <c r="D9"/>
      <c r="G9" s="9"/>
      <c r="J9" s="352" t="s">
        <v>614</v>
      </c>
      <c r="K9" s="351">
        <f>+SUM(K2:K8)</f>
        <v>-1297915.9999999998</v>
      </c>
      <c r="L9" s="351">
        <f>+SUM(L2:L8)</f>
        <v>-1671777.0000000005</v>
      </c>
      <c r="M9" s="351">
        <f>+SUM(M2:M8)</f>
        <v>-698839.99999999814</v>
      </c>
      <c r="N9" s="353">
        <f>+SUM(N2:N8)</f>
        <v>-3668532.9999999981</v>
      </c>
      <c r="P9" s="122">
        <v>4800000</v>
      </c>
      <c r="Q9" t="s">
        <v>644</v>
      </c>
    </row>
    <row r="10" spans="2:17" ht="15.75" thickTop="1" x14ac:dyDescent="0.25">
      <c r="C10" s="360" t="s">
        <v>318</v>
      </c>
      <c r="D10"/>
      <c r="G10" s="25">
        <f>+SUMIF($C$14:$C$66,$C10,G$14:G$66)</f>
        <v>2920000</v>
      </c>
      <c r="H10" s="25">
        <f>+SUMIF($C$14:$C$66,$C10,H$14:H$66)</f>
        <v>2433126</v>
      </c>
      <c r="K10" s="364">
        <f>+K9-'Profitability (2-Mensualizado)'!K9</f>
        <v>541084.00000000023</v>
      </c>
      <c r="L10" s="364">
        <f>+L9-'Profitability (2-Mensualizado)'!L9</f>
        <v>115280.00000000047</v>
      </c>
      <c r="M10" s="364">
        <f>+M9-'Profitability (2-Mensualizado)'!M9</f>
        <v>-242799.99999999744</v>
      </c>
      <c r="N10" s="364">
        <f>+N9-'Profitability (2-Mensualizado)'!N9</f>
        <v>413564.00000000419</v>
      </c>
      <c r="P10" s="215">
        <f>+P8+P9</f>
        <v>5450000</v>
      </c>
    </row>
    <row r="11" spans="2:17" x14ac:dyDescent="0.25">
      <c r="C11" s="360" t="s">
        <v>319</v>
      </c>
      <c r="D11"/>
      <c r="G11" s="25">
        <f t="shared" ref="G11:G12" si="2">+SUMIF($C$14:$C$66,$C11,G$14:G$66)</f>
        <v>8612377.0000000037</v>
      </c>
      <c r="H11" s="25">
        <f t="shared" ref="H11:H12" si="3">+SUMIF($C$14:$C$66,$C11,H$14:H$66)</f>
        <v>10410900.000000009</v>
      </c>
    </row>
    <row r="12" spans="2:17" x14ac:dyDescent="0.25">
      <c r="C12" s="360" t="s">
        <v>558</v>
      </c>
      <c r="D12"/>
      <c r="G12" s="25">
        <f t="shared" si="2"/>
        <v>3206666.666666666</v>
      </c>
      <c r="H12" s="25">
        <f t="shared" si="3"/>
        <v>4355754</v>
      </c>
    </row>
    <row r="13" spans="2:17" ht="45" x14ac:dyDescent="0.25">
      <c r="C13" s="321" t="s">
        <v>55</v>
      </c>
      <c r="D13" s="321" t="s">
        <v>316</v>
      </c>
      <c r="E13" s="321" t="s">
        <v>611</v>
      </c>
      <c r="F13" s="323" t="s">
        <v>612</v>
      </c>
      <c r="G13" s="346" t="s">
        <v>606</v>
      </c>
      <c r="H13" s="347" t="s">
        <v>636</v>
      </c>
      <c r="I13" s="345" t="s">
        <v>629</v>
      </c>
      <c r="J13" s="348" t="s">
        <v>630</v>
      </c>
      <c r="K13" s="324" t="s">
        <v>608</v>
      </c>
      <c r="L13" s="324" t="s">
        <v>609</v>
      </c>
      <c r="M13" s="322" t="s">
        <v>610</v>
      </c>
      <c r="N13" s="324" t="s">
        <v>55</v>
      </c>
      <c r="P13" s="159"/>
    </row>
    <row r="14" spans="2:17" hidden="1" outlineLevel="1" x14ac:dyDescent="0.25">
      <c r="B14" s="123"/>
      <c r="C14" s="389" t="s">
        <v>318</v>
      </c>
      <c r="D14" s="47">
        <v>22</v>
      </c>
      <c r="E14" s="159" t="s">
        <v>338</v>
      </c>
      <c r="F14" s="145">
        <v>572000</v>
      </c>
      <c r="G14" s="9">
        <f>PE!$C$8</f>
        <v>324444.44444444444</v>
      </c>
      <c r="H14" s="46">
        <f>PE!$C$22</f>
        <v>270347.33333333331</v>
      </c>
      <c r="I14" s="46">
        <f t="shared" ref="I14:I19" si="4">+G14+H14</f>
        <v>594791.77777777775</v>
      </c>
      <c r="J14" s="318">
        <f t="shared" ref="J14:J25" si="5">+F14-I14</f>
        <v>-22791.777777777752</v>
      </c>
      <c r="K14" s="320">
        <f>+J14</f>
        <v>-22791.777777777752</v>
      </c>
      <c r="L14" s="123" t="str">
        <f t="shared" ref="L14:L45" si="6">+E14</f>
        <v>domingo</v>
      </c>
      <c r="M14" s="318">
        <f>+F14-G14</f>
        <v>247555.55555555556</v>
      </c>
      <c r="N14" s="318" t="str">
        <f>+C14</f>
        <v>sep</v>
      </c>
    </row>
    <row r="15" spans="2:17" hidden="1" outlineLevel="1" x14ac:dyDescent="0.25">
      <c r="C15" s="389" t="s">
        <v>318</v>
      </c>
      <c r="D15" s="47">
        <v>23</v>
      </c>
      <c r="E15" s="159" t="s">
        <v>332</v>
      </c>
      <c r="F15" s="145">
        <v>142000</v>
      </c>
      <c r="G15" s="9">
        <f>PE!$C$8</f>
        <v>324444.44444444444</v>
      </c>
      <c r="H15" s="46">
        <f>PE!$C$22</f>
        <v>270347.33333333331</v>
      </c>
      <c r="I15" s="46">
        <f t="shared" si="4"/>
        <v>594791.77777777775</v>
      </c>
      <c r="J15" s="318">
        <f t="shared" si="5"/>
        <v>-452791.77777777775</v>
      </c>
      <c r="K15" s="320">
        <f t="shared" ref="K15:K22" si="7">+J15+K14</f>
        <v>-475583.5555555555</v>
      </c>
      <c r="L15" s="123" t="str">
        <f t="shared" si="6"/>
        <v>lunes</v>
      </c>
      <c r="M15" s="318">
        <f t="shared" ref="M15:M66" si="8">+F15-G15</f>
        <v>-182444.44444444444</v>
      </c>
      <c r="N15" s="318" t="str">
        <f t="shared" ref="N15:N65" si="9">+C15</f>
        <v>sep</v>
      </c>
    </row>
    <row r="16" spans="2:17" hidden="1" outlineLevel="1" x14ac:dyDescent="0.25">
      <c r="C16" s="389" t="s">
        <v>318</v>
      </c>
      <c r="D16" s="47">
        <v>24</v>
      </c>
      <c r="E16" s="159" t="s">
        <v>333</v>
      </c>
      <c r="F16" s="145">
        <v>393000</v>
      </c>
      <c r="G16" s="9">
        <f>PE!$C$8</f>
        <v>324444.44444444444</v>
      </c>
      <c r="H16" s="46">
        <f>PE!$C$22</f>
        <v>270347.33333333331</v>
      </c>
      <c r="I16" s="46">
        <f t="shared" si="4"/>
        <v>594791.77777777775</v>
      </c>
      <c r="J16" s="318">
        <f t="shared" si="5"/>
        <v>-201791.77777777775</v>
      </c>
      <c r="K16" s="320">
        <f t="shared" si="7"/>
        <v>-677375.33333333326</v>
      </c>
      <c r="L16" s="123" t="str">
        <f t="shared" si="6"/>
        <v>martes</v>
      </c>
      <c r="M16" s="318">
        <f t="shared" si="8"/>
        <v>68555.555555555562</v>
      </c>
      <c r="N16" s="318" t="str">
        <f t="shared" si="9"/>
        <v>sep</v>
      </c>
    </row>
    <row r="17" spans="3:16" hidden="1" outlineLevel="1" x14ac:dyDescent="0.25">
      <c r="C17" s="389" t="s">
        <v>318</v>
      </c>
      <c r="D17" s="47">
        <v>25</v>
      </c>
      <c r="E17" s="159" t="s">
        <v>334</v>
      </c>
      <c r="F17" s="145">
        <v>419500</v>
      </c>
      <c r="G17" s="9">
        <f>PE!$C$8</f>
        <v>324444.44444444444</v>
      </c>
      <c r="H17" s="46">
        <f>PE!$C$22</f>
        <v>270347.33333333331</v>
      </c>
      <c r="I17" s="46">
        <f t="shared" si="4"/>
        <v>594791.77777777775</v>
      </c>
      <c r="J17" s="318">
        <f t="shared" si="5"/>
        <v>-175291.77777777775</v>
      </c>
      <c r="K17" s="320">
        <f t="shared" si="7"/>
        <v>-852667.11111111101</v>
      </c>
      <c r="L17" s="123" t="str">
        <f t="shared" si="6"/>
        <v>miércoles</v>
      </c>
      <c r="M17" s="318">
        <f t="shared" si="8"/>
        <v>95055.555555555562</v>
      </c>
      <c r="N17" s="318" t="str">
        <f t="shared" si="9"/>
        <v>sep</v>
      </c>
    </row>
    <row r="18" spans="3:16" hidden="1" outlineLevel="1" x14ac:dyDescent="0.25">
      <c r="C18" s="389" t="s">
        <v>318</v>
      </c>
      <c r="D18" s="47">
        <v>26</v>
      </c>
      <c r="E18" s="159" t="s">
        <v>335</v>
      </c>
      <c r="F18" s="145">
        <v>315000</v>
      </c>
      <c r="G18" s="9">
        <f>PE!$C$8</f>
        <v>324444.44444444444</v>
      </c>
      <c r="H18" s="46">
        <f>PE!$C$22</f>
        <v>270347.33333333331</v>
      </c>
      <c r="I18" s="46">
        <f t="shared" si="4"/>
        <v>594791.77777777775</v>
      </c>
      <c r="J18" s="318">
        <f t="shared" si="5"/>
        <v>-279791.77777777775</v>
      </c>
      <c r="K18" s="320">
        <f t="shared" si="7"/>
        <v>-1132458.8888888888</v>
      </c>
      <c r="L18" s="123" t="str">
        <f t="shared" si="6"/>
        <v>jueves</v>
      </c>
      <c r="M18" s="318">
        <f t="shared" si="8"/>
        <v>-9444.444444444438</v>
      </c>
      <c r="N18" s="318" t="str">
        <f t="shared" si="9"/>
        <v>sep</v>
      </c>
    </row>
    <row r="19" spans="3:16" hidden="1" outlineLevel="1" x14ac:dyDescent="0.25">
      <c r="C19" s="389" t="s">
        <v>318</v>
      </c>
      <c r="D19" s="47">
        <v>27</v>
      </c>
      <c r="E19" s="159" t="s">
        <v>336</v>
      </c>
      <c r="F19" s="145">
        <v>421000</v>
      </c>
      <c r="G19" s="9">
        <f>PE!$C$8</f>
        <v>324444.44444444444</v>
      </c>
      <c r="H19" s="46">
        <f>PE!$C$22</f>
        <v>270347.33333333331</v>
      </c>
      <c r="I19" s="46">
        <f t="shared" si="4"/>
        <v>594791.77777777775</v>
      </c>
      <c r="J19" s="318">
        <f t="shared" si="5"/>
        <v>-173791.77777777775</v>
      </c>
      <c r="K19" s="320">
        <f t="shared" si="7"/>
        <v>-1306250.6666666665</v>
      </c>
      <c r="L19" s="123" t="str">
        <f t="shared" si="6"/>
        <v>viernes</v>
      </c>
      <c r="M19" s="318">
        <f t="shared" si="8"/>
        <v>96555.555555555562</v>
      </c>
      <c r="N19" s="318" t="str">
        <f t="shared" si="9"/>
        <v>sep</v>
      </c>
    </row>
    <row r="20" spans="3:16" hidden="1" outlineLevel="1" x14ac:dyDescent="0.25">
      <c r="C20" s="389" t="s">
        <v>318</v>
      </c>
      <c r="D20" s="47">
        <v>28</v>
      </c>
      <c r="E20" s="159" t="s">
        <v>337</v>
      </c>
      <c r="F20" s="145">
        <v>951500</v>
      </c>
      <c r="G20" s="9">
        <f>PE!$C$8</f>
        <v>324444.44444444444</v>
      </c>
      <c r="H20" s="46">
        <f>PE!$C$22</f>
        <v>270347.33333333331</v>
      </c>
      <c r="I20" s="46">
        <f t="shared" ref="I20:I65" si="10">+G20+H20</f>
        <v>594791.77777777775</v>
      </c>
      <c r="J20" s="318">
        <f t="shared" si="5"/>
        <v>356708.22222222225</v>
      </c>
      <c r="K20" s="320">
        <f t="shared" si="7"/>
        <v>-949542.44444444426</v>
      </c>
      <c r="L20" s="123" t="str">
        <f t="shared" si="6"/>
        <v>sábado</v>
      </c>
      <c r="M20" s="318">
        <f t="shared" si="8"/>
        <v>627055.5555555555</v>
      </c>
      <c r="N20" s="318" t="str">
        <f t="shared" si="9"/>
        <v>sep</v>
      </c>
    </row>
    <row r="21" spans="3:16" hidden="1" outlineLevel="1" x14ac:dyDescent="0.25">
      <c r="C21" s="389" t="s">
        <v>318</v>
      </c>
      <c r="D21" s="47">
        <v>29</v>
      </c>
      <c r="E21" s="159" t="s">
        <v>338</v>
      </c>
      <c r="F21" s="145">
        <v>658000</v>
      </c>
      <c r="G21" s="9">
        <f>PE!$C$8</f>
        <v>324444.44444444444</v>
      </c>
      <c r="H21" s="46">
        <f>PE!$C$22</f>
        <v>270347.33333333331</v>
      </c>
      <c r="I21" s="46">
        <f t="shared" si="10"/>
        <v>594791.77777777775</v>
      </c>
      <c r="J21" s="318">
        <f t="shared" si="5"/>
        <v>63208.222222222248</v>
      </c>
      <c r="K21" s="320">
        <f t="shared" si="7"/>
        <v>-886334.22222222202</v>
      </c>
      <c r="L21" s="123" t="str">
        <f t="shared" si="6"/>
        <v>domingo</v>
      </c>
      <c r="M21" s="318">
        <f t="shared" si="8"/>
        <v>333555.55555555556</v>
      </c>
      <c r="N21" s="318" t="str">
        <f t="shared" si="9"/>
        <v>sep</v>
      </c>
      <c r="P21" s="159"/>
    </row>
    <row r="22" spans="3:16" hidden="1" outlineLevel="1" x14ac:dyDescent="0.25">
      <c r="C22" s="389" t="s">
        <v>318</v>
      </c>
      <c r="D22" s="47">
        <v>30</v>
      </c>
      <c r="E22" s="159" t="s">
        <v>332</v>
      </c>
      <c r="F22" s="145">
        <v>183210</v>
      </c>
      <c r="G22" s="9">
        <f>PE!$C$8</f>
        <v>324444.44444444444</v>
      </c>
      <c r="H22" s="46">
        <f>PE!$C$22</f>
        <v>270347.33333333331</v>
      </c>
      <c r="I22" s="46">
        <f t="shared" si="10"/>
        <v>594791.77777777775</v>
      </c>
      <c r="J22" s="318">
        <f t="shared" si="5"/>
        <v>-411581.77777777775</v>
      </c>
      <c r="K22" s="320">
        <f t="shared" si="7"/>
        <v>-1297915.9999999998</v>
      </c>
      <c r="L22" s="123" t="str">
        <f t="shared" si="6"/>
        <v>lunes</v>
      </c>
      <c r="M22" s="318">
        <f t="shared" si="8"/>
        <v>-141234.44444444444</v>
      </c>
      <c r="N22" s="318" t="str">
        <f t="shared" si="9"/>
        <v>sep</v>
      </c>
      <c r="P22" s="159"/>
    </row>
    <row r="23" spans="3:16" hidden="1" collapsed="1" x14ac:dyDescent="0.25">
      <c r="C23" s="389" t="s">
        <v>319</v>
      </c>
      <c r="D23" s="47">
        <v>1</v>
      </c>
      <c r="E23" s="159" t="s">
        <v>333</v>
      </c>
      <c r="F23" s="145">
        <v>229800</v>
      </c>
      <c r="G23" s="9">
        <f>PE!$G$8</f>
        <v>277818.61290322582</v>
      </c>
      <c r="H23" s="101">
        <f>PE!$G$22</f>
        <v>335835.48387096776</v>
      </c>
      <c r="I23" s="46">
        <f>+G23+H23</f>
        <v>613654.09677419357</v>
      </c>
      <c r="J23" s="318">
        <f t="shared" si="5"/>
        <v>-383854.09677419357</v>
      </c>
      <c r="K23" s="320">
        <f t="shared" ref="K23:K63" si="11">+J23+K22</f>
        <v>-1681770.0967741935</v>
      </c>
      <c r="L23" s="123" t="str">
        <f t="shared" si="6"/>
        <v>martes</v>
      </c>
      <c r="M23" s="318">
        <f t="shared" si="8"/>
        <v>-48018.612903225818</v>
      </c>
      <c r="N23" s="318" t="str">
        <f t="shared" si="9"/>
        <v>oct</v>
      </c>
      <c r="P23" s="159"/>
    </row>
    <row r="24" spans="3:16" hidden="1" x14ac:dyDescent="0.25">
      <c r="C24" s="389" t="s">
        <v>319</v>
      </c>
      <c r="D24" s="47">
        <v>2</v>
      </c>
      <c r="E24" s="159" t="s">
        <v>334</v>
      </c>
      <c r="F24" s="145">
        <v>238000</v>
      </c>
      <c r="G24" s="9">
        <f>PE!$G$8</f>
        <v>277818.61290322582</v>
      </c>
      <c r="H24" s="101">
        <f>PE!$G$22</f>
        <v>335835.48387096776</v>
      </c>
      <c r="I24" s="46">
        <f t="shared" si="10"/>
        <v>613654.09677419357</v>
      </c>
      <c r="J24" s="318">
        <f t="shared" si="5"/>
        <v>-375654.09677419357</v>
      </c>
      <c r="K24" s="320">
        <f t="shared" si="11"/>
        <v>-2057424.1935483869</v>
      </c>
      <c r="L24" s="123" t="str">
        <f t="shared" si="6"/>
        <v>miércoles</v>
      </c>
      <c r="M24" s="318">
        <f t="shared" si="8"/>
        <v>-39818.612903225818</v>
      </c>
      <c r="N24" s="318" t="str">
        <f t="shared" si="9"/>
        <v>oct</v>
      </c>
      <c r="P24" s="159"/>
    </row>
    <row r="25" spans="3:16" hidden="1" x14ac:dyDescent="0.25">
      <c r="C25" s="389" t="s">
        <v>319</v>
      </c>
      <c r="D25" s="47">
        <v>3</v>
      </c>
      <c r="E25" s="159" t="s">
        <v>335</v>
      </c>
      <c r="F25" s="145">
        <v>238000</v>
      </c>
      <c r="G25" s="9">
        <f>PE!$G$8</f>
        <v>277818.61290322582</v>
      </c>
      <c r="H25" s="101">
        <f>PE!$G$22</f>
        <v>335835.48387096776</v>
      </c>
      <c r="I25" s="46">
        <f t="shared" si="10"/>
        <v>613654.09677419357</v>
      </c>
      <c r="J25" s="318">
        <f t="shared" si="5"/>
        <v>-375654.09677419357</v>
      </c>
      <c r="K25" s="320">
        <f t="shared" si="11"/>
        <v>-2433078.2903225804</v>
      </c>
      <c r="L25" s="123" t="str">
        <f t="shared" si="6"/>
        <v>jueves</v>
      </c>
      <c r="M25" s="318">
        <f t="shared" si="8"/>
        <v>-39818.612903225818</v>
      </c>
      <c r="N25" s="318" t="str">
        <f t="shared" si="9"/>
        <v>oct</v>
      </c>
      <c r="P25" s="159"/>
    </row>
    <row r="26" spans="3:16" hidden="1" x14ac:dyDescent="0.25">
      <c r="C26" s="389" t="s">
        <v>319</v>
      </c>
      <c r="D26" s="47">
        <v>4</v>
      </c>
      <c r="E26" s="159" t="s">
        <v>336</v>
      </c>
      <c r="F26" s="145">
        <v>420500</v>
      </c>
      <c r="G26" s="9">
        <f>PE!$G$8</f>
        <v>277818.61290322582</v>
      </c>
      <c r="H26" s="101">
        <f>PE!$G$22</f>
        <v>335835.48387096776</v>
      </c>
      <c r="I26" s="46">
        <f t="shared" si="10"/>
        <v>613654.09677419357</v>
      </c>
      <c r="J26" s="318">
        <f t="shared" ref="J26:J66" si="12">+F26-I26</f>
        <v>-193154.09677419357</v>
      </c>
      <c r="K26" s="320">
        <f t="shared" si="11"/>
        <v>-2626232.3870967738</v>
      </c>
      <c r="L26" s="123" t="str">
        <f t="shared" si="6"/>
        <v>viernes</v>
      </c>
      <c r="M26" s="318">
        <f t="shared" si="8"/>
        <v>142681.38709677418</v>
      </c>
      <c r="N26" s="318" t="str">
        <f t="shared" si="9"/>
        <v>oct</v>
      </c>
      <c r="P26" s="159"/>
    </row>
    <row r="27" spans="3:16" hidden="1" x14ac:dyDescent="0.25">
      <c r="C27" s="389" t="s">
        <v>319</v>
      </c>
      <c r="D27" s="47">
        <v>5</v>
      </c>
      <c r="E27" s="159" t="s">
        <v>337</v>
      </c>
      <c r="F27" s="145">
        <v>1210300</v>
      </c>
      <c r="G27" s="9">
        <f>PE!$G$8</f>
        <v>277818.61290322582</v>
      </c>
      <c r="H27" s="101">
        <f>PE!$G$22</f>
        <v>335835.48387096776</v>
      </c>
      <c r="I27" s="46">
        <f t="shared" si="10"/>
        <v>613654.09677419357</v>
      </c>
      <c r="J27" s="318">
        <f t="shared" si="12"/>
        <v>596645.90322580643</v>
      </c>
      <c r="K27" s="320">
        <f t="shared" si="11"/>
        <v>-2029586.4838709673</v>
      </c>
      <c r="L27" s="123" t="str">
        <f t="shared" si="6"/>
        <v>sábado</v>
      </c>
      <c r="M27" s="318">
        <f t="shared" si="8"/>
        <v>932481.38709677418</v>
      </c>
      <c r="N27" s="318" t="str">
        <f t="shared" si="9"/>
        <v>oct</v>
      </c>
      <c r="P27" s="159"/>
    </row>
    <row r="28" spans="3:16" hidden="1" x14ac:dyDescent="0.25">
      <c r="C28" s="389" t="s">
        <v>319</v>
      </c>
      <c r="D28" s="47">
        <v>6</v>
      </c>
      <c r="E28" s="159" t="s">
        <v>338</v>
      </c>
      <c r="F28" s="145">
        <v>1345600</v>
      </c>
      <c r="G28" s="9">
        <f>PE!$G$8</f>
        <v>277818.61290322582</v>
      </c>
      <c r="H28" s="101">
        <f>PE!$G$22</f>
        <v>335835.48387096776</v>
      </c>
      <c r="I28" s="46">
        <f t="shared" si="10"/>
        <v>613654.09677419357</v>
      </c>
      <c r="J28" s="318">
        <f t="shared" si="12"/>
        <v>731945.90322580643</v>
      </c>
      <c r="K28" s="320">
        <f t="shared" si="11"/>
        <v>-1297640.5806451607</v>
      </c>
      <c r="L28" s="123" t="str">
        <f t="shared" si="6"/>
        <v>domingo</v>
      </c>
      <c r="M28" s="318">
        <f t="shared" si="8"/>
        <v>1067781.3870967743</v>
      </c>
      <c r="N28" s="318" t="str">
        <f t="shared" si="9"/>
        <v>oct</v>
      </c>
      <c r="P28" s="159"/>
    </row>
    <row r="29" spans="3:16" hidden="1" x14ac:dyDescent="0.25">
      <c r="C29" s="389" t="s">
        <v>319</v>
      </c>
      <c r="D29" s="47">
        <v>7</v>
      </c>
      <c r="E29" s="159" t="s">
        <v>332</v>
      </c>
      <c r="F29" s="145">
        <v>603500</v>
      </c>
      <c r="G29" s="9">
        <f>PE!$G$8</f>
        <v>277818.61290322582</v>
      </c>
      <c r="H29" s="101">
        <f>PE!$G$22</f>
        <v>335835.48387096776</v>
      </c>
      <c r="I29" s="46">
        <f t="shared" si="10"/>
        <v>613654.09677419357</v>
      </c>
      <c r="J29" s="318">
        <f t="shared" si="12"/>
        <v>-10154.096774193575</v>
      </c>
      <c r="K29" s="320">
        <f t="shared" si="11"/>
        <v>-1307794.6774193542</v>
      </c>
      <c r="L29" s="123" t="str">
        <f t="shared" si="6"/>
        <v>lunes</v>
      </c>
      <c r="M29" s="318">
        <f t="shared" si="8"/>
        <v>325681.38709677418</v>
      </c>
      <c r="N29" s="318" t="str">
        <f t="shared" si="9"/>
        <v>oct</v>
      </c>
      <c r="P29" s="159"/>
    </row>
    <row r="30" spans="3:16" hidden="1" x14ac:dyDescent="0.25">
      <c r="C30" s="389" t="s">
        <v>319</v>
      </c>
      <c r="D30" s="47">
        <v>8</v>
      </c>
      <c r="E30" s="159" t="s">
        <v>333</v>
      </c>
      <c r="F30" s="145">
        <v>426300</v>
      </c>
      <c r="G30" s="9">
        <f>PE!$G$8</f>
        <v>277818.61290322582</v>
      </c>
      <c r="H30" s="101">
        <f>PE!$G$22</f>
        <v>335835.48387096776</v>
      </c>
      <c r="I30" s="46">
        <f t="shared" si="10"/>
        <v>613654.09677419357</v>
      </c>
      <c r="J30" s="318">
        <f t="shared" si="12"/>
        <v>-187354.09677419357</v>
      </c>
      <c r="K30" s="320">
        <f t="shared" si="11"/>
        <v>-1495148.7741935477</v>
      </c>
      <c r="L30" s="123" t="str">
        <f t="shared" si="6"/>
        <v>martes</v>
      </c>
      <c r="M30" s="318">
        <f t="shared" si="8"/>
        <v>148481.38709677418</v>
      </c>
      <c r="N30" s="318" t="str">
        <f t="shared" si="9"/>
        <v>oct</v>
      </c>
      <c r="P30" s="159"/>
    </row>
    <row r="31" spans="3:16" hidden="1" x14ac:dyDescent="0.25">
      <c r="C31" s="389" t="s">
        <v>319</v>
      </c>
      <c r="D31" s="47">
        <v>9</v>
      </c>
      <c r="E31" s="159" t="s">
        <v>334</v>
      </c>
      <c r="F31" s="145">
        <v>134000</v>
      </c>
      <c r="G31" s="9">
        <f>PE!$G$8</f>
        <v>277818.61290322582</v>
      </c>
      <c r="H31" s="101">
        <f>PE!$G$22</f>
        <v>335835.48387096776</v>
      </c>
      <c r="I31" s="46">
        <f t="shared" si="10"/>
        <v>613654.09677419357</v>
      </c>
      <c r="J31" s="318">
        <f t="shared" si="12"/>
        <v>-479654.09677419357</v>
      </c>
      <c r="K31" s="320">
        <f t="shared" si="11"/>
        <v>-1974802.8709677411</v>
      </c>
      <c r="L31" s="123" t="str">
        <f t="shared" si="6"/>
        <v>miércoles</v>
      </c>
      <c r="M31" s="318">
        <f t="shared" si="8"/>
        <v>-143818.61290322582</v>
      </c>
      <c r="N31" s="318" t="str">
        <f t="shared" si="9"/>
        <v>oct</v>
      </c>
      <c r="P31" s="159"/>
    </row>
    <row r="32" spans="3:16" hidden="1" x14ac:dyDescent="0.25">
      <c r="C32" s="389" t="s">
        <v>319</v>
      </c>
      <c r="D32" s="47">
        <v>10</v>
      </c>
      <c r="E32" s="159" t="s">
        <v>335</v>
      </c>
      <c r="F32" s="145">
        <v>85500</v>
      </c>
      <c r="G32" s="9">
        <f>PE!$G$8</f>
        <v>277818.61290322582</v>
      </c>
      <c r="H32" s="101">
        <f>PE!$G$22</f>
        <v>335835.48387096776</v>
      </c>
      <c r="I32" s="46">
        <f t="shared" si="10"/>
        <v>613654.09677419357</v>
      </c>
      <c r="J32" s="318">
        <f t="shared" si="12"/>
        <v>-528154.09677419357</v>
      </c>
      <c r="K32" s="320">
        <f t="shared" si="11"/>
        <v>-2502956.9677419346</v>
      </c>
      <c r="L32" s="123" t="str">
        <f t="shared" si="6"/>
        <v>jueves</v>
      </c>
      <c r="M32" s="318">
        <f t="shared" si="8"/>
        <v>-192318.61290322582</v>
      </c>
      <c r="N32" s="318" t="str">
        <f t="shared" si="9"/>
        <v>oct</v>
      </c>
      <c r="P32" s="159"/>
    </row>
    <row r="33" spans="2:16" hidden="1" x14ac:dyDescent="0.25">
      <c r="B33" s="199"/>
      <c r="C33" s="389" t="s">
        <v>319</v>
      </c>
      <c r="D33" s="47">
        <v>11</v>
      </c>
      <c r="E33" s="159" t="s">
        <v>336</v>
      </c>
      <c r="F33" s="145">
        <v>427900</v>
      </c>
      <c r="G33" s="9">
        <f>PE!$G$8</f>
        <v>277818.61290322582</v>
      </c>
      <c r="H33" s="101">
        <f>PE!$G$22</f>
        <v>335835.48387096776</v>
      </c>
      <c r="I33" s="46">
        <f t="shared" si="10"/>
        <v>613654.09677419357</v>
      </c>
      <c r="J33" s="318">
        <f t="shared" si="12"/>
        <v>-185754.09677419357</v>
      </c>
      <c r="K33" s="320">
        <f t="shared" si="11"/>
        <v>-2688711.064516128</v>
      </c>
      <c r="L33" s="123" t="str">
        <f t="shared" si="6"/>
        <v>viernes</v>
      </c>
      <c r="M33" s="318">
        <f t="shared" si="8"/>
        <v>150081.38709677418</v>
      </c>
      <c r="N33" s="318" t="str">
        <f t="shared" si="9"/>
        <v>oct</v>
      </c>
      <c r="P33" s="159"/>
    </row>
    <row r="34" spans="2:16" hidden="1" x14ac:dyDescent="0.25">
      <c r="C34" s="389" t="s">
        <v>319</v>
      </c>
      <c r="D34" s="47">
        <v>12</v>
      </c>
      <c r="E34" s="159" t="s">
        <v>337</v>
      </c>
      <c r="F34" s="145">
        <v>664500</v>
      </c>
      <c r="G34" s="9">
        <f>PE!$G$8</f>
        <v>277818.61290322582</v>
      </c>
      <c r="H34" s="101">
        <f>PE!$G$22</f>
        <v>335835.48387096776</v>
      </c>
      <c r="I34" s="46">
        <f t="shared" si="10"/>
        <v>613654.09677419357</v>
      </c>
      <c r="J34" s="318">
        <f t="shared" si="12"/>
        <v>50845.903225806425</v>
      </c>
      <c r="K34" s="320">
        <f t="shared" si="11"/>
        <v>-2637865.1612903215</v>
      </c>
      <c r="L34" s="123" t="str">
        <f t="shared" si="6"/>
        <v>sábado</v>
      </c>
      <c r="M34" s="318">
        <f t="shared" si="8"/>
        <v>386681.38709677418</v>
      </c>
      <c r="N34" s="318" t="str">
        <f t="shared" si="9"/>
        <v>oct</v>
      </c>
      <c r="P34" s="159"/>
    </row>
    <row r="35" spans="2:16" hidden="1" x14ac:dyDescent="0.25">
      <c r="C35" s="389" t="s">
        <v>319</v>
      </c>
      <c r="D35" s="47">
        <v>13</v>
      </c>
      <c r="E35" s="159" t="s">
        <v>338</v>
      </c>
      <c r="F35" s="145">
        <v>1283500</v>
      </c>
      <c r="G35" s="9">
        <f>PE!$G$8</f>
        <v>277818.61290322582</v>
      </c>
      <c r="H35" s="101">
        <f>PE!$G$22</f>
        <v>335835.48387096776</v>
      </c>
      <c r="I35" s="46">
        <f t="shared" si="10"/>
        <v>613654.09677419357</v>
      </c>
      <c r="J35" s="318">
        <f t="shared" si="12"/>
        <v>669845.90322580643</v>
      </c>
      <c r="K35" s="320">
        <f t="shared" si="11"/>
        <v>-1968019.258064515</v>
      </c>
      <c r="L35" s="123" t="str">
        <f t="shared" si="6"/>
        <v>domingo</v>
      </c>
      <c r="M35" s="318">
        <f t="shared" si="8"/>
        <v>1005681.3870967742</v>
      </c>
      <c r="N35" s="318" t="str">
        <f t="shared" si="9"/>
        <v>oct</v>
      </c>
      <c r="P35" s="159"/>
    </row>
    <row r="36" spans="2:16" hidden="1" x14ac:dyDescent="0.25">
      <c r="C36" s="389" t="s">
        <v>319</v>
      </c>
      <c r="D36" s="47">
        <v>14</v>
      </c>
      <c r="E36" s="159" t="s">
        <v>332</v>
      </c>
      <c r="F36" s="145">
        <v>622000</v>
      </c>
      <c r="G36" s="9">
        <f>PE!$G$8</f>
        <v>277818.61290322582</v>
      </c>
      <c r="H36" s="101">
        <f>PE!$G$22</f>
        <v>335835.48387096776</v>
      </c>
      <c r="I36" s="46">
        <f t="shared" si="10"/>
        <v>613654.09677419357</v>
      </c>
      <c r="J36" s="318">
        <f t="shared" si="12"/>
        <v>8345.9032258064253</v>
      </c>
      <c r="K36" s="320">
        <f t="shared" si="11"/>
        <v>-1959673.3548387084</v>
      </c>
      <c r="L36" s="123" t="str">
        <f t="shared" si="6"/>
        <v>lunes</v>
      </c>
      <c r="M36" s="318">
        <f t="shared" si="8"/>
        <v>344181.38709677418</v>
      </c>
      <c r="N36" s="318" t="str">
        <f t="shared" si="9"/>
        <v>oct</v>
      </c>
      <c r="P36" s="159"/>
    </row>
    <row r="37" spans="2:16" hidden="1" x14ac:dyDescent="0.25">
      <c r="C37" s="389" t="s">
        <v>319</v>
      </c>
      <c r="D37" s="47">
        <v>15</v>
      </c>
      <c r="E37" s="159" t="s">
        <v>333</v>
      </c>
      <c r="F37" s="145">
        <v>227000</v>
      </c>
      <c r="G37" s="9">
        <f>PE!$G$8</f>
        <v>277818.61290322582</v>
      </c>
      <c r="H37" s="101">
        <f>PE!$G$22</f>
        <v>335835.48387096776</v>
      </c>
      <c r="I37" s="46">
        <f t="shared" si="10"/>
        <v>613654.09677419357</v>
      </c>
      <c r="J37" s="318">
        <f t="shared" si="12"/>
        <v>-386654.09677419357</v>
      </c>
      <c r="K37" s="320">
        <f t="shared" si="11"/>
        <v>-2346327.4516129019</v>
      </c>
      <c r="L37" s="123" t="str">
        <f t="shared" si="6"/>
        <v>martes</v>
      </c>
      <c r="M37" s="318">
        <f t="shared" si="8"/>
        <v>-50818.612903225818</v>
      </c>
      <c r="N37" s="318" t="str">
        <f t="shared" si="9"/>
        <v>oct</v>
      </c>
      <c r="P37" s="159"/>
    </row>
    <row r="38" spans="2:16" hidden="1" x14ac:dyDescent="0.25">
      <c r="C38" s="389" t="s">
        <v>319</v>
      </c>
      <c r="D38" s="47">
        <v>16</v>
      </c>
      <c r="E38" s="159" t="s">
        <v>334</v>
      </c>
      <c r="F38" s="145">
        <v>385300</v>
      </c>
      <c r="G38" s="9">
        <f>PE!$G$8</f>
        <v>277818.61290322582</v>
      </c>
      <c r="H38" s="101">
        <f>PE!$G$22</f>
        <v>335835.48387096776</v>
      </c>
      <c r="I38" s="46">
        <f t="shared" si="10"/>
        <v>613654.09677419357</v>
      </c>
      <c r="J38" s="318">
        <f t="shared" si="12"/>
        <v>-228354.09677419357</v>
      </c>
      <c r="K38" s="320">
        <f t="shared" si="11"/>
        <v>-2574681.5483870953</v>
      </c>
      <c r="L38" s="123" t="str">
        <f t="shared" si="6"/>
        <v>miércoles</v>
      </c>
      <c r="M38" s="318">
        <f t="shared" si="8"/>
        <v>107481.38709677418</v>
      </c>
      <c r="N38" s="318" t="str">
        <f t="shared" si="9"/>
        <v>oct</v>
      </c>
      <c r="P38" s="159"/>
    </row>
    <row r="39" spans="2:16" hidden="1" x14ac:dyDescent="0.25">
      <c r="C39" s="389" t="s">
        <v>319</v>
      </c>
      <c r="D39" s="47">
        <v>17</v>
      </c>
      <c r="E39" s="159" t="s">
        <v>335</v>
      </c>
      <c r="F39" s="145">
        <v>250800</v>
      </c>
      <c r="G39" s="9">
        <f>PE!$G$8</f>
        <v>277818.61290322582</v>
      </c>
      <c r="H39" s="101">
        <f>PE!$G$22</f>
        <v>335835.48387096776</v>
      </c>
      <c r="I39" s="46">
        <f t="shared" si="10"/>
        <v>613654.09677419357</v>
      </c>
      <c r="J39" s="318">
        <f t="shared" si="12"/>
        <v>-362854.09677419357</v>
      </c>
      <c r="K39" s="320">
        <f t="shared" si="11"/>
        <v>-2937535.6451612888</v>
      </c>
      <c r="L39" s="123" t="str">
        <f t="shared" si="6"/>
        <v>jueves</v>
      </c>
      <c r="M39" s="318">
        <f t="shared" si="8"/>
        <v>-27018.612903225818</v>
      </c>
      <c r="N39" s="318" t="str">
        <f t="shared" si="9"/>
        <v>oct</v>
      </c>
      <c r="P39" s="159"/>
    </row>
    <row r="40" spans="2:16" hidden="1" x14ac:dyDescent="0.25">
      <c r="C40" s="389" t="s">
        <v>319</v>
      </c>
      <c r="D40" s="47">
        <v>18</v>
      </c>
      <c r="E40" s="159" t="s">
        <v>336</v>
      </c>
      <c r="F40" s="145">
        <v>363500</v>
      </c>
      <c r="G40" s="9">
        <f>PE!$G$8</f>
        <v>277818.61290322582</v>
      </c>
      <c r="H40" s="101">
        <f>PE!$G$22</f>
        <v>335835.48387096776</v>
      </c>
      <c r="I40" s="46">
        <f t="shared" si="10"/>
        <v>613654.09677419357</v>
      </c>
      <c r="J40" s="318">
        <f t="shared" si="12"/>
        <v>-250154.09677419357</v>
      </c>
      <c r="K40" s="320">
        <f t="shared" si="11"/>
        <v>-3187689.7419354822</v>
      </c>
      <c r="L40" s="123" t="str">
        <f t="shared" si="6"/>
        <v>viernes</v>
      </c>
      <c r="M40" s="318">
        <f t="shared" si="8"/>
        <v>85681.387096774182</v>
      </c>
      <c r="N40" s="318" t="str">
        <f t="shared" si="9"/>
        <v>oct</v>
      </c>
      <c r="P40" s="159"/>
    </row>
    <row r="41" spans="2:16" hidden="1" x14ac:dyDescent="0.25">
      <c r="C41" s="389" t="s">
        <v>319</v>
      </c>
      <c r="D41" s="47">
        <v>19</v>
      </c>
      <c r="E41" s="159" t="s">
        <v>337</v>
      </c>
      <c r="F41" s="145">
        <v>720000</v>
      </c>
      <c r="G41" s="9">
        <f>PE!$G$8</f>
        <v>277818.61290322582</v>
      </c>
      <c r="H41" s="101">
        <f>PE!$G$22</f>
        <v>335835.48387096776</v>
      </c>
      <c r="I41" s="46">
        <f t="shared" si="10"/>
        <v>613654.09677419357</v>
      </c>
      <c r="J41" s="318">
        <f t="shared" si="12"/>
        <v>106345.90322580643</v>
      </c>
      <c r="K41" s="320">
        <f t="shared" si="11"/>
        <v>-3081343.8387096757</v>
      </c>
      <c r="L41" s="123" t="str">
        <f t="shared" si="6"/>
        <v>sábado</v>
      </c>
      <c r="M41" s="318">
        <f t="shared" si="8"/>
        <v>442181.38709677418</v>
      </c>
      <c r="N41" s="318" t="str">
        <f t="shared" si="9"/>
        <v>oct</v>
      </c>
      <c r="P41" s="159"/>
    </row>
    <row r="42" spans="2:16" hidden="1" x14ac:dyDescent="0.25">
      <c r="C42" s="389" t="s">
        <v>319</v>
      </c>
      <c r="D42" s="47">
        <v>20</v>
      </c>
      <c r="E42" s="159" t="s">
        <v>338</v>
      </c>
      <c r="F42" s="145">
        <v>1550500</v>
      </c>
      <c r="G42" s="9">
        <f>PE!$G$8</f>
        <v>277818.61290322582</v>
      </c>
      <c r="H42" s="101">
        <f>PE!$G$22</f>
        <v>335835.48387096776</v>
      </c>
      <c r="I42" s="46">
        <f t="shared" si="10"/>
        <v>613654.09677419357</v>
      </c>
      <c r="J42" s="318">
        <f t="shared" si="12"/>
        <v>936845.90322580643</v>
      </c>
      <c r="K42" s="320">
        <f t="shared" si="11"/>
        <v>-2144497.9354838692</v>
      </c>
      <c r="L42" s="123" t="str">
        <f t="shared" si="6"/>
        <v>domingo</v>
      </c>
      <c r="M42" s="318">
        <f t="shared" si="8"/>
        <v>1272681.3870967743</v>
      </c>
      <c r="N42" s="318" t="str">
        <f t="shared" si="9"/>
        <v>oct</v>
      </c>
      <c r="P42" s="159"/>
    </row>
    <row r="43" spans="2:16" hidden="1" x14ac:dyDescent="0.25">
      <c r="C43" s="389" t="s">
        <v>319</v>
      </c>
      <c r="D43" s="47">
        <v>21</v>
      </c>
      <c r="E43" s="159" t="s">
        <v>332</v>
      </c>
      <c r="F43" s="145">
        <v>350000</v>
      </c>
      <c r="G43" s="9">
        <f>PE!$G$8</f>
        <v>277818.61290322582</v>
      </c>
      <c r="H43" s="101">
        <f>PE!$G$22</f>
        <v>335835.48387096776</v>
      </c>
      <c r="I43" s="46">
        <f t="shared" si="10"/>
        <v>613654.09677419357</v>
      </c>
      <c r="J43" s="318">
        <f t="shared" si="12"/>
        <v>-263654.09677419357</v>
      </c>
      <c r="K43" s="320">
        <f t="shared" si="11"/>
        <v>-2408152.0322580626</v>
      </c>
      <c r="L43" s="123" t="str">
        <f t="shared" si="6"/>
        <v>lunes</v>
      </c>
      <c r="M43" s="318">
        <f t="shared" si="8"/>
        <v>72181.387096774182</v>
      </c>
      <c r="N43" s="318" t="str">
        <f t="shared" si="9"/>
        <v>oct</v>
      </c>
      <c r="P43" s="159"/>
    </row>
    <row r="44" spans="2:16" hidden="1" x14ac:dyDescent="0.25">
      <c r="C44" s="389" t="s">
        <v>319</v>
      </c>
      <c r="D44" s="47">
        <v>22</v>
      </c>
      <c r="E44" s="159" t="s">
        <v>333</v>
      </c>
      <c r="F44" s="145">
        <v>380000</v>
      </c>
      <c r="G44" s="9">
        <f>PE!$G$8</f>
        <v>277818.61290322582</v>
      </c>
      <c r="H44" s="101">
        <f>PE!$G$22</f>
        <v>335835.48387096776</v>
      </c>
      <c r="I44" s="46">
        <f t="shared" si="10"/>
        <v>613654.09677419357</v>
      </c>
      <c r="J44" s="318">
        <f t="shared" si="12"/>
        <v>-233654.09677419357</v>
      </c>
      <c r="K44" s="320">
        <f t="shared" si="11"/>
        <v>-2641806.1290322561</v>
      </c>
      <c r="L44" s="123" t="str">
        <f t="shared" si="6"/>
        <v>martes</v>
      </c>
      <c r="M44" s="318">
        <f t="shared" si="8"/>
        <v>102181.38709677418</v>
      </c>
      <c r="N44" s="318" t="str">
        <f t="shared" si="9"/>
        <v>oct</v>
      </c>
      <c r="P44" s="159"/>
    </row>
    <row r="45" spans="2:16" hidden="1" x14ac:dyDescent="0.25">
      <c r="C45" s="389" t="s">
        <v>319</v>
      </c>
      <c r="D45" s="47">
        <v>23</v>
      </c>
      <c r="E45" s="159" t="s">
        <v>334</v>
      </c>
      <c r="F45" s="145">
        <v>550000</v>
      </c>
      <c r="G45" s="9">
        <f>PE!$G$8</f>
        <v>277818.61290322582</v>
      </c>
      <c r="H45" s="101">
        <f>PE!$G$22</f>
        <v>335835.48387096776</v>
      </c>
      <c r="I45" s="46">
        <f t="shared" si="10"/>
        <v>613654.09677419357</v>
      </c>
      <c r="J45" s="318">
        <f t="shared" si="12"/>
        <v>-63654.096774193575</v>
      </c>
      <c r="K45" s="320">
        <f t="shared" si="11"/>
        <v>-2705460.2258064495</v>
      </c>
      <c r="L45" s="123" t="str">
        <f t="shared" si="6"/>
        <v>miércoles</v>
      </c>
      <c r="M45" s="318">
        <f t="shared" si="8"/>
        <v>272181.38709677418</v>
      </c>
      <c r="N45" s="318" t="str">
        <f t="shared" si="9"/>
        <v>oct</v>
      </c>
      <c r="P45" s="159"/>
    </row>
    <row r="46" spans="2:16" hidden="1" x14ac:dyDescent="0.25">
      <c r="C46" s="389" t="s">
        <v>319</v>
      </c>
      <c r="D46" s="47">
        <v>24</v>
      </c>
      <c r="E46" s="159" t="s">
        <v>335</v>
      </c>
      <c r="F46" s="145">
        <v>380000</v>
      </c>
      <c r="G46" s="9">
        <f>PE!$G$8</f>
        <v>277818.61290322582</v>
      </c>
      <c r="H46" s="101">
        <f>PE!$G$22</f>
        <v>335835.48387096776</v>
      </c>
      <c r="I46" s="46">
        <f t="shared" si="10"/>
        <v>613654.09677419357</v>
      </c>
      <c r="J46" s="318">
        <f t="shared" si="12"/>
        <v>-233654.09677419357</v>
      </c>
      <c r="K46" s="320">
        <f t="shared" si="11"/>
        <v>-2939114.322580643</v>
      </c>
      <c r="L46" s="123" t="str">
        <f t="shared" ref="L46:L65" si="13">+E46</f>
        <v>jueves</v>
      </c>
      <c r="M46" s="318">
        <f t="shared" si="8"/>
        <v>102181.38709677418</v>
      </c>
      <c r="N46" s="318" t="str">
        <f t="shared" si="9"/>
        <v>oct</v>
      </c>
      <c r="P46" s="159"/>
    </row>
    <row r="47" spans="2:16" hidden="1" x14ac:dyDescent="0.25">
      <c r="C47" s="389" t="s">
        <v>319</v>
      </c>
      <c r="D47" s="47">
        <v>25</v>
      </c>
      <c r="E47" s="159" t="s">
        <v>336</v>
      </c>
      <c r="F47" s="145">
        <v>1200000</v>
      </c>
      <c r="G47" s="9">
        <f>PE!$G$8</f>
        <v>277818.61290322582</v>
      </c>
      <c r="H47" s="101">
        <f>PE!$G$22</f>
        <v>335835.48387096776</v>
      </c>
      <c r="I47" s="46">
        <f t="shared" si="10"/>
        <v>613654.09677419357</v>
      </c>
      <c r="J47" s="318">
        <f t="shared" si="12"/>
        <v>586345.90322580643</v>
      </c>
      <c r="K47" s="320">
        <f t="shared" si="11"/>
        <v>-2352768.4193548365</v>
      </c>
      <c r="L47" s="123" t="str">
        <f t="shared" si="13"/>
        <v>viernes</v>
      </c>
      <c r="M47" s="318">
        <f t="shared" si="8"/>
        <v>922181.38709677418</v>
      </c>
      <c r="N47" s="318" t="str">
        <f t="shared" si="9"/>
        <v>oct</v>
      </c>
      <c r="P47" s="159"/>
    </row>
    <row r="48" spans="2:16" hidden="1" x14ac:dyDescent="0.25">
      <c r="C48" s="389" t="s">
        <v>319</v>
      </c>
      <c r="D48" s="47">
        <v>26</v>
      </c>
      <c r="E48" s="159" t="s">
        <v>337</v>
      </c>
      <c r="F48" s="145">
        <v>655000</v>
      </c>
      <c r="G48" s="9">
        <f>PE!$G$8</f>
        <v>277818.61290322582</v>
      </c>
      <c r="H48" s="101">
        <f>PE!$G$22</f>
        <v>335835.48387096776</v>
      </c>
      <c r="I48" s="46">
        <f t="shared" si="10"/>
        <v>613654.09677419357</v>
      </c>
      <c r="J48" s="318">
        <f t="shared" si="12"/>
        <v>41345.903225806425</v>
      </c>
      <c r="K48" s="320">
        <f t="shared" si="11"/>
        <v>-2311422.5161290299</v>
      </c>
      <c r="L48" s="123" t="str">
        <f t="shared" si="13"/>
        <v>sábado</v>
      </c>
      <c r="M48" s="318">
        <f t="shared" si="8"/>
        <v>377181.38709677418</v>
      </c>
      <c r="N48" s="318" t="str">
        <f t="shared" si="9"/>
        <v>oct</v>
      </c>
      <c r="P48" s="159"/>
    </row>
    <row r="49" spans="3:16" hidden="1" x14ac:dyDescent="0.25">
      <c r="C49" s="389" t="s">
        <v>319</v>
      </c>
      <c r="D49" s="47">
        <v>27</v>
      </c>
      <c r="E49" s="159" t="s">
        <v>338</v>
      </c>
      <c r="F49" s="145">
        <v>1200000</v>
      </c>
      <c r="G49" s="9">
        <f>PE!$G$8</f>
        <v>277818.61290322582</v>
      </c>
      <c r="H49" s="101">
        <f>PE!$G$22</f>
        <v>335835.48387096776</v>
      </c>
      <c r="I49" s="46">
        <f t="shared" si="10"/>
        <v>613654.09677419357</v>
      </c>
      <c r="J49" s="318">
        <f t="shared" si="12"/>
        <v>586345.90322580643</v>
      </c>
      <c r="K49" s="320">
        <f t="shared" si="11"/>
        <v>-1725076.6129032234</v>
      </c>
      <c r="L49" s="123" t="str">
        <f t="shared" si="13"/>
        <v>domingo</v>
      </c>
      <c r="M49" s="318">
        <f t="shared" si="8"/>
        <v>922181.38709677418</v>
      </c>
      <c r="N49" s="318" t="str">
        <f t="shared" si="9"/>
        <v>oct</v>
      </c>
      <c r="P49" s="159"/>
    </row>
    <row r="50" spans="3:16" hidden="1" x14ac:dyDescent="0.25">
      <c r="C50" s="389" t="s">
        <v>319</v>
      </c>
      <c r="D50" s="47">
        <v>28</v>
      </c>
      <c r="E50" s="159" t="s">
        <v>332</v>
      </c>
      <c r="F50" s="145">
        <v>300000</v>
      </c>
      <c r="G50" s="9">
        <f>PE!$G$8</f>
        <v>277818.61290322582</v>
      </c>
      <c r="H50" s="101">
        <f>PE!$G$22</f>
        <v>335835.48387096776</v>
      </c>
      <c r="I50" s="46">
        <f t="shared" si="10"/>
        <v>613654.09677419357</v>
      </c>
      <c r="J50" s="318">
        <f t="shared" si="12"/>
        <v>-313654.09677419357</v>
      </c>
      <c r="K50" s="320">
        <f t="shared" si="11"/>
        <v>-2038730.7096774168</v>
      </c>
      <c r="L50" s="123" t="str">
        <f t="shared" si="13"/>
        <v>lunes</v>
      </c>
      <c r="M50" s="318">
        <f t="shared" si="8"/>
        <v>22181.387096774182</v>
      </c>
      <c r="N50" s="318" t="str">
        <f t="shared" si="9"/>
        <v>oct</v>
      </c>
      <c r="P50" s="159"/>
    </row>
    <row r="51" spans="3:16" hidden="1" x14ac:dyDescent="0.25">
      <c r="C51" s="389" t="s">
        <v>319</v>
      </c>
      <c r="D51" s="47">
        <v>29</v>
      </c>
      <c r="E51" s="159" t="s">
        <v>333</v>
      </c>
      <c r="F51" s="145">
        <v>220000</v>
      </c>
      <c r="G51" s="9">
        <f>PE!$G$8</f>
        <v>277818.61290322582</v>
      </c>
      <c r="H51" s="101">
        <f>PE!$G$22</f>
        <v>335835.48387096776</v>
      </c>
      <c r="I51" s="46">
        <f t="shared" si="10"/>
        <v>613654.09677419357</v>
      </c>
      <c r="J51" s="318">
        <f t="shared" si="12"/>
        <v>-393654.09677419357</v>
      </c>
      <c r="K51" s="320">
        <f t="shared" si="11"/>
        <v>-2432384.8064516103</v>
      </c>
      <c r="L51" s="123" t="str">
        <f t="shared" si="13"/>
        <v>martes</v>
      </c>
      <c r="M51" s="318">
        <f t="shared" si="8"/>
        <v>-57818.612903225818</v>
      </c>
      <c r="N51" s="318" t="str">
        <f t="shared" si="9"/>
        <v>oct</v>
      </c>
      <c r="P51" s="159"/>
    </row>
    <row r="52" spans="3:16" hidden="1" x14ac:dyDescent="0.25">
      <c r="C52" s="389" t="s">
        <v>319</v>
      </c>
      <c r="D52" s="47">
        <v>30</v>
      </c>
      <c r="E52" s="159" t="s">
        <v>334</v>
      </c>
      <c r="F52" s="145">
        <v>320000</v>
      </c>
      <c r="G52" s="9">
        <f>PE!$G$8</f>
        <v>277818.61290322582</v>
      </c>
      <c r="H52" s="101">
        <f>PE!$G$22</f>
        <v>335835.48387096776</v>
      </c>
      <c r="I52" s="46">
        <f t="shared" si="10"/>
        <v>613654.09677419357</v>
      </c>
      <c r="J52" s="318">
        <f t="shared" si="12"/>
        <v>-293654.09677419357</v>
      </c>
      <c r="K52" s="320">
        <f t="shared" si="11"/>
        <v>-2726038.9032258037</v>
      </c>
      <c r="L52" s="123" t="str">
        <f t="shared" si="13"/>
        <v>miércoles</v>
      </c>
      <c r="M52" s="318">
        <f t="shared" si="8"/>
        <v>42181.387096774182</v>
      </c>
      <c r="N52" s="318" t="str">
        <f t="shared" si="9"/>
        <v>oct</v>
      </c>
      <c r="P52" s="159"/>
    </row>
    <row r="53" spans="3:16" hidden="1" x14ac:dyDescent="0.25">
      <c r="C53" s="389" t="s">
        <v>319</v>
      </c>
      <c r="D53" s="47">
        <v>31</v>
      </c>
      <c r="E53" s="159" t="s">
        <v>335</v>
      </c>
      <c r="F53" s="145">
        <v>370000</v>
      </c>
      <c r="G53" s="9">
        <f>PE!$G$8</f>
        <v>277818.61290322582</v>
      </c>
      <c r="H53" s="101">
        <f>PE!$G$22</f>
        <v>335835.48387096776</v>
      </c>
      <c r="I53" s="46">
        <f t="shared" si="10"/>
        <v>613654.09677419357</v>
      </c>
      <c r="J53" s="318">
        <f t="shared" si="12"/>
        <v>-243654.09677419357</v>
      </c>
      <c r="K53" s="320">
        <f t="shared" si="11"/>
        <v>-2969692.9999999972</v>
      </c>
      <c r="L53" s="123" t="str">
        <f t="shared" si="13"/>
        <v>jueves</v>
      </c>
      <c r="M53" s="318">
        <f t="shared" si="8"/>
        <v>92181.387096774182</v>
      </c>
      <c r="N53" s="318" t="str">
        <f t="shared" si="9"/>
        <v>oct</v>
      </c>
      <c r="P53" s="159"/>
    </row>
    <row r="54" spans="3:16" outlineLevel="1" x14ac:dyDescent="0.25">
      <c r="C54" s="389" t="s">
        <v>558</v>
      </c>
      <c r="D54" s="47">
        <v>1</v>
      </c>
      <c r="E54" s="159" t="s">
        <v>336</v>
      </c>
      <c r="F54" s="145">
        <v>370000</v>
      </c>
      <c r="G54" s="9">
        <f>PE!$K$8</f>
        <v>246666.66666666666</v>
      </c>
      <c r="H54" s="9">
        <f>PE!$K$22</f>
        <v>335058</v>
      </c>
      <c r="I54" s="46">
        <f t="shared" si="10"/>
        <v>581724.66666666663</v>
      </c>
      <c r="J54" s="318">
        <f t="shared" si="12"/>
        <v>-211724.66666666663</v>
      </c>
      <c r="K54" s="320">
        <f t="shared" si="11"/>
        <v>-3181417.6666666637</v>
      </c>
      <c r="L54" s="123" t="str">
        <f t="shared" si="13"/>
        <v>viernes</v>
      </c>
      <c r="M54" s="318">
        <f t="shared" si="8"/>
        <v>123333.33333333334</v>
      </c>
      <c r="N54" s="318" t="str">
        <f t="shared" si="9"/>
        <v>nov</v>
      </c>
      <c r="P54" s="159"/>
    </row>
    <row r="55" spans="3:16" outlineLevel="1" x14ac:dyDescent="0.25">
      <c r="C55" s="389" t="s">
        <v>558</v>
      </c>
      <c r="D55" s="47">
        <v>2</v>
      </c>
      <c r="E55" s="159" t="s">
        <v>337</v>
      </c>
      <c r="F55" s="145">
        <v>500000</v>
      </c>
      <c r="G55" s="9">
        <f>PE!$K$8</f>
        <v>246666.66666666666</v>
      </c>
      <c r="H55" s="9">
        <f>PE!$K$22</f>
        <v>335058</v>
      </c>
      <c r="I55" s="46">
        <f t="shared" si="10"/>
        <v>581724.66666666663</v>
      </c>
      <c r="J55" s="318">
        <f t="shared" si="12"/>
        <v>-81724.666666666628</v>
      </c>
      <c r="K55" s="320">
        <f t="shared" si="11"/>
        <v>-3263142.3333333302</v>
      </c>
      <c r="L55" s="123" t="str">
        <f t="shared" si="13"/>
        <v>sábado</v>
      </c>
      <c r="M55" s="318">
        <f t="shared" si="8"/>
        <v>253333.33333333334</v>
      </c>
      <c r="N55" s="318" t="str">
        <f t="shared" si="9"/>
        <v>nov</v>
      </c>
      <c r="P55" s="159"/>
    </row>
    <row r="56" spans="3:16" outlineLevel="1" x14ac:dyDescent="0.25">
      <c r="C56" s="389" t="s">
        <v>558</v>
      </c>
      <c r="D56" s="47">
        <v>3</v>
      </c>
      <c r="E56" s="159" t="s">
        <v>338</v>
      </c>
      <c r="F56" s="145">
        <v>1700000</v>
      </c>
      <c r="G56" s="9">
        <f>PE!$K$8</f>
        <v>246666.66666666666</v>
      </c>
      <c r="H56" s="9">
        <f>PE!$K$22</f>
        <v>335058</v>
      </c>
      <c r="I56" s="46">
        <f t="shared" si="10"/>
        <v>581724.66666666663</v>
      </c>
      <c r="J56" s="318">
        <f t="shared" si="12"/>
        <v>1118275.3333333335</v>
      </c>
      <c r="K56" s="320">
        <f t="shared" si="11"/>
        <v>-2144866.9999999967</v>
      </c>
      <c r="L56" s="123" t="str">
        <f t="shared" si="13"/>
        <v>domingo</v>
      </c>
      <c r="M56" s="318">
        <f t="shared" si="8"/>
        <v>1453333.3333333333</v>
      </c>
      <c r="N56" s="318" t="str">
        <f t="shared" si="9"/>
        <v>nov</v>
      </c>
      <c r="P56" s="159"/>
    </row>
    <row r="57" spans="3:16" outlineLevel="1" x14ac:dyDescent="0.25">
      <c r="C57" s="389" t="s">
        <v>558</v>
      </c>
      <c r="D57" s="47">
        <v>4</v>
      </c>
      <c r="E57" s="159" t="s">
        <v>332</v>
      </c>
      <c r="F57" s="145">
        <v>600000</v>
      </c>
      <c r="G57" s="9">
        <f>PE!$K$8</f>
        <v>246666.66666666666</v>
      </c>
      <c r="H57" s="9">
        <f>PE!$K$22</f>
        <v>335058</v>
      </c>
      <c r="I57" s="46">
        <f t="shared" si="10"/>
        <v>581724.66666666663</v>
      </c>
      <c r="J57" s="318">
        <f t="shared" si="12"/>
        <v>18275.333333333372</v>
      </c>
      <c r="K57" s="320">
        <f t="shared" si="11"/>
        <v>-2126591.6666666633</v>
      </c>
      <c r="L57" s="123" t="str">
        <f t="shared" si="13"/>
        <v>lunes</v>
      </c>
      <c r="M57" s="318">
        <f t="shared" si="8"/>
        <v>353333.33333333337</v>
      </c>
      <c r="N57" s="318" t="str">
        <f t="shared" si="9"/>
        <v>nov</v>
      </c>
      <c r="P57" s="159"/>
    </row>
    <row r="58" spans="3:16" outlineLevel="1" x14ac:dyDescent="0.25">
      <c r="C58" s="389" t="s">
        <v>558</v>
      </c>
      <c r="D58" s="47">
        <v>5</v>
      </c>
      <c r="E58" s="159" t="s">
        <v>333</v>
      </c>
      <c r="F58" s="145">
        <v>194000</v>
      </c>
      <c r="G58" s="9">
        <f>PE!$K$8</f>
        <v>246666.66666666666</v>
      </c>
      <c r="H58" s="9">
        <f>PE!$K$22</f>
        <v>335058</v>
      </c>
      <c r="I58" s="46">
        <f t="shared" si="10"/>
        <v>581724.66666666663</v>
      </c>
      <c r="J58" s="318">
        <f t="shared" si="12"/>
        <v>-387724.66666666663</v>
      </c>
      <c r="K58" s="320">
        <f t="shared" si="11"/>
        <v>-2514316.3333333298</v>
      </c>
      <c r="L58" s="123" t="str">
        <f t="shared" si="13"/>
        <v>martes</v>
      </c>
      <c r="M58" s="318">
        <f t="shared" si="8"/>
        <v>-52666.666666666657</v>
      </c>
      <c r="N58" s="318" t="str">
        <f t="shared" si="9"/>
        <v>nov</v>
      </c>
      <c r="P58" s="159"/>
    </row>
    <row r="59" spans="3:16" outlineLevel="1" x14ac:dyDescent="0.25">
      <c r="C59" s="389" t="s">
        <v>558</v>
      </c>
      <c r="D59" s="47">
        <v>6</v>
      </c>
      <c r="E59" s="159" t="s">
        <v>334</v>
      </c>
      <c r="F59" s="145">
        <v>627000</v>
      </c>
      <c r="G59" s="9">
        <f>PE!$K$8</f>
        <v>246666.66666666666</v>
      </c>
      <c r="H59" s="9">
        <f>PE!$K$22</f>
        <v>335058</v>
      </c>
      <c r="I59" s="46">
        <f t="shared" si="10"/>
        <v>581724.66666666663</v>
      </c>
      <c r="J59" s="318">
        <f t="shared" si="12"/>
        <v>45275.333333333372</v>
      </c>
      <c r="K59" s="320">
        <f t="shared" si="11"/>
        <v>-2469040.9999999963</v>
      </c>
      <c r="L59" s="123" t="str">
        <f t="shared" si="13"/>
        <v>miércoles</v>
      </c>
      <c r="M59" s="318">
        <f t="shared" si="8"/>
        <v>380333.33333333337</v>
      </c>
      <c r="N59" s="318" t="str">
        <f t="shared" si="9"/>
        <v>nov</v>
      </c>
      <c r="P59" s="159"/>
    </row>
    <row r="60" spans="3:16" outlineLevel="1" x14ac:dyDescent="0.25">
      <c r="C60" s="389" t="s">
        <v>558</v>
      </c>
      <c r="D60" s="47">
        <v>7</v>
      </c>
      <c r="E60" s="159" t="s">
        <v>335</v>
      </c>
      <c r="F60" s="145">
        <v>332500</v>
      </c>
      <c r="G60" s="9">
        <f>PE!$K$8</f>
        <v>246666.66666666666</v>
      </c>
      <c r="H60" s="9">
        <f>PE!$K$22</f>
        <v>335058</v>
      </c>
      <c r="I60" s="46">
        <f t="shared" si="10"/>
        <v>581724.66666666663</v>
      </c>
      <c r="J60" s="318">
        <f t="shared" si="12"/>
        <v>-249224.66666666663</v>
      </c>
      <c r="K60" s="320">
        <f t="shared" si="11"/>
        <v>-2718265.6666666628</v>
      </c>
      <c r="L60" s="123" t="str">
        <f t="shared" si="13"/>
        <v>jueves</v>
      </c>
      <c r="M60" s="318">
        <f t="shared" si="8"/>
        <v>85833.333333333343</v>
      </c>
      <c r="N60" s="318" t="str">
        <f t="shared" si="9"/>
        <v>nov</v>
      </c>
      <c r="P60" s="159"/>
    </row>
    <row r="61" spans="3:16" outlineLevel="1" x14ac:dyDescent="0.25">
      <c r="C61" s="389" t="s">
        <v>558</v>
      </c>
      <c r="D61" s="47">
        <v>8</v>
      </c>
      <c r="E61" s="159" t="s">
        <v>336</v>
      </c>
      <c r="F61" s="145">
        <v>342000</v>
      </c>
      <c r="G61" s="9">
        <f>PE!$K$8</f>
        <v>246666.66666666666</v>
      </c>
      <c r="H61" s="9">
        <f>PE!$K$22</f>
        <v>335058</v>
      </c>
      <c r="I61" s="46">
        <f t="shared" si="10"/>
        <v>581724.66666666663</v>
      </c>
      <c r="J61" s="318">
        <f t="shared" si="12"/>
        <v>-239724.66666666663</v>
      </c>
      <c r="K61" s="320">
        <f t="shared" si="11"/>
        <v>-2957990.3333333293</v>
      </c>
      <c r="L61" s="123" t="str">
        <f t="shared" si="13"/>
        <v>viernes</v>
      </c>
      <c r="M61" s="318">
        <f t="shared" si="8"/>
        <v>95333.333333333343</v>
      </c>
      <c r="N61" s="318" t="str">
        <f t="shared" si="9"/>
        <v>nov</v>
      </c>
      <c r="P61" s="159"/>
    </row>
    <row r="62" spans="3:16" outlineLevel="1" x14ac:dyDescent="0.25">
      <c r="C62" s="389" t="s">
        <v>558</v>
      </c>
      <c r="D62" s="47">
        <v>9</v>
      </c>
      <c r="E62" s="159" t="s">
        <v>337</v>
      </c>
      <c r="F62" s="145">
        <v>1552000</v>
      </c>
      <c r="G62" s="9">
        <f>PE!$K$8</f>
        <v>246666.66666666666</v>
      </c>
      <c r="H62" s="9">
        <f>PE!$K$22</f>
        <v>335058</v>
      </c>
      <c r="I62" s="46">
        <f t="shared" si="10"/>
        <v>581724.66666666663</v>
      </c>
      <c r="J62" s="318">
        <f t="shared" si="12"/>
        <v>970275.33333333337</v>
      </c>
      <c r="K62" s="320">
        <f t="shared" si="11"/>
        <v>-1987714.9999999958</v>
      </c>
      <c r="L62" s="123" t="str">
        <f t="shared" si="13"/>
        <v>sábado</v>
      </c>
      <c r="M62" s="318">
        <f t="shared" si="8"/>
        <v>1305333.3333333333</v>
      </c>
      <c r="N62" s="318" t="str">
        <f t="shared" si="9"/>
        <v>nov</v>
      </c>
      <c r="P62" s="159"/>
    </row>
    <row r="63" spans="3:16" outlineLevel="1" x14ac:dyDescent="0.25">
      <c r="C63" s="389" t="s">
        <v>558</v>
      </c>
      <c r="D63" s="47">
        <v>10</v>
      </c>
      <c r="E63" s="159" t="s">
        <v>338</v>
      </c>
      <c r="F63" s="145">
        <v>1690000</v>
      </c>
      <c r="G63" s="9">
        <f>PE!$K$8</f>
        <v>246666.66666666666</v>
      </c>
      <c r="H63" s="9">
        <f>PE!$K$22</f>
        <v>335058</v>
      </c>
      <c r="I63" s="46">
        <f t="shared" si="10"/>
        <v>581724.66666666663</v>
      </c>
      <c r="J63" s="318">
        <f t="shared" si="12"/>
        <v>1108275.3333333335</v>
      </c>
      <c r="K63" s="320">
        <f t="shared" si="11"/>
        <v>-879439.66666666232</v>
      </c>
      <c r="L63" s="123" t="str">
        <f t="shared" si="13"/>
        <v>domingo</v>
      </c>
      <c r="M63" s="318">
        <f t="shared" si="8"/>
        <v>1443333.3333333333</v>
      </c>
      <c r="N63" s="318" t="str">
        <f t="shared" si="9"/>
        <v>nov</v>
      </c>
      <c r="P63" s="159"/>
    </row>
    <row r="64" spans="3:16" outlineLevel="1" x14ac:dyDescent="0.25">
      <c r="C64" s="389" t="s">
        <v>558</v>
      </c>
      <c r="D64" s="47">
        <v>11</v>
      </c>
      <c r="E64" s="159" t="s">
        <v>332</v>
      </c>
      <c r="F64" s="145">
        <v>700000</v>
      </c>
      <c r="G64" s="9">
        <f>PE!$K$8</f>
        <v>246666.66666666666</v>
      </c>
      <c r="H64" s="9">
        <f>PE!$K$22</f>
        <v>335058</v>
      </c>
      <c r="I64" s="46">
        <f t="shared" si="10"/>
        <v>581724.66666666663</v>
      </c>
      <c r="J64" s="318">
        <f t="shared" si="12"/>
        <v>118275.33333333337</v>
      </c>
      <c r="K64" s="320">
        <f t="shared" ref="K64" si="14">+J64+K63</f>
        <v>-761164.33333332895</v>
      </c>
      <c r="L64" s="123" t="str">
        <f t="shared" si="13"/>
        <v>lunes</v>
      </c>
      <c r="M64" s="318">
        <f t="shared" si="8"/>
        <v>453333.33333333337</v>
      </c>
      <c r="N64" s="318" t="str">
        <f t="shared" si="9"/>
        <v>nov</v>
      </c>
      <c r="P64" s="159"/>
    </row>
    <row r="65" spans="3:16" outlineLevel="1" x14ac:dyDescent="0.25">
      <c r="C65" s="389" t="s">
        <v>558</v>
      </c>
      <c r="D65" s="47">
        <v>12</v>
      </c>
      <c r="E65" s="159" t="s">
        <v>333</v>
      </c>
      <c r="F65" s="145">
        <v>122000</v>
      </c>
      <c r="G65" s="9">
        <f>PE!$K$8</f>
        <v>246666.66666666666</v>
      </c>
      <c r="H65" s="9">
        <f>PE!$K$22</f>
        <v>335058</v>
      </c>
      <c r="I65" s="46">
        <f t="shared" si="10"/>
        <v>581724.66666666663</v>
      </c>
      <c r="J65" s="318">
        <f t="shared" si="12"/>
        <v>-459724.66666666663</v>
      </c>
      <c r="K65" s="320">
        <f t="shared" ref="K65" si="15">+J65+K64</f>
        <v>-1220888.9999999956</v>
      </c>
      <c r="L65" s="123" t="str">
        <f t="shared" si="13"/>
        <v>martes</v>
      </c>
      <c r="M65" s="318">
        <f t="shared" si="8"/>
        <v>-124666.66666666666</v>
      </c>
      <c r="N65" s="318" t="str">
        <f t="shared" si="9"/>
        <v>nov</v>
      </c>
      <c r="P65" s="159"/>
    </row>
    <row r="66" spans="3:16" outlineLevel="1" x14ac:dyDescent="0.25">
      <c r="C66" s="389" t="s">
        <v>558</v>
      </c>
      <c r="D66" s="47">
        <v>13</v>
      </c>
      <c r="E66" s="159" t="s">
        <v>334</v>
      </c>
      <c r="F66" s="145">
        <v>165000</v>
      </c>
      <c r="G66" s="9">
        <f>PE!$K$8</f>
        <v>246666.66666666666</v>
      </c>
      <c r="H66" s="9">
        <f>PE!$K$22</f>
        <v>335058</v>
      </c>
      <c r="I66" s="46">
        <f t="shared" ref="I66" si="16">+G66+H66</f>
        <v>581724.66666666663</v>
      </c>
      <c r="J66" s="318">
        <f t="shared" si="12"/>
        <v>-416724.66666666663</v>
      </c>
      <c r="K66" s="320">
        <f t="shared" ref="K66" si="17">+J66+K65</f>
        <v>-1637613.6666666623</v>
      </c>
      <c r="L66" s="123" t="str">
        <f t="shared" ref="L66" si="18">+E66</f>
        <v>miércoles</v>
      </c>
      <c r="M66" s="318">
        <f t="shared" si="8"/>
        <v>-81666.666666666657</v>
      </c>
      <c r="N66" s="318" t="str">
        <f t="shared" ref="N66" si="19">+C66</f>
        <v>nov</v>
      </c>
      <c r="P66" s="159"/>
    </row>
    <row r="67" spans="3:16" outlineLevel="1" x14ac:dyDescent="0.25">
      <c r="C67" s="389" t="s">
        <v>558</v>
      </c>
      <c r="D67" s="47">
        <v>14</v>
      </c>
      <c r="E67" s="159" t="s">
        <v>335</v>
      </c>
      <c r="F67" s="145">
        <v>61000</v>
      </c>
      <c r="G67" s="9">
        <f>PE!$K$8</f>
        <v>246666.66666666666</v>
      </c>
      <c r="H67" s="9">
        <f>PE!$K$22</f>
        <v>335058</v>
      </c>
      <c r="I67" s="46">
        <f t="shared" ref="I67:I70" si="20">+G67+H67</f>
        <v>581724.66666666663</v>
      </c>
      <c r="J67" s="318">
        <f t="shared" ref="J67:J70" si="21">+F67-I67</f>
        <v>-520724.66666666663</v>
      </c>
      <c r="K67" s="320">
        <f t="shared" ref="K67:K70" si="22">+J67+K66</f>
        <v>-2158338.3333333288</v>
      </c>
      <c r="L67" s="123" t="str">
        <f t="shared" ref="L67:L70" si="23">+E67</f>
        <v>jueves</v>
      </c>
      <c r="M67" s="318">
        <f t="shared" ref="M67:M70" si="24">+F67-G67</f>
        <v>-185666.66666666666</v>
      </c>
      <c r="N67" s="318" t="str">
        <f t="shared" ref="N67:N70" si="25">+C67</f>
        <v>nov</v>
      </c>
      <c r="P67" s="159"/>
    </row>
    <row r="68" spans="3:16" outlineLevel="1" x14ac:dyDescent="0.25">
      <c r="C68" s="389" t="s">
        <v>558</v>
      </c>
      <c r="D68" s="47">
        <v>15</v>
      </c>
      <c r="E68" s="159" t="s">
        <v>336</v>
      </c>
      <c r="F68" s="145">
        <v>235000</v>
      </c>
      <c r="G68" s="9">
        <f>PE!$K$8</f>
        <v>246666.66666666666</v>
      </c>
      <c r="H68" s="9">
        <f>PE!$K$22</f>
        <v>335058</v>
      </c>
      <c r="I68" s="46">
        <f t="shared" si="20"/>
        <v>581724.66666666663</v>
      </c>
      <c r="J68" s="318">
        <f t="shared" si="21"/>
        <v>-346724.66666666663</v>
      </c>
      <c r="K68" s="320">
        <f t="shared" si="22"/>
        <v>-2505062.9999999953</v>
      </c>
      <c r="L68" s="123" t="str">
        <f t="shared" si="23"/>
        <v>viernes</v>
      </c>
      <c r="M68" s="318">
        <f t="shared" si="24"/>
        <v>-11666.666666666657</v>
      </c>
      <c r="N68" s="318" t="str">
        <f t="shared" si="25"/>
        <v>nov</v>
      </c>
      <c r="P68" s="159"/>
    </row>
    <row r="69" spans="3:16" outlineLevel="1" x14ac:dyDescent="0.25">
      <c r="C69" s="389" t="s">
        <v>558</v>
      </c>
      <c r="D69" s="47">
        <v>16</v>
      </c>
      <c r="E69" s="159" t="s">
        <v>337</v>
      </c>
      <c r="F69" s="145">
        <v>811500</v>
      </c>
      <c r="G69" s="9">
        <f>PE!$K$8</f>
        <v>246666.66666666666</v>
      </c>
      <c r="H69" s="9">
        <f>PE!$K$22</f>
        <v>335058</v>
      </c>
      <c r="I69" s="46">
        <f t="shared" si="20"/>
        <v>581724.66666666663</v>
      </c>
      <c r="J69" s="318">
        <f t="shared" si="21"/>
        <v>229775.33333333337</v>
      </c>
      <c r="K69" s="320">
        <f t="shared" si="22"/>
        <v>-2275287.6666666619</v>
      </c>
      <c r="L69" s="123" t="str">
        <f t="shared" si="23"/>
        <v>sábado</v>
      </c>
      <c r="M69" s="318">
        <f t="shared" si="24"/>
        <v>564833.33333333337</v>
      </c>
      <c r="N69" s="318" t="str">
        <f t="shared" si="25"/>
        <v>nov</v>
      </c>
      <c r="P69" s="159"/>
    </row>
    <row r="70" spans="3:16" outlineLevel="1" x14ac:dyDescent="0.25">
      <c r="C70" s="389" t="s">
        <v>558</v>
      </c>
      <c r="D70" s="47">
        <v>17</v>
      </c>
      <c r="E70" s="159" t="s">
        <v>338</v>
      </c>
      <c r="F70" s="145">
        <v>1300900</v>
      </c>
      <c r="G70" s="9">
        <f>PE!$K$8</f>
        <v>246666.66666666666</v>
      </c>
      <c r="H70" s="9">
        <f>PE!$K$22</f>
        <v>335058</v>
      </c>
      <c r="I70" s="46">
        <f t="shared" si="20"/>
        <v>581724.66666666663</v>
      </c>
      <c r="J70" s="318">
        <f t="shared" si="21"/>
        <v>719175.33333333337</v>
      </c>
      <c r="K70" s="320">
        <f t="shared" si="22"/>
        <v>-1556112.3333333284</v>
      </c>
      <c r="L70" s="123" t="str">
        <f t="shared" si="23"/>
        <v>domingo</v>
      </c>
      <c r="M70" s="318">
        <f t="shared" si="24"/>
        <v>1054233.3333333333</v>
      </c>
      <c r="N70" s="318" t="str">
        <f t="shared" si="25"/>
        <v>nov</v>
      </c>
      <c r="P70" s="159"/>
    </row>
    <row r="71" spans="3:16" outlineLevel="1" x14ac:dyDescent="0.25">
      <c r="C71" s="389" t="s">
        <v>558</v>
      </c>
      <c r="D71" s="47">
        <v>18</v>
      </c>
      <c r="E71" s="159" t="s">
        <v>332</v>
      </c>
      <c r="F71" s="145">
        <v>350000</v>
      </c>
      <c r="G71" s="9">
        <f>PE!$K$8</f>
        <v>246666.66666666666</v>
      </c>
      <c r="H71" s="9">
        <f>PE!$K$22</f>
        <v>335058</v>
      </c>
      <c r="I71" s="46">
        <f t="shared" ref="I71:I77" si="26">+G71+H71</f>
        <v>581724.66666666663</v>
      </c>
      <c r="J71" s="318">
        <f t="shared" ref="J71:J77" si="27">+F71-I71</f>
        <v>-231724.66666666663</v>
      </c>
      <c r="K71" s="320">
        <f t="shared" ref="K71:K77" si="28">+J71+K70</f>
        <v>-1787836.9999999949</v>
      </c>
      <c r="L71" s="123" t="str">
        <f t="shared" ref="L71:L77" si="29">+E71</f>
        <v>lunes</v>
      </c>
      <c r="M71" s="318">
        <f t="shared" ref="M71:M77" si="30">+F71-G71</f>
        <v>103333.33333333334</v>
      </c>
      <c r="N71" s="318" t="str">
        <f t="shared" ref="N71:N77" si="31">+C71</f>
        <v>nov</v>
      </c>
      <c r="P71" s="159"/>
    </row>
    <row r="72" spans="3:16" outlineLevel="1" x14ac:dyDescent="0.25">
      <c r="C72" s="389" t="s">
        <v>558</v>
      </c>
      <c r="D72" s="47">
        <v>19</v>
      </c>
      <c r="E72" s="159" t="s">
        <v>333</v>
      </c>
      <c r="F72" s="145">
        <v>220000</v>
      </c>
      <c r="G72" s="9">
        <f>PE!$K$8</f>
        <v>246666.66666666666</v>
      </c>
      <c r="H72" s="9">
        <f>PE!$K$22</f>
        <v>335058</v>
      </c>
      <c r="I72" s="46">
        <f t="shared" si="26"/>
        <v>581724.66666666663</v>
      </c>
      <c r="J72" s="318">
        <f t="shared" si="27"/>
        <v>-361724.66666666663</v>
      </c>
      <c r="K72" s="320">
        <f t="shared" si="28"/>
        <v>-2149561.6666666614</v>
      </c>
      <c r="L72" s="123" t="str">
        <f t="shared" si="29"/>
        <v>martes</v>
      </c>
      <c r="M72" s="318">
        <f t="shared" si="30"/>
        <v>-26666.666666666657</v>
      </c>
      <c r="N72" s="318" t="str">
        <f t="shared" si="31"/>
        <v>nov</v>
      </c>
      <c r="P72" s="159"/>
    </row>
    <row r="73" spans="3:16" outlineLevel="1" x14ac:dyDescent="0.25">
      <c r="C73" s="389" t="s">
        <v>558</v>
      </c>
      <c r="D73" s="47">
        <v>20</v>
      </c>
      <c r="E73" s="159" t="s">
        <v>334</v>
      </c>
      <c r="F73" s="145">
        <v>320000</v>
      </c>
      <c r="G73" s="9">
        <f>PE!$K$8</f>
        <v>246666.66666666666</v>
      </c>
      <c r="H73" s="9">
        <f>PE!$K$22</f>
        <v>335058</v>
      </c>
      <c r="I73" s="46">
        <f t="shared" si="26"/>
        <v>581724.66666666663</v>
      </c>
      <c r="J73" s="318">
        <f t="shared" si="27"/>
        <v>-261724.66666666663</v>
      </c>
      <c r="K73" s="320">
        <f t="shared" si="28"/>
        <v>-2411286.3333333279</v>
      </c>
      <c r="L73" s="123" t="str">
        <f t="shared" si="29"/>
        <v>miércoles</v>
      </c>
      <c r="M73" s="318">
        <f t="shared" si="30"/>
        <v>73333.333333333343</v>
      </c>
      <c r="N73" s="318" t="str">
        <f t="shared" si="31"/>
        <v>nov</v>
      </c>
      <c r="P73" s="159"/>
    </row>
    <row r="74" spans="3:16" outlineLevel="1" x14ac:dyDescent="0.25">
      <c r="C74" s="389" t="s">
        <v>558</v>
      </c>
      <c r="D74" s="47">
        <v>21</v>
      </c>
      <c r="E74" s="159" t="s">
        <v>335</v>
      </c>
      <c r="F74" s="145">
        <v>216500</v>
      </c>
      <c r="G74" s="9">
        <f>PE!$K$8</f>
        <v>246666.66666666666</v>
      </c>
      <c r="H74" s="9">
        <f>PE!$K$22</f>
        <v>335058</v>
      </c>
      <c r="I74" s="46">
        <f t="shared" si="26"/>
        <v>581724.66666666663</v>
      </c>
      <c r="J74" s="318">
        <f t="shared" si="27"/>
        <v>-365224.66666666663</v>
      </c>
      <c r="K74" s="320">
        <f t="shared" si="28"/>
        <v>-2776510.9999999944</v>
      </c>
      <c r="L74" s="123" t="str">
        <f t="shared" si="29"/>
        <v>jueves</v>
      </c>
      <c r="M74" s="318">
        <f t="shared" si="30"/>
        <v>-30166.666666666657</v>
      </c>
      <c r="N74" s="318" t="str">
        <f t="shared" si="31"/>
        <v>nov</v>
      </c>
      <c r="P74" s="159"/>
    </row>
    <row r="75" spans="3:16" outlineLevel="1" x14ac:dyDescent="0.25">
      <c r="C75" s="389" t="s">
        <v>558</v>
      </c>
      <c r="D75" s="47">
        <v>22</v>
      </c>
      <c r="E75" s="159" t="s">
        <v>336</v>
      </c>
      <c r="F75" s="145">
        <v>186000</v>
      </c>
      <c r="G75" s="9">
        <f>PE!$K$8</f>
        <v>246666.66666666666</v>
      </c>
      <c r="H75" s="9">
        <f>PE!$K$22</f>
        <v>335058</v>
      </c>
      <c r="I75" s="46">
        <f t="shared" si="26"/>
        <v>581724.66666666663</v>
      </c>
      <c r="J75" s="318">
        <f t="shared" si="27"/>
        <v>-395724.66666666663</v>
      </c>
      <c r="K75" s="320">
        <f t="shared" si="28"/>
        <v>-3172235.6666666609</v>
      </c>
      <c r="L75" s="123" t="str">
        <f t="shared" si="29"/>
        <v>viernes</v>
      </c>
      <c r="M75" s="318">
        <f t="shared" si="30"/>
        <v>-60666.666666666657</v>
      </c>
      <c r="N75" s="318" t="str">
        <f t="shared" si="31"/>
        <v>nov</v>
      </c>
      <c r="P75" s="159"/>
    </row>
    <row r="76" spans="3:16" outlineLevel="1" x14ac:dyDescent="0.25">
      <c r="C76" s="389" t="s">
        <v>558</v>
      </c>
      <c r="D76" s="47">
        <v>23</v>
      </c>
      <c r="E76" s="159" t="s">
        <v>337</v>
      </c>
      <c r="F76" s="145">
        <v>587500</v>
      </c>
      <c r="G76" s="9">
        <f>PE!$K$8</f>
        <v>246666.66666666666</v>
      </c>
      <c r="H76" s="9">
        <f>PE!$K$22</f>
        <v>335058</v>
      </c>
      <c r="I76" s="46">
        <f t="shared" si="26"/>
        <v>581724.66666666663</v>
      </c>
      <c r="J76" s="318">
        <f t="shared" si="27"/>
        <v>5775.3333333333721</v>
      </c>
      <c r="K76" s="320">
        <f t="shared" si="28"/>
        <v>-3166460.3333333274</v>
      </c>
      <c r="L76" s="123" t="str">
        <f t="shared" si="29"/>
        <v>sábado</v>
      </c>
      <c r="M76" s="318">
        <f t="shared" si="30"/>
        <v>340833.33333333337</v>
      </c>
      <c r="N76" s="318" t="str">
        <f t="shared" si="31"/>
        <v>nov</v>
      </c>
      <c r="P76" s="159"/>
    </row>
    <row r="77" spans="3:16" outlineLevel="1" x14ac:dyDescent="0.25">
      <c r="C77" s="389" t="s">
        <v>558</v>
      </c>
      <c r="D77" s="47">
        <v>24</v>
      </c>
      <c r="E77" s="159" t="s">
        <v>338</v>
      </c>
      <c r="F77" s="145">
        <v>960000</v>
      </c>
      <c r="G77" s="9">
        <f>PE!$K$8</f>
        <v>246666.66666666666</v>
      </c>
      <c r="H77" s="9">
        <f>PE!$K$22</f>
        <v>335058</v>
      </c>
      <c r="I77" s="46">
        <f t="shared" si="26"/>
        <v>581724.66666666663</v>
      </c>
      <c r="J77" s="318">
        <f t="shared" si="27"/>
        <v>378275.33333333337</v>
      </c>
      <c r="K77" s="320">
        <f t="shared" si="28"/>
        <v>-2788184.9999999939</v>
      </c>
      <c r="L77" s="123" t="str">
        <f t="shared" si="29"/>
        <v>domingo</v>
      </c>
      <c r="M77" s="318">
        <f t="shared" si="30"/>
        <v>713333.33333333337</v>
      </c>
      <c r="N77" s="318" t="str">
        <f t="shared" si="31"/>
        <v>nov</v>
      </c>
      <c r="P77" s="159"/>
    </row>
    <row r="78" spans="3:16" outlineLevel="1" x14ac:dyDescent="0.25">
      <c r="C78" s="389" t="s">
        <v>558</v>
      </c>
      <c r="D78" s="47">
        <v>25</v>
      </c>
      <c r="E78" s="159" t="s">
        <v>332</v>
      </c>
      <c r="F78" s="145">
        <v>500000</v>
      </c>
      <c r="G78" s="9">
        <f>PE!$K$8</f>
        <v>246666.66666666666</v>
      </c>
      <c r="H78" s="9">
        <f>PE!$K$22</f>
        <v>335058</v>
      </c>
      <c r="I78" s="46">
        <f t="shared" ref="I78:I83" si="32">+G78+H78</f>
        <v>581724.66666666663</v>
      </c>
      <c r="J78" s="318">
        <f t="shared" ref="J78:J83" si="33">+F78-I78</f>
        <v>-81724.666666666628</v>
      </c>
      <c r="K78" s="320">
        <f t="shared" ref="K78:K83" si="34">+J78+K77</f>
        <v>-2869909.6666666605</v>
      </c>
      <c r="L78" s="123" t="str">
        <f t="shared" ref="L78:L83" si="35">+E78</f>
        <v>lunes</v>
      </c>
      <c r="M78" s="318">
        <f t="shared" ref="M78:M83" si="36">+F78-G78</f>
        <v>253333.33333333334</v>
      </c>
      <c r="N78" s="318" t="str">
        <f t="shared" ref="N78:N83" si="37">+C78</f>
        <v>nov</v>
      </c>
      <c r="P78" s="159"/>
    </row>
    <row r="79" spans="3:16" outlineLevel="1" x14ac:dyDescent="0.25">
      <c r="C79" s="389" t="s">
        <v>558</v>
      </c>
      <c r="D79" s="47">
        <v>26</v>
      </c>
      <c r="E79" s="159" t="s">
        <v>333</v>
      </c>
      <c r="F79" s="145">
        <v>400000</v>
      </c>
      <c r="G79" s="9">
        <f>PE!$K$8</f>
        <v>246666.66666666666</v>
      </c>
      <c r="H79" s="9">
        <f>PE!$K$22</f>
        <v>335058</v>
      </c>
      <c r="I79" s="46">
        <f t="shared" si="32"/>
        <v>581724.66666666663</v>
      </c>
      <c r="J79" s="318">
        <f t="shared" si="33"/>
        <v>-181724.66666666663</v>
      </c>
      <c r="K79" s="320">
        <f t="shared" si="34"/>
        <v>-3051634.333333327</v>
      </c>
      <c r="L79" s="123" t="str">
        <f t="shared" si="35"/>
        <v>martes</v>
      </c>
      <c r="M79" s="318">
        <f t="shared" si="36"/>
        <v>153333.33333333334</v>
      </c>
      <c r="N79" s="318" t="str">
        <f t="shared" si="37"/>
        <v>nov</v>
      </c>
      <c r="P79" s="159"/>
    </row>
    <row r="80" spans="3:16" x14ac:dyDescent="0.25">
      <c r="C80" s="389" t="s">
        <v>558</v>
      </c>
      <c r="D80" s="47">
        <v>27</v>
      </c>
      <c r="E80" s="159" t="s">
        <v>334</v>
      </c>
      <c r="F80" s="145">
        <v>210000</v>
      </c>
      <c r="G80" s="9">
        <f>PE!$K$8</f>
        <v>246666.66666666666</v>
      </c>
      <c r="H80" s="9">
        <f>PE!$K$22</f>
        <v>335058</v>
      </c>
      <c r="I80" s="46">
        <f t="shared" si="32"/>
        <v>581724.66666666663</v>
      </c>
      <c r="J80" s="318">
        <f t="shared" si="33"/>
        <v>-371724.66666666663</v>
      </c>
      <c r="K80" s="320">
        <f t="shared" si="34"/>
        <v>-3423358.9999999935</v>
      </c>
      <c r="L80" s="123" t="str">
        <f t="shared" si="35"/>
        <v>miércoles</v>
      </c>
      <c r="M80" s="318">
        <f t="shared" si="36"/>
        <v>-36666.666666666657</v>
      </c>
      <c r="N80" s="318" t="str">
        <f t="shared" si="37"/>
        <v>nov</v>
      </c>
      <c r="P80" s="159"/>
    </row>
    <row r="81" spans="3:16" x14ac:dyDescent="0.25">
      <c r="C81" s="389" t="s">
        <v>558</v>
      </c>
      <c r="D81" s="47">
        <v>28</v>
      </c>
      <c r="E81" s="159" t="s">
        <v>335</v>
      </c>
      <c r="F81" s="145">
        <v>200000</v>
      </c>
      <c r="G81" s="9">
        <f>PE!$K$8</f>
        <v>246666.66666666666</v>
      </c>
      <c r="H81" s="9">
        <f>PE!$K$22</f>
        <v>335058</v>
      </c>
      <c r="I81" s="46">
        <f t="shared" si="32"/>
        <v>581724.66666666663</v>
      </c>
      <c r="J81" s="318">
        <f t="shared" si="33"/>
        <v>-381724.66666666663</v>
      </c>
      <c r="K81" s="320">
        <f t="shared" si="34"/>
        <v>-3805083.66666666</v>
      </c>
      <c r="L81" s="123" t="str">
        <f t="shared" si="35"/>
        <v>jueves</v>
      </c>
      <c r="M81" s="318">
        <f t="shared" si="36"/>
        <v>-46666.666666666657</v>
      </c>
      <c r="N81" s="318" t="str">
        <f t="shared" si="37"/>
        <v>nov</v>
      </c>
      <c r="P81" s="159"/>
    </row>
    <row r="82" spans="3:16" x14ac:dyDescent="0.25">
      <c r="C82" s="389" t="s">
        <v>558</v>
      </c>
      <c r="D82" s="47">
        <v>29</v>
      </c>
      <c r="E82" s="159" t="s">
        <v>336</v>
      </c>
      <c r="F82" s="145">
        <v>400000</v>
      </c>
      <c r="G82" s="9">
        <f>PE!$K$8</f>
        <v>246666.66666666666</v>
      </c>
      <c r="H82" s="9">
        <f>PE!$K$22</f>
        <v>335058</v>
      </c>
      <c r="I82" s="46">
        <f t="shared" si="32"/>
        <v>581724.66666666663</v>
      </c>
      <c r="J82" s="318">
        <f t="shared" si="33"/>
        <v>-181724.66666666663</v>
      </c>
      <c r="K82" s="320">
        <f t="shared" si="34"/>
        <v>-3986808.3333333265</v>
      </c>
      <c r="L82" s="123" t="str">
        <f t="shared" si="35"/>
        <v>viernes</v>
      </c>
      <c r="M82" s="318">
        <f t="shared" si="36"/>
        <v>153333.33333333334</v>
      </c>
      <c r="N82" s="318" t="str">
        <f t="shared" si="37"/>
        <v>nov</v>
      </c>
      <c r="P82" s="159"/>
    </row>
    <row r="83" spans="3:16" x14ac:dyDescent="0.25">
      <c r="C83" s="389" t="s">
        <v>558</v>
      </c>
      <c r="D83" s="47">
        <v>30</v>
      </c>
      <c r="E83" s="159" t="s">
        <v>337</v>
      </c>
      <c r="F83" s="145">
        <v>900000</v>
      </c>
      <c r="G83" s="9">
        <f>PE!$K$8</f>
        <v>246666.66666666666</v>
      </c>
      <c r="H83" s="9">
        <f>PE!$K$22</f>
        <v>335058</v>
      </c>
      <c r="I83" s="46">
        <f t="shared" si="32"/>
        <v>581724.66666666663</v>
      </c>
      <c r="J83" s="318">
        <f t="shared" si="33"/>
        <v>318275.33333333337</v>
      </c>
      <c r="K83" s="320">
        <f t="shared" si="34"/>
        <v>-3668532.999999993</v>
      </c>
      <c r="L83" s="123" t="str">
        <f t="shared" si="35"/>
        <v>sábado</v>
      </c>
      <c r="M83" s="318">
        <f t="shared" si="36"/>
        <v>653333.33333333337</v>
      </c>
      <c r="N83" s="318" t="str">
        <f t="shared" si="37"/>
        <v>nov</v>
      </c>
    </row>
    <row r="84" spans="3:16" x14ac:dyDescent="0.25">
      <c r="D84"/>
      <c r="E84"/>
      <c r="G84" s="9"/>
      <c r="M84" s="318"/>
      <c r="N84" s="318"/>
    </row>
    <row r="85" spans="3:16" x14ac:dyDescent="0.25">
      <c r="D85"/>
      <c r="E85"/>
      <c r="G85" s="9"/>
      <c r="M85" s="318"/>
      <c r="N85" s="318"/>
    </row>
    <row r="86" spans="3:16" x14ac:dyDescent="0.25">
      <c r="D86"/>
      <c r="E86"/>
      <c r="G86" s="9"/>
      <c r="M86" s="318"/>
      <c r="N86" s="318"/>
    </row>
    <row r="87" spans="3:16" x14ac:dyDescent="0.25">
      <c r="D87"/>
      <c r="E87"/>
      <c r="G87" s="9"/>
      <c r="M87" s="318"/>
      <c r="N87" s="318"/>
    </row>
    <row r="88" spans="3:16" x14ac:dyDescent="0.25">
      <c r="D88"/>
      <c r="E88"/>
      <c r="M88" s="318"/>
      <c r="N88" s="318"/>
    </row>
    <row r="89" spans="3:16" x14ac:dyDescent="0.25">
      <c r="D89"/>
      <c r="E89"/>
      <c r="M89" s="318"/>
      <c r="N89" s="318"/>
    </row>
    <row r="90" spans="3:16" x14ac:dyDescent="0.25">
      <c r="D90"/>
      <c r="E90"/>
      <c r="M90" s="318"/>
      <c r="N90" s="318"/>
    </row>
    <row r="91" spans="3:16" x14ac:dyDescent="0.25">
      <c r="D91"/>
      <c r="E91"/>
      <c r="M91" s="318"/>
      <c r="N91" s="318"/>
    </row>
    <row r="92" spans="3:16" x14ac:dyDescent="0.25">
      <c r="D92"/>
      <c r="E92"/>
      <c r="M92" s="318"/>
      <c r="N92" s="318"/>
    </row>
    <row r="93" spans="3:16" x14ac:dyDescent="0.25">
      <c r="D93"/>
      <c r="E93"/>
      <c r="M93" s="318"/>
      <c r="N93" s="318"/>
    </row>
    <row r="94" spans="3:16" x14ac:dyDescent="0.25">
      <c r="D94"/>
      <c r="E94"/>
      <c r="M94" s="318"/>
      <c r="N94" s="318"/>
    </row>
    <row r="95" spans="3:16" x14ac:dyDescent="0.25">
      <c r="D95"/>
      <c r="E95"/>
      <c r="M95" s="318"/>
      <c r="N95" s="318"/>
    </row>
    <row r="96" spans="3:16" x14ac:dyDescent="0.25">
      <c r="D96"/>
      <c r="E96"/>
      <c r="M96" s="318"/>
      <c r="N96" s="318"/>
    </row>
    <row r="97" spans="4:14" x14ac:dyDescent="0.25">
      <c r="D97"/>
      <c r="E97"/>
      <c r="M97" s="318"/>
      <c r="N97" s="318"/>
    </row>
    <row r="98" spans="4:14" x14ac:dyDescent="0.25">
      <c r="D98"/>
      <c r="E98"/>
      <c r="M98" s="318"/>
      <c r="N98" s="318"/>
    </row>
    <row r="99" spans="4:14" x14ac:dyDescent="0.25">
      <c r="D99"/>
      <c r="E99"/>
      <c r="M99" s="318"/>
      <c r="N99" s="318"/>
    </row>
    <row r="100" spans="4:14" x14ac:dyDescent="0.25">
      <c r="D100"/>
      <c r="E100"/>
      <c r="M100" s="318"/>
      <c r="N100" s="318"/>
    </row>
    <row r="101" spans="4:14" x14ac:dyDescent="0.25">
      <c r="D101"/>
      <c r="E101"/>
      <c r="M101" s="318"/>
      <c r="N101" s="318"/>
    </row>
    <row r="102" spans="4:14" x14ac:dyDescent="0.25">
      <c r="D102"/>
      <c r="E102"/>
      <c r="M102" s="318"/>
      <c r="N102" s="318"/>
    </row>
    <row r="103" spans="4:14" x14ac:dyDescent="0.25">
      <c r="D103"/>
      <c r="E103"/>
      <c r="M103" s="318"/>
      <c r="N103" s="318"/>
    </row>
    <row r="104" spans="4:14" x14ac:dyDescent="0.25">
      <c r="D104"/>
      <c r="E104"/>
      <c r="M104" s="318"/>
      <c r="N104" s="318"/>
    </row>
    <row r="105" spans="4:14" x14ac:dyDescent="0.25">
      <c r="D105"/>
      <c r="E105"/>
      <c r="M105" s="318"/>
      <c r="N105" s="318"/>
    </row>
    <row r="106" spans="4:14" x14ac:dyDescent="0.25">
      <c r="D106"/>
      <c r="E106"/>
      <c r="M106" s="318"/>
      <c r="N106" s="318"/>
    </row>
    <row r="107" spans="4:14" x14ac:dyDescent="0.25">
      <c r="D107"/>
      <c r="E107"/>
      <c r="M107" s="318"/>
      <c r="N107" s="318"/>
    </row>
    <row r="108" spans="4:14" x14ac:dyDescent="0.25">
      <c r="D108"/>
      <c r="E108"/>
      <c r="M108" s="318"/>
      <c r="N108" s="318"/>
    </row>
    <row r="109" spans="4:14" x14ac:dyDescent="0.25">
      <c r="D109"/>
      <c r="E109"/>
      <c r="M109" s="318"/>
      <c r="N109" s="318"/>
    </row>
    <row r="110" spans="4:14" x14ac:dyDescent="0.25">
      <c r="D110"/>
      <c r="E110"/>
      <c r="M110" s="318"/>
      <c r="N110" s="318"/>
    </row>
    <row r="111" spans="4:14" x14ac:dyDescent="0.25">
      <c r="D111"/>
      <c r="E111"/>
      <c r="M111" s="318"/>
      <c r="N111" s="318"/>
    </row>
    <row r="112" spans="4:14" x14ac:dyDescent="0.25">
      <c r="D112"/>
      <c r="E112"/>
      <c r="M112" s="318"/>
      <c r="N112" s="318"/>
    </row>
    <row r="113" spans="4:14" x14ac:dyDescent="0.25">
      <c r="D113"/>
      <c r="E113"/>
      <c r="M113" s="318"/>
      <c r="N113" s="318"/>
    </row>
    <row r="114" spans="4:14" x14ac:dyDescent="0.25">
      <c r="D114"/>
      <c r="E114"/>
      <c r="M114" s="318"/>
      <c r="N114" s="318"/>
    </row>
    <row r="115" spans="4:14" x14ac:dyDescent="0.25">
      <c r="D115"/>
      <c r="E115"/>
      <c r="M115" s="318"/>
      <c r="N115" s="318"/>
    </row>
    <row r="116" spans="4:14" x14ac:dyDescent="0.25">
      <c r="D116"/>
      <c r="E116"/>
      <c r="M116" s="318"/>
      <c r="N116" s="318"/>
    </row>
    <row r="117" spans="4:14" x14ac:dyDescent="0.25">
      <c r="D117"/>
      <c r="E117"/>
      <c r="M117" s="318"/>
      <c r="N117" s="318"/>
    </row>
    <row r="118" spans="4:14" x14ac:dyDescent="0.25">
      <c r="D118"/>
      <c r="E118"/>
      <c r="M118" s="318"/>
      <c r="N118" s="318"/>
    </row>
    <row r="119" spans="4:14" x14ac:dyDescent="0.25">
      <c r="D119"/>
      <c r="E119"/>
      <c r="M119" s="318"/>
      <c r="N119" s="318"/>
    </row>
    <row r="120" spans="4:14" x14ac:dyDescent="0.25">
      <c r="D120"/>
      <c r="E120"/>
      <c r="M120" s="318"/>
      <c r="N120" s="318"/>
    </row>
    <row r="121" spans="4:14" x14ac:dyDescent="0.25">
      <c r="D121"/>
      <c r="E121"/>
      <c r="M121" s="318"/>
      <c r="N121" s="318"/>
    </row>
    <row r="122" spans="4:14" x14ac:dyDescent="0.25">
      <c r="D122"/>
      <c r="E122"/>
      <c r="M122" s="318"/>
      <c r="N122" s="318"/>
    </row>
    <row r="123" spans="4:14" x14ac:dyDescent="0.25">
      <c r="D123"/>
      <c r="E123"/>
      <c r="M123" s="318"/>
      <c r="N123" s="318"/>
    </row>
    <row r="124" spans="4:14" x14ac:dyDescent="0.25">
      <c r="D124"/>
      <c r="E124"/>
      <c r="M124" s="318"/>
      <c r="N124" s="318"/>
    </row>
    <row r="125" spans="4:14" x14ac:dyDescent="0.25">
      <c r="D125"/>
      <c r="E125"/>
      <c r="M125" s="318"/>
      <c r="N125" s="318"/>
    </row>
    <row r="126" spans="4:14" x14ac:dyDescent="0.25">
      <c r="D126"/>
      <c r="E126"/>
      <c r="M126" s="318"/>
      <c r="N126" s="318"/>
    </row>
    <row r="127" spans="4:14" x14ac:dyDescent="0.25">
      <c r="D127"/>
      <c r="E127"/>
      <c r="M127" s="318"/>
      <c r="N127" s="318"/>
    </row>
    <row r="128" spans="4:14" x14ac:dyDescent="0.25">
      <c r="D128"/>
      <c r="E128"/>
      <c r="M128" s="318"/>
      <c r="N128" s="318"/>
    </row>
    <row r="129" spans="4:14" x14ac:dyDescent="0.25">
      <c r="D129"/>
      <c r="E129"/>
      <c r="M129" s="318"/>
      <c r="N129" s="318"/>
    </row>
    <row r="130" spans="4:14" x14ac:dyDescent="0.25">
      <c r="D130"/>
      <c r="E130"/>
      <c r="M130" s="318"/>
      <c r="N130" s="318"/>
    </row>
    <row r="131" spans="4:14" x14ac:dyDescent="0.25">
      <c r="D131"/>
      <c r="E131"/>
      <c r="M131" s="318"/>
      <c r="N131" s="318"/>
    </row>
    <row r="132" spans="4:14" x14ac:dyDescent="0.25">
      <c r="D132"/>
      <c r="E132"/>
      <c r="M132" s="318"/>
      <c r="N132" s="318"/>
    </row>
    <row r="133" spans="4:14" x14ac:dyDescent="0.25">
      <c r="D133"/>
      <c r="E133"/>
      <c r="M133" s="318"/>
      <c r="N133" s="318"/>
    </row>
    <row r="134" spans="4:14" x14ac:dyDescent="0.25">
      <c r="D134"/>
      <c r="E134"/>
      <c r="M134" s="318"/>
      <c r="N134" s="318"/>
    </row>
    <row r="135" spans="4:14" x14ac:dyDescent="0.25">
      <c r="D135"/>
      <c r="E135"/>
      <c r="M135" s="318"/>
      <c r="N135" s="318"/>
    </row>
    <row r="136" spans="4:14" x14ac:dyDescent="0.25">
      <c r="D136"/>
      <c r="E136"/>
      <c r="M136" s="318"/>
      <c r="N136" s="318"/>
    </row>
    <row r="137" spans="4:14" x14ac:dyDescent="0.25">
      <c r="D137"/>
      <c r="E137"/>
      <c r="M137" s="318"/>
      <c r="N137" s="318"/>
    </row>
    <row r="138" spans="4:14" x14ac:dyDescent="0.25">
      <c r="D138"/>
      <c r="E138"/>
      <c r="M138" s="318"/>
      <c r="N138" s="318"/>
    </row>
    <row r="139" spans="4:14" x14ac:dyDescent="0.25">
      <c r="D139"/>
      <c r="E139"/>
      <c r="M139" s="318"/>
      <c r="N139" s="318"/>
    </row>
    <row r="140" spans="4:14" x14ac:dyDescent="0.25">
      <c r="D140"/>
      <c r="E140"/>
      <c r="M140" s="318"/>
      <c r="N140" s="318"/>
    </row>
    <row r="141" spans="4:14" x14ac:dyDescent="0.25">
      <c r="D141"/>
      <c r="E141"/>
      <c r="M141" s="318"/>
      <c r="N141" s="318"/>
    </row>
    <row r="142" spans="4:14" x14ac:dyDescent="0.25">
      <c r="D142"/>
      <c r="E142"/>
      <c r="M142" s="318"/>
      <c r="N142" s="318"/>
    </row>
    <row r="143" spans="4:14" x14ac:dyDescent="0.25">
      <c r="D143"/>
      <c r="E143"/>
      <c r="M143" s="318"/>
      <c r="N143" s="318"/>
    </row>
    <row r="144" spans="4:14" x14ac:dyDescent="0.25">
      <c r="D144"/>
      <c r="E144"/>
      <c r="M144" s="318"/>
      <c r="N144" s="318"/>
    </row>
    <row r="145" spans="4:14" x14ac:dyDescent="0.25">
      <c r="D145"/>
      <c r="E145"/>
      <c r="M145" s="318"/>
      <c r="N145" s="318"/>
    </row>
    <row r="146" spans="4:14" x14ac:dyDescent="0.25">
      <c r="D146"/>
      <c r="E146"/>
      <c r="M146" s="318"/>
      <c r="N146" s="318"/>
    </row>
    <row r="147" spans="4:14" x14ac:dyDescent="0.25">
      <c r="D147"/>
      <c r="E147"/>
      <c r="M147" s="318"/>
      <c r="N147" s="318"/>
    </row>
    <row r="148" spans="4:14" x14ac:dyDescent="0.25">
      <c r="D148"/>
      <c r="E148"/>
      <c r="M148" s="318"/>
      <c r="N148" s="318"/>
    </row>
    <row r="149" spans="4:14" x14ac:dyDescent="0.25">
      <c r="D149"/>
      <c r="E149"/>
      <c r="M149" s="318"/>
      <c r="N149" s="318"/>
    </row>
    <row r="150" spans="4:14" x14ac:dyDescent="0.25">
      <c r="D150"/>
      <c r="E150"/>
      <c r="M150" s="318"/>
      <c r="N150" s="318"/>
    </row>
    <row r="151" spans="4:14" x14ac:dyDescent="0.25">
      <c r="D151"/>
      <c r="E151"/>
      <c r="M151" s="318"/>
      <c r="N151" s="318"/>
    </row>
    <row r="152" spans="4:14" x14ac:dyDescent="0.25">
      <c r="D152"/>
      <c r="E152"/>
      <c r="M152" s="318"/>
      <c r="N152" s="318"/>
    </row>
    <row r="153" spans="4:14" x14ac:dyDescent="0.25">
      <c r="D153"/>
      <c r="E153"/>
      <c r="M153" s="318"/>
      <c r="N153" s="318"/>
    </row>
  </sheetData>
  <autoFilter ref="G13:N77" xr:uid="{00000000-0009-0000-0000-000014000000}">
    <filterColumn colId="7">
      <filters>
        <filter val="nov"/>
      </filters>
    </filterColumn>
  </autoFilter>
  <conditionalFormatting sqref="J13:J8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{C732C7DD-E30F-4662-969B-DCDAD33BC6BC}</x14:id>
        </ext>
      </extLst>
    </cfRule>
  </conditionalFormatting>
  <conditionalFormatting sqref="K2:M8">
    <cfRule type="iconSet" priority="6">
      <iconSet>
        <cfvo type="percent" val="0"/>
        <cfvo type="num" val="-200000"/>
        <cfvo type="num" val="0" gte="0"/>
      </iconSet>
    </cfRule>
  </conditionalFormatting>
  <conditionalFormatting sqref="M14:M83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{136147BB-BECE-45EC-B5B1-132667EB8D8D}</x14:id>
        </ext>
      </extLst>
    </cfRule>
  </conditionalFormatting>
  <conditionalFormatting sqref="N14:N65 M67:N153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{49984A3F-52F0-4B06-B1C9-D86D7D06499F}</x14:id>
        </ext>
      </extLst>
    </cfRule>
  </conditionalFormatting>
  <conditionalFormatting sqref="N66:N8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{A8C72A92-4642-4AD2-A409-7FC0A6A03400}</x14:id>
        </ext>
      </extLst>
    </cfRule>
  </conditionalFormatting>
  <pageMargins left="0.7" right="0.7" top="0.75" bottom="0.75" header="0.3" footer="0.3"/>
  <pageSetup paperSize="9" orientation="portrait" horizontalDpi="300" verticalDpi="300"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32C7DD-E30F-4662-969B-DCDAD33BC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J13:J83</xm:sqref>
        </x14:conditionalFormatting>
        <x14:conditionalFormatting xmlns:xm="http://schemas.microsoft.com/office/excel/2006/main">
          <x14:cfRule type="dataBar" id="{136147BB-BECE-45EC-B5B1-132667EB8D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M14:M83</xm:sqref>
        </x14:conditionalFormatting>
        <x14:conditionalFormatting xmlns:xm="http://schemas.microsoft.com/office/excel/2006/main">
          <x14:cfRule type="dataBar" id="{49984A3F-52F0-4B06-B1C9-D86D7D0649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N14:N65 M67:N153</xm:sqref>
        </x14:conditionalFormatting>
        <x14:conditionalFormatting xmlns:xm="http://schemas.microsoft.com/office/excel/2006/main">
          <x14:cfRule type="dataBar" id="{A8C72A92-4642-4AD2-A409-7FC0A6A034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N66:N83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0.59999389629810485"/>
  </sheetPr>
  <dimension ref="A1:T37"/>
  <sheetViews>
    <sheetView workbookViewId="0"/>
  </sheetViews>
  <sheetFormatPr baseColWidth="10" defaultRowHeight="15" x14ac:dyDescent="0.25"/>
  <cols>
    <col min="1" max="1" width="11.7109375" bestFit="1" customWidth="1"/>
    <col min="2" max="2" width="20.42578125" bestFit="1" customWidth="1"/>
    <col min="3" max="3" width="13.28515625" bestFit="1" customWidth="1"/>
    <col min="5" max="5" width="11.7109375" bestFit="1" customWidth="1"/>
    <col min="6" max="6" width="20.42578125" bestFit="1" customWidth="1"/>
    <col min="7" max="7" width="13.28515625" bestFit="1" customWidth="1"/>
    <col min="9" max="9" width="11.7109375" bestFit="1" customWidth="1"/>
    <col min="10" max="10" width="20.42578125" bestFit="1" customWidth="1"/>
    <col min="11" max="11" width="13.28515625" bestFit="1" customWidth="1"/>
    <col min="12" max="13" width="11.85546875" customWidth="1"/>
    <col min="16" max="16" width="13.5703125" customWidth="1"/>
    <col min="17" max="17" width="13.28515625" bestFit="1" customWidth="1"/>
    <col min="18" max="18" width="12" bestFit="1" customWidth="1"/>
    <col min="19" max="19" width="13.5703125" bestFit="1" customWidth="1"/>
  </cols>
  <sheetData>
    <row r="1" spans="1:20" ht="21" x14ac:dyDescent="0.35">
      <c r="A1" s="283"/>
      <c r="B1" s="492" t="s">
        <v>571</v>
      </c>
      <c r="C1" s="492"/>
      <c r="D1" s="289"/>
      <c r="E1" s="283"/>
      <c r="F1" s="492" t="s">
        <v>572</v>
      </c>
      <c r="G1" s="492"/>
      <c r="H1" s="289"/>
      <c r="I1" s="283"/>
      <c r="J1" s="488" t="s">
        <v>573</v>
      </c>
      <c r="K1" s="489"/>
      <c r="L1" s="489"/>
      <c r="M1" s="490"/>
      <c r="N1" s="289"/>
      <c r="O1" s="283"/>
      <c r="P1" s="488" t="s">
        <v>574</v>
      </c>
      <c r="Q1" s="489"/>
      <c r="R1" s="489"/>
      <c r="S1" s="490"/>
      <c r="T1" s="289"/>
    </row>
    <row r="2" spans="1:20" x14ac:dyDescent="0.25">
      <c r="A2" s="283"/>
      <c r="B2" s="294" t="s">
        <v>56</v>
      </c>
      <c r="C2" s="295">
        <f>+SUM('OPEX (3)'!G9:G17)</f>
        <v>715000</v>
      </c>
      <c r="D2" s="289"/>
      <c r="E2" s="283"/>
      <c r="F2" s="294" t="s">
        <v>56</v>
      </c>
      <c r="G2" s="295">
        <f>+SUM('OPEX (3)'!O9:O17)</f>
        <v>1935000</v>
      </c>
      <c r="H2" s="289"/>
      <c r="I2" s="283"/>
      <c r="J2" s="294" t="s">
        <v>56</v>
      </c>
      <c r="K2" s="299">
        <f>+SUM('OPEX (3)'!W9:W17)</f>
        <v>1760000</v>
      </c>
      <c r="L2" s="292">
        <f>+K2-G2</f>
        <v>-175000</v>
      </c>
      <c r="M2" s="301">
        <f>+K2/G2-1</f>
        <v>-9.0439276485788089E-2</v>
      </c>
      <c r="N2" s="289"/>
      <c r="O2" s="283"/>
      <c r="P2" s="294" t="s">
        <v>56</v>
      </c>
      <c r="Q2" s="299">
        <f>+SUM('OPEX (3)'!AE9:AE17)</f>
        <v>1550000</v>
      </c>
      <c r="R2" s="292">
        <f>+Q2-K2</f>
        <v>-210000</v>
      </c>
      <c r="S2" s="301">
        <f>+Q2/K2-1</f>
        <v>-0.11931818181818177</v>
      </c>
      <c r="T2" s="289"/>
    </row>
    <row r="3" spans="1:20" x14ac:dyDescent="0.25">
      <c r="A3" s="283"/>
      <c r="B3" s="296" t="s">
        <v>2</v>
      </c>
      <c r="C3" s="293">
        <f>+OPEX_deuda!G4</f>
        <v>1500000</v>
      </c>
      <c r="D3" s="289"/>
      <c r="E3" s="283"/>
      <c r="F3" s="296" t="s">
        <v>2</v>
      </c>
      <c r="G3" s="293">
        <f>+OPEX_deuda!O4</f>
        <v>2500000</v>
      </c>
      <c r="H3" s="289"/>
      <c r="I3" s="283"/>
      <c r="J3" s="294" t="s">
        <v>2</v>
      </c>
      <c r="K3" s="299">
        <f>+OPEX_deuda!W4</f>
        <v>2500000</v>
      </c>
      <c r="L3" s="291">
        <f>+K3-G3</f>
        <v>0</v>
      </c>
      <c r="M3" s="301">
        <f>+K3/G3-1</f>
        <v>0</v>
      </c>
      <c r="N3" s="289"/>
      <c r="O3" s="283"/>
      <c r="P3" s="294" t="s">
        <v>2</v>
      </c>
      <c r="Q3" s="299">
        <f>+SUM(OPEX_deuda!AE4)</f>
        <v>2500000</v>
      </c>
      <c r="R3" s="292">
        <f t="shared" ref="R3:R6" si="0">+Q3-K3</f>
        <v>0</v>
      </c>
      <c r="S3" s="301">
        <f t="shared" ref="S3:S6" si="1">+Q3/K3-1</f>
        <v>0</v>
      </c>
      <c r="T3" s="289"/>
    </row>
    <row r="4" spans="1:20" x14ac:dyDescent="0.25">
      <c r="A4" s="283"/>
      <c r="B4" s="294" t="s">
        <v>11</v>
      </c>
      <c r="C4" s="169">
        <f>+SUM(OPEX!G17:G20)</f>
        <v>0</v>
      </c>
      <c r="D4" s="289"/>
      <c r="E4" s="283"/>
      <c r="F4" s="294" t="s">
        <v>11</v>
      </c>
      <c r="G4" s="169">
        <f>+SUM(OPEX_deuda!O18:O21)</f>
        <v>777377</v>
      </c>
      <c r="H4" s="289"/>
      <c r="I4" s="283"/>
      <c r="J4" s="294" t="s">
        <v>11</v>
      </c>
      <c r="K4" s="299">
        <f>+SUM(OPEX_deuda!W18:W21)</f>
        <v>0</v>
      </c>
      <c r="L4" s="290">
        <f>+K4-G4</f>
        <v>-777377</v>
      </c>
      <c r="M4" s="301">
        <f>+K4/G4-1</f>
        <v>-1</v>
      </c>
      <c r="N4" s="289"/>
      <c r="O4" s="283"/>
      <c r="P4" s="294" t="s">
        <v>11</v>
      </c>
      <c r="Q4" s="299">
        <f>+SUM(OPEX_deuda!AE18:AE21)</f>
        <v>600000</v>
      </c>
      <c r="R4" s="292">
        <f t="shared" si="0"/>
        <v>600000</v>
      </c>
      <c r="S4" s="301" t="e">
        <f t="shared" si="1"/>
        <v>#DIV/0!</v>
      </c>
      <c r="T4" s="289"/>
    </row>
    <row r="5" spans="1:20" x14ac:dyDescent="0.25">
      <c r="A5" s="283"/>
      <c r="B5" s="294" t="s">
        <v>10</v>
      </c>
      <c r="C5" s="169">
        <f>+SUM(OPEX!G5:G8)</f>
        <v>0</v>
      </c>
      <c r="D5" s="289"/>
      <c r="E5" s="283"/>
      <c r="F5" s="294" t="s">
        <v>10</v>
      </c>
      <c r="G5" s="287">
        <f>+SUM(OPEX_deuda!O5:O8)</f>
        <v>800000</v>
      </c>
      <c r="H5" s="289"/>
      <c r="I5" s="283"/>
      <c r="J5" s="294" t="s">
        <v>10</v>
      </c>
      <c r="K5" s="354">
        <f>+SUM(OPEX_deuda!W5:W8)</f>
        <v>780000</v>
      </c>
      <c r="L5" s="298">
        <f>+K5-G5</f>
        <v>-20000</v>
      </c>
      <c r="M5" s="302">
        <f>+K5/G5-1</f>
        <v>-2.5000000000000022E-2</v>
      </c>
      <c r="N5" s="289"/>
      <c r="O5" s="283"/>
      <c r="P5" s="294" t="s">
        <v>10</v>
      </c>
      <c r="Q5" s="299">
        <f>+SUM(OPEX_deuda!AE18:AE21)</f>
        <v>600000</v>
      </c>
      <c r="R5" s="300">
        <f t="shared" si="0"/>
        <v>-180000</v>
      </c>
      <c r="S5" s="302">
        <f t="shared" si="1"/>
        <v>-0.23076923076923073</v>
      </c>
      <c r="T5" s="289"/>
    </row>
    <row r="6" spans="1:20" ht="18" x14ac:dyDescent="0.4">
      <c r="A6" s="283"/>
      <c r="C6" s="297">
        <f>+SUM(C2:C5)</f>
        <v>2215000</v>
      </c>
      <c r="D6" s="289"/>
      <c r="E6" s="283"/>
      <c r="G6" s="297">
        <f>+SUM(G2:G5)</f>
        <v>6012377</v>
      </c>
      <c r="H6" s="289"/>
      <c r="I6" s="283"/>
      <c r="K6" s="297">
        <f>+SUM(K2:K5)</f>
        <v>5040000</v>
      </c>
      <c r="L6" s="145">
        <f>+K6-G6</f>
        <v>-972377</v>
      </c>
      <c r="M6" s="303">
        <f>+K6/G6-1</f>
        <v>-0.1617292129219442</v>
      </c>
      <c r="N6" s="289"/>
      <c r="O6" s="283"/>
      <c r="Q6" s="297">
        <f>+SUM(Q2:Q5)</f>
        <v>5250000</v>
      </c>
      <c r="R6" s="284">
        <f t="shared" si="0"/>
        <v>210000</v>
      </c>
      <c r="S6" s="303">
        <f t="shared" si="1"/>
        <v>4.1666666666666741E-2</v>
      </c>
      <c r="T6" s="289"/>
    </row>
    <row r="7" spans="1:20" ht="18" x14ac:dyDescent="0.4">
      <c r="A7" s="283"/>
      <c r="C7" s="297"/>
      <c r="D7" s="289"/>
      <c r="E7" s="283"/>
      <c r="G7" s="297"/>
      <c r="H7" s="289"/>
      <c r="I7" s="283"/>
      <c r="K7" s="297"/>
      <c r="L7" s="145"/>
      <c r="M7" s="303"/>
      <c r="N7" s="289"/>
      <c r="O7" s="283"/>
      <c r="Q7" s="297"/>
      <c r="R7" s="284"/>
      <c r="S7" s="303"/>
      <c r="T7" s="289"/>
    </row>
    <row r="8" spans="1:20" ht="30" x14ac:dyDescent="0.25">
      <c r="A8" s="315">
        <v>0.4</v>
      </c>
      <c r="B8" s="304" t="s">
        <v>598</v>
      </c>
      <c r="C8" s="295">
        <f>+C6/'OPEX (3)'!G3</f>
        <v>738333.33333333337</v>
      </c>
      <c r="D8" s="355">
        <f>+C8/C$23</f>
        <v>0.62856494225148263</v>
      </c>
      <c r="E8" s="283"/>
      <c r="F8" s="304" t="s">
        <v>598</v>
      </c>
      <c r="G8" s="295">
        <f>+G6/'OPEX (3)'!O3</f>
        <v>668041.88888888888</v>
      </c>
      <c r="H8" s="355">
        <f>+G8/G$23</f>
        <v>0.51995711919961374</v>
      </c>
      <c r="I8" s="283"/>
      <c r="J8" s="304" t="s">
        <v>598</v>
      </c>
      <c r="K8" s="295">
        <f>+K6/'OPEX (3)'!W3</f>
        <v>458181.81818181818</v>
      </c>
      <c r="L8" s="355">
        <f>+K8/K$23</f>
        <v>0.32109933928896156</v>
      </c>
      <c r="M8" s="303"/>
      <c r="N8" s="289"/>
      <c r="O8" s="283"/>
      <c r="P8" s="304" t="s">
        <v>598</v>
      </c>
      <c r="Q8" s="295">
        <f>+Q6/'OPEX (3)'!AE3</f>
        <v>525000</v>
      </c>
      <c r="R8" s="355">
        <f>+Q8/Q$23</f>
        <v>0.48607330540957927</v>
      </c>
      <c r="S8" s="303"/>
      <c r="T8" s="289"/>
    </row>
    <row r="9" spans="1:20" x14ac:dyDescent="0.25">
      <c r="A9" s="283"/>
      <c r="D9" s="289"/>
      <c r="E9" s="283"/>
      <c r="H9" s="289"/>
      <c r="I9" s="283"/>
      <c r="N9" s="289"/>
      <c r="O9" s="283"/>
      <c r="T9" s="289"/>
    </row>
    <row r="10" spans="1:20" x14ac:dyDescent="0.25">
      <c r="A10" s="283"/>
      <c r="D10" s="289"/>
      <c r="E10" s="283"/>
      <c r="H10" s="289"/>
      <c r="I10" s="283"/>
      <c r="N10" s="289"/>
      <c r="O10" s="283"/>
      <c r="T10" s="289"/>
    </row>
    <row r="11" spans="1:20" x14ac:dyDescent="0.25">
      <c r="A11" s="283"/>
      <c r="D11" s="289"/>
      <c r="E11" s="283"/>
      <c r="H11" s="289"/>
      <c r="I11" s="283"/>
      <c r="N11" s="289"/>
      <c r="O11" s="283"/>
      <c r="T11" s="289"/>
    </row>
    <row r="12" spans="1:20" x14ac:dyDescent="0.25">
      <c r="A12" s="283"/>
      <c r="D12" s="289"/>
      <c r="E12" s="283"/>
      <c r="H12" s="289"/>
      <c r="I12" s="283"/>
      <c r="N12" s="289"/>
      <c r="O12" s="283"/>
      <c r="T12" s="289"/>
    </row>
    <row r="13" spans="1:20" x14ac:dyDescent="0.25">
      <c r="A13" s="283"/>
      <c r="D13" s="289"/>
      <c r="E13" s="283"/>
      <c r="H13" s="289"/>
      <c r="I13" s="283"/>
      <c r="N13" s="289"/>
      <c r="O13" s="283"/>
      <c r="T13" s="289"/>
    </row>
    <row r="14" spans="1:20" x14ac:dyDescent="0.25">
      <c r="A14" s="283"/>
      <c r="D14" s="289"/>
      <c r="E14" s="283"/>
      <c r="H14" s="289"/>
      <c r="I14" s="283"/>
      <c r="N14" s="289"/>
      <c r="O14" s="283"/>
      <c r="T14" s="289"/>
    </row>
    <row r="15" spans="1:20" x14ac:dyDescent="0.25">
      <c r="A15" s="283"/>
      <c r="D15" s="289"/>
      <c r="E15" s="283"/>
      <c r="H15" s="289"/>
      <c r="I15" s="283"/>
      <c r="N15" s="289"/>
      <c r="O15" s="283"/>
      <c r="T15" s="289"/>
    </row>
    <row r="16" spans="1:20" x14ac:dyDescent="0.25">
      <c r="A16" s="283"/>
      <c r="D16" s="289"/>
      <c r="E16" s="283"/>
      <c r="H16" s="289"/>
      <c r="I16" s="283"/>
      <c r="N16" s="289"/>
      <c r="O16" s="283"/>
      <c r="T16" s="289"/>
    </row>
    <row r="17" spans="1:20" x14ac:dyDescent="0.25">
      <c r="A17" s="283"/>
      <c r="D17" s="289"/>
      <c r="E17" s="283"/>
      <c r="H17" s="289"/>
      <c r="I17" s="283"/>
      <c r="N17" s="289"/>
      <c r="O17" s="283"/>
      <c r="T17" s="289"/>
    </row>
    <row r="18" spans="1:20" x14ac:dyDescent="0.25">
      <c r="A18" s="283"/>
      <c r="D18" s="289"/>
      <c r="E18" s="283"/>
      <c r="H18" s="289"/>
      <c r="I18" s="283"/>
      <c r="N18" s="289"/>
      <c r="O18" s="283"/>
      <c r="T18" s="289"/>
    </row>
    <row r="19" spans="1:20" x14ac:dyDescent="0.25">
      <c r="A19" s="283"/>
      <c r="D19" s="289"/>
      <c r="E19" s="283"/>
      <c r="H19" s="289"/>
      <c r="I19" s="283"/>
      <c r="N19" s="289"/>
      <c r="O19" s="283"/>
      <c r="T19" s="289"/>
    </row>
    <row r="20" spans="1:20" x14ac:dyDescent="0.25">
      <c r="A20" s="283"/>
      <c r="D20" s="289"/>
      <c r="E20" s="283"/>
      <c r="H20" s="289"/>
      <c r="I20" s="283"/>
      <c r="N20" s="289"/>
      <c r="O20" s="283"/>
      <c r="T20" s="289"/>
    </row>
    <row r="21" spans="1:20" x14ac:dyDescent="0.25">
      <c r="A21" s="283"/>
      <c r="D21" s="289"/>
      <c r="E21" s="283"/>
      <c r="H21" s="289"/>
      <c r="I21" s="283"/>
      <c r="N21" s="289"/>
      <c r="O21" s="283"/>
      <c r="T21" s="289"/>
    </row>
    <row r="22" spans="1:20" ht="30" x14ac:dyDescent="0.25">
      <c r="A22" s="315">
        <v>0.6</v>
      </c>
      <c r="B22" s="314" t="s">
        <v>583</v>
      </c>
      <c r="C22" s="295">
        <f>(B28*$A$22)/'OPEX (3)'!G3</f>
        <v>436300</v>
      </c>
      <c r="D22" s="355">
        <f>+C22/C$23</f>
        <v>0.37143505774851721</v>
      </c>
      <c r="E22" s="283"/>
      <c r="F22" s="314" t="s">
        <v>583</v>
      </c>
      <c r="G22" s="295">
        <f>(F28*$A$22)/'OPEX (3)'!O3</f>
        <v>616760</v>
      </c>
      <c r="H22" s="355">
        <f>+G22/G$23</f>
        <v>0.48004288080038621</v>
      </c>
      <c r="I22" s="283"/>
      <c r="J22" s="314" t="s">
        <v>583</v>
      </c>
      <c r="K22" s="295">
        <f>(J28*$A$22)/M28</f>
        <v>968734.28571428568</v>
      </c>
      <c r="L22" s="355">
        <f>+K22/K$23</f>
        <v>0.67890066071103849</v>
      </c>
      <c r="M22" s="303"/>
      <c r="N22" s="289"/>
      <c r="O22" s="283"/>
      <c r="P22" s="314" t="s">
        <v>583</v>
      </c>
      <c r="Q22" s="356">
        <f>(P28*$A$22)/'OPEX (3)'!AE3</f>
        <v>555084</v>
      </c>
      <c r="R22" s="355">
        <f>+Q22/Q$23</f>
        <v>0.51392669459042073</v>
      </c>
      <c r="S22" s="303"/>
      <c r="T22" s="289"/>
    </row>
    <row r="23" spans="1:20" ht="18" x14ac:dyDescent="0.4">
      <c r="B23" t="s">
        <v>599</v>
      </c>
      <c r="C23" s="297">
        <f>+C8+C22</f>
        <v>1174633.3333333335</v>
      </c>
      <c r="F23" t="s">
        <v>599</v>
      </c>
      <c r="G23" s="297">
        <f>+G8+G22</f>
        <v>1284801.888888889</v>
      </c>
      <c r="J23" t="s">
        <v>599</v>
      </c>
      <c r="K23" s="297">
        <f>+K8+K22</f>
        <v>1426916.1038961038</v>
      </c>
      <c r="P23" t="s">
        <v>599</v>
      </c>
      <c r="Q23" s="297">
        <f>+Q22+Q8</f>
        <v>1080084</v>
      </c>
    </row>
    <row r="24" spans="1:20" ht="18" x14ac:dyDescent="0.4">
      <c r="A24" s="158" t="s">
        <v>350</v>
      </c>
      <c r="B24" t="s">
        <v>450</v>
      </c>
      <c r="C24" s="297"/>
      <c r="E24" s="158" t="s">
        <v>350</v>
      </c>
      <c r="F24" t="s">
        <v>450</v>
      </c>
      <c r="G24" s="297"/>
      <c r="I24" s="158" t="s">
        <v>350</v>
      </c>
      <c r="J24" t="s">
        <v>450</v>
      </c>
      <c r="K24" s="297"/>
      <c r="Q24" s="297"/>
    </row>
    <row r="25" spans="1:20" x14ac:dyDescent="0.25">
      <c r="A25" s="158" t="s">
        <v>625</v>
      </c>
      <c r="B25" t="s">
        <v>624</v>
      </c>
      <c r="E25" s="158" t="s">
        <v>625</v>
      </c>
      <c r="F25" t="s">
        <v>624</v>
      </c>
      <c r="I25" s="158" t="s">
        <v>625</v>
      </c>
      <c r="J25" t="s">
        <v>624</v>
      </c>
    </row>
    <row r="26" spans="1:20" ht="15.75" thickBot="1" x14ac:dyDescent="0.3"/>
    <row r="27" spans="1:20" x14ac:dyDescent="0.25">
      <c r="A27" s="158" t="s">
        <v>55</v>
      </c>
      <c r="B27" t="s">
        <v>627</v>
      </c>
      <c r="E27" s="158" t="s">
        <v>55</v>
      </c>
      <c r="F27" t="s">
        <v>627</v>
      </c>
      <c r="I27" s="158" t="s">
        <v>55</v>
      </c>
      <c r="J27" t="s">
        <v>627</v>
      </c>
      <c r="M27" s="342" t="s">
        <v>628</v>
      </c>
      <c r="O27" s="342" t="s">
        <v>55</v>
      </c>
      <c r="P27" s="342" t="s">
        <v>632</v>
      </c>
    </row>
    <row r="28" spans="1:20" x14ac:dyDescent="0.25">
      <c r="A28" s="502" t="s">
        <v>318</v>
      </c>
      <c r="B28" s="501">
        <v>2181500</v>
      </c>
      <c r="C28" s="9">
        <f>+B28/'OPEX (3)'!G3</f>
        <v>727166.66666666663</v>
      </c>
      <c r="E28" s="502" t="s">
        <v>319</v>
      </c>
      <c r="F28" s="501">
        <v>9251400</v>
      </c>
      <c r="G28" s="9">
        <f>+F28/'OPEX (3)'!O3</f>
        <v>1027933.3333333334</v>
      </c>
      <c r="I28" s="502" t="s">
        <v>558</v>
      </c>
      <c r="J28" s="501">
        <v>11301900</v>
      </c>
      <c r="K28" s="9">
        <f>+J28/M28</f>
        <v>1614557.142857143</v>
      </c>
      <c r="M28" s="343">
        <v>7</v>
      </c>
      <c r="O28" s="340" t="s">
        <v>558</v>
      </c>
      <c r="P28" s="357">
        <f>+F28</f>
        <v>9251400</v>
      </c>
    </row>
    <row r="29" spans="1:20" x14ac:dyDescent="0.25">
      <c r="B29" s="358" t="s">
        <v>633</v>
      </c>
      <c r="C29" s="341">
        <f>+C28-C23</f>
        <v>-447466.66666666686</v>
      </c>
      <c r="F29" s="358" t="s">
        <v>633</v>
      </c>
      <c r="G29" s="341">
        <f>+G28-G23</f>
        <v>-256868.55555555562</v>
      </c>
      <c r="J29" s="358" t="s">
        <v>633</v>
      </c>
      <c r="K29" s="341">
        <f>+K28-K23</f>
        <v>187641.03896103916</v>
      </c>
    </row>
    <row r="30" spans="1:20" x14ac:dyDescent="0.25">
      <c r="B30" s="358" t="s">
        <v>634</v>
      </c>
      <c r="C30" s="341">
        <f>+C29*'OPEX (3)'!G3</f>
        <v>-1342400.0000000005</v>
      </c>
      <c r="F30" s="358" t="s">
        <v>634</v>
      </c>
      <c r="G30" s="341">
        <f>+G29*'OPEX (3)'!O3</f>
        <v>-2311817.0000000005</v>
      </c>
      <c r="J30" s="358" t="s">
        <v>634</v>
      </c>
      <c r="K30" s="341">
        <f>+K29*M28</f>
        <v>1313487.2727272741</v>
      </c>
    </row>
    <row r="31" spans="1:20" x14ac:dyDescent="0.25">
      <c r="B31" s="359" t="s">
        <v>635</v>
      </c>
      <c r="C31" s="344">
        <f>+C30-PE!C28</f>
        <v>-44484.000000000466</v>
      </c>
      <c r="F31" s="359" t="s">
        <v>635</v>
      </c>
      <c r="G31" s="344">
        <f>+G30-PE!G28</f>
        <v>-640039.99999999814</v>
      </c>
      <c r="J31" s="359" t="s">
        <v>635</v>
      </c>
      <c r="K31" s="344">
        <f>+K30-PE!K28</f>
        <v>2012327.2727272729</v>
      </c>
    </row>
    <row r="32" spans="1:20" x14ac:dyDescent="0.25">
      <c r="B32" s="359"/>
      <c r="C32" s="359"/>
      <c r="D32" s="359"/>
      <c r="E32" s="359"/>
      <c r="F32" s="359"/>
      <c r="G32" s="359"/>
      <c r="H32" s="359"/>
      <c r="I32" s="359"/>
      <c r="J32" s="359"/>
      <c r="K32" s="359"/>
      <c r="L32" s="359"/>
      <c r="M32" s="359"/>
      <c r="N32" s="359"/>
      <c r="O32" s="359"/>
      <c r="P32" s="359"/>
      <c r="Q32" s="359"/>
      <c r="R32" s="359"/>
      <c r="S32" s="359"/>
      <c r="T32" s="359"/>
    </row>
    <row r="33" spans="1:11" ht="15.75" x14ac:dyDescent="0.25">
      <c r="A33" s="363" t="e">
        <f>+C33/B27</f>
        <v>#VALUE!</v>
      </c>
      <c r="B33" s="314" t="s">
        <v>637</v>
      </c>
      <c r="C33" s="295">
        <f>+C22*'OPEX (3)'!G3</f>
        <v>1308900</v>
      </c>
      <c r="E33" s="363" t="e">
        <f>+G33/F27</f>
        <v>#VALUE!</v>
      </c>
      <c r="F33" s="314" t="s">
        <v>637</v>
      </c>
      <c r="G33" s="295">
        <f>+G22*'OPEX (3)'!O3</f>
        <v>5550840</v>
      </c>
      <c r="I33" s="363" t="e">
        <f>+K33/J27</f>
        <v>#VALUE!</v>
      </c>
      <c r="J33" s="314" t="s">
        <v>637</v>
      </c>
      <c r="K33" s="295">
        <f>+K22*M28</f>
        <v>6781140</v>
      </c>
    </row>
    <row r="34" spans="1:11" x14ac:dyDescent="0.25">
      <c r="B34" s="304" t="s">
        <v>638</v>
      </c>
      <c r="C34" s="295">
        <f>+C6</f>
        <v>2215000</v>
      </c>
      <c r="F34" s="304" t="s">
        <v>638</v>
      </c>
      <c r="G34" s="295">
        <f>+G6</f>
        <v>6012377</v>
      </c>
      <c r="J34" s="304" t="s">
        <v>638</v>
      </c>
      <c r="K34" s="295">
        <f>+(K6/'OPEX (3)'!W3)*M28</f>
        <v>3207272.7272727271</v>
      </c>
    </row>
    <row r="35" spans="1:11" ht="26.25" x14ac:dyDescent="0.25">
      <c r="B35" s="362" t="s">
        <v>639</v>
      </c>
      <c r="C35" s="293">
        <f>+C33+C34</f>
        <v>3523900</v>
      </c>
      <c r="F35" s="362" t="s">
        <v>639</v>
      </c>
      <c r="G35" s="293">
        <f>+G33+G34</f>
        <v>11563217</v>
      </c>
      <c r="J35" s="362" t="s">
        <v>639</v>
      </c>
      <c r="K35" s="293">
        <f>+K33+K34</f>
        <v>9988412.7272727266</v>
      </c>
    </row>
    <row r="37" spans="1:11" x14ac:dyDescent="0.25">
      <c r="B37" s="314" t="s">
        <v>640</v>
      </c>
      <c r="C37" s="361">
        <f>+B28-C35</f>
        <v>-1342400</v>
      </c>
      <c r="F37" s="314" t="s">
        <v>640</v>
      </c>
      <c r="G37" s="361">
        <f>+F28-G35</f>
        <v>-2311817</v>
      </c>
      <c r="J37" s="314" t="s">
        <v>640</v>
      </c>
      <c r="K37" s="361">
        <f>+J28-K35</f>
        <v>1313487.2727272734</v>
      </c>
    </row>
  </sheetData>
  <mergeCells count="4">
    <mergeCell ref="B1:C1"/>
    <mergeCell ref="F1:G1"/>
    <mergeCell ref="J1:M1"/>
    <mergeCell ref="P1:S1"/>
  </mergeCells>
  <conditionalFormatting sqref="L2:L7">
    <cfRule type="cellIs" dxfId="19" priority="27" operator="greaterThan">
      <formula>0</formula>
    </cfRule>
    <cfRule type="cellIs" dxfId="18" priority="28" operator="lessThan">
      <formula>0</formula>
    </cfRule>
  </conditionalFormatting>
  <conditionalFormatting sqref="M2:M8">
    <cfRule type="cellIs" dxfId="17" priority="25" operator="lessThan">
      <formula>0</formula>
    </cfRule>
    <cfRule type="cellIs" dxfId="16" priority="26" operator="greaterThan">
      <formula>0</formula>
    </cfRule>
  </conditionalFormatting>
  <conditionalFormatting sqref="M22">
    <cfRule type="cellIs" dxfId="15" priority="9" operator="lessThan">
      <formula>0</formula>
    </cfRule>
    <cfRule type="cellIs" dxfId="14" priority="10" operator="greaterThan">
      <formula>0</formula>
    </cfRule>
  </conditionalFormatting>
  <conditionalFormatting sqref="R2:R7">
    <cfRule type="cellIs" dxfId="13" priority="15" operator="greaterThan">
      <formula>0</formula>
    </cfRule>
    <cfRule type="cellIs" dxfId="12" priority="16" operator="lessThan">
      <formula>0</formula>
    </cfRule>
  </conditionalFormatting>
  <conditionalFormatting sqref="S2:S8">
    <cfRule type="cellIs" dxfId="11" priority="13" operator="lessThan">
      <formula>0</formula>
    </cfRule>
    <cfRule type="cellIs" dxfId="10" priority="14" operator="greaterThan">
      <formula>0</formula>
    </cfRule>
  </conditionalFormatting>
  <conditionalFormatting sqref="S22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4"/>
  <legacy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T28"/>
  <sheetViews>
    <sheetView workbookViewId="0"/>
  </sheetViews>
  <sheetFormatPr baseColWidth="10" defaultRowHeight="15" x14ac:dyDescent="0.25"/>
  <cols>
    <col min="1" max="1" width="7.140625" customWidth="1"/>
    <col min="2" max="2" width="12" customWidth="1"/>
    <col min="3" max="3" width="13" customWidth="1"/>
    <col min="4" max="4" width="11.85546875" customWidth="1"/>
    <col min="5" max="5" width="7.140625" customWidth="1"/>
    <col min="6" max="6" width="13" customWidth="1"/>
    <col min="7" max="7" width="13.28515625" bestFit="1" customWidth="1"/>
    <col min="9" max="9" width="7.140625" bestFit="1" customWidth="1"/>
    <col min="10" max="10" width="13" bestFit="1" customWidth="1"/>
    <col min="11" max="11" width="13.28515625" bestFit="1" customWidth="1"/>
    <col min="12" max="13" width="11.85546875" customWidth="1"/>
    <col min="16" max="16" width="13.5703125" customWidth="1"/>
    <col min="17" max="17" width="13.28515625" bestFit="1" customWidth="1"/>
    <col min="18" max="18" width="12" bestFit="1" customWidth="1"/>
    <col min="19" max="19" width="13.5703125" bestFit="1" customWidth="1"/>
  </cols>
  <sheetData>
    <row r="1" spans="1:20" ht="21" x14ac:dyDescent="0.35">
      <c r="A1" s="283"/>
      <c r="B1" s="492" t="s">
        <v>571</v>
      </c>
      <c r="C1" s="492"/>
      <c r="D1" s="289"/>
      <c r="E1" s="283"/>
      <c r="F1" s="492" t="s">
        <v>572</v>
      </c>
      <c r="G1" s="492"/>
      <c r="H1" s="289"/>
      <c r="I1" s="283"/>
      <c r="J1" s="488" t="s">
        <v>573</v>
      </c>
      <c r="K1" s="489"/>
      <c r="L1" s="489"/>
      <c r="M1" s="490"/>
      <c r="N1" s="289"/>
      <c r="O1" s="283"/>
      <c r="P1" s="488" t="s">
        <v>574</v>
      </c>
      <c r="Q1" s="489"/>
      <c r="R1" s="489"/>
      <c r="S1" s="490"/>
      <c r="T1" s="289"/>
    </row>
    <row r="2" spans="1:20" x14ac:dyDescent="0.25">
      <c r="A2" s="283"/>
      <c r="B2" s="294" t="s">
        <v>56</v>
      </c>
      <c r="C2" s="295">
        <f>+SUM(OPEX!G9:G16)</f>
        <v>1420000</v>
      </c>
      <c r="D2" s="289"/>
      <c r="E2" s="283"/>
      <c r="F2" s="294" t="s">
        <v>56</v>
      </c>
      <c r="G2" s="295">
        <f>+SUM(OPEX!M9:M16)</f>
        <v>4535000</v>
      </c>
      <c r="H2" s="289"/>
      <c r="I2" s="283"/>
      <c r="J2" s="294" t="s">
        <v>56</v>
      </c>
      <c r="K2" s="299">
        <f>+SUM(OPEX!S9:S16)</f>
        <v>4100000</v>
      </c>
      <c r="L2" s="292">
        <f>+K2-G2</f>
        <v>-435000</v>
      </c>
      <c r="M2" s="301">
        <f>+K2/G2-1</f>
        <v>-9.592061742006619E-2</v>
      </c>
      <c r="N2" s="289"/>
      <c r="O2" s="283"/>
      <c r="P2" s="294" t="s">
        <v>56</v>
      </c>
      <c r="Q2" s="299">
        <f>+SUM(OPEX!Y9:Y16)</f>
        <v>3685000</v>
      </c>
      <c r="R2" s="292">
        <f>+Q2-K2</f>
        <v>-415000</v>
      </c>
      <c r="S2" s="301">
        <f>+Q2/K2-1</f>
        <v>-0.10121951219512193</v>
      </c>
      <c r="T2" s="289"/>
    </row>
    <row r="3" spans="1:20" x14ac:dyDescent="0.25">
      <c r="A3" s="283"/>
      <c r="B3" s="296" t="s">
        <v>2</v>
      </c>
      <c r="C3" s="293">
        <f>+OPEX!G4</f>
        <v>1500000</v>
      </c>
      <c r="D3" s="289"/>
      <c r="E3" s="283"/>
      <c r="F3" s="296" t="s">
        <v>2</v>
      </c>
      <c r="G3" s="293">
        <f>OPEX!$M$4</f>
        <v>2500000</v>
      </c>
      <c r="H3" s="289"/>
      <c r="I3" s="283"/>
      <c r="J3" s="294" t="s">
        <v>2</v>
      </c>
      <c r="K3" s="299">
        <f>OPEX!$M$4</f>
        <v>2500000</v>
      </c>
      <c r="L3" s="291">
        <f>+K3-G3</f>
        <v>0</v>
      </c>
      <c r="M3" s="301">
        <f>+K3/G3-1</f>
        <v>0</v>
      </c>
      <c r="N3" s="289"/>
      <c r="O3" s="283"/>
      <c r="P3" s="294" t="s">
        <v>2</v>
      </c>
      <c r="Q3" s="299">
        <f>+OPEX!Y4</f>
        <v>2500000</v>
      </c>
      <c r="R3" s="292">
        <f t="shared" ref="R3:R6" si="0">+Q3-K3</f>
        <v>0</v>
      </c>
      <c r="S3" s="301">
        <f t="shared" ref="S3:S6" si="1">+Q3/K3-1</f>
        <v>0</v>
      </c>
      <c r="T3" s="289"/>
    </row>
    <row r="4" spans="1:20" x14ac:dyDescent="0.25">
      <c r="A4" s="283"/>
      <c r="B4" s="294" t="s">
        <v>11</v>
      </c>
      <c r="C4" s="169">
        <f>+SUM(OPEX!G17:G20)</f>
        <v>0</v>
      </c>
      <c r="D4" s="289"/>
      <c r="E4" s="283"/>
      <c r="F4" s="294" t="s">
        <v>11</v>
      </c>
      <c r="G4" s="169">
        <f>+SUM(OPEX!M17:M20)</f>
        <v>777377</v>
      </c>
      <c r="H4" s="289"/>
      <c r="I4" s="283"/>
      <c r="J4" s="294" t="s">
        <v>11</v>
      </c>
      <c r="K4" s="299">
        <f>+SUM(OPEX!S17:S20)</f>
        <v>0</v>
      </c>
      <c r="L4" s="290">
        <f>+K4-G4</f>
        <v>-777377</v>
      </c>
      <c r="M4" s="301">
        <f>+K4/G4-1</f>
        <v>-1</v>
      </c>
      <c r="N4" s="289"/>
      <c r="O4" s="283"/>
      <c r="P4" s="294" t="s">
        <v>11</v>
      </c>
      <c r="Q4" s="299">
        <f>+SUM(OPEX!Y17:Y20)</f>
        <v>600000</v>
      </c>
      <c r="R4" s="292">
        <f t="shared" si="0"/>
        <v>600000</v>
      </c>
      <c r="S4" s="301" t="e">
        <f t="shared" si="1"/>
        <v>#DIV/0!</v>
      </c>
      <c r="T4" s="289"/>
    </row>
    <row r="5" spans="1:20" x14ac:dyDescent="0.25">
      <c r="A5" s="283"/>
      <c r="B5" s="294" t="s">
        <v>10</v>
      </c>
      <c r="C5" s="169">
        <f>+SUM(OPEX!G5:G8)</f>
        <v>0</v>
      </c>
      <c r="D5" s="289"/>
      <c r="E5" s="283"/>
      <c r="F5" s="294" t="s">
        <v>10</v>
      </c>
      <c r="G5" s="169">
        <f>+SUM(OPEX!M5:M8)</f>
        <v>800000</v>
      </c>
      <c r="H5" s="289"/>
      <c r="I5" s="283"/>
      <c r="J5" s="294" t="s">
        <v>10</v>
      </c>
      <c r="K5" s="299">
        <f>+SUM(OPEX!S5:S7)</f>
        <v>800000</v>
      </c>
      <c r="L5" s="298">
        <f>+K5-G5</f>
        <v>0</v>
      </c>
      <c r="M5" s="302">
        <f>+K5/G5-1</f>
        <v>0</v>
      </c>
      <c r="N5" s="289"/>
      <c r="O5" s="283"/>
      <c r="P5" s="294" t="s">
        <v>10</v>
      </c>
      <c r="Q5" s="299">
        <f>+SUM(OPEX!Y5:Y8)</f>
        <v>780000</v>
      </c>
      <c r="R5" s="300">
        <f t="shared" si="0"/>
        <v>-20000</v>
      </c>
      <c r="S5" s="302">
        <f t="shared" si="1"/>
        <v>-2.5000000000000022E-2</v>
      </c>
      <c r="T5" s="289"/>
    </row>
    <row r="6" spans="1:20" ht="18" x14ac:dyDescent="0.4">
      <c r="A6" s="283"/>
      <c r="C6" s="297">
        <f>+SUM(C2:C5)</f>
        <v>2920000</v>
      </c>
      <c r="D6" s="289"/>
      <c r="E6" s="283"/>
      <c r="G6" s="297">
        <f>+SUM(G2:G5)</f>
        <v>8612377</v>
      </c>
      <c r="H6" s="289"/>
      <c r="I6" s="283"/>
      <c r="K6" s="297">
        <f>+SUM(K2:K5)</f>
        <v>7400000</v>
      </c>
      <c r="L6" s="145">
        <f>+K6-G6</f>
        <v>-1212377</v>
      </c>
      <c r="M6" s="303">
        <f>+K6/G6-1</f>
        <v>-0.14077147342713869</v>
      </c>
      <c r="N6" s="289"/>
      <c r="O6" s="283"/>
      <c r="Q6" s="297">
        <f>+SUM(Q2:Q5)</f>
        <v>7565000</v>
      </c>
      <c r="R6" s="284">
        <f t="shared" si="0"/>
        <v>165000</v>
      </c>
      <c r="S6" s="303">
        <f t="shared" si="1"/>
        <v>2.2297297297297236E-2</v>
      </c>
      <c r="T6" s="289"/>
    </row>
    <row r="7" spans="1:20" ht="18" x14ac:dyDescent="0.4">
      <c r="A7" s="283"/>
      <c r="C7" s="297"/>
      <c r="D7" s="289"/>
      <c r="E7" s="283"/>
      <c r="G7" s="297"/>
      <c r="H7" s="289"/>
      <c r="I7" s="283"/>
      <c r="K7" s="297"/>
      <c r="L7" s="145"/>
      <c r="M7" s="303"/>
      <c r="N7" s="289"/>
      <c r="O7" s="283"/>
      <c r="Q7" s="297"/>
      <c r="R7" s="284"/>
      <c r="S7" s="303"/>
      <c r="T7" s="289"/>
    </row>
    <row r="8" spans="1:20" ht="30" x14ac:dyDescent="0.25">
      <c r="A8" s="315">
        <v>0.4</v>
      </c>
      <c r="B8" s="304" t="s">
        <v>598</v>
      </c>
      <c r="C8" s="295">
        <f>+C6/OPEX!G3</f>
        <v>324444.44444444444</v>
      </c>
      <c r="D8" s="289"/>
      <c r="E8" s="283"/>
      <c r="F8" s="304" t="s">
        <v>598</v>
      </c>
      <c r="G8" s="295">
        <f>+G6/OPEX!M3</f>
        <v>277818.61290322582</v>
      </c>
      <c r="H8" s="289"/>
      <c r="I8" s="283"/>
      <c r="J8" s="304" t="s">
        <v>598</v>
      </c>
      <c r="K8" s="295">
        <f>+K6/OPEX!S3</f>
        <v>246666.66666666666</v>
      </c>
      <c r="L8" s="145"/>
      <c r="M8" s="303"/>
      <c r="N8" s="289"/>
      <c r="O8" s="283"/>
      <c r="P8" s="304" t="s">
        <v>598</v>
      </c>
      <c r="Q8" s="295">
        <f>+Q6/OPEX!Y3</f>
        <v>244032.25806451612</v>
      </c>
      <c r="R8" s="284"/>
      <c r="S8" s="303"/>
      <c r="T8" s="289"/>
    </row>
    <row r="9" spans="1:20" x14ac:dyDescent="0.25">
      <c r="A9" s="283"/>
      <c r="D9" s="289"/>
      <c r="E9" s="283"/>
      <c r="H9" s="289"/>
      <c r="I9" s="283"/>
      <c r="N9" s="289"/>
      <c r="O9" s="283"/>
      <c r="T9" s="289"/>
    </row>
    <row r="10" spans="1:20" x14ac:dyDescent="0.25">
      <c r="A10" s="283"/>
      <c r="D10" s="289"/>
      <c r="E10" s="283"/>
      <c r="H10" s="289"/>
      <c r="I10" s="283"/>
      <c r="N10" s="289"/>
      <c r="O10" s="283"/>
      <c r="T10" s="289"/>
    </row>
    <row r="11" spans="1:20" x14ac:dyDescent="0.25">
      <c r="A11" s="283"/>
      <c r="D11" s="289"/>
      <c r="E11" s="283"/>
      <c r="H11" s="289"/>
      <c r="I11" s="283"/>
      <c r="N11" s="289"/>
      <c r="O11" s="283"/>
      <c r="T11" s="289"/>
    </row>
    <row r="12" spans="1:20" x14ac:dyDescent="0.25">
      <c r="A12" s="283"/>
      <c r="D12" s="289"/>
      <c r="E12" s="283"/>
      <c r="H12" s="289"/>
      <c r="I12" s="283"/>
      <c r="N12" s="289"/>
      <c r="O12" s="283"/>
      <c r="T12" s="289"/>
    </row>
    <row r="13" spans="1:20" x14ac:dyDescent="0.25">
      <c r="A13" s="283"/>
      <c r="D13" s="289"/>
      <c r="E13" s="283"/>
      <c r="H13" s="289"/>
      <c r="I13" s="283"/>
      <c r="N13" s="289"/>
      <c r="O13" s="283"/>
      <c r="T13" s="289"/>
    </row>
    <row r="14" spans="1:20" x14ac:dyDescent="0.25">
      <c r="A14" s="283"/>
      <c r="D14" s="289"/>
      <c r="E14" s="283"/>
      <c r="H14" s="289"/>
      <c r="I14" s="283"/>
      <c r="N14" s="289"/>
      <c r="O14" s="283"/>
      <c r="T14" s="289"/>
    </row>
    <row r="15" spans="1:20" x14ac:dyDescent="0.25">
      <c r="A15" s="283"/>
      <c r="D15" s="289"/>
      <c r="E15" s="283"/>
      <c r="H15" s="289"/>
      <c r="I15" s="283"/>
      <c r="N15" s="289"/>
      <c r="O15" s="283"/>
      <c r="T15" s="289"/>
    </row>
    <row r="16" spans="1:20" x14ac:dyDescent="0.25">
      <c r="A16" s="283"/>
      <c r="D16" s="289"/>
      <c r="E16" s="283"/>
      <c r="H16" s="289"/>
      <c r="I16" s="283"/>
      <c r="N16" s="289"/>
      <c r="O16" s="283"/>
      <c r="T16" s="289"/>
    </row>
    <row r="17" spans="1:20" x14ac:dyDescent="0.25">
      <c r="A17" s="283"/>
      <c r="D17" s="289"/>
      <c r="E17" s="283"/>
      <c r="H17" s="289"/>
      <c r="I17" s="283"/>
      <c r="N17" s="289"/>
      <c r="O17" s="283"/>
      <c r="T17" s="289"/>
    </row>
    <row r="18" spans="1:20" x14ac:dyDescent="0.25">
      <c r="A18" s="283"/>
      <c r="D18" s="289"/>
      <c r="E18" s="283"/>
      <c r="H18" s="289"/>
      <c r="I18" s="283"/>
      <c r="N18" s="289"/>
      <c r="O18" s="283"/>
      <c r="T18" s="289"/>
    </row>
    <row r="19" spans="1:20" x14ac:dyDescent="0.25">
      <c r="A19" s="283"/>
      <c r="D19" s="289"/>
      <c r="E19" s="283"/>
      <c r="H19" s="289"/>
      <c r="I19" s="283"/>
      <c r="N19" s="289"/>
      <c r="O19" s="283"/>
      <c r="T19" s="289"/>
    </row>
    <row r="20" spans="1:20" x14ac:dyDescent="0.25">
      <c r="A20" s="283"/>
      <c r="D20" s="289"/>
      <c r="E20" s="283"/>
      <c r="H20" s="289"/>
      <c r="I20" s="283"/>
      <c r="N20" s="289"/>
      <c r="O20" s="283"/>
      <c r="T20" s="289"/>
    </row>
    <row r="21" spans="1:20" x14ac:dyDescent="0.25">
      <c r="A21" s="283"/>
      <c r="D21" s="289"/>
      <c r="E21" s="283"/>
      <c r="H21" s="289"/>
      <c r="I21" s="283"/>
      <c r="N21" s="289"/>
      <c r="O21" s="283"/>
      <c r="T21" s="289"/>
    </row>
    <row r="22" spans="1:20" ht="30" x14ac:dyDescent="0.25">
      <c r="A22" s="315">
        <v>0.6</v>
      </c>
      <c r="B22" s="314" t="s">
        <v>583</v>
      </c>
      <c r="C22" s="295">
        <f>+C$23*$A$22</f>
        <v>486666.66666666663</v>
      </c>
      <c r="D22" s="316"/>
      <c r="E22" s="283"/>
      <c r="F22" s="314" t="s">
        <v>583</v>
      </c>
      <c r="G22" s="295">
        <f>+G$23*$A$22</f>
        <v>416727.91935483867</v>
      </c>
      <c r="H22" s="289"/>
      <c r="I22" s="283"/>
      <c r="J22" s="314" t="s">
        <v>583</v>
      </c>
      <c r="K22" s="295">
        <f>+K$23*$A$22</f>
        <v>369999.99999999994</v>
      </c>
      <c r="L22" s="145"/>
      <c r="M22" s="303"/>
      <c r="N22" s="289"/>
      <c r="O22" s="283"/>
      <c r="P22" s="314" t="s">
        <v>583</v>
      </c>
      <c r="Q22" s="295">
        <f>+Q$23*$A$22</f>
        <v>366048.38709677418</v>
      </c>
      <c r="R22" s="284"/>
      <c r="S22" s="303"/>
      <c r="T22" s="289"/>
    </row>
    <row r="23" spans="1:20" ht="18" x14ac:dyDescent="0.4">
      <c r="B23" t="s">
        <v>599</v>
      </c>
      <c r="C23" s="297">
        <f>+C8/40*100</f>
        <v>811111.11111111112</v>
      </c>
      <c r="F23" t="s">
        <v>599</v>
      </c>
      <c r="G23" s="297">
        <f>+G8/40*100</f>
        <v>694546.53225806449</v>
      </c>
      <c r="J23" t="s">
        <v>599</v>
      </c>
      <c r="K23" s="297">
        <f>+K8/40*100</f>
        <v>616666.66666666663</v>
      </c>
      <c r="P23" t="s">
        <v>599</v>
      </c>
      <c r="Q23" s="297">
        <f>+Q8/40*100</f>
        <v>610080.6451612903</v>
      </c>
    </row>
    <row r="24" spans="1:20" ht="15.75" thickBot="1" x14ac:dyDescent="0.3"/>
    <row r="25" spans="1:20" x14ac:dyDescent="0.25">
      <c r="A25" s="158" t="s">
        <v>55</v>
      </c>
      <c r="B25" t="s">
        <v>627</v>
      </c>
      <c r="E25" s="158" t="s">
        <v>55</v>
      </c>
      <c r="F25" t="s">
        <v>627</v>
      </c>
      <c r="I25" s="158" t="s">
        <v>55</v>
      </c>
      <c r="J25" t="s">
        <v>627</v>
      </c>
      <c r="M25" s="342" t="s">
        <v>628</v>
      </c>
    </row>
    <row r="26" spans="1:20" x14ac:dyDescent="0.25">
      <c r="A26" s="502" t="s">
        <v>318</v>
      </c>
      <c r="B26" s="501">
        <v>4055210</v>
      </c>
      <c r="C26" s="9">
        <f>+B26/OPEX!G3</f>
        <v>450578.88888888888</v>
      </c>
      <c r="E26" s="502" t="s">
        <v>319</v>
      </c>
      <c r="F26" s="501">
        <v>17351500</v>
      </c>
      <c r="G26" s="9">
        <f>+F26/OPEX!M3</f>
        <v>559725.80645161285</v>
      </c>
      <c r="I26" s="502" t="s">
        <v>558</v>
      </c>
      <c r="J26" s="501">
        <v>16752900</v>
      </c>
      <c r="K26" s="9">
        <f>+J26/M26</f>
        <v>1047056.25</v>
      </c>
      <c r="M26" s="343">
        <v>16</v>
      </c>
    </row>
    <row r="27" spans="1:20" x14ac:dyDescent="0.25">
      <c r="B27" s="358" t="s">
        <v>633</v>
      </c>
      <c r="C27" s="341">
        <f>+C26-C23</f>
        <v>-360532.22222222225</v>
      </c>
      <c r="F27" s="358" t="s">
        <v>633</v>
      </c>
      <c r="G27" s="341">
        <f>+G26-G23</f>
        <v>-134820.72580645164</v>
      </c>
      <c r="J27" s="358" t="s">
        <v>633</v>
      </c>
      <c r="K27" s="341">
        <f>+K26-K23</f>
        <v>430389.58333333337</v>
      </c>
    </row>
    <row r="28" spans="1:20" x14ac:dyDescent="0.25">
      <c r="B28" s="358" t="s">
        <v>634</v>
      </c>
      <c r="C28" s="341">
        <f>+C27*OPEX!G3</f>
        <v>-3244790</v>
      </c>
      <c r="F28" s="358" t="s">
        <v>634</v>
      </c>
      <c r="G28" s="341">
        <f>+G27*OPEX!M3</f>
        <v>-4179442.5000000009</v>
      </c>
      <c r="J28" s="358" t="s">
        <v>634</v>
      </c>
      <c r="K28" s="341">
        <f>+K27*M26</f>
        <v>6886233.333333334</v>
      </c>
    </row>
  </sheetData>
  <mergeCells count="4">
    <mergeCell ref="B1:C1"/>
    <mergeCell ref="F1:G1"/>
    <mergeCell ref="J1:M1"/>
    <mergeCell ref="P1:S1"/>
  </mergeCells>
  <conditionalFormatting sqref="L2:M8">
    <cfRule type="cellIs" dxfId="7" priority="25" operator="lessThan">
      <formula>0</formula>
    </cfRule>
    <cfRule type="cellIs" dxfId="6" priority="26" operator="greaterThan">
      <formula>0</formula>
    </cfRule>
  </conditionalFormatting>
  <conditionalFormatting sqref="L22:M22">
    <cfRule type="cellIs" dxfId="5" priority="9" operator="lessThan">
      <formula>0</formula>
    </cfRule>
    <cfRule type="cellIs" dxfId="4" priority="10" operator="greaterThan">
      <formula>0</formula>
    </cfRule>
  </conditionalFormatting>
  <conditionalFormatting sqref="R2:S8">
    <cfRule type="cellIs" dxfId="3" priority="13" operator="lessThan">
      <formula>0</formula>
    </cfRule>
    <cfRule type="cellIs" dxfId="2" priority="14" operator="greaterThan">
      <formula>0</formula>
    </cfRule>
  </conditionalFormatting>
  <conditionalFormatting sqref="R22:S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4"/>
  <legacy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2"/>
  <sheetViews>
    <sheetView workbookViewId="0"/>
  </sheetViews>
  <sheetFormatPr baseColWidth="10" defaultRowHeight="15" x14ac:dyDescent="0.25"/>
  <cols>
    <col min="2" max="2" width="6.42578125" bestFit="1" customWidth="1"/>
    <col min="3" max="3" width="13.28515625" bestFit="1" customWidth="1"/>
    <col min="4" max="4" width="13.42578125" bestFit="1" customWidth="1"/>
    <col min="5" max="5" width="14" bestFit="1" customWidth="1"/>
    <col min="6" max="6" width="15.7109375" bestFit="1" customWidth="1"/>
    <col min="7" max="7" width="14.140625" bestFit="1" customWidth="1"/>
  </cols>
  <sheetData>
    <row r="1" spans="1:7" x14ac:dyDescent="0.25">
      <c r="A1" s="317" t="s">
        <v>55</v>
      </c>
      <c r="B1" t="s">
        <v>562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</row>
    <row r="2" spans="1:7" x14ac:dyDescent="0.25">
      <c r="A2" t="s">
        <v>563</v>
      </c>
      <c r="B2">
        <v>31</v>
      </c>
    </row>
    <row r="3" spans="1:7" x14ac:dyDescent="0.25">
      <c r="A3" t="s">
        <v>564</v>
      </c>
      <c r="B3">
        <v>28</v>
      </c>
    </row>
    <row r="4" spans="1:7" x14ac:dyDescent="0.25">
      <c r="A4" t="s">
        <v>565</v>
      </c>
      <c r="B4">
        <v>31</v>
      </c>
    </row>
    <row r="5" spans="1:7" x14ac:dyDescent="0.25">
      <c r="A5" t="s">
        <v>566</v>
      </c>
      <c r="B5">
        <v>30</v>
      </c>
    </row>
    <row r="6" spans="1:7" x14ac:dyDescent="0.25">
      <c r="A6" t="s">
        <v>567</v>
      </c>
      <c r="B6">
        <v>31</v>
      </c>
    </row>
    <row r="7" spans="1:7" x14ac:dyDescent="0.25">
      <c r="A7" t="s">
        <v>568</v>
      </c>
      <c r="B7">
        <v>30</v>
      </c>
    </row>
    <row r="8" spans="1:7" x14ac:dyDescent="0.25">
      <c r="A8" t="s">
        <v>569</v>
      </c>
      <c r="B8">
        <v>31</v>
      </c>
    </row>
    <row r="9" spans="1:7" x14ac:dyDescent="0.25">
      <c r="A9" t="s">
        <v>570</v>
      </c>
      <c r="B9">
        <v>31</v>
      </c>
    </row>
    <row r="10" spans="1:7" x14ac:dyDescent="0.25">
      <c r="A10" s="282" t="s">
        <v>600</v>
      </c>
      <c r="B10">
        <v>30</v>
      </c>
    </row>
    <row r="11" spans="1:7" x14ac:dyDescent="0.25">
      <c r="A11" s="129" t="s">
        <v>601</v>
      </c>
      <c r="B11">
        <v>31</v>
      </c>
    </row>
    <row r="12" spans="1:7" x14ac:dyDescent="0.25">
      <c r="A12" s="129" t="s">
        <v>602</v>
      </c>
      <c r="B12">
        <v>30</v>
      </c>
    </row>
    <row r="13" spans="1:7" x14ac:dyDescent="0.25">
      <c r="A13" s="129" t="s">
        <v>603</v>
      </c>
      <c r="B13">
        <v>31</v>
      </c>
    </row>
    <row r="15" spans="1:7" x14ac:dyDescent="0.25">
      <c r="A15" t="s">
        <v>350</v>
      </c>
    </row>
    <row r="16" spans="1:7" x14ac:dyDescent="0.25">
      <c r="A16" t="s">
        <v>332</v>
      </c>
      <c r="B16" t="s">
        <v>604</v>
      </c>
    </row>
    <row r="17" spans="1:2" x14ac:dyDescent="0.25">
      <c r="A17" t="s">
        <v>333</v>
      </c>
      <c r="B17" t="s">
        <v>604</v>
      </c>
    </row>
    <row r="18" spans="1:2" x14ac:dyDescent="0.25">
      <c r="A18" t="s">
        <v>334</v>
      </c>
      <c r="B18" t="s">
        <v>604</v>
      </c>
    </row>
    <row r="19" spans="1:2" x14ac:dyDescent="0.25">
      <c r="A19" t="s">
        <v>335</v>
      </c>
      <c r="B19" t="s">
        <v>604</v>
      </c>
    </row>
    <row r="20" spans="1:2" x14ac:dyDescent="0.25">
      <c r="A20" t="s">
        <v>336</v>
      </c>
      <c r="B20" t="s">
        <v>604</v>
      </c>
    </row>
    <row r="21" spans="1:2" x14ac:dyDescent="0.25">
      <c r="A21" t="s">
        <v>337</v>
      </c>
      <c r="B21" t="s">
        <v>605</v>
      </c>
    </row>
    <row r="22" spans="1:2" x14ac:dyDescent="0.25">
      <c r="A22" t="s">
        <v>338</v>
      </c>
      <c r="B22" t="s">
        <v>605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B1:P153"/>
  <sheetViews>
    <sheetView workbookViewId="0"/>
  </sheetViews>
  <sheetFormatPr baseColWidth="10" defaultColWidth="11.42578125" defaultRowHeight="15" outlineLevelRow="1" outlineLevelCol="1" x14ac:dyDescent="0.25"/>
  <cols>
    <col min="1" max="1" width="4.42578125" customWidth="1"/>
    <col min="2" max="2" width="7.42578125" customWidth="1"/>
    <col min="3" max="3" width="10.42578125" bestFit="1" customWidth="1"/>
    <col min="4" max="4" width="12" style="47" bestFit="1" customWidth="1"/>
    <col min="5" max="5" width="13" style="47" bestFit="1" customWidth="1"/>
    <col min="6" max="6" width="13" style="9" bestFit="1" customWidth="1"/>
    <col min="7" max="7" width="17.85546875" style="46" bestFit="1" customWidth="1" outlineLevel="1"/>
    <col min="8" max="8" width="34.5703125" style="9" bestFit="1" customWidth="1" outlineLevel="1"/>
    <col min="9" max="9" width="17.85546875" style="9" customWidth="1"/>
    <col min="10" max="10" width="21.140625" style="318" bestFit="1" customWidth="1"/>
    <col min="11" max="11" width="19.42578125" customWidth="1"/>
    <col min="12" max="12" width="23" customWidth="1"/>
    <col min="13" max="13" width="23.85546875" customWidth="1"/>
    <col min="14" max="14" width="16.42578125" customWidth="1"/>
    <col min="15" max="15" width="17.42578125" customWidth="1"/>
    <col min="16" max="21" width="15.7109375" customWidth="1"/>
    <col min="22" max="22" width="17.140625" customWidth="1"/>
    <col min="23" max="26" width="15.7109375" customWidth="1"/>
    <col min="27" max="27" width="17.140625" customWidth="1"/>
    <col min="28" max="28" width="15.7109375" customWidth="1"/>
    <col min="29" max="30" width="17.140625" customWidth="1"/>
    <col min="31" max="31" width="15.7109375" customWidth="1"/>
    <col min="32" max="32" width="15.28515625" customWidth="1"/>
    <col min="33" max="33" width="15.7109375" customWidth="1"/>
    <col min="34" max="37" width="15.7109375" bestFit="1" customWidth="1"/>
    <col min="38" max="38" width="17.140625" bestFit="1" customWidth="1"/>
    <col min="39" max="39" width="17.42578125" bestFit="1" customWidth="1"/>
    <col min="40" max="41" width="15.7109375" bestFit="1" customWidth="1"/>
    <col min="42" max="42" width="15.28515625" bestFit="1" customWidth="1"/>
    <col min="43" max="43" width="14.28515625" bestFit="1" customWidth="1"/>
    <col min="44" max="45" width="15.7109375" bestFit="1" customWidth="1"/>
    <col min="46" max="46" width="17.42578125" bestFit="1" customWidth="1"/>
    <col min="47" max="52" width="15.7109375" bestFit="1" customWidth="1"/>
    <col min="53" max="53" width="17.140625" bestFit="1" customWidth="1"/>
    <col min="54" max="57" width="15.7109375" bestFit="1" customWidth="1"/>
    <col min="58" max="58" width="17.42578125" bestFit="1" customWidth="1"/>
    <col min="59" max="59" width="15.7109375" bestFit="1" customWidth="1"/>
    <col min="60" max="60" width="17.42578125" bestFit="1" customWidth="1"/>
    <col min="61" max="64" width="15.7109375" bestFit="1" customWidth="1"/>
    <col min="65" max="65" width="18.85546875" bestFit="1" customWidth="1"/>
    <col min="66" max="66" width="15.7109375" bestFit="1" customWidth="1"/>
    <col min="67" max="67" width="15.28515625" bestFit="1" customWidth="1"/>
    <col min="68" max="68" width="15.7109375" bestFit="1" customWidth="1"/>
    <col min="69" max="72" width="15.28515625" bestFit="1" customWidth="1"/>
    <col min="73" max="73" width="15.7109375" bestFit="1" customWidth="1"/>
    <col min="74" max="74" width="14.85546875" bestFit="1" customWidth="1"/>
    <col min="75" max="75" width="17.42578125" bestFit="1" customWidth="1"/>
    <col min="16378" max="16384" width="2" customWidth="1"/>
  </cols>
  <sheetData>
    <row r="1" spans="2:16" x14ac:dyDescent="0.25">
      <c r="D1" s="158" t="s">
        <v>55</v>
      </c>
      <c r="E1"/>
      <c r="F1"/>
      <c r="J1" s="352"/>
      <c r="K1" s="349" t="s">
        <v>318</v>
      </c>
      <c r="L1" s="349" t="s">
        <v>319</v>
      </c>
      <c r="M1" s="349" t="s">
        <v>558</v>
      </c>
      <c r="N1" s="352" t="s">
        <v>614</v>
      </c>
    </row>
    <row r="2" spans="2:16" x14ac:dyDescent="0.25">
      <c r="D2" s="389" t="s">
        <v>318</v>
      </c>
      <c r="E2" s="389" t="s">
        <v>319</v>
      </c>
      <c r="F2" s="389" t="s">
        <v>558</v>
      </c>
      <c r="J2" s="349" t="s">
        <v>332</v>
      </c>
      <c r="K2" s="350">
        <f t="shared" ref="K2:M8" si="0">+SUMIFS($J$14:$J$83,$C$14:$C$83,K$1,$E$14:$E$83,$J2)</f>
        <v>-1297012.222222222</v>
      </c>
      <c r="L2" s="350">
        <f t="shared" si="0"/>
        <v>-902686.12903225794</v>
      </c>
      <c r="M2" s="350">
        <f t="shared" si="0"/>
        <v>66666.666666666744</v>
      </c>
      <c r="N2" s="351">
        <f>+SUM(K2:M2)</f>
        <v>-2133031.684587813</v>
      </c>
    </row>
    <row r="3" spans="2:16" x14ac:dyDescent="0.25">
      <c r="C3" s="47" t="s">
        <v>607</v>
      </c>
      <c r="D3" s="145">
        <v>4055210</v>
      </c>
      <c r="E3" s="145">
        <v>17351500</v>
      </c>
      <c r="F3" s="235">
        <v>16752900</v>
      </c>
      <c r="J3" s="349" t="s">
        <v>333</v>
      </c>
      <c r="K3" s="350">
        <f t="shared" si="0"/>
        <v>-418111.11111111101</v>
      </c>
      <c r="L3" s="350">
        <f t="shared" si="0"/>
        <v>-1989632.6612903224</v>
      </c>
      <c r="M3" s="350">
        <f t="shared" si="0"/>
        <v>-917333.33333333326</v>
      </c>
      <c r="N3" s="351">
        <f t="shared" ref="N3:N8" si="1">+SUM(K3:M3)</f>
        <v>-3325077.1057347665</v>
      </c>
    </row>
    <row r="4" spans="2:16" ht="45" x14ac:dyDescent="0.25">
      <c r="B4" s="311">
        <v>0.4</v>
      </c>
      <c r="C4" s="307" t="s">
        <v>584</v>
      </c>
      <c r="D4" s="309">
        <f>OPEX!G27</f>
        <v>2920000</v>
      </c>
      <c r="E4" s="309" t="str">
        <f>OPEX!M22</f>
        <v>Mes</v>
      </c>
      <c r="F4"/>
      <c r="J4" s="349" t="s">
        <v>334</v>
      </c>
      <c r="K4" s="350">
        <f t="shared" si="0"/>
        <v>-391611.11111111101</v>
      </c>
      <c r="L4" s="350">
        <f t="shared" si="0"/>
        <v>-1845432.6612903224</v>
      </c>
      <c r="M4" s="350">
        <f t="shared" si="0"/>
        <v>-441333.33333333326</v>
      </c>
      <c r="N4" s="351">
        <f t="shared" si="1"/>
        <v>-2678377.1057347665</v>
      </c>
    </row>
    <row r="5" spans="2:16" ht="30" x14ac:dyDescent="0.25">
      <c r="B5" s="313">
        <v>0.6</v>
      </c>
      <c r="C5" s="310" t="s">
        <v>583</v>
      </c>
      <c r="D5" s="5" t="e">
        <f>OPEX!#REF!</f>
        <v>#REF!</v>
      </c>
      <c r="E5" s="5" t="e">
        <f>OPEX!#REF!</f>
        <v>#REF!</v>
      </c>
      <c r="F5"/>
      <c r="J5" s="349" t="s">
        <v>335</v>
      </c>
      <c r="K5" s="350">
        <f t="shared" si="0"/>
        <v>-496111.11111111101</v>
      </c>
      <c r="L5" s="350">
        <f t="shared" si="0"/>
        <v>-2148432.6612903224</v>
      </c>
      <c r="M5" s="350">
        <f t="shared" si="0"/>
        <v>-284166.66666666663</v>
      </c>
      <c r="N5" s="351">
        <f t="shared" si="1"/>
        <v>-2928710.4390680999</v>
      </c>
    </row>
    <row r="6" spans="2:16" ht="15.75" thickBot="1" x14ac:dyDescent="0.3">
      <c r="D6" s="146" t="e">
        <f>OPEX!#REF!</f>
        <v>#REF!</v>
      </c>
      <c r="E6" s="146" t="e">
        <f>OPEX!#REF!</f>
        <v>#REF!</v>
      </c>
      <c r="F6"/>
      <c r="J6" s="349" t="s">
        <v>336</v>
      </c>
      <c r="K6" s="350">
        <f t="shared" si="0"/>
        <v>-390111.11111111101</v>
      </c>
      <c r="L6" s="350">
        <f t="shared" si="0"/>
        <v>-366286.12903225794</v>
      </c>
      <c r="M6" s="350">
        <f t="shared" si="0"/>
        <v>-521333.33333333326</v>
      </c>
      <c r="N6" s="351">
        <f t="shared" si="1"/>
        <v>-1277730.5734767022</v>
      </c>
    </row>
    <row r="7" spans="2:16" ht="15.75" thickTop="1" x14ac:dyDescent="0.25">
      <c r="D7" s="1" t="e">
        <f>+D3-D6</f>
        <v>#REF!</v>
      </c>
      <c r="E7" s="1" t="e">
        <f>+E3-E6</f>
        <v>#REF!</v>
      </c>
      <c r="F7"/>
      <c r="J7" s="349" t="s">
        <v>337</v>
      </c>
      <c r="K7" s="350">
        <f t="shared" si="0"/>
        <v>140388.88888888899</v>
      </c>
      <c r="L7" s="350">
        <f t="shared" si="0"/>
        <v>471613.87096774206</v>
      </c>
      <c r="M7" s="350">
        <f t="shared" si="0"/>
        <v>818666.66666666674</v>
      </c>
      <c r="N7" s="351">
        <f t="shared" si="1"/>
        <v>1430669.4265232978</v>
      </c>
    </row>
    <row r="8" spans="2:16" x14ac:dyDescent="0.25">
      <c r="F8"/>
      <c r="G8" s="1"/>
      <c r="J8" s="349" t="s">
        <v>338</v>
      </c>
      <c r="K8" s="350">
        <f>+SUMIFS($J$14:$J$83,$C$14:$C$83,K$1,$E$14:$E$83,$J8)</f>
        <v>-392222.22222222202</v>
      </c>
      <c r="L8" s="350">
        <f t="shared" si="0"/>
        <v>2601413.8709677421</v>
      </c>
      <c r="M8" s="350">
        <f t="shared" si="0"/>
        <v>2156666.666666667</v>
      </c>
      <c r="N8" s="351">
        <f t="shared" si="1"/>
        <v>4365858.315412187</v>
      </c>
    </row>
    <row r="9" spans="2:16" ht="18.75" x14ac:dyDescent="0.3">
      <c r="D9"/>
      <c r="G9" s="9"/>
      <c r="J9" s="352" t="s">
        <v>614</v>
      </c>
      <c r="K9" s="351">
        <f>+SUM(K2:K8)</f>
        <v>-3244789.9999999991</v>
      </c>
      <c r="L9" s="351">
        <f>+SUM(L2:L8)</f>
        <v>-4179442.4999999991</v>
      </c>
      <c r="M9" s="351">
        <f>+SUM(M2:M8)</f>
        <v>877833.33333333372</v>
      </c>
      <c r="N9" s="353">
        <f>+SUM(N2:N8)</f>
        <v>-6546399.1666666633</v>
      </c>
    </row>
    <row r="10" spans="2:16" x14ac:dyDescent="0.25">
      <c r="C10" s="360" t="s">
        <v>318</v>
      </c>
      <c r="D10"/>
      <c r="G10" s="25">
        <f>+SUMIF($C$14:$C$66,$C10,G$14:G$66)</f>
        <v>2920000</v>
      </c>
      <c r="H10" s="25">
        <f>+SUMIF($C$14:$C$66,$C10,H$14:H$66)</f>
        <v>4379999.9999999991</v>
      </c>
    </row>
    <row r="11" spans="2:16" x14ac:dyDescent="0.25">
      <c r="C11" s="360" t="s">
        <v>319</v>
      </c>
      <c r="D11"/>
      <c r="G11" s="25">
        <f t="shared" ref="G11:H12" si="2">+SUMIF($C$14:$C$66,$C11,G$14:G$66)</f>
        <v>8612377.0000000037</v>
      </c>
      <c r="H11" s="25">
        <f t="shared" si="2"/>
        <v>12918565.500000002</v>
      </c>
    </row>
    <row r="12" spans="2:16" x14ac:dyDescent="0.25">
      <c r="C12" s="360" t="s">
        <v>558</v>
      </c>
      <c r="D12"/>
      <c r="G12" s="25">
        <f t="shared" si="2"/>
        <v>3206666.666666666</v>
      </c>
      <c r="H12" s="25">
        <f t="shared" si="2"/>
        <v>4809999.9999999991</v>
      </c>
    </row>
    <row r="13" spans="2:16" ht="30" x14ac:dyDescent="0.25">
      <c r="C13" s="321" t="s">
        <v>55</v>
      </c>
      <c r="D13" s="321" t="s">
        <v>316</v>
      </c>
      <c r="E13" s="321" t="s">
        <v>611</v>
      </c>
      <c r="F13" s="323" t="s">
        <v>612</v>
      </c>
      <c r="G13" s="346" t="s">
        <v>606</v>
      </c>
      <c r="H13" s="347" t="s">
        <v>636</v>
      </c>
      <c r="I13" s="345" t="s">
        <v>629</v>
      </c>
      <c r="J13" s="348" t="s">
        <v>630</v>
      </c>
      <c r="K13" s="324" t="s">
        <v>608</v>
      </c>
      <c r="L13" s="324" t="s">
        <v>609</v>
      </c>
      <c r="M13" s="322" t="s">
        <v>610</v>
      </c>
      <c r="N13" s="324" t="s">
        <v>55</v>
      </c>
      <c r="P13" s="159"/>
    </row>
    <row r="14" spans="2:16" outlineLevel="1" x14ac:dyDescent="0.25">
      <c r="B14" s="123"/>
      <c r="C14" s="389" t="s">
        <v>318</v>
      </c>
      <c r="D14" s="47">
        <v>22</v>
      </c>
      <c r="E14" s="159" t="s">
        <v>338</v>
      </c>
      <c r="F14" s="145">
        <v>572000</v>
      </c>
      <c r="G14" s="9">
        <f>'PE (0)'!$C$8</f>
        <v>324444.44444444444</v>
      </c>
      <c r="H14" s="46">
        <f>'PE (0)'!$C$22</f>
        <v>486666.66666666663</v>
      </c>
      <c r="I14" s="46">
        <f t="shared" ref="I14:I66" si="3">+G14+H14</f>
        <v>811111.11111111101</v>
      </c>
      <c r="J14" s="318">
        <f t="shared" ref="J14:J66" si="4">+F14-I14</f>
        <v>-239111.11111111101</v>
      </c>
      <c r="K14" s="320">
        <f>+J14</f>
        <v>-239111.11111111101</v>
      </c>
      <c r="L14" s="123" t="str">
        <f t="shared" ref="L14:L66" si="5">+E14</f>
        <v>domingo</v>
      </c>
      <c r="M14" s="318">
        <f>+F14-G14</f>
        <v>247555.55555555556</v>
      </c>
      <c r="N14" s="318" t="str">
        <f>+C14</f>
        <v>sep</v>
      </c>
    </row>
    <row r="15" spans="2:16" outlineLevel="1" x14ac:dyDescent="0.25">
      <c r="C15" s="389" t="s">
        <v>318</v>
      </c>
      <c r="D15" s="47">
        <v>23</v>
      </c>
      <c r="E15" s="159" t="s">
        <v>332</v>
      </c>
      <c r="F15" s="145">
        <v>142000</v>
      </c>
      <c r="G15" s="9">
        <f>'PE (0)'!$C$8</f>
        <v>324444.44444444444</v>
      </c>
      <c r="H15" s="46">
        <f>'PE (0)'!$C$22</f>
        <v>486666.66666666663</v>
      </c>
      <c r="I15" s="46">
        <f t="shared" si="3"/>
        <v>811111.11111111101</v>
      </c>
      <c r="J15" s="318">
        <f t="shared" si="4"/>
        <v>-669111.11111111101</v>
      </c>
      <c r="K15" s="320">
        <f t="shared" ref="K15:K66" si="6">+J15+K14</f>
        <v>-908222.22222222202</v>
      </c>
      <c r="L15" s="123" t="str">
        <f t="shared" si="5"/>
        <v>lunes</v>
      </c>
      <c r="M15" s="318">
        <f t="shared" ref="M15:M66" si="7">+F15-G15</f>
        <v>-182444.44444444444</v>
      </c>
      <c r="N15" s="318" t="str">
        <f t="shared" ref="N15:N66" si="8">+C15</f>
        <v>sep</v>
      </c>
    </row>
    <row r="16" spans="2:16" outlineLevel="1" x14ac:dyDescent="0.25">
      <c r="C16" s="389" t="s">
        <v>318</v>
      </c>
      <c r="D16" s="47">
        <v>24</v>
      </c>
      <c r="E16" s="159" t="s">
        <v>333</v>
      </c>
      <c r="F16" s="145">
        <v>393000</v>
      </c>
      <c r="G16" s="9">
        <f>'PE (0)'!$C$8</f>
        <v>324444.44444444444</v>
      </c>
      <c r="H16" s="46">
        <f>'PE (0)'!$C$22</f>
        <v>486666.66666666663</v>
      </c>
      <c r="I16" s="46">
        <f t="shared" si="3"/>
        <v>811111.11111111101</v>
      </c>
      <c r="J16" s="318">
        <f t="shared" si="4"/>
        <v>-418111.11111111101</v>
      </c>
      <c r="K16" s="320">
        <f t="shared" si="6"/>
        <v>-1326333.333333333</v>
      </c>
      <c r="L16" s="123" t="str">
        <f t="shared" si="5"/>
        <v>martes</v>
      </c>
      <c r="M16" s="318">
        <f t="shared" si="7"/>
        <v>68555.555555555562</v>
      </c>
      <c r="N16" s="318" t="str">
        <f t="shared" si="8"/>
        <v>sep</v>
      </c>
    </row>
    <row r="17" spans="3:16" outlineLevel="1" x14ac:dyDescent="0.25">
      <c r="C17" s="389" t="s">
        <v>318</v>
      </c>
      <c r="D17" s="47">
        <v>25</v>
      </c>
      <c r="E17" s="159" t="s">
        <v>334</v>
      </c>
      <c r="F17" s="145">
        <v>419500</v>
      </c>
      <c r="G17" s="9">
        <f>'PE (0)'!$C$8</f>
        <v>324444.44444444444</v>
      </c>
      <c r="H17" s="46">
        <f>'PE (0)'!$C$22</f>
        <v>486666.66666666663</v>
      </c>
      <c r="I17" s="46">
        <f t="shared" si="3"/>
        <v>811111.11111111101</v>
      </c>
      <c r="J17" s="318">
        <f t="shared" si="4"/>
        <v>-391611.11111111101</v>
      </c>
      <c r="K17" s="320">
        <f t="shared" si="6"/>
        <v>-1717944.444444444</v>
      </c>
      <c r="L17" s="123" t="str">
        <f t="shared" si="5"/>
        <v>miércoles</v>
      </c>
      <c r="M17" s="318">
        <f t="shared" si="7"/>
        <v>95055.555555555562</v>
      </c>
      <c r="N17" s="318" t="str">
        <f t="shared" si="8"/>
        <v>sep</v>
      </c>
    </row>
    <row r="18" spans="3:16" outlineLevel="1" x14ac:dyDescent="0.25">
      <c r="C18" s="389" t="s">
        <v>318</v>
      </c>
      <c r="D18" s="47">
        <v>26</v>
      </c>
      <c r="E18" s="159" t="s">
        <v>335</v>
      </c>
      <c r="F18" s="145">
        <v>315000</v>
      </c>
      <c r="G18" s="9">
        <f>'PE (0)'!$C$8</f>
        <v>324444.44444444444</v>
      </c>
      <c r="H18" s="46">
        <f>'PE (0)'!$C$22</f>
        <v>486666.66666666663</v>
      </c>
      <c r="I18" s="46">
        <f t="shared" si="3"/>
        <v>811111.11111111101</v>
      </c>
      <c r="J18" s="318">
        <f t="shared" si="4"/>
        <v>-496111.11111111101</v>
      </c>
      <c r="K18" s="320">
        <f t="shared" si="6"/>
        <v>-2214055.555555555</v>
      </c>
      <c r="L18" s="123" t="str">
        <f t="shared" si="5"/>
        <v>jueves</v>
      </c>
      <c r="M18" s="318">
        <f t="shared" si="7"/>
        <v>-9444.444444444438</v>
      </c>
      <c r="N18" s="318" t="str">
        <f t="shared" si="8"/>
        <v>sep</v>
      </c>
    </row>
    <row r="19" spans="3:16" outlineLevel="1" x14ac:dyDescent="0.25">
      <c r="C19" s="389" t="s">
        <v>318</v>
      </c>
      <c r="D19" s="47">
        <v>27</v>
      </c>
      <c r="E19" s="159" t="s">
        <v>336</v>
      </c>
      <c r="F19" s="145">
        <v>421000</v>
      </c>
      <c r="G19" s="9">
        <f>'PE (0)'!$C$8</f>
        <v>324444.44444444444</v>
      </c>
      <c r="H19" s="46">
        <f>'PE (0)'!$C$22</f>
        <v>486666.66666666663</v>
      </c>
      <c r="I19" s="46">
        <f t="shared" si="3"/>
        <v>811111.11111111101</v>
      </c>
      <c r="J19" s="318">
        <f t="shared" si="4"/>
        <v>-390111.11111111101</v>
      </c>
      <c r="K19" s="320">
        <f t="shared" si="6"/>
        <v>-2604166.666666666</v>
      </c>
      <c r="L19" s="123" t="str">
        <f t="shared" si="5"/>
        <v>viernes</v>
      </c>
      <c r="M19" s="318">
        <f t="shared" si="7"/>
        <v>96555.555555555562</v>
      </c>
      <c r="N19" s="318" t="str">
        <f t="shared" si="8"/>
        <v>sep</v>
      </c>
    </row>
    <row r="20" spans="3:16" outlineLevel="1" x14ac:dyDescent="0.25">
      <c r="C20" s="389" t="s">
        <v>318</v>
      </c>
      <c r="D20" s="47">
        <v>28</v>
      </c>
      <c r="E20" s="159" t="s">
        <v>337</v>
      </c>
      <c r="F20" s="145">
        <v>951500</v>
      </c>
      <c r="G20" s="9">
        <f>'PE (0)'!$C$8</f>
        <v>324444.44444444444</v>
      </c>
      <c r="H20" s="46">
        <f>'PE (0)'!$C$22</f>
        <v>486666.66666666663</v>
      </c>
      <c r="I20" s="46">
        <f t="shared" si="3"/>
        <v>811111.11111111101</v>
      </c>
      <c r="J20" s="318">
        <f t="shared" si="4"/>
        <v>140388.88888888899</v>
      </c>
      <c r="K20" s="320">
        <f t="shared" si="6"/>
        <v>-2463777.7777777771</v>
      </c>
      <c r="L20" s="123" t="str">
        <f t="shared" si="5"/>
        <v>sábado</v>
      </c>
      <c r="M20" s="318">
        <f t="shared" si="7"/>
        <v>627055.5555555555</v>
      </c>
      <c r="N20" s="318" t="str">
        <f t="shared" si="8"/>
        <v>sep</v>
      </c>
    </row>
    <row r="21" spans="3:16" outlineLevel="1" x14ac:dyDescent="0.25">
      <c r="C21" s="389" t="s">
        <v>318</v>
      </c>
      <c r="D21" s="47">
        <v>29</v>
      </c>
      <c r="E21" s="159" t="s">
        <v>338</v>
      </c>
      <c r="F21" s="145">
        <v>658000</v>
      </c>
      <c r="G21" s="9">
        <f>'PE (0)'!$C$8</f>
        <v>324444.44444444444</v>
      </c>
      <c r="H21" s="46">
        <f>'PE (0)'!$C$22</f>
        <v>486666.66666666663</v>
      </c>
      <c r="I21" s="46">
        <f t="shared" si="3"/>
        <v>811111.11111111101</v>
      </c>
      <c r="J21" s="318">
        <f t="shared" si="4"/>
        <v>-153111.11111111101</v>
      </c>
      <c r="K21" s="320">
        <f t="shared" si="6"/>
        <v>-2616888.8888888881</v>
      </c>
      <c r="L21" s="123" t="str">
        <f t="shared" si="5"/>
        <v>domingo</v>
      </c>
      <c r="M21" s="318">
        <f t="shared" si="7"/>
        <v>333555.55555555556</v>
      </c>
      <c r="N21" s="318" t="str">
        <f t="shared" si="8"/>
        <v>sep</v>
      </c>
      <c r="P21" s="159"/>
    </row>
    <row r="22" spans="3:16" outlineLevel="1" x14ac:dyDescent="0.25">
      <c r="C22" s="389" t="s">
        <v>318</v>
      </c>
      <c r="D22" s="47">
        <v>30</v>
      </c>
      <c r="E22" s="159" t="s">
        <v>332</v>
      </c>
      <c r="F22" s="145">
        <v>183210</v>
      </c>
      <c r="G22" s="9">
        <f>'PE (0)'!$C$8</f>
        <v>324444.44444444444</v>
      </c>
      <c r="H22" s="46">
        <f>'PE (0)'!$C$22</f>
        <v>486666.66666666663</v>
      </c>
      <c r="I22" s="46">
        <f t="shared" si="3"/>
        <v>811111.11111111101</v>
      </c>
      <c r="J22" s="318">
        <f t="shared" si="4"/>
        <v>-627901.11111111101</v>
      </c>
      <c r="K22" s="320">
        <f t="shared" si="6"/>
        <v>-3244789.9999999991</v>
      </c>
      <c r="L22" s="123" t="str">
        <f t="shared" si="5"/>
        <v>lunes</v>
      </c>
      <c r="M22" s="318">
        <f t="shared" si="7"/>
        <v>-141234.44444444444</v>
      </c>
      <c r="N22" s="318" t="str">
        <f t="shared" si="8"/>
        <v>sep</v>
      </c>
      <c r="P22" s="159"/>
    </row>
    <row r="23" spans="3:16" x14ac:dyDescent="0.25">
      <c r="C23" s="389" t="s">
        <v>319</v>
      </c>
      <c r="D23" s="47">
        <v>1</v>
      </c>
      <c r="E23" s="159" t="s">
        <v>333</v>
      </c>
      <c r="F23" s="145">
        <v>229800</v>
      </c>
      <c r="G23" s="9">
        <f>'PE (0)'!$G$8</f>
        <v>277818.61290322582</v>
      </c>
      <c r="H23" s="101">
        <f>'PE (0)'!$G$22</f>
        <v>416727.91935483867</v>
      </c>
      <c r="I23" s="46">
        <f>+G23+H23</f>
        <v>694546.53225806449</v>
      </c>
      <c r="J23" s="318">
        <f t="shared" si="4"/>
        <v>-464746.53225806449</v>
      </c>
      <c r="K23" s="320">
        <f t="shared" si="6"/>
        <v>-3709536.5322580636</v>
      </c>
      <c r="L23" s="123" t="str">
        <f t="shared" si="5"/>
        <v>martes</v>
      </c>
      <c r="M23" s="318">
        <f t="shared" si="7"/>
        <v>-48018.612903225818</v>
      </c>
      <c r="N23" s="318" t="str">
        <f t="shared" si="8"/>
        <v>oct</v>
      </c>
      <c r="P23" s="159"/>
    </row>
    <row r="24" spans="3:16" x14ac:dyDescent="0.25">
      <c r="C24" s="389" t="s">
        <v>319</v>
      </c>
      <c r="D24" s="47">
        <v>2</v>
      </c>
      <c r="E24" s="159" t="s">
        <v>334</v>
      </c>
      <c r="F24" s="145">
        <v>238000</v>
      </c>
      <c r="G24" s="9">
        <f>'PE (0)'!$G$8</f>
        <v>277818.61290322582</v>
      </c>
      <c r="H24" s="101">
        <f>'PE (0)'!$G$22</f>
        <v>416727.91935483867</v>
      </c>
      <c r="I24" s="46">
        <f t="shared" si="3"/>
        <v>694546.53225806449</v>
      </c>
      <c r="J24" s="318">
        <f t="shared" si="4"/>
        <v>-456546.53225806449</v>
      </c>
      <c r="K24" s="320">
        <f t="shared" si="6"/>
        <v>-4166083.064516128</v>
      </c>
      <c r="L24" s="123" t="str">
        <f t="shared" si="5"/>
        <v>miércoles</v>
      </c>
      <c r="M24" s="318">
        <f t="shared" si="7"/>
        <v>-39818.612903225818</v>
      </c>
      <c r="N24" s="318" t="str">
        <f t="shared" si="8"/>
        <v>oct</v>
      </c>
      <c r="P24" s="159"/>
    </row>
    <row r="25" spans="3:16" x14ac:dyDescent="0.25">
      <c r="C25" s="389" t="s">
        <v>319</v>
      </c>
      <c r="D25" s="47">
        <v>3</v>
      </c>
      <c r="E25" s="159" t="s">
        <v>335</v>
      </c>
      <c r="F25" s="145">
        <v>238000</v>
      </c>
      <c r="G25" s="9">
        <f>'PE (0)'!$G$8</f>
        <v>277818.61290322582</v>
      </c>
      <c r="H25" s="101">
        <f>'PE (0)'!$G$22</f>
        <v>416727.91935483867</v>
      </c>
      <c r="I25" s="46">
        <f t="shared" si="3"/>
        <v>694546.53225806449</v>
      </c>
      <c r="J25" s="318">
        <f t="shared" si="4"/>
        <v>-456546.53225806449</v>
      </c>
      <c r="K25" s="320">
        <f t="shared" si="6"/>
        <v>-4622629.5967741925</v>
      </c>
      <c r="L25" s="123" t="str">
        <f t="shared" si="5"/>
        <v>jueves</v>
      </c>
      <c r="M25" s="318">
        <f t="shared" si="7"/>
        <v>-39818.612903225818</v>
      </c>
      <c r="N25" s="318" t="str">
        <f t="shared" si="8"/>
        <v>oct</v>
      </c>
      <c r="P25" s="159"/>
    </row>
    <row r="26" spans="3:16" x14ac:dyDescent="0.25">
      <c r="C26" s="389" t="s">
        <v>319</v>
      </c>
      <c r="D26" s="47">
        <v>4</v>
      </c>
      <c r="E26" s="159" t="s">
        <v>336</v>
      </c>
      <c r="F26" s="145">
        <v>420500</v>
      </c>
      <c r="G26" s="9">
        <f>'PE (0)'!$G$8</f>
        <v>277818.61290322582</v>
      </c>
      <c r="H26" s="101">
        <f>'PE (0)'!$G$22</f>
        <v>416727.91935483867</v>
      </c>
      <c r="I26" s="46">
        <f t="shared" si="3"/>
        <v>694546.53225806449</v>
      </c>
      <c r="J26" s="318">
        <f t="shared" si="4"/>
        <v>-274046.53225806449</v>
      </c>
      <c r="K26" s="320">
        <f t="shared" si="6"/>
        <v>-4896676.129032257</v>
      </c>
      <c r="L26" s="123" t="str">
        <f t="shared" si="5"/>
        <v>viernes</v>
      </c>
      <c r="M26" s="318">
        <f t="shared" si="7"/>
        <v>142681.38709677418</v>
      </c>
      <c r="N26" s="318" t="str">
        <f t="shared" si="8"/>
        <v>oct</v>
      </c>
      <c r="P26" s="159"/>
    </row>
    <row r="27" spans="3:16" x14ac:dyDescent="0.25">
      <c r="C27" s="389" t="s">
        <v>319</v>
      </c>
      <c r="D27" s="47">
        <v>5</v>
      </c>
      <c r="E27" s="159" t="s">
        <v>337</v>
      </c>
      <c r="F27" s="145">
        <v>1210300</v>
      </c>
      <c r="G27" s="9">
        <f>'PE (0)'!$G$8</f>
        <v>277818.61290322582</v>
      </c>
      <c r="H27" s="101">
        <f>'PE (0)'!$G$22</f>
        <v>416727.91935483867</v>
      </c>
      <c r="I27" s="46">
        <f t="shared" si="3"/>
        <v>694546.53225806449</v>
      </c>
      <c r="J27" s="318">
        <f t="shared" si="4"/>
        <v>515753.46774193551</v>
      </c>
      <c r="K27" s="320">
        <f t="shared" si="6"/>
        <v>-4380922.6612903215</v>
      </c>
      <c r="L27" s="123" t="str">
        <f t="shared" si="5"/>
        <v>sábado</v>
      </c>
      <c r="M27" s="318">
        <f t="shared" si="7"/>
        <v>932481.38709677418</v>
      </c>
      <c r="N27" s="318" t="str">
        <f t="shared" si="8"/>
        <v>oct</v>
      </c>
      <c r="P27" s="159"/>
    </row>
    <row r="28" spans="3:16" x14ac:dyDescent="0.25">
      <c r="C28" s="389" t="s">
        <v>319</v>
      </c>
      <c r="D28" s="47">
        <v>6</v>
      </c>
      <c r="E28" s="159" t="s">
        <v>338</v>
      </c>
      <c r="F28" s="145">
        <v>1345600</v>
      </c>
      <c r="G28" s="9">
        <f>'PE (0)'!$G$8</f>
        <v>277818.61290322582</v>
      </c>
      <c r="H28" s="101">
        <f>'PE (0)'!$G$22</f>
        <v>416727.91935483867</v>
      </c>
      <c r="I28" s="46">
        <f t="shared" si="3"/>
        <v>694546.53225806449</v>
      </c>
      <c r="J28" s="318">
        <f t="shared" si="4"/>
        <v>651053.46774193551</v>
      </c>
      <c r="K28" s="320">
        <f t="shared" si="6"/>
        <v>-3729869.193548386</v>
      </c>
      <c r="L28" s="123" t="str">
        <f t="shared" si="5"/>
        <v>domingo</v>
      </c>
      <c r="M28" s="318">
        <f t="shared" si="7"/>
        <v>1067781.3870967743</v>
      </c>
      <c r="N28" s="318" t="str">
        <f t="shared" si="8"/>
        <v>oct</v>
      </c>
      <c r="P28" s="159"/>
    </row>
    <row r="29" spans="3:16" x14ac:dyDescent="0.25">
      <c r="C29" s="389" t="s">
        <v>319</v>
      </c>
      <c r="D29" s="47">
        <v>7</v>
      </c>
      <c r="E29" s="159" t="s">
        <v>332</v>
      </c>
      <c r="F29" s="145">
        <v>603500</v>
      </c>
      <c r="G29" s="9">
        <f>'PE (0)'!$G$8</f>
        <v>277818.61290322582</v>
      </c>
      <c r="H29" s="101">
        <f>'PE (0)'!$G$22</f>
        <v>416727.91935483867</v>
      </c>
      <c r="I29" s="46">
        <f t="shared" si="3"/>
        <v>694546.53225806449</v>
      </c>
      <c r="J29" s="318">
        <f t="shared" si="4"/>
        <v>-91046.532258064486</v>
      </c>
      <c r="K29" s="320">
        <f t="shared" si="6"/>
        <v>-3820915.7258064505</v>
      </c>
      <c r="L29" s="123" t="str">
        <f t="shared" si="5"/>
        <v>lunes</v>
      </c>
      <c r="M29" s="318">
        <f t="shared" si="7"/>
        <v>325681.38709677418</v>
      </c>
      <c r="N29" s="318" t="str">
        <f t="shared" si="8"/>
        <v>oct</v>
      </c>
      <c r="P29" s="159"/>
    </row>
    <row r="30" spans="3:16" x14ac:dyDescent="0.25">
      <c r="C30" s="389" t="s">
        <v>319</v>
      </c>
      <c r="D30" s="47">
        <v>8</v>
      </c>
      <c r="E30" s="159" t="s">
        <v>333</v>
      </c>
      <c r="F30" s="145">
        <v>426300</v>
      </c>
      <c r="G30" s="9">
        <f>'PE (0)'!$G$8</f>
        <v>277818.61290322582</v>
      </c>
      <c r="H30" s="101">
        <f>'PE (0)'!$G$22</f>
        <v>416727.91935483867</v>
      </c>
      <c r="I30" s="46">
        <f t="shared" si="3"/>
        <v>694546.53225806449</v>
      </c>
      <c r="J30" s="318">
        <f t="shared" si="4"/>
        <v>-268246.53225806449</v>
      </c>
      <c r="K30" s="320">
        <f t="shared" si="6"/>
        <v>-4089162.258064515</v>
      </c>
      <c r="L30" s="123" t="str">
        <f t="shared" si="5"/>
        <v>martes</v>
      </c>
      <c r="M30" s="318">
        <f t="shared" si="7"/>
        <v>148481.38709677418</v>
      </c>
      <c r="N30" s="318" t="str">
        <f t="shared" si="8"/>
        <v>oct</v>
      </c>
      <c r="P30" s="159"/>
    </row>
    <row r="31" spans="3:16" x14ac:dyDescent="0.25">
      <c r="C31" s="389" t="s">
        <v>319</v>
      </c>
      <c r="D31" s="47">
        <v>9</v>
      </c>
      <c r="E31" s="159" t="s">
        <v>334</v>
      </c>
      <c r="F31" s="145">
        <v>134000</v>
      </c>
      <c r="G31" s="9">
        <f>'PE (0)'!$G$8</f>
        <v>277818.61290322582</v>
      </c>
      <c r="H31" s="101">
        <f>'PE (0)'!$G$22</f>
        <v>416727.91935483867</v>
      </c>
      <c r="I31" s="46">
        <f t="shared" si="3"/>
        <v>694546.53225806449</v>
      </c>
      <c r="J31" s="318">
        <f t="shared" si="4"/>
        <v>-560546.53225806449</v>
      </c>
      <c r="K31" s="320">
        <f t="shared" si="6"/>
        <v>-4649708.7903225794</v>
      </c>
      <c r="L31" s="123" t="str">
        <f t="shared" si="5"/>
        <v>miércoles</v>
      </c>
      <c r="M31" s="318">
        <f t="shared" si="7"/>
        <v>-143818.61290322582</v>
      </c>
      <c r="N31" s="318" t="str">
        <f t="shared" si="8"/>
        <v>oct</v>
      </c>
      <c r="P31" s="159"/>
    </row>
    <row r="32" spans="3:16" x14ac:dyDescent="0.25">
      <c r="C32" s="389" t="s">
        <v>319</v>
      </c>
      <c r="D32" s="47">
        <v>10</v>
      </c>
      <c r="E32" s="159" t="s">
        <v>335</v>
      </c>
      <c r="F32" s="145">
        <v>85500</v>
      </c>
      <c r="G32" s="9">
        <f>'PE (0)'!$G$8</f>
        <v>277818.61290322582</v>
      </c>
      <c r="H32" s="101">
        <f>'PE (0)'!$G$22</f>
        <v>416727.91935483867</v>
      </c>
      <c r="I32" s="46">
        <f t="shared" si="3"/>
        <v>694546.53225806449</v>
      </c>
      <c r="J32" s="318">
        <f t="shared" si="4"/>
        <v>-609046.53225806449</v>
      </c>
      <c r="K32" s="320">
        <f t="shared" si="6"/>
        <v>-5258755.3225806439</v>
      </c>
      <c r="L32" s="123" t="str">
        <f t="shared" si="5"/>
        <v>jueves</v>
      </c>
      <c r="M32" s="318">
        <f t="shared" si="7"/>
        <v>-192318.61290322582</v>
      </c>
      <c r="N32" s="318" t="str">
        <f t="shared" si="8"/>
        <v>oct</v>
      </c>
      <c r="P32" s="159"/>
    </row>
    <row r="33" spans="2:16" x14ac:dyDescent="0.25">
      <c r="B33" s="199"/>
      <c r="C33" s="389" t="s">
        <v>319</v>
      </c>
      <c r="D33" s="47">
        <v>11</v>
      </c>
      <c r="E33" s="159" t="s">
        <v>336</v>
      </c>
      <c r="F33" s="145">
        <v>427900</v>
      </c>
      <c r="G33" s="9">
        <f>'PE (0)'!$G$8</f>
        <v>277818.61290322582</v>
      </c>
      <c r="H33" s="101">
        <f>'PE (0)'!$G$22</f>
        <v>416727.91935483867</v>
      </c>
      <c r="I33" s="46">
        <f t="shared" si="3"/>
        <v>694546.53225806449</v>
      </c>
      <c r="J33" s="318">
        <f t="shared" si="4"/>
        <v>-266646.53225806449</v>
      </c>
      <c r="K33" s="320">
        <f t="shared" si="6"/>
        <v>-5525401.8548387084</v>
      </c>
      <c r="L33" s="123" t="str">
        <f t="shared" si="5"/>
        <v>viernes</v>
      </c>
      <c r="M33" s="318">
        <f t="shared" si="7"/>
        <v>150081.38709677418</v>
      </c>
      <c r="N33" s="318" t="str">
        <f t="shared" si="8"/>
        <v>oct</v>
      </c>
      <c r="P33" s="159"/>
    </row>
    <row r="34" spans="2:16" x14ac:dyDescent="0.25">
      <c r="C34" s="389" t="s">
        <v>319</v>
      </c>
      <c r="D34" s="47">
        <v>12</v>
      </c>
      <c r="E34" s="159" t="s">
        <v>337</v>
      </c>
      <c r="F34" s="145">
        <v>664500</v>
      </c>
      <c r="G34" s="9">
        <f>'PE (0)'!$G$8</f>
        <v>277818.61290322582</v>
      </c>
      <c r="H34" s="101">
        <f>'PE (0)'!$G$22</f>
        <v>416727.91935483867</v>
      </c>
      <c r="I34" s="46">
        <f t="shared" si="3"/>
        <v>694546.53225806449</v>
      </c>
      <c r="J34" s="318">
        <f t="shared" si="4"/>
        <v>-30046.532258064486</v>
      </c>
      <c r="K34" s="320">
        <f t="shared" si="6"/>
        <v>-5555448.3870967729</v>
      </c>
      <c r="L34" s="123" t="str">
        <f t="shared" si="5"/>
        <v>sábado</v>
      </c>
      <c r="M34" s="318">
        <f t="shared" si="7"/>
        <v>386681.38709677418</v>
      </c>
      <c r="N34" s="318" t="str">
        <f t="shared" si="8"/>
        <v>oct</v>
      </c>
      <c r="P34" s="159"/>
    </row>
    <row r="35" spans="2:16" x14ac:dyDescent="0.25">
      <c r="C35" s="389" t="s">
        <v>319</v>
      </c>
      <c r="D35" s="47">
        <v>13</v>
      </c>
      <c r="E35" s="159" t="s">
        <v>338</v>
      </c>
      <c r="F35" s="145">
        <v>1283500</v>
      </c>
      <c r="G35" s="9">
        <f>'PE (0)'!$G$8</f>
        <v>277818.61290322582</v>
      </c>
      <c r="H35" s="101">
        <f>'PE (0)'!$G$22</f>
        <v>416727.91935483867</v>
      </c>
      <c r="I35" s="46">
        <f t="shared" si="3"/>
        <v>694546.53225806449</v>
      </c>
      <c r="J35" s="318">
        <f t="shared" si="4"/>
        <v>588953.46774193551</v>
      </c>
      <c r="K35" s="320">
        <f t="shared" si="6"/>
        <v>-4966494.9193548374</v>
      </c>
      <c r="L35" s="123" t="str">
        <f t="shared" si="5"/>
        <v>domingo</v>
      </c>
      <c r="M35" s="318">
        <f t="shared" si="7"/>
        <v>1005681.3870967742</v>
      </c>
      <c r="N35" s="318" t="str">
        <f t="shared" si="8"/>
        <v>oct</v>
      </c>
      <c r="P35" s="159"/>
    </row>
    <row r="36" spans="2:16" x14ac:dyDescent="0.25">
      <c r="C36" s="389" t="s">
        <v>319</v>
      </c>
      <c r="D36" s="47">
        <v>14</v>
      </c>
      <c r="E36" s="159" t="s">
        <v>332</v>
      </c>
      <c r="F36" s="145">
        <v>622000</v>
      </c>
      <c r="G36" s="9">
        <f>'PE (0)'!$G$8</f>
        <v>277818.61290322582</v>
      </c>
      <c r="H36" s="101">
        <f>'PE (0)'!$G$22</f>
        <v>416727.91935483867</v>
      </c>
      <c r="I36" s="46">
        <f t="shared" si="3"/>
        <v>694546.53225806449</v>
      </c>
      <c r="J36" s="318">
        <f t="shared" si="4"/>
        <v>-72546.532258064486</v>
      </c>
      <c r="K36" s="320">
        <f t="shared" si="6"/>
        <v>-5039041.4516129019</v>
      </c>
      <c r="L36" s="123" t="str">
        <f t="shared" si="5"/>
        <v>lunes</v>
      </c>
      <c r="M36" s="318">
        <f t="shared" si="7"/>
        <v>344181.38709677418</v>
      </c>
      <c r="N36" s="318" t="str">
        <f t="shared" si="8"/>
        <v>oct</v>
      </c>
      <c r="P36" s="159"/>
    </row>
    <row r="37" spans="2:16" x14ac:dyDescent="0.25">
      <c r="C37" s="389" t="s">
        <v>319</v>
      </c>
      <c r="D37" s="47">
        <v>15</v>
      </c>
      <c r="E37" s="159" t="s">
        <v>333</v>
      </c>
      <c r="F37" s="145">
        <v>227000</v>
      </c>
      <c r="G37" s="9">
        <f>'PE (0)'!$G$8</f>
        <v>277818.61290322582</v>
      </c>
      <c r="H37" s="101">
        <f>'PE (0)'!$G$22</f>
        <v>416727.91935483867</v>
      </c>
      <c r="I37" s="46">
        <f t="shared" si="3"/>
        <v>694546.53225806449</v>
      </c>
      <c r="J37" s="318">
        <f t="shared" si="4"/>
        <v>-467546.53225806449</v>
      </c>
      <c r="K37" s="320">
        <f t="shared" si="6"/>
        <v>-5506587.9838709664</v>
      </c>
      <c r="L37" s="123" t="str">
        <f t="shared" si="5"/>
        <v>martes</v>
      </c>
      <c r="M37" s="318">
        <f t="shared" si="7"/>
        <v>-50818.612903225818</v>
      </c>
      <c r="N37" s="318" t="str">
        <f t="shared" si="8"/>
        <v>oct</v>
      </c>
      <c r="P37" s="159"/>
    </row>
    <row r="38" spans="2:16" x14ac:dyDescent="0.25">
      <c r="C38" s="389" t="s">
        <v>319</v>
      </c>
      <c r="D38" s="47">
        <v>16</v>
      </c>
      <c r="E38" s="159" t="s">
        <v>334</v>
      </c>
      <c r="F38" s="145">
        <v>385300</v>
      </c>
      <c r="G38" s="9">
        <f>'PE (0)'!$G$8</f>
        <v>277818.61290322582</v>
      </c>
      <c r="H38" s="101">
        <f>'PE (0)'!$G$22</f>
        <v>416727.91935483867</v>
      </c>
      <c r="I38" s="46">
        <f t="shared" si="3"/>
        <v>694546.53225806449</v>
      </c>
      <c r="J38" s="318">
        <f t="shared" si="4"/>
        <v>-309246.53225806449</v>
      </c>
      <c r="K38" s="320">
        <f t="shared" si="6"/>
        <v>-5815834.5161290308</v>
      </c>
      <c r="L38" s="123" t="str">
        <f t="shared" si="5"/>
        <v>miércoles</v>
      </c>
      <c r="M38" s="318">
        <f t="shared" si="7"/>
        <v>107481.38709677418</v>
      </c>
      <c r="N38" s="318" t="str">
        <f t="shared" si="8"/>
        <v>oct</v>
      </c>
      <c r="P38" s="159"/>
    </row>
    <row r="39" spans="2:16" x14ac:dyDescent="0.25">
      <c r="C39" s="389" t="s">
        <v>319</v>
      </c>
      <c r="D39" s="47">
        <v>17</v>
      </c>
      <c r="E39" s="159" t="s">
        <v>335</v>
      </c>
      <c r="F39" s="145">
        <v>250800</v>
      </c>
      <c r="G39" s="9">
        <f>'PE (0)'!$G$8</f>
        <v>277818.61290322582</v>
      </c>
      <c r="H39" s="101">
        <f>'PE (0)'!$G$22</f>
        <v>416727.91935483867</v>
      </c>
      <c r="I39" s="46">
        <f t="shared" si="3"/>
        <v>694546.53225806449</v>
      </c>
      <c r="J39" s="318">
        <f t="shared" si="4"/>
        <v>-443746.53225806449</v>
      </c>
      <c r="K39" s="320">
        <f t="shared" si="6"/>
        <v>-6259581.0483870953</v>
      </c>
      <c r="L39" s="123" t="str">
        <f t="shared" si="5"/>
        <v>jueves</v>
      </c>
      <c r="M39" s="318">
        <f t="shared" si="7"/>
        <v>-27018.612903225818</v>
      </c>
      <c r="N39" s="318" t="str">
        <f t="shared" si="8"/>
        <v>oct</v>
      </c>
      <c r="P39" s="159"/>
    </row>
    <row r="40" spans="2:16" x14ac:dyDescent="0.25">
      <c r="C40" s="389" t="s">
        <v>319</v>
      </c>
      <c r="D40" s="47">
        <v>18</v>
      </c>
      <c r="E40" s="159" t="s">
        <v>336</v>
      </c>
      <c r="F40" s="145">
        <v>363500</v>
      </c>
      <c r="G40" s="9">
        <f>'PE (0)'!$G$8</f>
        <v>277818.61290322582</v>
      </c>
      <c r="H40" s="101">
        <f>'PE (0)'!$G$22</f>
        <v>416727.91935483867</v>
      </c>
      <c r="I40" s="46">
        <f t="shared" si="3"/>
        <v>694546.53225806449</v>
      </c>
      <c r="J40" s="318">
        <f t="shared" si="4"/>
        <v>-331046.53225806449</v>
      </c>
      <c r="K40" s="320">
        <f t="shared" si="6"/>
        <v>-6590627.5806451598</v>
      </c>
      <c r="L40" s="123" t="str">
        <f t="shared" si="5"/>
        <v>viernes</v>
      </c>
      <c r="M40" s="318">
        <f t="shared" si="7"/>
        <v>85681.387096774182</v>
      </c>
      <c r="N40" s="318" t="str">
        <f t="shared" si="8"/>
        <v>oct</v>
      </c>
      <c r="P40" s="159"/>
    </row>
    <row r="41" spans="2:16" x14ac:dyDescent="0.25">
      <c r="C41" s="389" t="s">
        <v>319</v>
      </c>
      <c r="D41" s="47">
        <v>19</v>
      </c>
      <c r="E41" s="159" t="s">
        <v>337</v>
      </c>
      <c r="F41" s="145">
        <v>720000</v>
      </c>
      <c r="G41" s="9">
        <f>'PE (0)'!$G$8</f>
        <v>277818.61290322582</v>
      </c>
      <c r="H41" s="101">
        <f>'PE (0)'!$G$22</f>
        <v>416727.91935483867</v>
      </c>
      <c r="I41" s="46">
        <f t="shared" si="3"/>
        <v>694546.53225806449</v>
      </c>
      <c r="J41" s="318">
        <f t="shared" si="4"/>
        <v>25453.467741935514</v>
      </c>
      <c r="K41" s="320">
        <f t="shared" si="6"/>
        <v>-6565174.1129032243</v>
      </c>
      <c r="L41" s="123" t="str">
        <f t="shared" si="5"/>
        <v>sábado</v>
      </c>
      <c r="M41" s="318">
        <f t="shared" si="7"/>
        <v>442181.38709677418</v>
      </c>
      <c r="N41" s="318" t="str">
        <f t="shared" si="8"/>
        <v>oct</v>
      </c>
      <c r="P41" s="159"/>
    </row>
    <row r="42" spans="2:16" x14ac:dyDescent="0.25">
      <c r="C42" s="389" t="s">
        <v>319</v>
      </c>
      <c r="D42" s="47">
        <v>20</v>
      </c>
      <c r="E42" s="159" t="s">
        <v>338</v>
      </c>
      <c r="F42" s="145">
        <v>1550500</v>
      </c>
      <c r="G42" s="9">
        <f>'PE (0)'!$G$8</f>
        <v>277818.61290322582</v>
      </c>
      <c r="H42" s="101">
        <f>'PE (0)'!$G$22</f>
        <v>416727.91935483867</v>
      </c>
      <c r="I42" s="46">
        <f t="shared" si="3"/>
        <v>694546.53225806449</v>
      </c>
      <c r="J42" s="318">
        <f t="shared" si="4"/>
        <v>855953.46774193551</v>
      </c>
      <c r="K42" s="320">
        <f t="shared" si="6"/>
        <v>-5709220.6451612888</v>
      </c>
      <c r="L42" s="123" t="str">
        <f t="shared" si="5"/>
        <v>domingo</v>
      </c>
      <c r="M42" s="318">
        <f t="shared" si="7"/>
        <v>1272681.3870967743</v>
      </c>
      <c r="N42" s="318" t="str">
        <f t="shared" si="8"/>
        <v>oct</v>
      </c>
      <c r="P42" s="159"/>
    </row>
    <row r="43" spans="2:16" x14ac:dyDescent="0.25">
      <c r="C43" s="389" t="s">
        <v>319</v>
      </c>
      <c r="D43" s="47">
        <v>21</v>
      </c>
      <c r="E43" s="159" t="s">
        <v>332</v>
      </c>
      <c r="F43" s="145">
        <v>350000</v>
      </c>
      <c r="G43" s="9">
        <f>'PE (0)'!$G$8</f>
        <v>277818.61290322582</v>
      </c>
      <c r="H43" s="101">
        <f>'PE (0)'!$G$22</f>
        <v>416727.91935483867</v>
      </c>
      <c r="I43" s="46">
        <f t="shared" si="3"/>
        <v>694546.53225806449</v>
      </c>
      <c r="J43" s="318">
        <f t="shared" si="4"/>
        <v>-344546.53225806449</v>
      </c>
      <c r="K43" s="320">
        <f t="shared" si="6"/>
        <v>-6053767.1774193533</v>
      </c>
      <c r="L43" s="123" t="str">
        <f t="shared" si="5"/>
        <v>lunes</v>
      </c>
      <c r="M43" s="318">
        <f t="shared" si="7"/>
        <v>72181.387096774182</v>
      </c>
      <c r="N43" s="318" t="str">
        <f t="shared" si="8"/>
        <v>oct</v>
      </c>
      <c r="P43" s="159"/>
    </row>
    <row r="44" spans="2:16" x14ac:dyDescent="0.25">
      <c r="C44" s="389" t="s">
        <v>319</v>
      </c>
      <c r="D44" s="47">
        <v>22</v>
      </c>
      <c r="E44" s="159" t="s">
        <v>333</v>
      </c>
      <c r="F44" s="145">
        <v>380000</v>
      </c>
      <c r="G44" s="9">
        <f>'PE (0)'!$G$8</f>
        <v>277818.61290322582</v>
      </c>
      <c r="H44" s="101">
        <f>'PE (0)'!$G$22</f>
        <v>416727.91935483867</v>
      </c>
      <c r="I44" s="46">
        <f t="shared" si="3"/>
        <v>694546.53225806449</v>
      </c>
      <c r="J44" s="318">
        <f t="shared" si="4"/>
        <v>-314546.53225806449</v>
      </c>
      <c r="K44" s="320">
        <f t="shared" si="6"/>
        <v>-6368313.7096774178</v>
      </c>
      <c r="L44" s="123" t="str">
        <f t="shared" si="5"/>
        <v>martes</v>
      </c>
      <c r="M44" s="318">
        <f t="shared" si="7"/>
        <v>102181.38709677418</v>
      </c>
      <c r="N44" s="318" t="str">
        <f t="shared" si="8"/>
        <v>oct</v>
      </c>
      <c r="P44" s="159"/>
    </row>
    <row r="45" spans="2:16" x14ac:dyDescent="0.25">
      <c r="C45" s="389" t="s">
        <v>319</v>
      </c>
      <c r="D45" s="47">
        <v>23</v>
      </c>
      <c r="E45" s="159" t="s">
        <v>334</v>
      </c>
      <c r="F45" s="145">
        <v>550000</v>
      </c>
      <c r="G45" s="9">
        <f>'PE (0)'!$G$8</f>
        <v>277818.61290322582</v>
      </c>
      <c r="H45" s="101">
        <f>'PE (0)'!$G$22</f>
        <v>416727.91935483867</v>
      </c>
      <c r="I45" s="46">
        <f t="shared" si="3"/>
        <v>694546.53225806449</v>
      </c>
      <c r="J45" s="318">
        <f t="shared" si="4"/>
        <v>-144546.53225806449</v>
      </c>
      <c r="K45" s="320">
        <f t="shared" si="6"/>
        <v>-6512860.2419354822</v>
      </c>
      <c r="L45" s="123" t="str">
        <f t="shared" si="5"/>
        <v>miércoles</v>
      </c>
      <c r="M45" s="318">
        <f t="shared" si="7"/>
        <v>272181.38709677418</v>
      </c>
      <c r="N45" s="318" t="str">
        <f t="shared" si="8"/>
        <v>oct</v>
      </c>
      <c r="P45" s="159"/>
    </row>
    <row r="46" spans="2:16" x14ac:dyDescent="0.25">
      <c r="C46" s="389" t="s">
        <v>319</v>
      </c>
      <c r="D46" s="47">
        <v>24</v>
      </c>
      <c r="E46" s="159" t="s">
        <v>335</v>
      </c>
      <c r="F46" s="145">
        <v>380000</v>
      </c>
      <c r="G46" s="9">
        <f>'PE (0)'!$G$8</f>
        <v>277818.61290322582</v>
      </c>
      <c r="H46" s="101">
        <f>'PE (0)'!$G$22</f>
        <v>416727.91935483867</v>
      </c>
      <c r="I46" s="46">
        <f t="shared" si="3"/>
        <v>694546.53225806449</v>
      </c>
      <c r="J46" s="318">
        <f t="shared" si="4"/>
        <v>-314546.53225806449</v>
      </c>
      <c r="K46" s="320">
        <f t="shared" si="6"/>
        <v>-6827406.7741935467</v>
      </c>
      <c r="L46" s="123" t="str">
        <f t="shared" si="5"/>
        <v>jueves</v>
      </c>
      <c r="M46" s="318">
        <f t="shared" si="7"/>
        <v>102181.38709677418</v>
      </c>
      <c r="N46" s="318" t="str">
        <f t="shared" si="8"/>
        <v>oct</v>
      </c>
      <c r="P46" s="159"/>
    </row>
    <row r="47" spans="2:16" x14ac:dyDescent="0.25">
      <c r="C47" s="389" t="s">
        <v>319</v>
      </c>
      <c r="D47" s="47">
        <v>25</v>
      </c>
      <c r="E47" s="159" t="s">
        <v>336</v>
      </c>
      <c r="F47" s="145">
        <v>1200000</v>
      </c>
      <c r="G47" s="9">
        <f>'PE (0)'!$G$8</f>
        <v>277818.61290322582</v>
      </c>
      <c r="H47" s="101">
        <f>'PE (0)'!$G$22</f>
        <v>416727.91935483867</v>
      </c>
      <c r="I47" s="46">
        <f t="shared" si="3"/>
        <v>694546.53225806449</v>
      </c>
      <c r="J47" s="318">
        <f t="shared" si="4"/>
        <v>505453.46774193551</v>
      </c>
      <c r="K47" s="320">
        <f t="shared" si="6"/>
        <v>-6321953.3064516112</v>
      </c>
      <c r="L47" s="123" t="str">
        <f t="shared" si="5"/>
        <v>viernes</v>
      </c>
      <c r="M47" s="318">
        <f t="shared" si="7"/>
        <v>922181.38709677418</v>
      </c>
      <c r="N47" s="318" t="str">
        <f t="shared" si="8"/>
        <v>oct</v>
      </c>
      <c r="P47" s="159"/>
    </row>
    <row r="48" spans="2:16" x14ac:dyDescent="0.25">
      <c r="C48" s="389" t="s">
        <v>319</v>
      </c>
      <c r="D48" s="47">
        <v>26</v>
      </c>
      <c r="E48" s="159" t="s">
        <v>337</v>
      </c>
      <c r="F48" s="145">
        <v>655000</v>
      </c>
      <c r="G48" s="9">
        <f>'PE (0)'!$G$8</f>
        <v>277818.61290322582</v>
      </c>
      <c r="H48" s="101">
        <f>'PE (0)'!$G$22</f>
        <v>416727.91935483867</v>
      </c>
      <c r="I48" s="46">
        <f t="shared" si="3"/>
        <v>694546.53225806449</v>
      </c>
      <c r="J48" s="318">
        <f t="shared" si="4"/>
        <v>-39546.532258064486</v>
      </c>
      <c r="K48" s="320">
        <f t="shared" si="6"/>
        <v>-6361499.8387096757</v>
      </c>
      <c r="L48" s="123" t="str">
        <f t="shared" si="5"/>
        <v>sábado</v>
      </c>
      <c r="M48" s="318">
        <f t="shared" si="7"/>
        <v>377181.38709677418</v>
      </c>
      <c r="N48" s="318" t="str">
        <f t="shared" si="8"/>
        <v>oct</v>
      </c>
      <c r="P48" s="159"/>
    </row>
    <row r="49" spans="3:16" x14ac:dyDescent="0.25">
      <c r="C49" s="389" t="s">
        <v>319</v>
      </c>
      <c r="D49" s="47">
        <v>27</v>
      </c>
      <c r="E49" s="159" t="s">
        <v>338</v>
      </c>
      <c r="F49" s="145">
        <v>1200000</v>
      </c>
      <c r="G49" s="9">
        <f>'PE (0)'!$G$8</f>
        <v>277818.61290322582</v>
      </c>
      <c r="H49" s="101">
        <f>'PE (0)'!$G$22</f>
        <v>416727.91935483867</v>
      </c>
      <c r="I49" s="46">
        <f t="shared" si="3"/>
        <v>694546.53225806449</v>
      </c>
      <c r="J49" s="318">
        <f t="shared" si="4"/>
        <v>505453.46774193551</v>
      </c>
      <c r="K49" s="320">
        <f t="shared" si="6"/>
        <v>-5856046.3709677402</v>
      </c>
      <c r="L49" s="123" t="str">
        <f t="shared" si="5"/>
        <v>domingo</v>
      </c>
      <c r="M49" s="318">
        <f t="shared" si="7"/>
        <v>922181.38709677418</v>
      </c>
      <c r="N49" s="318" t="str">
        <f t="shared" si="8"/>
        <v>oct</v>
      </c>
      <c r="P49" s="159"/>
    </row>
    <row r="50" spans="3:16" x14ac:dyDescent="0.25">
      <c r="C50" s="389" t="s">
        <v>319</v>
      </c>
      <c r="D50" s="47">
        <v>28</v>
      </c>
      <c r="E50" s="159" t="s">
        <v>332</v>
      </c>
      <c r="F50" s="145">
        <v>300000</v>
      </c>
      <c r="G50" s="9">
        <f>'PE (0)'!$G$8</f>
        <v>277818.61290322582</v>
      </c>
      <c r="H50" s="101">
        <f>'PE (0)'!$G$22</f>
        <v>416727.91935483867</v>
      </c>
      <c r="I50" s="46">
        <f t="shared" si="3"/>
        <v>694546.53225806449</v>
      </c>
      <c r="J50" s="318">
        <f t="shared" si="4"/>
        <v>-394546.53225806449</v>
      </c>
      <c r="K50" s="320">
        <f t="shared" si="6"/>
        <v>-6250592.9032258047</v>
      </c>
      <c r="L50" s="123" t="str">
        <f t="shared" si="5"/>
        <v>lunes</v>
      </c>
      <c r="M50" s="318">
        <f t="shared" si="7"/>
        <v>22181.387096774182</v>
      </c>
      <c r="N50" s="318" t="str">
        <f t="shared" si="8"/>
        <v>oct</v>
      </c>
      <c r="P50" s="159"/>
    </row>
    <row r="51" spans="3:16" x14ac:dyDescent="0.25">
      <c r="C51" s="389" t="s">
        <v>319</v>
      </c>
      <c r="D51" s="47">
        <v>29</v>
      </c>
      <c r="E51" s="159" t="s">
        <v>333</v>
      </c>
      <c r="F51" s="145">
        <v>220000</v>
      </c>
      <c r="G51" s="9">
        <f>'PE (0)'!$G$8</f>
        <v>277818.61290322582</v>
      </c>
      <c r="H51" s="101">
        <f>'PE (0)'!$G$22</f>
        <v>416727.91935483867</v>
      </c>
      <c r="I51" s="46">
        <f t="shared" si="3"/>
        <v>694546.53225806449</v>
      </c>
      <c r="J51" s="318">
        <f t="shared" si="4"/>
        <v>-474546.53225806449</v>
      </c>
      <c r="K51" s="320">
        <f t="shared" si="6"/>
        <v>-6725139.4354838692</v>
      </c>
      <c r="L51" s="123" t="str">
        <f t="shared" si="5"/>
        <v>martes</v>
      </c>
      <c r="M51" s="318">
        <f t="shared" si="7"/>
        <v>-57818.612903225818</v>
      </c>
      <c r="N51" s="318" t="str">
        <f t="shared" si="8"/>
        <v>oct</v>
      </c>
      <c r="P51" s="159"/>
    </row>
    <row r="52" spans="3:16" x14ac:dyDescent="0.25">
      <c r="C52" s="389" t="s">
        <v>319</v>
      </c>
      <c r="D52" s="47">
        <v>30</v>
      </c>
      <c r="E52" s="159" t="s">
        <v>334</v>
      </c>
      <c r="F52" s="145">
        <v>320000</v>
      </c>
      <c r="G52" s="9">
        <f>'PE (0)'!$G$8</f>
        <v>277818.61290322582</v>
      </c>
      <c r="H52" s="101">
        <f>'PE (0)'!$G$22</f>
        <v>416727.91935483867</v>
      </c>
      <c r="I52" s="46">
        <f t="shared" si="3"/>
        <v>694546.53225806449</v>
      </c>
      <c r="J52" s="318">
        <f t="shared" si="4"/>
        <v>-374546.53225806449</v>
      </c>
      <c r="K52" s="320">
        <f t="shared" si="6"/>
        <v>-7099685.9677419337</v>
      </c>
      <c r="L52" s="123" t="str">
        <f t="shared" si="5"/>
        <v>miércoles</v>
      </c>
      <c r="M52" s="318">
        <f t="shared" si="7"/>
        <v>42181.387096774182</v>
      </c>
      <c r="N52" s="318" t="str">
        <f t="shared" si="8"/>
        <v>oct</v>
      </c>
      <c r="P52" s="159"/>
    </row>
    <row r="53" spans="3:16" x14ac:dyDescent="0.25">
      <c r="C53" s="389" t="s">
        <v>319</v>
      </c>
      <c r="D53" s="47">
        <v>31</v>
      </c>
      <c r="E53" s="159" t="s">
        <v>335</v>
      </c>
      <c r="F53" s="145">
        <v>370000</v>
      </c>
      <c r="G53" s="9">
        <f>'PE (0)'!$G$8</f>
        <v>277818.61290322582</v>
      </c>
      <c r="H53" s="101">
        <f>'PE (0)'!$G$22</f>
        <v>416727.91935483867</v>
      </c>
      <c r="I53" s="46">
        <f t="shared" si="3"/>
        <v>694546.53225806449</v>
      </c>
      <c r="J53" s="318">
        <f t="shared" si="4"/>
        <v>-324546.53225806449</v>
      </c>
      <c r="K53" s="320">
        <f t="shared" si="6"/>
        <v>-7424232.4999999981</v>
      </c>
      <c r="L53" s="123" t="str">
        <f t="shared" si="5"/>
        <v>jueves</v>
      </c>
      <c r="M53" s="318">
        <f t="shared" si="7"/>
        <v>92181.387096774182</v>
      </c>
      <c r="N53" s="318" t="str">
        <f t="shared" si="8"/>
        <v>oct</v>
      </c>
      <c r="P53" s="159"/>
    </row>
    <row r="54" spans="3:16" outlineLevel="1" x14ac:dyDescent="0.25">
      <c r="C54" s="389" t="s">
        <v>558</v>
      </c>
      <c r="D54" s="47">
        <v>1</v>
      </c>
      <c r="E54" s="159" t="s">
        <v>336</v>
      </c>
      <c r="F54" s="145">
        <v>370000</v>
      </c>
      <c r="G54" s="9">
        <f>'PE (0)'!$K$8</f>
        <v>246666.66666666666</v>
      </c>
      <c r="H54" s="9">
        <f>'PE (0)'!$K$22</f>
        <v>369999.99999999994</v>
      </c>
      <c r="I54" s="46">
        <f t="shared" si="3"/>
        <v>616666.66666666663</v>
      </c>
      <c r="J54" s="318">
        <f t="shared" si="4"/>
        <v>-246666.66666666663</v>
      </c>
      <c r="K54" s="320">
        <f t="shared" si="6"/>
        <v>-7670899.1666666651</v>
      </c>
      <c r="L54" s="123" t="str">
        <f t="shared" si="5"/>
        <v>viernes</v>
      </c>
      <c r="M54" s="318">
        <f t="shared" si="7"/>
        <v>123333.33333333334</v>
      </c>
      <c r="N54" s="318" t="str">
        <f t="shared" si="8"/>
        <v>nov</v>
      </c>
      <c r="P54" s="159"/>
    </row>
    <row r="55" spans="3:16" outlineLevel="1" x14ac:dyDescent="0.25">
      <c r="C55" s="389" t="s">
        <v>558</v>
      </c>
      <c r="D55" s="47">
        <v>2</v>
      </c>
      <c r="E55" s="159" t="s">
        <v>337</v>
      </c>
      <c r="F55" s="145">
        <v>500000</v>
      </c>
      <c r="G55" s="9">
        <f>'PE (0)'!$K$8</f>
        <v>246666.66666666666</v>
      </c>
      <c r="H55" s="9">
        <f>'PE (0)'!$K$22</f>
        <v>369999.99999999994</v>
      </c>
      <c r="I55" s="46">
        <f t="shared" si="3"/>
        <v>616666.66666666663</v>
      </c>
      <c r="J55" s="318">
        <f t="shared" si="4"/>
        <v>-116666.66666666663</v>
      </c>
      <c r="K55" s="320">
        <f t="shared" si="6"/>
        <v>-7787565.8333333321</v>
      </c>
      <c r="L55" s="123" t="str">
        <f t="shared" si="5"/>
        <v>sábado</v>
      </c>
      <c r="M55" s="318">
        <f t="shared" si="7"/>
        <v>253333.33333333334</v>
      </c>
      <c r="N55" s="318" t="str">
        <f t="shared" si="8"/>
        <v>nov</v>
      </c>
      <c r="P55" s="159"/>
    </row>
    <row r="56" spans="3:16" outlineLevel="1" x14ac:dyDescent="0.25">
      <c r="C56" s="389" t="s">
        <v>558</v>
      </c>
      <c r="D56" s="47">
        <v>3</v>
      </c>
      <c r="E56" s="159" t="s">
        <v>338</v>
      </c>
      <c r="F56" s="145">
        <v>1700000</v>
      </c>
      <c r="G56" s="9">
        <f>'PE (0)'!$K$8</f>
        <v>246666.66666666666</v>
      </c>
      <c r="H56" s="9">
        <f>'PE (0)'!$K$22</f>
        <v>369999.99999999994</v>
      </c>
      <c r="I56" s="46">
        <f t="shared" si="3"/>
        <v>616666.66666666663</v>
      </c>
      <c r="J56" s="318">
        <f t="shared" si="4"/>
        <v>1083333.3333333335</v>
      </c>
      <c r="K56" s="320">
        <f t="shared" si="6"/>
        <v>-6704232.4999999981</v>
      </c>
      <c r="L56" s="123" t="str">
        <f t="shared" si="5"/>
        <v>domingo</v>
      </c>
      <c r="M56" s="318">
        <f t="shared" si="7"/>
        <v>1453333.3333333333</v>
      </c>
      <c r="N56" s="318" t="str">
        <f t="shared" si="8"/>
        <v>nov</v>
      </c>
      <c r="P56" s="159"/>
    </row>
    <row r="57" spans="3:16" outlineLevel="1" x14ac:dyDescent="0.25">
      <c r="C57" s="389" t="s">
        <v>558</v>
      </c>
      <c r="D57" s="47">
        <v>4</v>
      </c>
      <c r="E57" s="159" t="s">
        <v>332</v>
      </c>
      <c r="F57" s="145">
        <v>600000</v>
      </c>
      <c r="G57" s="9">
        <f>'PE (0)'!$K$8</f>
        <v>246666.66666666666</v>
      </c>
      <c r="H57" s="9">
        <f>'PE (0)'!$K$22</f>
        <v>369999.99999999994</v>
      </c>
      <c r="I57" s="46">
        <f t="shared" si="3"/>
        <v>616666.66666666663</v>
      </c>
      <c r="J57" s="318">
        <f t="shared" si="4"/>
        <v>-16666.666666666628</v>
      </c>
      <c r="K57" s="320">
        <f t="shared" si="6"/>
        <v>-6720899.1666666651</v>
      </c>
      <c r="L57" s="123" t="str">
        <f t="shared" si="5"/>
        <v>lunes</v>
      </c>
      <c r="M57" s="318">
        <f t="shared" si="7"/>
        <v>353333.33333333337</v>
      </c>
      <c r="N57" s="318" t="str">
        <f t="shared" si="8"/>
        <v>nov</v>
      </c>
      <c r="P57" s="159"/>
    </row>
    <row r="58" spans="3:16" outlineLevel="1" x14ac:dyDescent="0.25">
      <c r="C58" s="389" t="s">
        <v>558</v>
      </c>
      <c r="D58" s="47">
        <v>5</v>
      </c>
      <c r="E58" s="159" t="s">
        <v>333</v>
      </c>
      <c r="F58" s="145">
        <v>194000</v>
      </c>
      <c r="G58" s="9">
        <f>'PE (0)'!$K$8</f>
        <v>246666.66666666666</v>
      </c>
      <c r="H58" s="9">
        <f>'PE (0)'!$K$22</f>
        <v>369999.99999999994</v>
      </c>
      <c r="I58" s="46">
        <f t="shared" si="3"/>
        <v>616666.66666666663</v>
      </c>
      <c r="J58" s="318">
        <f t="shared" si="4"/>
        <v>-422666.66666666663</v>
      </c>
      <c r="K58" s="320">
        <f t="shared" si="6"/>
        <v>-7143565.8333333321</v>
      </c>
      <c r="L58" s="123" t="str">
        <f t="shared" si="5"/>
        <v>martes</v>
      </c>
      <c r="M58" s="318">
        <f t="shared" si="7"/>
        <v>-52666.666666666657</v>
      </c>
      <c r="N58" s="318" t="str">
        <f t="shared" si="8"/>
        <v>nov</v>
      </c>
      <c r="P58" s="159"/>
    </row>
    <row r="59" spans="3:16" outlineLevel="1" x14ac:dyDescent="0.25">
      <c r="C59" s="389" t="s">
        <v>558</v>
      </c>
      <c r="D59" s="47">
        <v>6</v>
      </c>
      <c r="E59" s="159" t="s">
        <v>334</v>
      </c>
      <c r="F59" s="145">
        <v>627000</v>
      </c>
      <c r="G59" s="9">
        <f>'PE (0)'!$K$8</f>
        <v>246666.66666666666</v>
      </c>
      <c r="H59" s="9">
        <f>'PE (0)'!$K$22</f>
        <v>369999.99999999994</v>
      </c>
      <c r="I59" s="46">
        <f t="shared" si="3"/>
        <v>616666.66666666663</v>
      </c>
      <c r="J59" s="318">
        <f t="shared" si="4"/>
        <v>10333.333333333372</v>
      </c>
      <c r="K59" s="320">
        <f t="shared" si="6"/>
        <v>-7133232.4999999991</v>
      </c>
      <c r="L59" s="123" t="str">
        <f t="shared" si="5"/>
        <v>miércoles</v>
      </c>
      <c r="M59" s="318">
        <f t="shared" si="7"/>
        <v>380333.33333333337</v>
      </c>
      <c r="N59" s="318" t="str">
        <f t="shared" si="8"/>
        <v>nov</v>
      </c>
      <c r="P59" s="159"/>
    </row>
    <row r="60" spans="3:16" outlineLevel="1" x14ac:dyDescent="0.25">
      <c r="C60" s="389" t="s">
        <v>558</v>
      </c>
      <c r="D60" s="47">
        <v>7</v>
      </c>
      <c r="E60" s="159" t="s">
        <v>335</v>
      </c>
      <c r="F60" s="145">
        <v>332500</v>
      </c>
      <c r="G60" s="9">
        <f>'PE (0)'!$K$8</f>
        <v>246666.66666666666</v>
      </c>
      <c r="H60" s="9">
        <f>'PE (0)'!$K$22</f>
        <v>369999.99999999994</v>
      </c>
      <c r="I60" s="46">
        <f t="shared" si="3"/>
        <v>616666.66666666663</v>
      </c>
      <c r="J60" s="318">
        <f t="shared" si="4"/>
        <v>-284166.66666666663</v>
      </c>
      <c r="K60" s="320">
        <f t="shared" si="6"/>
        <v>-7417399.166666666</v>
      </c>
      <c r="L60" s="123" t="str">
        <f t="shared" si="5"/>
        <v>jueves</v>
      </c>
      <c r="M60" s="318">
        <f t="shared" si="7"/>
        <v>85833.333333333343</v>
      </c>
      <c r="N60" s="318" t="str">
        <f t="shared" si="8"/>
        <v>nov</v>
      </c>
      <c r="P60" s="159"/>
    </row>
    <row r="61" spans="3:16" outlineLevel="1" x14ac:dyDescent="0.25">
      <c r="C61" s="389" t="s">
        <v>558</v>
      </c>
      <c r="D61" s="47">
        <v>8</v>
      </c>
      <c r="E61" s="159" t="s">
        <v>336</v>
      </c>
      <c r="F61" s="145">
        <v>342000</v>
      </c>
      <c r="G61" s="9">
        <f>'PE (0)'!$K$8</f>
        <v>246666.66666666666</v>
      </c>
      <c r="H61" s="9">
        <f>'PE (0)'!$K$22</f>
        <v>369999.99999999994</v>
      </c>
      <c r="I61" s="46">
        <f t="shared" si="3"/>
        <v>616666.66666666663</v>
      </c>
      <c r="J61" s="318">
        <f t="shared" si="4"/>
        <v>-274666.66666666663</v>
      </c>
      <c r="K61" s="320">
        <f t="shared" si="6"/>
        <v>-7692065.833333333</v>
      </c>
      <c r="L61" s="123" t="str">
        <f t="shared" si="5"/>
        <v>viernes</v>
      </c>
      <c r="M61" s="318">
        <f t="shared" si="7"/>
        <v>95333.333333333343</v>
      </c>
      <c r="N61" s="318" t="str">
        <f t="shared" si="8"/>
        <v>nov</v>
      </c>
      <c r="P61" s="159"/>
    </row>
    <row r="62" spans="3:16" outlineLevel="1" x14ac:dyDescent="0.25">
      <c r="C62" s="389" t="s">
        <v>558</v>
      </c>
      <c r="D62" s="47">
        <v>9</v>
      </c>
      <c r="E62" s="159" t="s">
        <v>337</v>
      </c>
      <c r="F62" s="145">
        <v>1552000</v>
      </c>
      <c r="G62" s="9">
        <f>'PE (0)'!$K$8</f>
        <v>246666.66666666666</v>
      </c>
      <c r="H62" s="9">
        <f>'PE (0)'!$K$22</f>
        <v>369999.99999999994</v>
      </c>
      <c r="I62" s="46">
        <f t="shared" si="3"/>
        <v>616666.66666666663</v>
      </c>
      <c r="J62" s="318">
        <f t="shared" si="4"/>
        <v>935333.33333333337</v>
      </c>
      <c r="K62" s="320">
        <f t="shared" si="6"/>
        <v>-6756732.5</v>
      </c>
      <c r="L62" s="123" t="str">
        <f t="shared" si="5"/>
        <v>sábado</v>
      </c>
      <c r="M62" s="318">
        <f t="shared" si="7"/>
        <v>1305333.3333333333</v>
      </c>
      <c r="N62" s="318" t="str">
        <f t="shared" si="8"/>
        <v>nov</v>
      </c>
      <c r="P62" s="159"/>
    </row>
    <row r="63" spans="3:16" outlineLevel="1" x14ac:dyDescent="0.25">
      <c r="C63" s="389" t="s">
        <v>558</v>
      </c>
      <c r="D63" s="47">
        <v>10</v>
      </c>
      <c r="E63" s="159" t="s">
        <v>338</v>
      </c>
      <c r="F63" s="145">
        <v>1690000</v>
      </c>
      <c r="G63" s="9">
        <f>'PE (0)'!$K$8</f>
        <v>246666.66666666666</v>
      </c>
      <c r="H63" s="9">
        <f>'PE (0)'!$K$22</f>
        <v>369999.99999999994</v>
      </c>
      <c r="I63" s="46">
        <f t="shared" si="3"/>
        <v>616666.66666666663</v>
      </c>
      <c r="J63" s="318">
        <f t="shared" si="4"/>
        <v>1073333.3333333335</v>
      </c>
      <c r="K63" s="320">
        <f t="shared" si="6"/>
        <v>-5683399.166666666</v>
      </c>
      <c r="L63" s="123" t="str">
        <f t="shared" si="5"/>
        <v>domingo</v>
      </c>
      <c r="M63" s="318">
        <f t="shared" si="7"/>
        <v>1443333.3333333333</v>
      </c>
      <c r="N63" s="318" t="str">
        <f t="shared" si="8"/>
        <v>nov</v>
      </c>
      <c r="P63" s="159"/>
    </row>
    <row r="64" spans="3:16" outlineLevel="1" x14ac:dyDescent="0.25">
      <c r="C64" s="389" t="s">
        <v>558</v>
      </c>
      <c r="D64" s="47">
        <v>11</v>
      </c>
      <c r="E64" s="159" t="s">
        <v>332</v>
      </c>
      <c r="F64" s="145">
        <v>700000</v>
      </c>
      <c r="G64" s="9">
        <f>'PE (0)'!$K$8</f>
        <v>246666.66666666666</v>
      </c>
      <c r="H64" s="9">
        <f>'PE (0)'!$K$22</f>
        <v>369999.99999999994</v>
      </c>
      <c r="I64" s="46">
        <f t="shared" si="3"/>
        <v>616666.66666666663</v>
      </c>
      <c r="J64" s="318">
        <f t="shared" si="4"/>
        <v>83333.333333333372</v>
      </c>
      <c r="K64" s="320">
        <f t="shared" si="6"/>
        <v>-5600065.833333333</v>
      </c>
      <c r="L64" s="123" t="str">
        <f t="shared" si="5"/>
        <v>lunes</v>
      </c>
      <c r="M64" s="318">
        <f t="shared" si="7"/>
        <v>453333.33333333337</v>
      </c>
      <c r="N64" s="318" t="str">
        <f t="shared" si="8"/>
        <v>nov</v>
      </c>
      <c r="P64" s="159"/>
    </row>
    <row r="65" spans="3:16" outlineLevel="1" x14ac:dyDescent="0.25">
      <c r="C65" s="389" t="s">
        <v>558</v>
      </c>
      <c r="D65" s="47">
        <v>12</v>
      </c>
      <c r="E65" s="159" t="s">
        <v>333</v>
      </c>
      <c r="F65" s="145">
        <v>122000</v>
      </c>
      <c r="G65" s="9">
        <f>'PE (0)'!$K$8</f>
        <v>246666.66666666666</v>
      </c>
      <c r="H65" s="9">
        <f>'PE (0)'!$K$22</f>
        <v>369999.99999999994</v>
      </c>
      <c r="I65" s="46">
        <f t="shared" si="3"/>
        <v>616666.66666666663</v>
      </c>
      <c r="J65" s="318">
        <f t="shared" si="4"/>
        <v>-494666.66666666663</v>
      </c>
      <c r="K65" s="320">
        <f t="shared" si="6"/>
        <v>-6094732.5</v>
      </c>
      <c r="L65" s="123" t="str">
        <f t="shared" si="5"/>
        <v>martes</v>
      </c>
      <c r="M65" s="318">
        <f t="shared" si="7"/>
        <v>-124666.66666666666</v>
      </c>
      <c r="N65" s="318" t="str">
        <f t="shared" si="8"/>
        <v>nov</v>
      </c>
      <c r="P65" s="159"/>
    </row>
    <row r="66" spans="3:16" outlineLevel="1" x14ac:dyDescent="0.25">
      <c r="C66" s="389" t="s">
        <v>558</v>
      </c>
      <c r="D66" s="47">
        <v>13</v>
      </c>
      <c r="E66" s="159" t="s">
        <v>334</v>
      </c>
      <c r="F66" s="145">
        <v>165000</v>
      </c>
      <c r="G66" s="9">
        <f>'PE (0)'!$K$8</f>
        <v>246666.66666666666</v>
      </c>
      <c r="H66" s="9">
        <f>'PE (0)'!$K$22</f>
        <v>369999.99999999994</v>
      </c>
      <c r="I66" s="46">
        <f t="shared" si="3"/>
        <v>616666.66666666663</v>
      </c>
      <c r="J66" s="318">
        <f t="shared" si="4"/>
        <v>-451666.66666666663</v>
      </c>
      <c r="K66" s="320">
        <f t="shared" si="6"/>
        <v>-6546399.166666667</v>
      </c>
      <c r="L66" s="123" t="str">
        <f t="shared" si="5"/>
        <v>miércoles</v>
      </c>
      <c r="M66" s="318">
        <f t="shared" si="7"/>
        <v>-81666.666666666657</v>
      </c>
      <c r="N66" s="318" t="str">
        <f t="shared" si="8"/>
        <v>nov</v>
      </c>
      <c r="P66" s="159"/>
    </row>
    <row r="67" spans="3:16" outlineLevel="1" x14ac:dyDescent="0.25">
      <c r="C67" s="389" t="s">
        <v>558</v>
      </c>
      <c r="D67" s="47">
        <v>14</v>
      </c>
      <c r="E67" s="159" t="s">
        <v>335</v>
      </c>
      <c r="F67" s="145">
        <v>61000</v>
      </c>
      <c r="G67" s="9"/>
      <c r="M67" s="318"/>
      <c r="N67" s="318"/>
      <c r="P67" s="159"/>
    </row>
    <row r="68" spans="3:16" outlineLevel="1" x14ac:dyDescent="0.25">
      <c r="C68" s="389" t="s">
        <v>558</v>
      </c>
      <c r="D68" s="47">
        <v>15</v>
      </c>
      <c r="E68" s="159" t="s">
        <v>336</v>
      </c>
      <c r="F68" s="145">
        <v>235000</v>
      </c>
      <c r="G68" s="9"/>
      <c r="M68" s="318"/>
      <c r="N68" s="318"/>
      <c r="P68" s="159"/>
    </row>
    <row r="69" spans="3:16" outlineLevel="1" x14ac:dyDescent="0.25">
      <c r="C69" s="389" t="s">
        <v>558</v>
      </c>
      <c r="D69" s="47">
        <v>16</v>
      </c>
      <c r="E69" s="159" t="s">
        <v>337</v>
      </c>
      <c r="F69" s="145">
        <v>811500</v>
      </c>
      <c r="G69" s="9"/>
      <c r="M69" s="318"/>
      <c r="N69" s="318"/>
      <c r="P69" s="159"/>
    </row>
    <row r="70" spans="3:16" outlineLevel="1" x14ac:dyDescent="0.25">
      <c r="C70" s="389" t="s">
        <v>558</v>
      </c>
      <c r="D70" s="47">
        <v>17</v>
      </c>
      <c r="E70" s="159" t="s">
        <v>338</v>
      </c>
      <c r="F70" s="145">
        <v>1300900</v>
      </c>
      <c r="G70" s="9"/>
      <c r="M70" s="318"/>
      <c r="N70" s="318"/>
      <c r="P70" s="159"/>
    </row>
    <row r="71" spans="3:16" outlineLevel="1" x14ac:dyDescent="0.25">
      <c r="C71" s="389" t="s">
        <v>558</v>
      </c>
      <c r="D71" s="47">
        <v>18</v>
      </c>
      <c r="E71" s="159" t="s">
        <v>332</v>
      </c>
      <c r="F71" s="145">
        <v>350000</v>
      </c>
      <c r="G71" s="9"/>
      <c r="M71" s="318"/>
      <c r="N71" s="318"/>
      <c r="P71" s="159"/>
    </row>
    <row r="72" spans="3:16" outlineLevel="1" x14ac:dyDescent="0.25">
      <c r="C72" s="389" t="s">
        <v>558</v>
      </c>
      <c r="D72" s="47">
        <v>19</v>
      </c>
      <c r="E72" s="159" t="s">
        <v>333</v>
      </c>
      <c r="F72" s="145">
        <v>220000</v>
      </c>
      <c r="G72" s="9"/>
      <c r="M72" s="318"/>
      <c r="N72" s="318"/>
      <c r="P72" s="159"/>
    </row>
    <row r="73" spans="3:16" outlineLevel="1" x14ac:dyDescent="0.25">
      <c r="C73" s="389" t="s">
        <v>558</v>
      </c>
      <c r="D73" s="47">
        <v>20</v>
      </c>
      <c r="E73" s="159" t="s">
        <v>334</v>
      </c>
      <c r="F73" s="145">
        <v>320000</v>
      </c>
      <c r="G73" s="9"/>
      <c r="M73" s="318"/>
      <c r="N73" s="318"/>
      <c r="P73" s="159"/>
    </row>
    <row r="74" spans="3:16" outlineLevel="1" x14ac:dyDescent="0.25">
      <c r="C74" s="389" t="s">
        <v>558</v>
      </c>
      <c r="D74" s="47">
        <v>21</v>
      </c>
      <c r="E74" s="159" t="s">
        <v>335</v>
      </c>
      <c r="F74" s="145">
        <v>216500</v>
      </c>
      <c r="G74" s="9"/>
      <c r="M74" s="318"/>
      <c r="N74" s="318"/>
      <c r="P74" s="159"/>
    </row>
    <row r="75" spans="3:16" outlineLevel="1" x14ac:dyDescent="0.25">
      <c r="C75" s="389" t="s">
        <v>558</v>
      </c>
      <c r="D75" s="47">
        <v>22</v>
      </c>
      <c r="E75" s="159" t="s">
        <v>336</v>
      </c>
      <c r="F75" s="145">
        <v>186000</v>
      </c>
      <c r="G75" s="9"/>
      <c r="M75" s="318"/>
      <c r="N75" s="318"/>
      <c r="P75" s="159"/>
    </row>
    <row r="76" spans="3:16" outlineLevel="1" x14ac:dyDescent="0.25">
      <c r="C76" s="389" t="s">
        <v>558</v>
      </c>
      <c r="D76" s="47">
        <v>23</v>
      </c>
      <c r="E76" s="159" t="s">
        <v>337</v>
      </c>
      <c r="F76" s="145">
        <v>587500</v>
      </c>
      <c r="G76" s="9"/>
      <c r="M76" s="318"/>
      <c r="N76" s="318"/>
      <c r="P76" s="159"/>
    </row>
    <row r="77" spans="3:16" outlineLevel="1" x14ac:dyDescent="0.25">
      <c r="C77" s="389" t="s">
        <v>558</v>
      </c>
      <c r="D77" s="47">
        <v>24</v>
      </c>
      <c r="E77" s="159" t="s">
        <v>338</v>
      </c>
      <c r="F77" s="145">
        <v>960000</v>
      </c>
      <c r="G77" s="9"/>
      <c r="M77" s="318"/>
      <c r="N77" s="318"/>
      <c r="P77" s="159"/>
    </row>
    <row r="78" spans="3:16" outlineLevel="1" x14ac:dyDescent="0.25">
      <c r="C78" s="389" t="s">
        <v>558</v>
      </c>
      <c r="D78" s="47">
        <v>25</v>
      </c>
      <c r="E78" s="159" t="s">
        <v>332</v>
      </c>
      <c r="F78" s="145">
        <v>500000</v>
      </c>
      <c r="G78" s="9"/>
      <c r="M78" s="318"/>
      <c r="N78" s="318"/>
      <c r="P78" s="159"/>
    </row>
    <row r="79" spans="3:16" outlineLevel="1" x14ac:dyDescent="0.25">
      <c r="C79" s="389" t="s">
        <v>558</v>
      </c>
      <c r="D79" s="47">
        <v>26</v>
      </c>
      <c r="E79" s="159" t="s">
        <v>333</v>
      </c>
      <c r="F79" s="145">
        <v>400000</v>
      </c>
      <c r="G79" s="9"/>
      <c r="M79" s="318"/>
      <c r="N79" s="318"/>
      <c r="P79" s="159"/>
    </row>
    <row r="80" spans="3:16" x14ac:dyDescent="0.25">
      <c r="C80" s="389" t="s">
        <v>558</v>
      </c>
      <c r="D80" s="47">
        <v>27</v>
      </c>
      <c r="E80" s="159" t="s">
        <v>334</v>
      </c>
      <c r="F80" s="145">
        <v>210000</v>
      </c>
      <c r="G80" s="9"/>
      <c r="M80" s="318"/>
      <c r="N80" s="318"/>
      <c r="P80" s="159"/>
    </row>
    <row r="81" spans="3:16" x14ac:dyDescent="0.25">
      <c r="C81" s="389" t="s">
        <v>558</v>
      </c>
      <c r="D81" s="47">
        <v>28</v>
      </c>
      <c r="E81" s="159" t="s">
        <v>335</v>
      </c>
      <c r="F81" s="145">
        <v>200000</v>
      </c>
      <c r="G81" s="9"/>
      <c r="M81" s="318"/>
      <c r="N81" s="318"/>
      <c r="P81" s="159"/>
    </row>
    <row r="82" spans="3:16" x14ac:dyDescent="0.25">
      <c r="C82" s="389" t="s">
        <v>558</v>
      </c>
      <c r="D82" s="47">
        <v>29</v>
      </c>
      <c r="E82" s="159" t="s">
        <v>336</v>
      </c>
      <c r="F82" s="145">
        <v>400000</v>
      </c>
      <c r="G82" s="9"/>
      <c r="M82" s="318"/>
      <c r="N82" s="318"/>
      <c r="P82" s="159"/>
    </row>
    <row r="83" spans="3:16" x14ac:dyDescent="0.25">
      <c r="C83" s="389" t="s">
        <v>558</v>
      </c>
      <c r="D83" s="47">
        <v>30</v>
      </c>
      <c r="E83" s="159" t="s">
        <v>337</v>
      </c>
      <c r="F83" s="145">
        <v>900000</v>
      </c>
      <c r="G83" s="9"/>
      <c r="M83" s="318"/>
      <c r="N83" s="318"/>
    </row>
    <row r="84" spans="3:16" x14ac:dyDescent="0.25">
      <c r="D84"/>
      <c r="E84"/>
      <c r="G84" s="9"/>
      <c r="M84" s="318"/>
      <c r="N84" s="318"/>
    </row>
    <row r="85" spans="3:16" x14ac:dyDescent="0.25">
      <c r="D85"/>
      <c r="E85"/>
      <c r="G85" s="9"/>
      <c r="M85" s="318"/>
      <c r="N85" s="318"/>
    </row>
    <row r="86" spans="3:16" x14ac:dyDescent="0.25">
      <c r="D86"/>
      <c r="E86"/>
      <c r="G86" s="9"/>
      <c r="M86" s="318"/>
      <c r="N86" s="318"/>
    </row>
    <row r="87" spans="3:16" x14ac:dyDescent="0.25">
      <c r="D87"/>
      <c r="E87"/>
      <c r="G87" s="9"/>
      <c r="M87" s="318"/>
      <c r="N87" s="318"/>
    </row>
    <row r="88" spans="3:16" x14ac:dyDescent="0.25">
      <c r="D88"/>
      <c r="E88"/>
      <c r="M88" s="318"/>
      <c r="N88" s="318"/>
    </row>
    <row r="89" spans="3:16" x14ac:dyDescent="0.25">
      <c r="D89"/>
      <c r="E89"/>
      <c r="M89" s="318"/>
      <c r="N89" s="318"/>
    </row>
    <row r="90" spans="3:16" x14ac:dyDescent="0.25">
      <c r="D90"/>
      <c r="E90"/>
      <c r="M90" s="318"/>
      <c r="N90" s="318"/>
    </row>
    <row r="91" spans="3:16" x14ac:dyDescent="0.25">
      <c r="D91"/>
      <c r="E91"/>
      <c r="M91" s="318"/>
      <c r="N91" s="318"/>
    </row>
    <row r="92" spans="3:16" x14ac:dyDescent="0.25">
      <c r="D92"/>
      <c r="E92"/>
      <c r="M92" s="318"/>
      <c r="N92" s="318"/>
    </row>
    <row r="93" spans="3:16" x14ac:dyDescent="0.25">
      <c r="D93"/>
      <c r="E93"/>
      <c r="M93" s="318"/>
      <c r="N93" s="318"/>
    </row>
    <row r="94" spans="3:16" x14ac:dyDescent="0.25">
      <c r="D94"/>
      <c r="E94"/>
      <c r="M94" s="318"/>
      <c r="N94" s="318"/>
    </row>
    <row r="95" spans="3:16" x14ac:dyDescent="0.25">
      <c r="D95"/>
      <c r="E95"/>
      <c r="M95" s="318"/>
      <c r="N95" s="318"/>
    </row>
    <row r="96" spans="3:16" x14ac:dyDescent="0.25">
      <c r="D96"/>
      <c r="E96"/>
      <c r="M96" s="318"/>
      <c r="N96" s="318"/>
    </row>
    <row r="97" spans="4:14" x14ac:dyDescent="0.25">
      <c r="D97"/>
      <c r="E97"/>
      <c r="M97" s="318"/>
      <c r="N97" s="318"/>
    </row>
    <row r="98" spans="4:14" x14ac:dyDescent="0.25">
      <c r="D98"/>
      <c r="E98"/>
      <c r="M98" s="318"/>
      <c r="N98" s="318"/>
    </row>
    <row r="99" spans="4:14" x14ac:dyDescent="0.25">
      <c r="D99"/>
      <c r="E99"/>
      <c r="M99" s="318"/>
      <c r="N99" s="318"/>
    </row>
    <row r="100" spans="4:14" x14ac:dyDescent="0.25">
      <c r="D100"/>
      <c r="E100"/>
      <c r="M100" s="318"/>
      <c r="N100" s="318"/>
    </row>
    <row r="101" spans="4:14" x14ac:dyDescent="0.25">
      <c r="D101"/>
      <c r="E101"/>
      <c r="M101" s="318"/>
      <c r="N101" s="318"/>
    </row>
    <row r="102" spans="4:14" x14ac:dyDescent="0.25">
      <c r="D102"/>
      <c r="E102"/>
      <c r="M102" s="318"/>
      <c r="N102" s="318"/>
    </row>
    <row r="103" spans="4:14" x14ac:dyDescent="0.25">
      <c r="D103"/>
      <c r="E103"/>
      <c r="M103" s="318"/>
      <c r="N103" s="318"/>
    </row>
    <row r="104" spans="4:14" x14ac:dyDescent="0.25">
      <c r="D104"/>
      <c r="E104"/>
      <c r="M104" s="318"/>
      <c r="N104" s="318"/>
    </row>
    <row r="105" spans="4:14" x14ac:dyDescent="0.25">
      <c r="D105"/>
      <c r="E105"/>
      <c r="M105" s="318"/>
      <c r="N105" s="318"/>
    </row>
    <row r="106" spans="4:14" x14ac:dyDescent="0.25">
      <c r="D106"/>
      <c r="E106"/>
      <c r="M106" s="318"/>
      <c r="N106" s="318"/>
    </row>
    <row r="107" spans="4:14" x14ac:dyDescent="0.25">
      <c r="D107"/>
      <c r="E107"/>
      <c r="M107" s="318"/>
      <c r="N107" s="318"/>
    </row>
    <row r="108" spans="4:14" x14ac:dyDescent="0.25">
      <c r="D108"/>
      <c r="E108"/>
      <c r="M108" s="318"/>
      <c r="N108" s="318"/>
    </row>
    <row r="109" spans="4:14" x14ac:dyDescent="0.25">
      <c r="D109"/>
      <c r="E109"/>
      <c r="M109" s="318"/>
      <c r="N109" s="318"/>
    </row>
    <row r="110" spans="4:14" x14ac:dyDescent="0.25">
      <c r="D110"/>
      <c r="E110"/>
      <c r="M110" s="318"/>
      <c r="N110" s="318"/>
    </row>
    <row r="111" spans="4:14" x14ac:dyDescent="0.25">
      <c r="D111"/>
      <c r="E111"/>
      <c r="M111" s="318"/>
      <c r="N111" s="318"/>
    </row>
    <row r="112" spans="4:14" x14ac:dyDescent="0.25">
      <c r="D112"/>
      <c r="E112"/>
      <c r="M112" s="318"/>
      <c r="N112" s="318"/>
    </row>
    <row r="113" spans="4:14" x14ac:dyDescent="0.25">
      <c r="D113"/>
      <c r="E113"/>
      <c r="M113" s="318"/>
      <c r="N113" s="318"/>
    </row>
    <row r="114" spans="4:14" x14ac:dyDescent="0.25">
      <c r="D114"/>
      <c r="E114"/>
      <c r="M114" s="318"/>
      <c r="N114" s="318"/>
    </row>
    <row r="115" spans="4:14" x14ac:dyDescent="0.25">
      <c r="D115"/>
      <c r="E115"/>
      <c r="M115" s="318"/>
      <c r="N115" s="318"/>
    </row>
    <row r="116" spans="4:14" x14ac:dyDescent="0.25">
      <c r="D116"/>
      <c r="E116"/>
      <c r="M116" s="318"/>
      <c r="N116" s="318"/>
    </row>
    <row r="117" spans="4:14" x14ac:dyDescent="0.25">
      <c r="D117"/>
      <c r="E117"/>
      <c r="M117" s="318"/>
      <c r="N117" s="318"/>
    </row>
    <row r="118" spans="4:14" x14ac:dyDescent="0.25">
      <c r="D118"/>
      <c r="E118"/>
      <c r="M118" s="318"/>
      <c r="N118" s="318"/>
    </row>
    <row r="119" spans="4:14" x14ac:dyDescent="0.25">
      <c r="D119"/>
      <c r="E119"/>
      <c r="M119" s="318"/>
      <c r="N119" s="318"/>
    </row>
    <row r="120" spans="4:14" x14ac:dyDescent="0.25">
      <c r="D120"/>
      <c r="E120"/>
      <c r="M120" s="318"/>
      <c r="N120" s="318"/>
    </row>
    <row r="121" spans="4:14" x14ac:dyDescent="0.25">
      <c r="D121"/>
      <c r="E121"/>
      <c r="M121" s="318"/>
      <c r="N121" s="318"/>
    </row>
    <row r="122" spans="4:14" x14ac:dyDescent="0.25">
      <c r="D122"/>
      <c r="E122"/>
      <c r="M122" s="318"/>
      <c r="N122" s="318"/>
    </row>
    <row r="123" spans="4:14" x14ac:dyDescent="0.25">
      <c r="D123"/>
      <c r="E123"/>
      <c r="M123" s="318"/>
      <c r="N123" s="318"/>
    </row>
    <row r="124" spans="4:14" x14ac:dyDescent="0.25">
      <c r="D124"/>
      <c r="E124"/>
      <c r="M124" s="318"/>
      <c r="N124" s="318"/>
    </row>
    <row r="125" spans="4:14" x14ac:dyDescent="0.25">
      <c r="D125"/>
      <c r="E125"/>
      <c r="M125" s="318"/>
      <c r="N125" s="318"/>
    </row>
    <row r="126" spans="4:14" x14ac:dyDescent="0.25">
      <c r="D126"/>
      <c r="E126"/>
      <c r="M126" s="318"/>
      <c r="N126" s="318"/>
    </row>
    <row r="127" spans="4:14" x14ac:dyDescent="0.25">
      <c r="D127"/>
      <c r="E127"/>
      <c r="M127" s="318"/>
      <c r="N127" s="318"/>
    </row>
    <row r="128" spans="4:14" x14ac:dyDescent="0.25">
      <c r="D128"/>
      <c r="E128"/>
      <c r="M128" s="318"/>
      <c r="N128" s="318"/>
    </row>
    <row r="129" spans="4:14" x14ac:dyDescent="0.25">
      <c r="D129"/>
      <c r="E129"/>
      <c r="M129" s="318"/>
      <c r="N129" s="318"/>
    </row>
    <row r="130" spans="4:14" x14ac:dyDescent="0.25">
      <c r="D130"/>
      <c r="E130"/>
      <c r="M130" s="318"/>
      <c r="N130" s="318"/>
    </row>
    <row r="131" spans="4:14" x14ac:dyDescent="0.25">
      <c r="D131"/>
      <c r="E131"/>
      <c r="M131" s="318"/>
      <c r="N131" s="318"/>
    </row>
    <row r="132" spans="4:14" x14ac:dyDescent="0.25">
      <c r="D132"/>
      <c r="E132"/>
      <c r="M132" s="318"/>
      <c r="N132" s="318"/>
    </row>
    <row r="133" spans="4:14" x14ac:dyDescent="0.25">
      <c r="D133"/>
      <c r="E133"/>
      <c r="M133" s="318"/>
      <c r="N133" s="318"/>
    </row>
    <row r="134" spans="4:14" x14ac:dyDescent="0.25">
      <c r="D134"/>
      <c r="E134"/>
      <c r="M134" s="318"/>
      <c r="N134" s="318"/>
    </row>
    <row r="135" spans="4:14" x14ac:dyDescent="0.25">
      <c r="D135"/>
      <c r="E135"/>
      <c r="M135" s="318"/>
      <c r="N135" s="318"/>
    </row>
    <row r="136" spans="4:14" x14ac:dyDescent="0.25">
      <c r="D136"/>
      <c r="E136"/>
      <c r="M136" s="318"/>
      <c r="N136" s="318"/>
    </row>
    <row r="137" spans="4:14" x14ac:dyDescent="0.25">
      <c r="D137"/>
      <c r="E137"/>
      <c r="M137" s="318"/>
      <c r="N137" s="318"/>
    </row>
    <row r="138" spans="4:14" x14ac:dyDescent="0.25">
      <c r="D138"/>
      <c r="E138"/>
      <c r="M138" s="318"/>
      <c r="N138" s="318"/>
    </row>
    <row r="139" spans="4:14" x14ac:dyDescent="0.25">
      <c r="D139"/>
      <c r="E139"/>
      <c r="M139" s="318"/>
      <c r="N139" s="318"/>
    </row>
    <row r="140" spans="4:14" x14ac:dyDescent="0.25">
      <c r="D140"/>
      <c r="E140"/>
      <c r="M140" s="318"/>
      <c r="N140" s="318"/>
    </row>
    <row r="141" spans="4:14" x14ac:dyDescent="0.25">
      <c r="D141"/>
      <c r="E141"/>
      <c r="M141" s="318"/>
      <c r="N141" s="318"/>
    </row>
    <row r="142" spans="4:14" x14ac:dyDescent="0.25">
      <c r="D142"/>
      <c r="E142"/>
      <c r="M142" s="318"/>
      <c r="N142" s="318"/>
    </row>
    <row r="143" spans="4:14" x14ac:dyDescent="0.25">
      <c r="D143"/>
      <c r="E143"/>
      <c r="M143" s="318"/>
      <c r="N143" s="318"/>
    </row>
    <row r="144" spans="4:14" x14ac:dyDescent="0.25">
      <c r="D144"/>
      <c r="E144"/>
      <c r="M144" s="318"/>
      <c r="N144" s="318"/>
    </row>
    <row r="145" spans="4:14" x14ac:dyDescent="0.25">
      <c r="D145"/>
      <c r="E145"/>
      <c r="M145" s="318"/>
      <c r="N145" s="318"/>
    </row>
    <row r="146" spans="4:14" x14ac:dyDescent="0.25">
      <c r="D146"/>
      <c r="E146"/>
      <c r="M146" s="318"/>
      <c r="N146" s="318"/>
    </row>
    <row r="147" spans="4:14" x14ac:dyDescent="0.25">
      <c r="D147"/>
      <c r="E147"/>
      <c r="M147" s="318"/>
      <c r="N147" s="318"/>
    </row>
    <row r="148" spans="4:14" x14ac:dyDescent="0.25">
      <c r="D148"/>
      <c r="E148"/>
      <c r="M148" s="318"/>
      <c r="N148" s="318"/>
    </row>
    <row r="149" spans="4:14" x14ac:dyDescent="0.25">
      <c r="D149"/>
      <c r="E149"/>
      <c r="M149" s="318"/>
      <c r="N149" s="318"/>
    </row>
    <row r="150" spans="4:14" x14ac:dyDescent="0.25">
      <c r="D150"/>
      <c r="E150"/>
      <c r="M150" s="318"/>
      <c r="N150" s="318"/>
    </row>
    <row r="151" spans="4:14" x14ac:dyDescent="0.25">
      <c r="D151"/>
      <c r="E151"/>
      <c r="M151" s="318"/>
      <c r="N151" s="318"/>
    </row>
    <row r="152" spans="4:14" x14ac:dyDescent="0.25">
      <c r="D152"/>
      <c r="E152"/>
      <c r="M152" s="318"/>
      <c r="N152" s="318"/>
    </row>
    <row r="153" spans="4:14" x14ac:dyDescent="0.25">
      <c r="D153"/>
      <c r="E153"/>
      <c r="M153" s="318"/>
      <c r="N153" s="318"/>
    </row>
  </sheetData>
  <autoFilter ref="G13:N66" xr:uid="{00000000-0009-0000-0000-000018000000}"/>
  <conditionalFormatting sqref="J13:J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{CF14CE2E-E6ED-4BE5-9082-3966696066BA}</x14:id>
        </ext>
      </extLst>
    </cfRule>
  </conditionalFormatting>
  <conditionalFormatting sqref="K2:M8">
    <cfRule type="iconSet" priority="2">
      <iconSet>
        <cfvo type="percent" val="0"/>
        <cfvo type="num" val="-200000"/>
        <cfvo type="num" val="0" gte="0"/>
      </iconSet>
    </cfRule>
  </conditionalFormatting>
  <conditionalFormatting sqref="M14:M6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{4C2D5378-93F3-4FD7-9628-828B1B574AC1}</x14:id>
        </ext>
      </extLst>
    </cfRule>
  </conditionalFormatting>
  <conditionalFormatting sqref="M67:N153 N14:N6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{C9B1587C-7088-4535-BEFA-853A662C2302}</x14:id>
        </ext>
      </extLst>
    </cfRule>
  </conditionalFormatting>
  <conditionalFormatting sqref="N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{4E6DC61E-242D-425B-80FE-E793CA97BFFB}</x14:id>
        </ext>
      </extLst>
    </cfRule>
  </conditionalFormatting>
  <pageMargins left="0.7" right="0.7" top="0.75" bottom="0.75" header="0.3" footer="0.3"/>
  <pageSetup paperSize="9" orientation="portrait" horizontalDpi="300" verticalDpi="300"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14CE2E-E6ED-4BE5-9082-3966696066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J13:J66</xm:sqref>
        </x14:conditionalFormatting>
        <x14:conditionalFormatting xmlns:xm="http://schemas.microsoft.com/office/excel/2006/main">
          <x14:cfRule type="dataBar" id="{4C2D5378-93F3-4FD7-9628-828B1B574A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M14:M66</xm:sqref>
        </x14:conditionalFormatting>
        <x14:conditionalFormatting xmlns:xm="http://schemas.microsoft.com/office/excel/2006/main">
          <x14:cfRule type="dataBar" id="{C9B1587C-7088-4535-BEFA-853A662C23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M67:N153 N14:N65</xm:sqref>
        </x14:conditionalFormatting>
        <x14:conditionalFormatting xmlns:xm="http://schemas.microsoft.com/office/excel/2006/main">
          <x14:cfRule type="dataBar" id="{4E6DC61E-242D-425B-80FE-E793CA97BF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N66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B1:P152"/>
  <sheetViews>
    <sheetView workbookViewId="0"/>
  </sheetViews>
  <sheetFormatPr baseColWidth="10" defaultColWidth="11.42578125" defaultRowHeight="15" outlineLevelRow="1" outlineLevelCol="1" x14ac:dyDescent="0.25"/>
  <cols>
    <col min="1" max="1" width="4.42578125" customWidth="1"/>
    <col min="2" max="2" width="7.42578125" customWidth="1"/>
    <col min="3" max="3" width="10.42578125" bestFit="1" customWidth="1"/>
    <col min="4" max="4" width="12" style="47" bestFit="1" customWidth="1"/>
    <col min="5" max="5" width="13" style="47" bestFit="1" customWidth="1"/>
    <col min="6" max="6" width="13" style="9" bestFit="1" customWidth="1"/>
    <col min="7" max="7" width="17.85546875" style="46" bestFit="1" customWidth="1" outlineLevel="1"/>
    <col min="8" max="8" width="34.5703125" style="9" bestFit="1" customWidth="1" outlineLevel="1"/>
    <col min="9" max="9" width="17.85546875" style="9" customWidth="1"/>
    <col min="10" max="10" width="21.140625" style="318" bestFit="1" customWidth="1"/>
    <col min="11" max="11" width="19.42578125" customWidth="1"/>
    <col min="12" max="12" width="23" customWidth="1"/>
    <col min="13" max="13" width="23.85546875" customWidth="1"/>
    <col min="14" max="14" width="18" bestFit="1" customWidth="1"/>
    <col min="15" max="15" width="17.42578125" customWidth="1"/>
    <col min="16" max="21" width="15.7109375" customWidth="1"/>
    <col min="22" max="22" width="17.140625" customWidth="1"/>
    <col min="23" max="26" width="15.7109375" customWidth="1"/>
    <col min="27" max="27" width="17.140625" customWidth="1"/>
    <col min="28" max="28" width="15.7109375" customWidth="1"/>
    <col min="29" max="30" width="17.140625" customWidth="1"/>
    <col min="31" max="31" width="15.7109375" customWidth="1"/>
    <col min="32" max="32" width="15.28515625" customWidth="1"/>
    <col min="33" max="33" width="15.7109375" customWidth="1"/>
    <col min="34" max="37" width="15.7109375" bestFit="1" customWidth="1"/>
    <col min="38" max="38" width="17.140625" bestFit="1" customWidth="1"/>
    <col min="39" max="39" width="17.42578125" bestFit="1" customWidth="1"/>
    <col min="40" max="41" width="15.7109375" bestFit="1" customWidth="1"/>
    <col min="42" max="42" width="15.28515625" bestFit="1" customWidth="1"/>
    <col min="43" max="43" width="14.28515625" bestFit="1" customWidth="1"/>
    <col min="44" max="45" width="15.7109375" bestFit="1" customWidth="1"/>
    <col min="46" max="46" width="17.42578125" bestFit="1" customWidth="1"/>
    <col min="47" max="52" width="15.7109375" bestFit="1" customWidth="1"/>
    <col min="53" max="53" width="17.140625" bestFit="1" customWidth="1"/>
    <col min="54" max="57" width="15.7109375" bestFit="1" customWidth="1"/>
    <col min="58" max="58" width="17.42578125" bestFit="1" customWidth="1"/>
    <col min="59" max="59" width="15.7109375" bestFit="1" customWidth="1"/>
    <col min="60" max="60" width="17.42578125" bestFit="1" customWidth="1"/>
    <col min="61" max="64" width="15.7109375" bestFit="1" customWidth="1"/>
    <col min="65" max="65" width="18.85546875" bestFit="1" customWidth="1"/>
    <col min="66" max="66" width="15.7109375" bestFit="1" customWidth="1"/>
    <col min="67" max="67" width="15.28515625" bestFit="1" customWidth="1"/>
    <col min="68" max="68" width="15.7109375" bestFit="1" customWidth="1"/>
    <col min="69" max="72" width="15.28515625" bestFit="1" customWidth="1"/>
    <col min="73" max="73" width="15.7109375" bestFit="1" customWidth="1"/>
    <col min="74" max="74" width="14.85546875" bestFit="1" customWidth="1"/>
    <col min="75" max="75" width="17.42578125" bestFit="1" customWidth="1"/>
    <col min="16378" max="16384" width="2" customWidth="1"/>
  </cols>
  <sheetData>
    <row r="1" spans="2:16" x14ac:dyDescent="0.25">
      <c r="D1" s="158" t="s">
        <v>55</v>
      </c>
      <c r="E1"/>
      <c r="F1"/>
      <c r="J1" s="352"/>
      <c r="K1" s="349" t="s">
        <v>318</v>
      </c>
      <c r="L1" s="349" t="s">
        <v>319</v>
      </c>
      <c r="M1" s="349" t="s">
        <v>558</v>
      </c>
      <c r="N1" s="352" t="s">
        <v>614</v>
      </c>
    </row>
    <row r="2" spans="2:16" x14ac:dyDescent="0.25">
      <c r="D2" s="389" t="s">
        <v>318</v>
      </c>
      <c r="E2" s="389" t="s">
        <v>319</v>
      </c>
      <c r="F2" s="389" t="s">
        <v>558</v>
      </c>
      <c r="J2" s="349" t="s">
        <v>631</v>
      </c>
      <c r="K2" s="350">
        <f t="shared" ref="K2:M5" si="0">+SUMIFS($J$13:$J$82,$C$13:$C$82,K$1,$E$13:$E$82,$J2)</f>
        <v>-640000</v>
      </c>
      <c r="L2" s="350">
        <f t="shared" si="0"/>
        <v>-583764.77419354836</v>
      </c>
      <c r="M2" s="350">
        <f>+SUMIFS($J$13:$J$82,$C$13:$C$82,M$1,$E$13:$E$82,$J2)</f>
        <v>-225333.33333333343</v>
      </c>
      <c r="N2" s="351">
        <f>+SUM(K2:M2)</f>
        <v>-1449098.1075268819</v>
      </c>
    </row>
    <row r="3" spans="2:16" x14ac:dyDescent="0.25">
      <c r="C3" s="47" t="s">
        <v>607</v>
      </c>
      <c r="D3" s="145">
        <v>4055210</v>
      </c>
      <c r="E3" s="145">
        <v>17351500</v>
      </c>
      <c r="F3" s="235">
        <v>16752900</v>
      </c>
      <c r="J3" s="349" t="s">
        <v>641</v>
      </c>
      <c r="K3" s="350">
        <f t="shared" si="0"/>
        <v>-320000</v>
      </c>
      <c r="L3" s="350">
        <f t="shared" si="0"/>
        <v>-1040705.9677419355</v>
      </c>
      <c r="M3" s="350">
        <f t="shared" si="0"/>
        <v>-745333.33333333337</v>
      </c>
      <c r="N3" s="351">
        <f t="shared" ref="N3:N5" si="1">+SUM(K3:M3)</f>
        <v>-2106039.301075269</v>
      </c>
    </row>
    <row r="4" spans="2:16" ht="45" x14ac:dyDescent="0.25">
      <c r="B4" s="311">
        <v>0.4</v>
      </c>
      <c r="C4" s="307" t="s">
        <v>584</v>
      </c>
      <c r="D4" s="309">
        <f>OPEX!G27</f>
        <v>2920000</v>
      </c>
      <c r="E4" s="309" t="str">
        <f>OPEX!M22</f>
        <v>Mes</v>
      </c>
      <c r="F4"/>
      <c r="J4" s="349" t="s">
        <v>642</v>
      </c>
      <c r="K4" s="350">
        <f t="shared" si="0"/>
        <v>-320000</v>
      </c>
      <c r="L4" s="350">
        <f t="shared" si="0"/>
        <v>-1040705.9677419355</v>
      </c>
      <c r="M4" s="350">
        <f t="shared" si="0"/>
        <v>-745333.33333333337</v>
      </c>
      <c r="N4" s="351">
        <f t="shared" si="1"/>
        <v>-2106039.301075269</v>
      </c>
    </row>
    <row r="5" spans="2:16" ht="45" x14ac:dyDescent="0.25">
      <c r="B5" s="313">
        <v>0.6</v>
      </c>
      <c r="C5" s="310" t="s">
        <v>583</v>
      </c>
      <c r="D5" s="5" t="e">
        <f>OPEX!#REF!</f>
        <v>#REF!</v>
      </c>
      <c r="E5" s="5" t="e">
        <f>OPEX!#REF!</f>
        <v>#REF!</v>
      </c>
      <c r="F5"/>
      <c r="J5" s="349" t="s">
        <v>341</v>
      </c>
      <c r="K5" s="350">
        <f t="shared" si="0"/>
        <v>-320000</v>
      </c>
      <c r="L5" s="350">
        <f t="shared" si="0"/>
        <v>-1040705.9677419355</v>
      </c>
      <c r="M5" s="350">
        <f t="shared" si="0"/>
        <v>-745333.33333333337</v>
      </c>
      <c r="N5" s="351">
        <f t="shared" si="1"/>
        <v>-2106039.301075269</v>
      </c>
    </row>
    <row r="6" spans="2:16" ht="15.75" thickBot="1" x14ac:dyDescent="0.3">
      <c r="D6" s="146" t="e">
        <f>OPEX!#REF!</f>
        <v>#REF!</v>
      </c>
      <c r="E6" s="146" t="e">
        <f>OPEX!#REF!</f>
        <v>#REF!</v>
      </c>
      <c r="J6" s="349" t="s">
        <v>336</v>
      </c>
      <c r="K6" s="350">
        <f t="shared" ref="K6:M8" si="2">+SUMIFS($J$13:$J$82,$C$13:$C$82,K$1,$E$13:$E$82,$J6)</f>
        <v>-151600</v>
      </c>
      <c r="L6" s="350">
        <f t="shared" si="2"/>
        <v>132195.22580645158</v>
      </c>
      <c r="M6" s="350">
        <f t="shared" si="2"/>
        <v>-318466.66666666686</v>
      </c>
      <c r="N6" s="351">
        <f>+SUM(K6:M6)</f>
        <v>-337871.44086021528</v>
      </c>
    </row>
    <row r="7" spans="2:16" ht="15.75" thickTop="1" x14ac:dyDescent="0.25">
      <c r="D7" s="1" t="e">
        <f>+D3-D6</f>
        <v>#REF!</v>
      </c>
      <c r="E7" s="1" t="e">
        <f>+E3-E6</f>
        <v>#REF!</v>
      </c>
      <c r="I7" s="9">
        <f>+F8-I8</f>
        <v>43020.512820512871</v>
      </c>
      <c r="J7" s="349" t="s">
        <v>337</v>
      </c>
      <c r="K7" s="350">
        <f t="shared" si="2"/>
        <v>60600</v>
      </c>
      <c r="L7" s="350">
        <f t="shared" si="2"/>
        <v>467355.2258064514</v>
      </c>
      <c r="M7" s="350">
        <f t="shared" si="2"/>
        <v>808733.33333333326</v>
      </c>
      <c r="N7" s="351">
        <f>+SUM(K7:M7)</f>
        <v>1336688.5591397847</v>
      </c>
    </row>
    <row r="8" spans="2:16" x14ac:dyDescent="0.25">
      <c r="F8" s="46">
        <f>+SUBTOTAL(101,F53:F65)</f>
        <v>573384.61538461538</v>
      </c>
      <c r="G8" s="46">
        <f>+SUBTOTAL(101,G53:G65)</f>
        <v>186333.33333333331</v>
      </c>
      <c r="H8" s="46">
        <f>+SUBTOTAL(101,H53:H65)</f>
        <v>344030.76923076925</v>
      </c>
      <c r="I8" s="46">
        <f>+SUBTOTAL(101,I53:I65)</f>
        <v>530364.1025641025</v>
      </c>
      <c r="J8" s="349" t="s">
        <v>338</v>
      </c>
      <c r="K8" s="350">
        <f t="shared" si="2"/>
        <v>-148000</v>
      </c>
      <c r="L8" s="350">
        <f t="shared" si="2"/>
        <v>1319275.2258064514</v>
      </c>
      <c r="M8" s="350">
        <f t="shared" si="2"/>
        <v>1515026.6666666665</v>
      </c>
      <c r="N8" s="351">
        <f>+SUM(K8:M8)</f>
        <v>2686301.8924731179</v>
      </c>
    </row>
    <row r="9" spans="2:16" ht="18.75" x14ac:dyDescent="0.3">
      <c r="D9" t="s">
        <v>443</v>
      </c>
      <c r="G9" s="9"/>
      <c r="I9" s="9">
        <f>+F11-I11</f>
        <v>559266.66666666698</v>
      </c>
      <c r="J9" s="352" t="s">
        <v>614</v>
      </c>
      <c r="K9" s="351">
        <f>+SUM(K2:K8)</f>
        <v>-1839000</v>
      </c>
      <c r="L9" s="351">
        <f>+SUM(L2:L8)</f>
        <v>-1787057.0000000009</v>
      </c>
      <c r="M9" s="351">
        <f>+SUM(M2:M8)</f>
        <v>-456040.0000000007</v>
      </c>
      <c r="N9" s="353">
        <f>+SUM(N2:N8)</f>
        <v>-4082097.0000000023</v>
      </c>
      <c r="O9" s="215"/>
    </row>
    <row r="10" spans="2:16" x14ac:dyDescent="0.25">
      <c r="D10"/>
      <c r="G10" s="9"/>
      <c r="J10" s="9"/>
      <c r="K10" s="364">
        <f>+K9-Profitability!K9</f>
        <v>-541084.00000000023</v>
      </c>
      <c r="L10" s="364">
        <f>+L9-Profitability!L9</f>
        <v>-115280.00000000047</v>
      </c>
      <c r="M10" s="364">
        <f>+M9-Profitability!M9</f>
        <v>242799.99999999744</v>
      </c>
      <c r="N10" s="364">
        <f>+N9-Profitability!N9</f>
        <v>-413564.00000000419</v>
      </c>
      <c r="O10" s="215"/>
    </row>
    <row r="11" spans="2:16" x14ac:dyDescent="0.25">
      <c r="D11"/>
      <c r="F11" s="9">
        <f>+SUBTOTAL(9,F53:F65)</f>
        <v>7454000</v>
      </c>
      <c r="G11" s="9">
        <f>+SUBTOTAL(9,G53:G65)</f>
        <v>2422333.333333333</v>
      </c>
      <c r="H11" s="9">
        <f>+SUBTOTAL(9,H53:H65)</f>
        <v>4472400</v>
      </c>
      <c r="I11" s="9">
        <f>+SUBTOTAL(9,I53:I65)</f>
        <v>6894733.333333333</v>
      </c>
      <c r="J11" s="9">
        <f>+SUBTOTAL(9,J53:J65)</f>
        <v>559266.66666666663</v>
      </c>
    </row>
    <row r="12" spans="2:16" ht="30" x14ac:dyDescent="0.25">
      <c r="C12" s="323" t="s">
        <v>55</v>
      </c>
      <c r="D12" s="323" t="s">
        <v>316</v>
      </c>
      <c r="E12" s="323" t="s">
        <v>611</v>
      </c>
      <c r="F12" s="323" t="s">
        <v>612</v>
      </c>
      <c r="G12" s="346" t="s">
        <v>606</v>
      </c>
      <c r="H12" s="347" t="s">
        <v>613</v>
      </c>
      <c r="I12" s="345" t="s">
        <v>629</v>
      </c>
      <c r="J12" s="348" t="s">
        <v>630</v>
      </c>
      <c r="K12" s="324" t="s">
        <v>608</v>
      </c>
      <c r="L12" s="324" t="s">
        <v>609</v>
      </c>
      <c r="M12" s="322" t="s">
        <v>610</v>
      </c>
      <c r="N12" s="324" t="s">
        <v>55</v>
      </c>
      <c r="P12" s="159"/>
    </row>
    <row r="13" spans="2:16" outlineLevel="1" x14ac:dyDescent="0.25">
      <c r="B13" s="123"/>
      <c r="C13" s="123" t="str">
        <f>+Profitability!C14</f>
        <v>sep</v>
      </c>
      <c r="D13" s="366">
        <f>DAY(Profitability!D14)</f>
        <v>22</v>
      </c>
      <c r="E13" s="123" t="str">
        <f>+Profitability!E14</f>
        <v>domingo</v>
      </c>
      <c r="F13" s="9">
        <f>Profitability!$F$14</f>
        <v>572000</v>
      </c>
      <c r="G13" s="9">
        <f>'PE (2)'!$C$9</f>
        <v>320000</v>
      </c>
      <c r="H13" s="46">
        <f>+F13*60%</f>
        <v>343200</v>
      </c>
      <c r="I13" s="46">
        <f>+G13+H13</f>
        <v>663200</v>
      </c>
      <c r="J13" s="318">
        <f t="shared" ref="J13:J18" si="3">+F13-I13</f>
        <v>-91200</v>
      </c>
      <c r="K13" s="320">
        <f t="shared" ref="K13:K52" si="4">+J13</f>
        <v>-91200</v>
      </c>
      <c r="L13" s="367" t="str">
        <f t="shared" ref="L13:L52" si="5">+E13</f>
        <v>domingo</v>
      </c>
      <c r="M13" s="318">
        <f t="shared" ref="M13:M34" si="6">+F13-G13</f>
        <v>252000</v>
      </c>
      <c r="N13" s="318" t="str">
        <f t="shared" ref="N13:N34" si="7">+C13</f>
        <v>sep</v>
      </c>
    </row>
    <row r="14" spans="2:16" outlineLevel="1" x14ac:dyDescent="0.25">
      <c r="C14" s="123" t="str">
        <f>+Profitability!C15</f>
        <v>sep</v>
      </c>
      <c r="D14" s="366">
        <f>DAY(Profitability!D15)</f>
        <v>23</v>
      </c>
      <c r="E14" s="123" t="str">
        <f>+Profitability!E15</f>
        <v>lunes</v>
      </c>
      <c r="G14" s="9">
        <f>'PE (2)'!$C$9</f>
        <v>320000</v>
      </c>
      <c r="H14" s="46"/>
      <c r="I14" s="46">
        <f t="shared" ref="I14:I53" si="8">+G14+H14</f>
        <v>320000</v>
      </c>
      <c r="J14" s="318">
        <f t="shared" si="3"/>
        <v>-320000</v>
      </c>
      <c r="K14" s="320">
        <f t="shared" si="4"/>
        <v>-320000</v>
      </c>
      <c r="L14" s="123" t="str">
        <f t="shared" si="5"/>
        <v>lunes</v>
      </c>
      <c r="M14" s="318">
        <f t="shared" si="6"/>
        <v>-320000</v>
      </c>
      <c r="N14" s="318" t="str">
        <f t="shared" si="7"/>
        <v>sep</v>
      </c>
    </row>
    <row r="15" spans="2:16" outlineLevel="1" x14ac:dyDescent="0.25">
      <c r="C15" s="123" t="str">
        <f>+Profitability!C16</f>
        <v>sep</v>
      </c>
      <c r="D15" s="366">
        <f>DAY(Profitability!D16)</f>
        <v>24</v>
      </c>
      <c r="E15" s="123" t="str">
        <f>+Profitability!E16</f>
        <v>martes</v>
      </c>
      <c r="G15" s="9">
        <f>'PE (2)'!$C$9</f>
        <v>320000</v>
      </c>
      <c r="H15" s="46"/>
      <c r="I15" s="46">
        <f t="shared" si="8"/>
        <v>320000</v>
      </c>
      <c r="J15" s="318">
        <f t="shared" si="3"/>
        <v>-320000</v>
      </c>
      <c r="K15" s="320">
        <f t="shared" si="4"/>
        <v>-320000</v>
      </c>
      <c r="L15" s="123" t="str">
        <f t="shared" si="5"/>
        <v>martes</v>
      </c>
      <c r="M15" s="318">
        <f t="shared" si="6"/>
        <v>-320000</v>
      </c>
      <c r="N15" s="318" t="str">
        <f t="shared" si="7"/>
        <v>sep</v>
      </c>
    </row>
    <row r="16" spans="2:16" outlineLevel="1" x14ac:dyDescent="0.25">
      <c r="C16" s="123" t="str">
        <f>+Profitability!C17</f>
        <v>sep</v>
      </c>
      <c r="D16" s="366">
        <f>DAY(Profitability!D17)</f>
        <v>25</v>
      </c>
      <c r="E16" s="123" t="str">
        <f>+Profitability!E17</f>
        <v>miércoles</v>
      </c>
      <c r="G16" s="9">
        <f>'PE (2)'!$C$9</f>
        <v>320000</v>
      </c>
      <c r="H16" s="46"/>
      <c r="I16" s="46">
        <f t="shared" si="8"/>
        <v>320000</v>
      </c>
      <c r="J16" s="318">
        <f t="shared" si="3"/>
        <v>-320000</v>
      </c>
      <c r="K16" s="320">
        <f t="shared" si="4"/>
        <v>-320000</v>
      </c>
      <c r="L16" s="123" t="str">
        <f t="shared" si="5"/>
        <v>miércoles</v>
      </c>
      <c r="M16" s="318">
        <f t="shared" si="6"/>
        <v>-320000</v>
      </c>
      <c r="N16" s="318" t="str">
        <f t="shared" si="7"/>
        <v>sep</v>
      </c>
    </row>
    <row r="17" spans="2:16" outlineLevel="1" x14ac:dyDescent="0.25">
      <c r="C17" s="123" t="str">
        <f>+Profitability!C18</f>
        <v>sep</v>
      </c>
      <c r="D17" s="366">
        <f>DAY(Profitability!D18)</f>
        <v>26</v>
      </c>
      <c r="E17" s="123" t="str">
        <f>+Profitability!E18</f>
        <v>jueves</v>
      </c>
      <c r="G17" s="9">
        <f>'PE (2)'!$C$9</f>
        <v>320000</v>
      </c>
      <c r="H17" s="46"/>
      <c r="I17" s="46">
        <f t="shared" si="8"/>
        <v>320000</v>
      </c>
      <c r="J17" s="318">
        <f t="shared" si="3"/>
        <v>-320000</v>
      </c>
      <c r="K17" s="320">
        <f t="shared" si="4"/>
        <v>-320000</v>
      </c>
      <c r="L17" s="123" t="str">
        <f t="shared" si="5"/>
        <v>jueves</v>
      </c>
      <c r="M17" s="318">
        <f t="shared" si="6"/>
        <v>-320000</v>
      </c>
      <c r="N17" s="318" t="str">
        <f t="shared" si="7"/>
        <v>sep</v>
      </c>
    </row>
    <row r="18" spans="2:16" outlineLevel="1" x14ac:dyDescent="0.25">
      <c r="C18" s="123" t="str">
        <f>+Profitability!C19</f>
        <v>sep</v>
      </c>
      <c r="D18" s="366">
        <f>DAY(Profitability!D19)</f>
        <v>27</v>
      </c>
      <c r="E18" s="123" t="str">
        <f>+Profitability!E19</f>
        <v>viernes</v>
      </c>
      <c r="F18" s="9">
        <f>+Profitability!F19</f>
        <v>421000</v>
      </c>
      <c r="G18" s="9">
        <f>'PE (2)'!$C$9</f>
        <v>320000</v>
      </c>
      <c r="H18" s="46">
        <f t="shared" ref="H18:H69" si="9">+F18*60%</f>
        <v>252600</v>
      </c>
      <c r="I18" s="46">
        <f t="shared" si="8"/>
        <v>572600</v>
      </c>
      <c r="J18" s="318">
        <f t="shared" si="3"/>
        <v>-151600</v>
      </c>
      <c r="K18" s="320">
        <f t="shared" si="4"/>
        <v>-151600</v>
      </c>
      <c r="L18" s="367" t="str">
        <f t="shared" si="5"/>
        <v>viernes</v>
      </c>
      <c r="M18" s="318">
        <f t="shared" si="6"/>
        <v>101000</v>
      </c>
      <c r="N18" s="318" t="str">
        <f t="shared" si="7"/>
        <v>sep</v>
      </c>
    </row>
    <row r="19" spans="2:16" outlineLevel="1" x14ac:dyDescent="0.25">
      <c r="C19" s="123" t="str">
        <f>+Profitability!C20</f>
        <v>sep</v>
      </c>
      <c r="D19" s="366">
        <f>DAY(Profitability!D20)</f>
        <v>28</v>
      </c>
      <c r="E19" s="123" t="str">
        <f>+Profitability!E20</f>
        <v>sábado</v>
      </c>
      <c r="F19" s="9">
        <f>+Profitability!F20</f>
        <v>951500</v>
      </c>
      <c r="G19" s="9">
        <f>'PE (2)'!$C$9</f>
        <v>320000</v>
      </c>
      <c r="H19" s="46">
        <f t="shared" si="9"/>
        <v>570900</v>
      </c>
      <c r="I19" s="46">
        <f t="shared" si="8"/>
        <v>890900</v>
      </c>
      <c r="J19" s="318">
        <f t="shared" ref="J19:J52" si="10">+F19-I19</f>
        <v>60600</v>
      </c>
      <c r="K19" s="320">
        <f t="shared" si="4"/>
        <v>60600</v>
      </c>
      <c r="L19" s="367" t="str">
        <f t="shared" si="5"/>
        <v>sábado</v>
      </c>
      <c r="M19" s="318">
        <f t="shared" si="6"/>
        <v>631500</v>
      </c>
      <c r="N19" s="318" t="str">
        <f t="shared" si="7"/>
        <v>sep</v>
      </c>
    </row>
    <row r="20" spans="2:16" outlineLevel="1" x14ac:dyDescent="0.25">
      <c r="C20" s="123" t="str">
        <f>+Profitability!C21</f>
        <v>sep</v>
      </c>
      <c r="D20" s="366">
        <f>DAY(Profitability!D21)</f>
        <v>29</v>
      </c>
      <c r="E20" s="123" t="str">
        <f>+Profitability!E21</f>
        <v>domingo</v>
      </c>
      <c r="F20" s="9">
        <f>+Profitability!F21</f>
        <v>658000</v>
      </c>
      <c r="G20" s="9">
        <f>'PE (2)'!$C$9</f>
        <v>320000</v>
      </c>
      <c r="H20" s="46">
        <f t="shared" si="9"/>
        <v>394800</v>
      </c>
      <c r="I20" s="46">
        <f t="shared" si="8"/>
        <v>714800</v>
      </c>
      <c r="J20" s="318">
        <f t="shared" si="10"/>
        <v>-56800</v>
      </c>
      <c r="K20" s="320">
        <f t="shared" si="4"/>
        <v>-56800</v>
      </c>
      <c r="L20" s="367" t="str">
        <f t="shared" si="5"/>
        <v>domingo</v>
      </c>
      <c r="M20" s="318">
        <f t="shared" si="6"/>
        <v>338000</v>
      </c>
      <c r="N20" s="318" t="str">
        <f t="shared" si="7"/>
        <v>sep</v>
      </c>
      <c r="P20" s="159"/>
    </row>
    <row r="21" spans="2:16" outlineLevel="1" x14ac:dyDescent="0.25">
      <c r="C21" s="123" t="str">
        <f>+Profitability!C22</f>
        <v>sep</v>
      </c>
      <c r="D21" s="366">
        <f>DAY(Profitability!D22)</f>
        <v>30</v>
      </c>
      <c r="E21" s="123" t="str">
        <f>+Profitability!E22</f>
        <v>lunes</v>
      </c>
      <c r="G21" s="9">
        <f>'PE (2)'!$C$9</f>
        <v>320000</v>
      </c>
      <c r="H21" s="46"/>
      <c r="I21" s="46">
        <f t="shared" si="8"/>
        <v>320000</v>
      </c>
      <c r="J21" s="318">
        <f t="shared" si="10"/>
        <v>-320000</v>
      </c>
      <c r="K21" s="320">
        <f t="shared" si="4"/>
        <v>-320000</v>
      </c>
      <c r="L21" s="123" t="str">
        <f t="shared" si="5"/>
        <v>lunes</v>
      </c>
      <c r="M21" s="318">
        <f t="shared" si="6"/>
        <v>-320000</v>
      </c>
      <c r="N21" s="318" t="str">
        <f t="shared" si="7"/>
        <v>sep</v>
      </c>
      <c r="P21" s="159"/>
    </row>
    <row r="22" spans="2:16" x14ac:dyDescent="0.25">
      <c r="C22" s="123" t="str">
        <f>+Profitability!C23</f>
        <v>oct</v>
      </c>
      <c r="D22" s="366">
        <f>DAY(Profitability!D23)</f>
        <v>1</v>
      </c>
      <c r="E22" s="123" t="str">
        <f>+Profitability!E23</f>
        <v>martes</v>
      </c>
      <c r="G22" s="9">
        <f>'PE (2)'!$G$9</f>
        <v>208141.19354838709</v>
      </c>
      <c r="H22" s="46"/>
      <c r="I22" s="46">
        <f t="shared" si="8"/>
        <v>208141.19354838709</v>
      </c>
      <c r="J22" s="318">
        <f t="shared" si="10"/>
        <v>-208141.19354838709</v>
      </c>
      <c r="K22" s="320">
        <f t="shared" si="4"/>
        <v>-208141.19354838709</v>
      </c>
      <c r="L22" s="123" t="str">
        <f t="shared" si="5"/>
        <v>martes</v>
      </c>
      <c r="M22" s="318">
        <f t="shared" si="6"/>
        <v>-208141.19354838709</v>
      </c>
      <c r="N22" s="318" t="str">
        <f t="shared" si="7"/>
        <v>oct</v>
      </c>
      <c r="P22" s="159"/>
    </row>
    <row r="23" spans="2:16" x14ac:dyDescent="0.25">
      <c r="C23" s="123" t="str">
        <f>+Profitability!C24</f>
        <v>oct</v>
      </c>
      <c r="D23" s="366">
        <f>DAY(Profitability!D24)</f>
        <v>2</v>
      </c>
      <c r="E23" s="123" t="str">
        <f>+Profitability!E24</f>
        <v>miércoles</v>
      </c>
      <c r="G23" s="9">
        <f>'PE (2)'!$G$9</f>
        <v>208141.19354838709</v>
      </c>
      <c r="H23" s="46"/>
      <c r="I23" s="46">
        <f t="shared" si="8"/>
        <v>208141.19354838709</v>
      </c>
      <c r="J23" s="318">
        <f t="shared" si="10"/>
        <v>-208141.19354838709</v>
      </c>
      <c r="K23" s="320">
        <f t="shared" si="4"/>
        <v>-208141.19354838709</v>
      </c>
      <c r="L23" s="123" t="str">
        <f t="shared" si="5"/>
        <v>miércoles</v>
      </c>
      <c r="M23" s="318">
        <f t="shared" si="6"/>
        <v>-208141.19354838709</v>
      </c>
      <c r="N23" s="318" t="str">
        <f t="shared" si="7"/>
        <v>oct</v>
      </c>
      <c r="P23" s="159"/>
    </row>
    <row r="24" spans="2:16" x14ac:dyDescent="0.25">
      <c r="C24" s="123" t="str">
        <f>+Profitability!C25</f>
        <v>oct</v>
      </c>
      <c r="D24" s="366">
        <f>DAY(Profitability!D25)</f>
        <v>3</v>
      </c>
      <c r="E24" s="123" t="str">
        <f>+Profitability!E25</f>
        <v>jueves</v>
      </c>
      <c r="G24" s="9">
        <f>'PE (2)'!$G$9</f>
        <v>208141.19354838709</v>
      </c>
      <c r="H24" s="46"/>
      <c r="I24" s="46">
        <f t="shared" si="8"/>
        <v>208141.19354838709</v>
      </c>
      <c r="J24" s="318">
        <f t="shared" si="10"/>
        <v>-208141.19354838709</v>
      </c>
      <c r="K24" s="320">
        <f t="shared" si="4"/>
        <v>-208141.19354838709</v>
      </c>
      <c r="L24" s="123" t="str">
        <f t="shared" si="5"/>
        <v>jueves</v>
      </c>
      <c r="M24" s="318">
        <f t="shared" si="6"/>
        <v>-208141.19354838709</v>
      </c>
      <c r="N24" s="318" t="str">
        <f t="shared" si="7"/>
        <v>oct</v>
      </c>
      <c r="P24" s="159"/>
    </row>
    <row r="25" spans="2:16" x14ac:dyDescent="0.25">
      <c r="C25" s="123" t="str">
        <f>+Profitability!C26</f>
        <v>oct</v>
      </c>
      <c r="D25" s="366">
        <f>DAY(Profitability!D26)</f>
        <v>4</v>
      </c>
      <c r="E25" s="123" t="str">
        <f>+Profitability!E26</f>
        <v>viernes</v>
      </c>
      <c r="F25" s="9">
        <f>+Profitability!F26</f>
        <v>420500</v>
      </c>
      <c r="G25" s="9">
        <f>'PE (2)'!$G$9</f>
        <v>208141.19354838709</v>
      </c>
      <c r="H25" s="46">
        <f t="shared" si="9"/>
        <v>252300</v>
      </c>
      <c r="I25" s="46">
        <f t="shared" si="8"/>
        <v>460441.19354838709</v>
      </c>
      <c r="J25" s="318">
        <f t="shared" si="10"/>
        <v>-39941.193548387091</v>
      </c>
      <c r="K25" s="320">
        <f t="shared" si="4"/>
        <v>-39941.193548387091</v>
      </c>
      <c r="L25" s="367" t="str">
        <f t="shared" si="5"/>
        <v>viernes</v>
      </c>
      <c r="M25" s="318">
        <f t="shared" si="6"/>
        <v>212358.80645161291</v>
      </c>
      <c r="N25" s="318" t="str">
        <f t="shared" si="7"/>
        <v>oct</v>
      </c>
      <c r="P25" s="159"/>
    </row>
    <row r="26" spans="2:16" x14ac:dyDescent="0.25">
      <c r="C26" s="123" t="str">
        <f>+Profitability!C27</f>
        <v>oct</v>
      </c>
      <c r="D26" s="366">
        <f>DAY(Profitability!D27)</f>
        <v>5</v>
      </c>
      <c r="E26" s="123" t="str">
        <f>+Profitability!E27</f>
        <v>sábado</v>
      </c>
      <c r="F26" s="9">
        <f>+Profitability!F27</f>
        <v>1210300</v>
      </c>
      <c r="G26" s="9">
        <f>'PE (2)'!$G$9</f>
        <v>208141.19354838709</v>
      </c>
      <c r="H26" s="46">
        <f t="shared" si="9"/>
        <v>726180</v>
      </c>
      <c r="I26" s="46">
        <f t="shared" si="8"/>
        <v>934321.19354838715</v>
      </c>
      <c r="J26" s="318">
        <f t="shared" si="10"/>
        <v>275978.80645161285</v>
      </c>
      <c r="K26" s="320">
        <f t="shared" si="4"/>
        <v>275978.80645161285</v>
      </c>
      <c r="L26" s="367" t="str">
        <f t="shared" si="5"/>
        <v>sábado</v>
      </c>
      <c r="M26" s="318">
        <f t="shared" si="6"/>
        <v>1002158.8064516129</v>
      </c>
      <c r="N26" s="318" t="str">
        <f t="shared" si="7"/>
        <v>oct</v>
      </c>
      <c r="P26" s="159"/>
    </row>
    <row r="27" spans="2:16" x14ac:dyDescent="0.25">
      <c r="C27" s="123" t="str">
        <f>+Profitability!C28</f>
        <v>oct</v>
      </c>
      <c r="D27" s="366">
        <f>DAY(Profitability!D28)</f>
        <v>6</v>
      </c>
      <c r="E27" s="123" t="str">
        <f>+Profitability!E28</f>
        <v>domingo</v>
      </c>
      <c r="F27" s="9">
        <f>+Profitability!F28</f>
        <v>1345600</v>
      </c>
      <c r="G27" s="9">
        <f>'PE (2)'!$G$9</f>
        <v>208141.19354838709</v>
      </c>
      <c r="H27" s="46">
        <f t="shared" si="9"/>
        <v>807360</v>
      </c>
      <c r="I27" s="46">
        <f t="shared" si="8"/>
        <v>1015501.1935483871</v>
      </c>
      <c r="J27" s="318">
        <f t="shared" si="10"/>
        <v>330098.80645161285</v>
      </c>
      <c r="K27" s="320">
        <f t="shared" si="4"/>
        <v>330098.80645161285</v>
      </c>
      <c r="L27" s="367" t="str">
        <f t="shared" si="5"/>
        <v>domingo</v>
      </c>
      <c r="M27" s="318">
        <f t="shared" si="6"/>
        <v>1137458.8064516129</v>
      </c>
      <c r="N27" s="318" t="str">
        <f t="shared" si="7"/>
        <v>oct</v>
      </c>
      <c r="P27" s="159"/>
    </row>
    <row r="28" spans="2:16" x14ac:dyDescent="0.25">
      <c r="C28" s="123" t="str">
        <f>+Profitability!C29</f>
        <v>oct</v>
      </c>
      <c r="D28" s="366">
        <f>DAY(Profitability!D29)</f>
        <v>7</v>
      </c>
      <c r="E28" s="123" t="str">
        <f>+Profitability!E29</f>
        <v>lunes</v>
      </c>
      <c r="G28" s="9">
        <f>'PE (2)'!$G$9</f>
        <v>208141.19354838709</v>
      </c>
      <c r="H28" s="46"/>
      <c r="I28" s="46">
        <f t="shared" si="8"/>
        <v>208141.19354838709</v>
      </c>
      <c r="J28" s="318">
        <f t="shared" si="10"/>
        <v>-208141.19354838709</v>
      </c>
      <c r="K28" s="320">
        <f t="shared" si="4"/>
        <v>-208141.19354838709</v>
      </c>
      <c r="L28" s="123" t="str">
        <f t="shared" si="5"/>
        <v>lunes</v>
      </c>
      <c r="M28" s="318">
        <f t="shared" si="6"/>
        <v>-208141.19354838709</v>
      </c>
      <c r="N28" s="318" t="str">
        <f t="shared" si="7"/>
        <v>oct</v>
      </c>
      <c r="P28" s="159"/>
    </row>
    <row r="29" spans="2:16" x14ac:dyDescent="0.25">
      <c r="C29" s="123" t="str">
        <f>+Profitability!C30</f>
        <v>oct</v>
      </c>
      <c r="D29" s="366">
        <f>DAY(Profitability!D30)</f>
        <v>8</v>
      </c>
      <c r="E29" s="123" t="str">
        <f>+Profitability!E30</f>
        <v>martes</v>
      </c>
      <c r="G29" s="9">
        <f>'PE (2)'!$G$9</f>
        <v>208141.19354838709</v>
      </c>
      <c r="H29" s="46"/>
      <c r="I29" s="46">
        <f t="shared" si="8"/>
        <v>208141.19354838709</v>
      </c>
      <c r="J29" s="318">
        <f t="shared" si="10"/>
        <v>-208141.19354838709</v>
      </c>
      <c r="K29" s="320">
        <f t="shared" si="4"/>
        <v>-208141.19354838709</v>
      </c>
      <c r="L29" s="123" t="str">
        <f t="shared" si="5"/>
        <v>martes</v>
      </c>
      <c r="M29" s="318">
        <f t="shared" si="6"/>
        <v>-208141.19354838709</v>
      </c>
      <c r="N29" s="318" t="str">
        <f t="shared" si="7"/>
        <v>oct</v>
      </c>
      <c r="P29" s="159"/>
    </row>
    <row r="30" spans="2:16" x14ac:dyDescent="0.25">
      <c r="C30" s="123" t="str">
        <f>+Profitability!C31</f>
        <v>oct</v>
      </c>
      <c r="D30" s="366">
        <f>DAY(Profitability!D31)</f>
        <v>9</v>
      </c>
      <c r="E30" s="123" t="str">
        <f>+Profitability!E31</f>
        <v>miércoles</v>
      </c>
      <c r="G30" s="9">
        <f>'PE (2)'!$G$9</f>
        <v>208141.19354838709</v>
      </c>
      <c r="H30" s="46"/>
      <c r="I30" s="46">
        <f t="shared" si="8"/>
        <v>208141.19354838709</v>
      </c>
      <c r="J30" s="318">
        <f t="shared" si="10"/>
        <v>-208141.19354838709</v>
      </c>
      <c r="K30" s="320">
        <f t="shared" si="4"/>
        <v>-208141.19354838709</v>
      </c>
      <c r="L30" s="123" t="str">
        <f t="shared" si="5"/>
        <v>miércoles</v>
      </c>
      <c r="M30" s="318">
        <f t="shared" si="6"/>
        <v>-208141.19354838709</v>
      </c>
      <c r="N30" s="318" t="str">
        <f t="shared" si="7"/>
        <v>oct</v>
      </c>
      <c r="P30" s="159"/>
    </row>
    <row r="31" spans="2:16" x14ac:dyDescent="0.25">
      <c r="C31" s="123" t="str">
        <f>+Profitability!C32</f>
        <v>oct</v>
      </c>
      <c r="D31" s="366">
        <f>DAY(Profitability!D32)</f>
        <v>10</v>
      </c>
      <c r="E31" s="123" t="str">
        <f>+Profitability!E32</f>
        <v>jueves</v>
      </c>
      <c r="G31" s="9">
        <f>'PE (2)'!$G$9</f>
        <v>208141.19354838709</v>
      </c>
      <c r="H31" s="46"/>
      <c r="I31" s="46">
        <f t="shared" si="8"/>
        <v>208141.19354838709</v>
      </c>
      <c r="J31" s="318">
        <f t="shared" si="10"/>
        <v>-208141.19354838709</v>
      </c>
      <c r="K31" s="320">
        <f t="shared" si="4"/>
        <v>-208141.19354838709</v>
      </c>
      <c r="L31" s="123" t="str">
        <f t="shared" si="5"/>
        <v>jueves</v>
      </c>
      <c r="M31" s="318">
        <f t="shared" si="6"/>
        <v>-208141.19354838709</v>
      </c>
      <c r="N31" s="318" t="str">
        <f t="shared" si="7"/>
        <v>oct</v>
      </c>
      <c r="P31" s="159"/>
    </row>
    <row r="32" spans="2:16" x14ac:dyDescent="0.25">
      <c r="B32" s="199"/>
      <c r="C32" s="123" t="str">
        <f>+Profitability!C33</f>
        <v>oct</v>
      </c>
      <c r="D32" s="366">
        <f>DAY(Profitability!D33)</f>
        <v>11</v>
      </c>
      <c r="E32" s="123" t="str">
        <f>+Profitability!E33</f>
        <v>viernes</v>
      </c>
      <c r="F32" s="9">
        <f>+Profitability!F33</f>
        <v>427900</v>
      </c>
      <c r="G32" s="9">
        <f>'PE (2)'!$G$9</f>
        <v>208141.19354838709</v>
      </c>
      <c r="H32" s="46">
        <f t="shared" si="9"/>
        <v>256740</v>
      </c>
      <c r="I32" s="46">
        <f t="shared" si="8"/>
        <v>464881.19354838709</v>
      </c>
      <c r="J32" s="318">
        <f t="shared" si="10"/>
        <v>-36981.193548387091</v>
      </c>
      <c r="K32" s="320">
        <f t="shared" si="4"/>
        <v>-36981.193548387091</v>
      </c>
      <c r="L32" s="367" t="str">
        <f t="shared" si="5"/>
        <v>viernes</v>
      </c>
      <c r="M32" s="318">
        <f t="shared" si="6"/>
        <v>219758.80645161291</v>
      </c>
      <c r="N32" s="318" t="str">
        <f t="shared" si="7"/>
        <v>oct</v>
      </c>
      <c r="P32" s="159"/>
    </row>
    <row r="33" spans="3:16" x14ac:dyDescent="0.25">
      <c r="C33" s="123" t="str">
        <f>+Profitability!C34</f>
        <v>oct</v>
      </c>
      <c r="D33" s="366">
        <f>DAY(Profitability!D34)</f>
        <v>12</v>
      </c>
      <c r="E33" s="123" t="str">
        <f>+Profitability!E34</f>
        <v>sábado</v>
      </c>
      <c r="F33" s="9">
        <f>+Profitability!F34</f>
        <v>664500</v>
      </c>
      <c r="G33" s="9">
        <f>'PE (2)'!$G$9</f>
        <v>208141.19354838709</v>
      </c>
      <c r="H33" s="46">
        <f t="shared" si="9"/>
        <v>398700</v>
      </c>
      <c r="I33" s="46">
        <f t="shared" si="8"/>
        <v>606841.19354838715</v>
      </c>
      <c r="J33" s="318">
        <f t="shared" si="10"/>
        <v>57658.806451612851</v>
      </c>
      <c r="K33" s="320">
        <f t="shared" si="4"/>
        <v>57658.806451612851</v>
      </c>
      <c r="L33" s="367" t="str">
        <f t="shared" si="5"/>
        <v>sábado</v>
      </c>
      <c r="M33" s="318">
        <f t="shared" si="6"/>
        <v>456358.80645161291</v>
      </c>
      <c r="N33" s="318" t="str">
        <f t="shared" si="7"/>
        <v>oct</v>
      </c>
      <c r="P33" s="159"/>
    </row>
    <row r="34" spans="3:16" x14ac:dyDescent="0.25">
      <c r="C34" s="123" t="str">
        <f>+Profitability!C35</f>
        <v>oct</v>
      </c>
      <c r="D34" s="366">
        <f>DAY(Profitability!D35)</f>
        <v>13</v>
      </c>
      <c r="E34" s="123" t="str">
        <f>+Profitability!E35</f>
        <v>domingo</v>
      </c>
      <c r="F34" s="9">
        <f>+Profitability!F35</f>
        <v>1283500</v>
      </c>
      <c r="G34" s="9">
        <f>'PE (2)'!$G$9</f>
        <v>208141.19354838709</v>
      </c>
      <c r="H34" s="46">
        <f t="shared" si="9"/>
        <v>770100</v>
      </c>
      <c r="I34" s="46">
        <f t="shared" si="8"/>
        <v>978241.19354838715</v>
      </c>
      <c r="J34" s="318">
        <f t="shared" si="10"/>
        <v>305258.80645161285</v>
      </c>
      <c r="K34" s="320">
        <f t="shared" si="4"/>
        <v>305258.80645161285</v>
      </c>
      <c r="L34" s="367" t="str">
        <f t="shared" si="5"/>
        <v>domingo</v>
      </c>
      <c r="M34" s="318">
        <f t="shared" si="6"/>
        <v>1075358.8064516129</v>
      </c>
      <c r="N34" s="318" t="str">
        <f t="shared" si="7"/>
        <v>oct</v>
      </c>
      <c r="P34" s="159"/>
    </row>
    <row r="35" spans="3:16" x14ac:dyDescent="0.25">
      <c r="C35" s="123" t="str">
        <f>+Profitability!C36</f>
        <v>oct</v>
      </c>
      <c r="D35" s="366">
        <f>DAY(Profitability!D36)</f>
        <v>14</v>
      </c>
      <c r="E35" s="123" t="str">
        <f>+Profitability!E36</f>
        <v>lunes</v>
      </c>
      <c r="F35" s="9">
        <f>+Profitability!F36</f>
        <v>622000</v>
      </c>
      <c r="G35" s="9">
        <f>'PE (2)'!$G$9</f>
        <v>208141.19354838709</v>
      </c>
      <c r="H35" s="46">
        <f t="shared" si="9"/>
        <v>373200</v>
      </c>
      <c r="I35" s="46">
        <f t="shared" si="8"/>
        <v>581341.19354838715</v>
      </c>
      <c r="J35" s="318">
        <f t="shared" si="10"/>
        <v>40658.806451612851</v>
      </c>
      <c r="K35" s="320">
        <f t="shared" si="4"/>
        <v>40658.806451612851</v>
      </c>
      <c r="L35" s="367" t="str">
        <f t="shared" si="5"/>
        <v>lunes</v>
      </c>
      <c r="M35" s="318">
        <f t="shared" ref="M35:M69" si="11">+F35-G35</f>
        <v>413858.80645161291</v>
      </c>
      <c r="N35" s="318" t="str">
        <f t="shared" ref="N35:N69" si="12">+C35</f>
        <v>oct</v>
      </c>
      <c r="P35" s="159"/>
    </row>
    <row r="36" spans="3:16" x14ac:dyDescent="0.25">
      <c r="C36" s="123" t="str">
        <f>+Profitability!C37</f>
        <v>oct</v>
      </c>
      <c r="D36" s="366">
        <f>DAY(Profitability!D37)</f>
        <v>15</v>
      </c>
      <c r="E36" s="123" t="str">
        <f>+Profitability!E37</f>
        <v>martes</v>
      </c>
      <c r="G36" s="9">
        <f>'PE (2)'!$G$9</f>
        <v>208141.19354838709</v>
      </c>
      <c r="H36" s="46"/>
      <c r="I36" s="46">
        <f t="shared" si="8"/>
        <v>208141.19354838709</v>
      </c>
      <c r="J36" s="318">
        <f t="shared" si="10"/>
        <v>-208141.19354838709</v>
      </c>
      <c r="K36" s="320">
        <f t="shared" si="4"/>
        <v>-208141.19354838709</v>
      </c>
      <c r="L36" s="123" t="str">
        <f t="shared" si="5"/>
        <v>martes</v>
      </c>
      <c r="M36" s="318">
        <f t="shared" si="11"/>
        <v>-208141.19354838709</v>
      </c>
      <c r="N36" s="318" t="str">
        <f t="shared" si="12"/>
        <v>oct</v>
      </c>
      <c r="P36" s="159"/>
    </row>
    <row r="37" spans="3:16" x14ac:dyDescent="0.25">
      <c r="C37" s="123" t="str">
        <f>+Profitability!C38</f>
        <v>oct</v>
      </c>
      <c r="D37" s="366">
        <f>DAY(Profitability!D38)</f>
        <v>16</v>
      </c>
      <c r="E37" s="123" t="str">
        <f>+Profitability!E38</f>
        <v>miércoles</v>
      </c>
      <c r="G37" s="9">
        <f>'PE (2)'!$G$9</f>
        <v>208141.19354838709</v>
      </c>
      <c r="H37" s="46"/>
      <c r="I37" s="46">
        <f t="shared" si="8"/>
        <v>208141.19354838709</v>
      </c>
      <c r="J37" s="318">
        <f t="shared" si="10"/>
        <v>-208141.19354838709</v>
      </c>
      <c r="K37" s="320">
        <f t="shared" si="4"/>
        <v>-208141.19354838709</v>
      </c>
      <c r="L37" s="123" t="str">
        <f t="shared" si="5"/>
        <v>miércoles</v>
      </c>
      <c r="M37" s="318">
        <f t="shared" si="11"/>
        <v>-208141.19354838709</v>
      </c>
      <c r="N37" s="318" t="str">
        <f t="shared" si="12"/>
        <v>oct</v>
      </c>
      <c r="P37" s="159"/>
    </row>
    <row r="38" spans="3:16" x14ac:dyDescent="0.25">
      <c r="C38" s="123" t="str">
        <f>+Profitability!C39</f>
        <v>oct</v>
      </c>
      <c r="D38" s="366">
        <f>DAY(Profitability!D39)</f>
        <v>17</v>
      </c>
      <c r="E38" s="123" t="str">
        <f>+Profitability!E39</f>
        <v>jueves</v>
      </c>
      <c r="G38" s="9">
        <f>'PE (2)'!$G$9</f>
        <v>208141.19354838709</v>
      </c>
      <c r="H38" s="46"/>
      <c r="I38" s="46">
        <f t="shared" si="8"/>
        <v>208141.19354838709</v>
      </c>
      <c r="J38" s="318">
        <f t="shared" si="10"/>
        <v>-208141.19354838709</v>
      </c>
      <c r="K38" s="320">
        <f t="shared" si="4"/>
        <v>-208141.19354838709</v>
      </c>
      <c r="L38" s="123" t="str">
        <f t="shared" si="5"/>
        <v>jueves</v>
      </c>
      <c r="M38" s="318">
        <f t="shared" si="11"/>
        <v>-208141.19354838709</v>
      </c>
      <c r="N38" s="318" t="str">
        <f t="shared" si="12"/>
        <v>oct</v>
      </c>
      <c r="P38" s="159"/>
    </row>
    <row r="39" spans="3:16" x14ac:dyDescent="0.25">
      <c r="C39" s="123" t="str">
        <f>+Profitability!C40</f>
        <v>oct</v>
      </c>
      <c r="D39" s="366">
        <f>DAY(Profitability!D40)</f>
        <v>18</v>
      </c>
      <c r="E39" s="123" t="str">
        <f>+Profitability!E40</f>
        <v>viernes</v>
      </c>
      <c r="F39" s="9">
        <f>+Profitability!F40</f>
        <v>363500</v>
      </c>
      <c r="G39" s="9">
        <f>'PE (2)'!$G$9</f>
        <v>208141.19354838709</v>
      </c>
      <c r="H39" s="46">
        <f t="shared" si="9"/>
        <v>218100</v>
      </c>
      <c r="I39" s="46">
        <f t="shared" si="8"/>
        <v>426241.19354838709</v>
      </c>
      <c r="J39" s="318">
        <f t="shared" si="10"/>
        <v>-62741.193548387091</v>
      </c>
      <c r="K39" s="320">
        <f t="shared" si="4"/>
        <v>-62741.193548387091</v>
      </c>
      <c r="L39" s="367" t="str">
        <f t="shared" si="5"/>
        <v>viernes</v>
      </c>
      <c r="M39" s="318">
        <f t="shared" si="11"/>
        <v>155358.80645161291</v>
      </c>
      <c r="N39" s="318" t="str">
        <f t="shared" si="12"/>
        <v>oct</v>
      </c>
      <c r="P39" s="159"/>
    </row>
    <row r="40" spans="3:16" x14ac:dyDescent="0.25">
      <c r="C40" s="123" t="str">
        <f>+Profitability!C41</f>
        <v>oct</v>
      </c>
      <c r="D40" s="366">
        <f>DAY(Profitability!D41)</f>
        <v>19</v>
      </c>
      <c r="E40" s="123" t="str">
        <f>+Profitability!E41</f>
        <v>sábado</v>
      </c>
      <c r="F40" s="9">
        <f>+Profitability!F41</f>
        <v>720000</v>
      </c>
      <c r="G40" s="9">
        <f>'PE (2)'!$G$9</f>
        <v>208141.19354838709</v>
      </c>
      <c r="H40" s="46">
        <f t="shared" si="9"/>
        <v>432000</v>
      </c>
      <c r="I40" s="46">
        <f t="shared" si="8"/>
        <v>640141.19354838715</v>
      </c>
      <c r="J40" s="318">
        <f t="shared" si="10"/>
        <v>79858.806451612851</v>
      </c>
      <c r="K40" s="320">
        <f t="shared" si="4"/>
        <v>79858.806451612851</v>
      </c>
      <c r="L40" s="367" t="str">
        <f t="shared" si="5"/>
        <v>sábado</v>
      </c>
      <c r="M40" s="318">
        <f t="shared" si="11"/>
        <v>511858.80645161291</v>
      </c>
      <c r="N40" s="318" t="str">
        <f t="shared" si="12"/>
        <v>oct</v>
      </c>
      <c r="P40" s="159"/>
    </row>
    <row r="41" spans="3:16" x14ac:dyDescent="0.25">
      <c r="C41" s="123" t="str">
        <f>+Profitability!C42</f>
        <v>oct</v>
      </c>
      <c r="D41" s="366">
        <f>DAY(Profitability!D42)</f>
        <v>20</v>
      </c>
      <c r="E41" s="123" t="str">
        <f>+Profitability!E42</f>
        <v>domingo</v>
      </c>
      <c r="F41" s="9">
        <f>+Profitability!F42</f>
        <v>1550500</v>
      </c>
      <c r="G41" s="9">
        <f>'PE (2)'!$G$9</f>
        <v>208141.19354838709</v>
      </c>
      <c r="H41" s="46">
        <f t="shared" si="9"/>
        <v>930300</v>
      </c>
      <c r="I41" s="46">
        <f t="shared" si="8"/>
        <v>1138441.1935483871</v>
      </c>
      <c r="J41" s="318">
        <f t="shared" si="10"/>
        <v>412058.80645161285</v>
      </c>
      <c r="K41" s="320">
        <f t="shared" si="4"/>
        <v>412058.80645161285</v>
      </c>
      <c r="L41" s="367" t="str">
        <f t="shared" si="5"/>
        <v>domingo</v>
      </c>
      <c r="M41" s="318">
        <f t="shared" si="11"/>
        <v>1342358.8064516129</v>
      </c>
      <c r="N41" s="318" t="str">
        <f t="shared" si="12"/>
        <v>oct</v>
      </c>
      <c r="P41" s="159"/>
    </row>
    <row r="42" spans="3:16" x14ac:dyDescent="0.25">
      <c r="C42" s="123" t="str">
        <f>+Profitability!C43</f>
        <v>oct</v>
      </c>
      <c r="D42" s="366">
        <f>DAY(Profitability!D43)</f>
        <v>21</v>
      </c>
      <c r="E42" s="123" t="str">
        <f>+Profitability!E43</f>
        <v>lunes</v>
      </c>
      <c r="G42" s="9">
        <f>'PE (2)'!$G$9</f>
        <v>208141.19354838709</v>
      </c>
      <c r="H42" s="46"/>
      <c r="I42" s="46">
        <f t="shared" si="8"/>
        <v>208141.19354838709</v>
      </c>
      <c r="J42" s="318">
        <f t="shared" si="10"/>
        <v>-208141.19354838709</v>
      </c>
      <c r="K42" s="320">
        <f t="shared" si="4"/>
        <v>-208141.19354838709</v>
      </c>
      <c r="L42" s="123" t="str">
        <f t="shared" si="5"/>
        <v>lunes</v>
      </c>
      <c r="M42" s="318">
        <f t="shared" si="11"/>
        <v>-208141.19354838709</v>
      </c>
      <c r="N42" s="318" t="str">
        <f t="shared" si="12"/>
        <v>oct</v>
      </c>
      <c r="P42" s="159"/>
    </row>
    <row r="43" spans="3:16" x14ac:dyDescent="0.25">
      <c r="C43" s="123" t="str">
        <f>+Profitability!C44</f>
        <v>oct</v>
      </c>
      <c r="D43" s="366">
        <f>DAY(Profitability!D44)</f>
        <v>22</v>
      </c>
      <c r="E43" s="123" t="str">
        <f>+Profitability!E44</f>
        <v>martes</v>
      </c>
      <c r="G43" s="9">
        <f>'PE (2)'!$G$9</f>
        <v>208141.19354838709</v>
      </c>
      <c r="H43" s="46"/>
      <c r="I43" s="46">
        <f t="shared" si="8"/>
        <v>208141.19354838709</v>
      </c>
      <c r="J43" s="318">
        <f t="shared" si="10"/>
        <v>-208141.19354838709</v>
      </c>
      <c r="K43" s="320">
        <f t="shared" si="4"/>
        <v>-208141.19354838709</v>
      </c>
      <c r="L43" s="123" t="str">
        <f t="shared" si="5"/>
        <v>martes</v>
      </c>
      <c r="M43" s="318">
        <f t="shared" si="11"/>
        <v>-208141.19354838709</v>
      </c>
      <c r="N43" s="318" t="str">
        <f t="shared" si="12"/>
        <v>oct</v>
      </c>
      <c r="P43" s="159"/>
    </row>
    <row r="44" spans="3:16" x14ac:dyDescent="0.25">
      <c r="C44" s="123" t="str">
        <f>+Profitability!C45</f>
        <v>oct</v>
      </c>
      <c r="D44" s="366">
        <f>DAY(Profitability!D45)</f>
        <v>23</v>
      </c>
      <c r="E44" s="123" t="str">
        <f>+Profitability!E45</f>
        <v>miércoles</v>
      </c>
      <c r="G44" s="9">
        <f>'PE (2)'!$G$9</f>
        <v>208141.19354838709</v>
      </c>
      <c r="H44" s="46"/>
      <c r="I44" s="46">
        <f t="shared" si="8"/>
        <v>208141.19354838709</v>
      </c>
      <c r="J44" s="318">
        <f t="shared" si="10"/>
        <v>-208141.19354838709</v>
      </c>
      <c r="K44" s="320">
        <f t="shared" si="4"/>
        <v>-208141.19354838709</v>
      </c>
      <c r="L44" s="123" t="str">
        <f t="shared" si="5"/>
        <v>miércoles</v>
      </c>
      <c r="M44" s="318">
        <f t="shared" si="11"/>
        <v>-208141.19354838709</v>
      </c>
      <c r="N44" s="318" t="str">
        <f t="shared" si="12"/>
        <v>oct</v>
      </c>
      <c r="P44" s="159"/>
    </row>
    <row r="45" spans="3:16" x14ac:dyDescent="0.25">
      <c r="C45" s="123" t="str">
        <f>+Profitability!C46</f>
        <v>oct</v>
      </c>
      <c r="D45" s="366">
        <f>DAY(Profitability!D46)</f>
        <v>24</v>
      </c>
      <c r="E45" s="123" t="str">
        <f>+Profitability!E46</f>
        <v>jueves</v>
      </c>
      <c r="G45" s="9">
        <f>'PE (2)'!$G$9</f>
        <v>208141.19354838709</v>
      </c>
      <c r="H45" s="46"/>
      <c r="I45" s="46">
        <f t="shared" si="8"/>
        <v>208141.19354838709</v>
      </c>
      <c r="J45" s="318">
        <f t="shared" si="10"/>
        <v>-208141.19354838709</v>
      </c>
      <c r="K45" s="320">
        <f t="shared" si="4"/>
        <v>-208141.19354838709</v>
      </c>
      <c r="L45" s="123" t="str">
        <f t="shared" si="5"/>
        <v>jueves</v>
      </c>
      <c r="M45" s="318">
        <f t="shared" si="11"/>
        <v>-208141.19354838709</v>
      </c>
      <c r="N45" s="318" t="str">
        <f t="shared" si="12"/>
        <v>oct</v>
      </c>
      <c r="P45" s="159"/>
    </row>
    <row r="46" spans="3:16" x14ac:dyDescent="0.25">
      <c r="C46" s="123" t="str">
        <f>+Profitability!C47</f>
        <v>oct</v>
      </c>
      <c r="D46" s="366">
        <f>DAY(Profitability!D47)</f>
        <v>25</v>
      </c>
      <c r="E46" s="123" t="str">
        <f>+Profitability!E47</f>
        <v>viernes</v>
      </c>
      <c r="F46" s="9">
        <f>+Profitability!F47</f>
        <v>1200000</v>
      </c>
      <c r="G46" s="9">
        <f>'PE (2)'!$G$9</f>
        <v>208141.19354838709</v>
      </c>
      <c r="H46" s="46">
        <f t="shared" si="9"/>
        <v>720000</v>
      </c>
      <c r="I46" s="46">
        <f t="shared" si="8"/>
        <v>928141.19354838715</v>
      </c>
      <c r="J46" s="318">
        <f t="shared" si="10"/>
        <v>271858.80645161285</v>
      </c>
      <c r="K46" s="320">
        <f t="shared" si="4"/>
        <v>271858.80645161285</v>
      </c>
      <c r="L46" s="367" t="str">
        <f t="shared" si="5"/>
        <v>viernes</v>
      </c>
      <c r="M46" s="318">
        <f t="shared" si="11"/>
        <v>991858.80645161285</v>
      </c>
      <c r="N46" s="318" t="str">
        <f t="shared" si="12"/>
        <v>oct</v>
      </c>
      <c r="P46" s="159"/>
    </row>
    <row r="47" spans="3:16" x14ac:dyDescent="0.25">
      <c r="C47" s="123" t="str">
        <f>+Profitability!C48</f>
        <v>oct</v>
      </c>
      <c r="D47" s="366">
        <f>DAY(Profitability!D48)</f>
        <v>26</v>
      </c>
      <c r="E47" s="123" t="str">
        <f>+Profitability!E48</f>
        <v>sábado</v>
      </c>
      <c r="F47" s="9">
        <f>+Profitability!F48</f>
        <v>655000</v>
      </c>
      <c r="G47" s="9">
        <f>'PE (2)'!$G$9</f>
        <v>208141.19354838709</v>
      </c>
      <c r="H47" s="46">
        <f t="shared" si="9"/>
        <v>393000</v>
      </c>
      <c r="I47" s="46">
        <f t="shared" si="8"/>
        <v>601141.19354838715</v>
      </c>
      <c r="J47" s="318">
        <f t="shared" si="10"/>
        <v>53858.806451612851</v>
      </c>
      <c r="K47" s="320">
        <f t="shared" si="4"/>
        <v>53858.806451612851</v>
      </c>
      <c r="L47" s="367" t="str">
        <f t="shared" si="5"/>
        <v>sábado</v>
      </c>
      <c r="M47" s="318">
        <f t="shared" si="11"/>
        <v>446858.80645161291</v>
      </c>
      <c r="N47" s="318" t="str">
        <f t="shared" si="12"/>
        <v>oct</v>
      </c>
      <c r="P47" s="159"/>
    </row>
    <row r="48" spans="3:16" x14ac:dyDescent="0.25">
      <c r="C48" s="123" t="str">
        <f>+Profitability!C49</f>
        <v>oct</v>
      </c>
      <c r="D48" s="366">
        <f>DAY(Profitability!D49)</f>
        <v>27</v>
      </c>
      <c r="E48" s="123" t="str">
        <f>+Profitability!E49</f>
        <v>domingo</v>
      </c>
      <c r="F48" s="9">
        <f>+Profitability!F49</f>
        <v>1200000</v>
      </c>
      <c r="G48" s="9">
        <f>'PE (2)'!$G$9</f>
        <v>208141.19354838709</v>
      </c>
      <c r="H48" s="46">
        <f t="shared" si="9"/>
        <v>720000</v>
      </c>
      <c r="I48" s="46">
        <f t="shared" si="8"/>
        <v>928141.19354838715</v>
      </c>
      <c r="J48" s="318">
        <f t="shared" si="10"/>
        <v>271858.80645161285</v>
      </c>
      <c r="K48" s="320">
        <f t="shared" si="4"/>
        <v>271858.80645161285</v>
      </c>
      <c r="L48" s="367" t="str">
        <f t="shared" si="5"/>
        <v>domingo</v>
      </c>
      <c r="M48" s="318">
        <f t="shared" si="11"/>
        <v>991858.80645161285</v>
      </c>
      <c r="N48" s="318" t="str">
        <f t="shared" si="12"/>
        <v>oct</v>
      </c>
      <c r="P48" s="159"/>
    </row>
    <row r="49" spans="3:16" x14ac:dyDescent="0.25">
      <c r="C49" s="123" t="str">
        <f>+Profitability!C50</f>
        <v>oct</v>
      </c>
      <c r="D49" s="366">
        <f>DAY(Profitability!D50)</f>
        <v>28</v>
      </c>
      <c r="E49" s="123" t="str">
        <f>+Profitability!E50</f>
        <v>lunes</v>
      </c>
      <c r="G49" s="9">
        <f>'PE (2)'!$G$9</f>
        <v>208141.19354838709</v>
      </c>
      <c r="H49" s="46"/>
      <c r="I49" s="46">
        <f t="shared" si="8"/>
        <v>208141.19354838709</v>
      </c>
      <c r="J49" s="318">
        <f t="shared" si="10"/>
        <v>-208141.19354838709</v>
      </c>
      <c r="K49" s="320">
        <f t="shared" si="4"/>
        <v>-208141.19354838709</v>
      </c>
      <c r="L49" s="123" t="str">
        <f t="shared" si="5"/>
        <v>lunes</v>
      </c>
      <c r="M49" s="318">
        <f t="shared" si="11"/>
        <v>-208141.19354838709</v>
      </c>
      <c r="N49" s="318" t="str">
        <f t="shared" si="12"/>
        <v>oct</v>
      </c>
      <c r="P49" s="159"/>
    </row>
    <row r="50" spans="3:16" x14ac:dyDescent="0.25">
      <c r="C50" s="123" t="str">
        <f>+Profitability!C51</f>
        <v>oct</v>
      </c>
      <c r="D50" s="366">
        <f>DAY(Profitability!D51)</f>
        <v>29</v>
      </c>
      <c r="E50" s="123" t="str">
        <f>+Profitability!E51</f>
        <v>martes</v>
      </c>
      <c r="G50" s="9">
        <f>'PE (2)'!$G$9</f>
        <v>208141.19354838709</v>
      </c>
      <c r="H50" s="46"/>
      <c r="I50" s="46">
        <f t="shared" si="8"/>
        <v>208141.19354838709</v>
      </c>
      <c r="J50" s="318">
        <f t="shared" si="10"/>
        <v>-208141.19354838709</v>
      </c>
      <c r="K50" s="320">
        <f t="shared" si="4"/>
        <v>-208141.19354838709</v>
      </c>
      <c r="L50" s="123" t="str">
        <f t="shared" si="5"/>
        <v>martes</v>
      </c>
      <c r="M50" s="318">
        <f t="shared" si="11"/>
        <v>-208141.19354838709</v>
      </c>
      <c r="N50" s="318" t="str">
        <f t="shared" si="12"/>
        <v>oct</v>
      </c>
      <c r="P50" s="159"/>
    </row>
    <row r="51" spans="3:16" x14ac:dyDescent="0.25">
      <c r="C51" s="123" t="str">
        <f>+Profitability!C52</f>
        <v>oct</v>
      </c>
      <c r="D51" s="366">
        <f>DAY(Profitability!D52)</f>
        <v>30</v>
      </c>
      <c r="E51" s="123" t="str">
        <f>+Profitability!E52</f>
        <v>miércoles</v>
      </c>
      <c r="G51" s="9">
        <f>'PE (2)'!$G$9</f>
        <v>208141.19354838709</v>
      </c>
      <c r="H51" s="46"/>
      <c r="I51" s="46">
        <f t="shared" si="8"/>
        <v>208141.19354838709</v>
      </c>
      <c r="J51" s="318">
        <f t="shared" si="10"/>
        <v>-208141.19354838709</v>
      </c>
      <c r="K51" s="320">
        <f t="shared" si="4"/>
        <v>-208141.19354838709</v>
      </c>
      <c r="L51" s="123" t="str">
        <f t="shared" si="5"/>
        <v>miércoles</v>
      </c>
      <c r="M51" s="318">
        <f t="shared" si="11"/>
        <v>-208141.19354838709</v>
      </c>
      <c r="N51" s="318" t="str">
        <f t="shared" si="12"/>
        <v>oct</v>
      </c>
      <c r="P51" s="159"/>
    </row>
    <row r="52" spans="3:16" x14ac:dyDescent="0.25">
      <c r="C52" s="123" t="str">
        <f>+Profitability!C53</f>
        <v>oct</v>
      </c>
      <c r="D52" s="366">
        <f>DAY(Profitability!D53)</f>
        <v>31</v>
      </c>
      <c r="E52" s="123" t="str">
        <f>+Profitability!E53</f>
        <v>jueves</v>
      </c>
      <c r="G52" s="9">
        <f>'PE (2)'!$G$9</f>
        <v>208141.19354838709</v>
      </c>
      <c r="H52" s="46"/>
      <c r="I52" s="46">
        <f t="shared" si="8"/>
        <v>208141.19354838709</v>
      </c>
      <c r="J52" s="318">
        <f t="shared" si="10"/>
        <v>-208141.19354838709</v>
      </c>
      <c r="K52" s="320">
        <f t="shared" si="4"/>
        <v>-208141.19354838709</v>
      </c>
      <c r="L52" s="123" t="str">
        <f t="shared" si="5"/>
        <v>jueves</v>
      </c>
      <c r="M52" s="318">
        <f t="shared" si="11"/>
        <v>-208141.19354838709</v>
      </c>
      <c r="N52" s="318" t="str">
        <f t="shared" si="12"/>
        <v>oct</v>
      </c>
      <c r="P52" s="159"/>
    </row>
    <row r="53" spans="3:16" outlineLevel="1" x14ac:dyDescent="0.25">
      <c r="C53" s="123" t="str">
        <f>+Profitability!C54</f>
        <v>nov</v>
      </c>
      <c r="D53" s="366">
        <f>DAY(Profitability!D54)</f>
        <v>1</v>
      </c>
      <c r="E53" s="123" t="str">
        <f>+Profitability!E54</f>
        <v>viernes</v>
      </c>
      <c r="F53" s="9">
        <f>+Profitability!F54</f>
        <v>370000</v>
      </c>
      <c r="G53" s="9">
        <f>'PE (2)'!$K$9</f>
        <v>186333.33333333334</v>
      </c>
      <c r="H53" s="46">
        <f t="shared" si="9"/>
        <v>222000</v>
      </c>
      <c r="I53" s="46">
        <f t="shared" si="8"/>
        <v>408333.33333333337</v>
      </c>
      <c r="J53" s="318">
        <f t="shared" ref="J53:J65" si="13">+F53-I53</f>
        <v>-38333.333333333372</v>
      </c>
      <c r="K53" s="320">
        <f t="shared" ref="K53:K66" si="14">+J53</f>
        <v>-38333.333333333372</v>
      </c>
      <c r="L53" s="367" t="str">
        <f t="shared" ref="L53:L65" si="15">+E53</f>
        <v>viernes</v>
      </c>
      <c r="M53" s="318">
        <f t="shared" si="11"/>
        <v>183666.66666666666</v>
      </c>
      <c r="N53" s="318" t="str">
        <f t="shared" si="12"/>
        <v>nov</v>
      </c>
      <c r="P53" s="159"/>
    </row>
    <row r="54" spans="3:16" outlineLevel="1" x14ac:dyDescent="0.25">
      <c r="C54" s="123" t="str">
        <f>+Profitability!C55</f>
        <v>nov</v>
      </c>
      <c r="D54" s="366">
        <f>DAY(Profitability!D55)</f>
        <v>2</v>
      </c>
      <c r="E54" s="123" t="str">
        <f>+Profitability!E55</f>
        <v>sábado</v>
      </c>
      <c r="F54" s="9">
        <f>+Profitability!F55</f>
        <v>500000</v>
      </c>
      <c r="G54" s="9">
        <f>'PE (2)'!$K$9</f>
        <v>186333.33333333334</v>
      </c>
      <c r="H54" s="46">
        <f t="shared" si="9"/>
        <v>300000</v>
      </c>
      <c r="I54" s="46">
        <f t="shared" ref="I54:I65" si="16">+G54+H54</f>
        <v>486333.33333333337</v>
      </c>
      <c r="J54" s="318">
        <f t="shared" si="13"/>
        <v>13666.666666666628</v>
      </c>
      <c r="K54" s="320">
        <f t="shared" si="14"/>
        <v>13666.666666666628</v>
      </c>
      <c r="L54" s="367" t="str">
        <f t="shared" si="15"/>
        <v>sábado</v>
      </c>
      <c r="M54" s="318">
        <f t="shared" si="11"/>
        <v>313666.66666666663</v>
      </c>
      <c r="N54" s="318" t="str">
        <f t="shared" si="12"/>
        <v>nov</v>
      </c>
      <c r="P54" s="159"/>
    </row>
    <row r="55" spans="3:16" outlineLevel="1" x14ac:dyDescent="0.25">
      <c r="C55" s="123" t="str">
        <f>+Profitability!C56</f>
        <v>nov</v>
      </c>
      <c r="D55" s="366">
        <f>DAY(Profitability!D56)</f>
        <v>3</v>
      </c>
      <c r="E55" s="123" t="str">
        <f>+Profitability!E56</f>
        <v>domingo</v>
      </c>
      <c r="F55" s="9">
        <f>+Profitability!F56</f>
        <v>1700000</v>
      </c>
      <c r="G55" s="9">
        <f>'PE (2)'!$K$9</f>
        <v>186333.33333333334</v>
      </c>
      <c r="H55" s="46">
        <f t="shared" si="9"/>
        <v>1020000</v>
      </c>
      <c r="I55" s="46">
        <f t="shared" si="16"/>
        <v>1206333.3333333333</v>
      </c>
      <c r="J55" s="318">
        <f t="shared" si="13"/>
        <v>493666.66666666674</v>
      </c>
      <c r="K55" s="320">
        <f t="shared" si="14"/>
        <v>493666.66666666674</v>
      </c>
      <c r="L55" s="367" t="str">
        <f t="shared" si="15"/>
        <v>domingo</v>
      </c>
      <c r="M55" s="318">
        <f t="shared" si="11"/>
        <v>1513666.6666666667</v>
      </c>
      <c r="N55" s="318" t="str">
        <f t="shared" si="12"/>
        <v>nov</v>
      </c>
      <c r="P55" s="159"/>
    </row>
    <row r="56" spans="3:16" outlineLevel="1" x14ac:dyDescent="0.25">
      <c r="C56" s="123" t="str">
        <f>+Profitability!C57</f>
        <v>nov</v>
      </c>
      <c r="D56" s="366">
        <f>DAY(Profitability!D57)</f>
        <v>4</v>
      </c>
      <c r="E56" s="387" t="str">
        <f>+Profitability!E57</f>
        <v>lunes</v>
      </c>
      <c r="F56" s="388">
        <f>+Profitability!F57</f>
        <v>600000</v>
      </c>
      <c r="G56" s="9">
        <f>'PE (2)'!$K$9</f>
        <v>186333.33333333334</v>
      </c>
      <c r="H56" s="46">
        <f t="shared" si="9"/>
        <v>360000</v>
      </c>
      <c r="I56" s="46">
        <f t="shared" si="16"/>
        <v>546333.33333333337</v>
      </c>
      <c r="J56" s="318">
        <f t="shared" si="13"/>
        <v>53666.666666666628</v>
      </c>
      <c r="K56" s="320">
        <f t="shared" si="14"/>
        <v>53666.666666666628</v>
      </c>
      <c r="L56" s="367" t="str">
        <f t="shared" si="15"/>
        <v>lunes</v>
      </c>
      <c r="M56" s="318">
        <f t="shared" si="11"/>
        <v>413666.66666666663</v>
      </c>
      <c r="N56" s="318" t="str">
        <f t="shared" si="12"/>
        <v>nov</v>
      </c>
      <c r="P56" s="159"/>
    </row>
    <row r="57" spans="3:16" outlineLevel="1" x14ac:dyDescent="0.25">
      <c r="C57" s="123" t="str">
        <f>+Profitability!C58</f>
        <v>nov</v>
      </c>
      <c r="D57" s="366">
        <f>DAY(Profitability!D58)</f>
        <v>5</v>
      </c>
      <c r="E57" s="123" t="str">
        <f>+Profitability!E58</f>
        <v>martes</v>
      </c>
      <c r="F57" s="9">
        <v>0</v>
      </c>
      <c r="G57" s="9">
        <f>'PE (2)'!$K$9</f>
        <v>186333.33333333334</v>
      </c>
      <c r="H57" s="46">
        <v>0</v>
      </c>
      <c r="I57" s="46">
        <f t="shared" si="16"/>
        <v>186333.33333333334</v>
      </c>
      <c r="J57" s="318">
        <f t="shared" si="13"/>
        <v>-186333.33333333334</v>
      </c>
      <c r="K57" s="320">
        <f t="shared" si="14"/>
        <v>-186333.33333333334</v>
      </c>
      <c r="L57" s="123" t="str">
        <f t="shared" si="15"/>
        <v>martes</v>
      </c>
      <c r="M57" s="318">
        <f t="shared" si="11"/>
        <v>-186333.33333333334</v>
      </c>
      <c r="N57" s="318" t="str">
        <f t="shared" si="12"/>
        <v>nov</v>
      </c>
      <c r="P57" s="159"/>
    </row>
    <row r="58" spans="3:16" outlineLevel="1" x14ac:dyDescent="0.25">
      <c r="C58" s="123" t="str">
        <f>+Profitability!C59</f>
        <v>nov</v>
      </c>
      <c r="D58" s="366">
        <f>DAY(Profitability!D59)</f>
        <v>6</v>
      </c>
      <c r="E58" s="123" t="str">
        <f>+Profitability!E59</f>
        <v>miércoles</v>
      </c>
      <c r="F58" s="9">
        <v>0</v>
      </c>
      <c r="G58" s="9">
        <f>'PE (2)'!$K$9</f>
        <v>186333.33333333334</v>
      </c>
      <c r="H58" s="46">
        <v>0</v>
      </c>
      <c r="I58" s="46">
        <f t="shared" si="16"/>
        <v>186333.33333333334</v>
      </c>
      <c r="J58" s="318">
        <f t="shared" si="13"/>
        <v>-186333.33333333334</v>
      </c>
      <c r="K58" s="320">
        <f t="shared" si="14"/>
        <v>-186333.33333333334</v>
      </c>
      <c r="L58" s="123" t="str">
        <f t="shared" si="15"/>
        <v>miércoles</v>
      </c>
      <c r="M58" s="318">
        <f t="shared" si="11"/>
        <v>-186333.33333333334</v>
      </c>
      <c r="N58" s="318" t="str">
        <f t="shared" si="12"/>
        <v>nov</v>
      </c>
      <c r="P58" s="159"/>
    </row>
    <row r="59" spans="3:16" outlineLevel="1" x14ac:dyDescent="0.25">
      <c r="C59" s="123" t="str">
        <f>+Profitability!C60</f>
        <v>nov</v>
      </c>
      <c r="D59" s="366">
        <f>DAY(Profitability!D60)</f>
        <v>7</v>
      </c>
      <c r="E59" s="123" t="str">
        <f>+Profitability!E60</f>
        <v>jueves</v>
      </c>
      <c r="F59" s="9">
        <v>0</v>
      </c>
      <c r="G59" s="9">
        <f>'PE (2)'!$K$9</f>
        <v>186333.33333333334</v>
      </c>
      <c r="H59" s="46">
        <v>0</v>
      </c>
      <c r="I59" s="46">
        <f t="shared" si="16"/>
        <v>186333.33333333334</v>
      </c>
      <c r="J59" s="318">
        <f t="shared" si="13"/>
        <v>-186333.33333333334</v>
      </c>
      <c r="K59" s="320">
        <f t="shared" si="14"/>
        <v>-186333.33333333334</v>
      </c>
      <c r="L59" s="123" t="str">
        <f t="shared" si="15"/>
        <v>jueves</v>
      </c>
      <c r="M59" s="318">
        <f t="shared" si="11"/>
        <v>-186333.33333333334</v>
      </c>
      <c r="N59" s="318" t="str">
        <f t="shared" si="12"/>
        <v>nov</v>
      </c>
      <c r="P59" s="159"/>
    </row>
    <row r="60" spans="3:16" outlineLevel="1" x14ac:dyDescent="0.25">
      <c r="C60" s="123" t="str">
        <f>+Profitability!C61</f>
        <v>nov</v>
      </c>
      <c r="D60" s="366">
        <f>DAY(Profitability!D61)</f>
        <v>8</v>
      </c>
      <c r="E60" s="123" t="str">
        <f>+Profitability!E61</f>
        <v>viernes</v>
      </c>
      <c r="F60" s="9">
        <f>+Profitability!F61</f>
        <v>342000</v>
      </c>
      <c r="G60" s="9">
        <f>'PE (2)'!$K$9</f>
        <v>186333.33333333334</v>
      </c>
      <c r="H60" s="46">
        <f t="shared" si="9"/>
        <v>205200</v>
      </c>
      <c r="I60" s="46">
        <f t="shared" si="16"/>
        <v>391533.33333333337</v>
      </c>
      <c r="J60" s="318">
        <f t="shared" si="13"/>
        <v>-49533.333333333372</v>
      </c>
      <c r="K60" s="320">
        <f t="shared" si="14"/>
        <v>-49533.333333333372</v>
      </c>
      <c r="L60" s="367" t="str">
        <f t="shared" si="15"/>
        <v>viernes</v>
      </c>
      <c r="M60" s="318">
        <f t="shared" si="11"/>
        <v>155666.66666666666</v>
      </c>
      <c r="N60" s="318" t="str">
        <f t="shared" si="12"/>
        <v>nov</v>
      </c>
      <c r="P60" s="159"/>
    </row>
    <row r="61" spans="3:16" outlineLevel="1" x14ac:dyDescent="0.25">
      <c r="C61" s="123" t="str">
        <f>+Profitability!C62</f>
        <v>nov</v>
      </c>
      <c r="D61" s="366">
        <f>DAY(Profitability!D62)</f>
        <v>9</v>
      </c>
      <c r="E61" s="123" t="str">
        <f>+Profitability!E62</f>
        <v>sábado</v>
      </c>
      <c r="F61" s="9">
        <f>+Profitability!F62</f>
        <v>1552000</v>
      </c>
      <c r="G61" s="9">
        <f>'PE (2)'!$K$9</f>
        <v>186333.33333333334</v>
      </c>
      <c r="H61" s="46">
        <f t="shared" si="9"/>
        <v>931200</v>
      </c>
      <c r="I61" s="46">
        <f t="shared" si="16"/>
        <v>1117533.3333333333</v>
      </c>
      <c r="J61" s="318">
        <f t="shared" si="13"/>
        <v>434466.66666666674</v>
      </c>
      <c r="K61" s="320">
        <f t="shared" si="14"/>
        <v>434466.66666666674</v>
      </c>
      <c r="L61" s="367" t="str">
        <f t="shared" si="15"/>
        <v>sábado</v>
      </c>
      <c r="M61" s="318">
        <f t="shared" si="11"/>
        <v>1365666.6666666667</v>
      </c>
      <c r="N61" s="318" t="str">
        <f t="shared" si="12"/>
        <v>nov</v>
      </c>
      <c r="P61" s="159"/>
    </row>
    <row r="62" spans="3:16" outlineLevel="1" x14ac:dyDescent="0.25">
      <c r="C62" s="123" t="str">
        <f>+Profitability!C63</f>
        <v>nov</v>
      </c>
      <c r="D62" s="366">
        <f>DAY(Profitability!D63)</f>
        <v>10</v>
      </c>
      <c r="E62" s="123" t="str">
        <f>+Profitability!E63</f>
        <v>domingo</v>
      </c>
      <c r="F62" s="9">
        <f>+Profitability!F63</f>
        <v>1690000</v>
      </c>
      <c r="G62" s="9">
        <f>'PE (2)'!$K$9</f>
        <v>186333.33333333334</v>
      </c>
      <c r="H62" s="46">
        <f t="shared" si="9"/>
        <v>1014000</v>
      </c>
      <c r="I62" s="46">
        <f t="shared" si="16"/>
        <v>1200333.3333333333</v>
      </c>
      <c r="J62" s="318">
        <f t="shared" si="13"/>
        <v>489666.66666666674</v>
      </c>
      <c r="K62" s="320">
        <f t="shared" si="14"/>
        <v>489666.66666666674</v>
      </c>
      <c r="L62" s="367" t="str">
        <f t="shared" si="15"/>
        <v>domingo</v>
      </c>
      <c r="M62" s="318">
        <f t="shared" si="11"/>
        <v>1503666.6666666667</v>
      </c>
      <c r="N62" s="318" t="str">
        <f t="shared" si="12"/>
        <v>nov</v>
      </c>
      <c r="P62" s="159"/>
    </row>
    <row r="63" spans="3:16" outlineLevel="1" x14ac:dyDescent="0.25">
      <c r="C63" s="123" t="str">
        <f>+Profitability!C64</f>
        <v>nov</v>
      </c>
      <c r="D63" s="366">
        <f>DAY(Profitability!D64)</f>
        <v>11</v>
      </c>
      <c r="E63" s="387" t="str">
        <f>+Profitability!E64</f>
        <v>lunes</v>
      </c>
      <c r="F63" s="388">
        <f>+Profitability!F64</f>
        <v>700000</v>
      </c>
      <c r="G63" s="9">
        <f>'PE (2)'!$K$9</f>
        <v>186333.33333333334</v>
      </c>
      <c r="H63" s="46">
        <f t="shared" si="9"/>
        <v>420000</v>
      </c>
      <c r="I63" s="46">
        <f t="shared" si="16"/>
        <v>606333.33333333337</v>
      </c>
      <c r="J63" s="318">
        <f t="shared" si="13"/>
        <v>93666.666666666628</v>
      </c>
      <c r="K63" s="320">
        <f t="shared" si="14"/>
        <v>93666.666666666628</v>
      </c>
      <c r="L63" s="367" t="str">
        <f t="shared" si="15"/>
        <v>lunes</v>
      </c>
      <c r="M63" s="318">
        <f t="shared" si="11"/>
        <v>513666.66666666663</v>
      </c>
      <c r="N63" s="318" t="str">
        <f t="shared" si="12"/>
        <v>nov</v>
      </c>
      <c r="P63" s="159"/>
    </row>
    <row r="64" spans="3:16" outlineLevel="1" x14ac:dyDescent="0.25">
      <c r="C64" s="123" t="str">
        <f>+Profitability!C65</f>
        <v>nov</v>
      </c>
      <c r="D64" s="366">
        <f>DAY(Profitability!D65)</f>
        <v>12</v>
      </c>
      <c r="E64" s="123" t="str">
        <f>+Profitability!E65</f>
        <v>martes</v>
      </c>
      <c r="F64" s="9">
        <v>0</v>
      </c>
      <c r="G64" s="9">
        <f>'PE (2)'!$K$9</f>
        <v>186333.33333333334</v>
      </c>
      <c r="H64" s="46">
        <f t="shared" si="9"/>
        <v>0</v>
      </c>
      <c r="I64" s="46">
        <f t="shared" si="16"/>
        <v>186333.33333333334</v>
      </c>
      <c r="J64" s="318">
        <f t="shared" si="13"/>
        <v>-186333.33333333334</v>
      </c>
      <c r="K64" s="320">
        <f t="shared" si="14"/>
        <v>-186333.33333333334</v>
      </c>
      <c r="L64" s="123" t="str">
        <f t="shared" si="15"/>
        <v>martes</v>
      </c>
      <c r="M64" s="318">
        <f t="shared" si="11"/>
        <v>-186333.33333333334</v>
      </c>
      <c r="N64" s="318" t="str">
        <f t="shared" si="12"/>
        <v>nov</v>
      </c>
      <c r="P64" s="159"/>
    </row>
    <row r="65" spans="3:16" outlineLevel="1" x14ac:dyDescent="0.25">
      <c r="C65" s="123" t="str">
        <f>+Profitability!C66</f>
        <v>nov</v>
      </c>
      <c r="D65" s="366">
        <f>DAY(Profitability!D66)</f>
        <v>13</v>
      </c>
      <c r="E65" s="123" t="str">
        <f>+Profitability!E66</f>
        <v>miércoles</v>
      </c>
      <c r="F65" s="9">
        <v>0</v>
      </c>
      <c r="G65" s="9">
        <f>'PE (2)'!$K$9</f>
        <v>186333.33333333334</v>
      </c>
      <c r="H65" s="46">
        <f t="shared" si="9"/>
        <v>0</v>
      </c>
      <c r="I65" s="46">
        <f t="shared" si="16"/>
        <v>186333.33333333334</v>
      </c>
      <c r="J65" s="318">
        <f t="shared" si="13"/>
        <v>-186333.33333333334</v>
      </c>
      <c r="K65" s="320">
        <f t="shared" si="14"/>
        <v>-186333.33333333334</v>
      </c>
      <c r="L65" s="123" t="str">
        <f t="shared" si="15"/>
        <v>miércoles</v>
      </c>
      <c r="M65" s="318">
        <f t="shared" si="11"/>
        <v>-186333.33333333334</v>
      </c>
      <c r="N65" s="318" t="str">
        <f t="shared" si="12"/>
        <v>nov</v>
      </c>
      <c r="P65" s="159"/>
    </row>
    <row r="66" spans="3:16" outlineLevel="1" x14ac:dyDescent="0.25">
      <c r="C66" s="123" t="str">
        <f>+Profitability!C67</f>
        <v>nov</v>
      </c>
      <c r="D66" s="366">
        <f>DAY(Profitability!D67)</f>
        <v>14</v>
      </c>
      <c r="E66" s="123" t="str">
        <f>+Profitability!E67</f>
        <v>jueves</v>
      </c>
      <c r="F66" s="9">
        <v>0</v>
      </c>
      <c r="G66" s="9">
        <f>'PE (2)'!$K$9</f>
        <v>186333.33333333334</v>
      </c>
      <c r="H66" s="46">
        <f t="shared" si="9"/>
        <v>0</v>
      </c>
      <c r="I66" s="46">
        <f t="shared" ref="I66:I69" si="17">+G66+H66</f>
        <v>186333.33333333334</v>
      </c>
      <c r="J66" s="318">
        <f t="shared" ref="J66:J69" si="18">+F66-I66</f>
        <v>-186333.33333333334</v>
      </c>
      <c r="K66" s="320">
        <f t="shared" si="14"/>
        <v>-186333.33333333334</v>
      </c>
      <c r="L66" s="123" t="str">
        <f t="shared" ref="L66:L69" si="19">+E66</f>
        <v>jueves</v>
      </c>
      <c r="M66" s="318">
        <f t="shared" si="11"/>
        <v>-186333.33333333334</v>
      </c>
      <c r="N66" s="318" t="str">
        <f t="shared" si="12"/>
        <v>nov</v>
      </c>
      <c r="P66" s="159"/>
    </row>
    <row r="67" spans="3:16" outlineLevel="1" x14ac:dyDescent="0.25">
      <c r="C67" s="123" t="str">
        <f>+Profitability!C68</f>
        <v>nov</v>
      </c>
      <c r="D67" s="366">
        <f>DAY(Profitability!D68)</f>
        <v>15</v>
      </c>
      <c r="E67" s="123" t="str">
        <f>+Profitability!E68</f>
        <v>viernes</v>
      </c>
      <c r="F67" s="9">
        <f>+Profitability!F68</f>
        <v>235000</v>
      </c>
      <c r="G67" s="9">
        <f>'PE (2)'!$K$9</f>
        <v>186333.33333333334</v>
      </c>
      <c r="H67" s="46">
        <f t="shared" si="9"/>
        <v>141000</v>
      </c>
      <c r="I67" s="46">
        <f t="shared" si="17"/>
        <v>327333.33333333337</v>
      </c>
      <c r="J67" s="318">
        <f t="shared" si="18"/>
        <v>-92333.333333333372</v>
      </c>
      <c r="K67" s="320">
        <f>+J67</f>
        <v>-92333.333333333372</v>
      </c>
      <c r="L67" s="123" t="str">
        <f t="shared" si="19"/>
        <v>viernes</v>
      </c>
      <c r="M67" s="318">
        <f t="shared" si="11"/>
        <v>48666.666666666657</v>
      </c>
      <c r="N67" s="318" t="str">
        <f t="shared" si="12"/>
        <v>nov</v>
      </c>
      <c r="P67" s="159"/>
    </row>
    <row r="68" spans="3:16" outlineLevel="1" x14ac:dyDescent="0.25">
      <c r="C68" s="123" t="str">
        <f>+Profitability!C69</f>
        <v>nov</v>
      </c>
      <c r="D68" s="366">
        <f>DAY(Profitability!D69)</f>
        <v>16</v>
      </c>
      <c r="E68" s="123" t="str">
        <f>+Profitability!E69</f>
        <v>sábado</v>
      </c>
      <c r="F68" s="9">
        <f>+Profitability!F69</f>
        <v>811500</v>
      </c>
      <c r="G68" s="9">
        <f>'PE (2)'!$K$9</f>
        <v>186333.33333333334</v>
      </c>
      <c r="H68" s="46">
        <f t="shared" si="9"/>
        <v>486900</v>
      </c>
      <c r="I68" s="46">
        <f t="shared" si="17"/>
        <v>673233.33333333337</v>
      </c>
      <c r="J68" s="318">
        <f t="shared" si="18"/>
        <v>138266.66666666663</v>
      </c>
      <c r="K68" s="320">
        <f t="shared" ref="K68:K69" si="20">+J68</f>
        <v>138266.66666666663</v>
      </c>
      <c r="L68" s="123" t="str">
        <f t="shared" si="19"/>
        <v>sábado</v>
      </c>
      <c r="M68" s="318">
        <f t="shared" si="11"/>
        <v>625166.66666666663</v>
      </c>
      <c r="N68" s="318" t="str">
        <f t="shared" si="12"/>
        <v>nov</v>
      </c>
      <c r="P68" s="159"/>
    </row>
    <row r="69" spans="3:16" ht="10.5" customHeight="1" outlineLevel="1" x14ac:dyDescent="0.25">
      <c r="C69" s="123" t="str">
        <f>+Profitability!C70</f>
        <v>nov</v>
      </c>
      <c r="D69" s="366">
        <f>DAY(Profitability!D70)</f>
        <v>17</v>
      </c>
      <c r="E69" s="123" t="str">
        <f>+Profitability!E70</f>
        <v>domingo</v>
      </c>
      <c r="F69" s="9">
        <f>+Profitability!F70</f>
        <v>1300900</v>
      </c>
      <c r="G69" s="9">
        <f>'PE (2)'!$K$9</f>
        <v>186333.33333333334</v>
      </c>
      <c r="H69" s="46">
        <f t="shared" si="9"/>
        <v>780540</v>
      </c>
      <c r="I69" s="46">
        <f t="shared" si="17"/>
        <v>966873.33333333337</v>
      </c>
      <c r="J69" s="318">
        <f t="shared" si="18"/>
        <v>334026.66666666663</v>
      </c>
      <c r="K69" s="320">
        <f t="shared" si="20"/>
        <v>334026.66666666663</v>
      </c>
      <c r="L69" s="123" t="str">
        <f t="shared" si="19"/>
        <v>domingo</v>
      </c>
      <c r="M69" s="318">
        <f t="shared" si="11"/>
        <v>1114566.6666666667</v>
      </c>
      <c r="N69" s="318" t="str">
        <f t="shared" si="12"/>
        <v>nov</v>
      </c>
      <c r="P69" s="159"/>
    </row>
    <row r="70" spans="3:16" outlineLevel="1" x14ac:dyDescent="0.25">
      <c r="C70" s="123" t="str">
        <f>+Profitability!C71</f>
        <v>nov</v>
      </c>
      <c r="D70" s="366">
        <f>DAY(Profitability!D71)</f>
        <v>18</v>
      </c>
      <c r="E70" s="123" t="str">
        <f>+Profitability!E71</f>
        <v>lunes</v>
      </c>
      <c r="F70" s="9">
        <v>0</v>
      </c>
      <c r="G70" s="9">
        <f>'PE (2)'!$K$9</f>
        <v>186333.33333333334</v>
      </c>
      <c r="H70" s="46">
        <f t="shared" ref="H70:H76" si="21">+F70*60%</f>
        <v>0</v>
      </c>
      <c r="I70" s="46">
        <f t="shared" ref="I70:I76" si="22">+G70+H70</f>
        <v>186333.33333333334</v>
      </c>
      <c r="J70" s="318">
        <f t="shared" ref="J70:J76" si="23">+F70-I70</f>
        <v>-186333.33333333334</v>
      </c>
      <c r="K70" s="320">
        <f t="shared" ref="K70:K74" si="24">+J70</f>
        <v>-186333.33333333334</v>
      </c>
      <c r="L70" s="123" t="str">
        <f t="shared" ref="L70:L76" si="25">+E70</f>
        <v>lunes</v>
      </c>
      <c r="M70" s="318">
        <f t="shared" ref="M70:M76" si="26">+F70-G70</f>
        <v>-186333.33333333334</v>
      </c>
      <c r="N70" s="318" t="str">
        <f t="shared" ref="N70:N76" si="27">+C70</f>
        <v>nov</v>
      </c>
      <c r="P70" s="159"/>
    </row>
    <row r="71" spans="3:16" outlineLevel="1" x14ac:dyDescent="0.25">
      <c r="C71" s="123" t="str">
        <f>+Profitability!C72</f>
        <v>nov</v>
      </c>
      <c r="D71" s="366">
        <f>DAY(Profitability!D72)</f>
        <v>19</v>
      </c>
      <c r="E71" s="123" t="str">
        <f>+Profitability!E72</f>
        <v>martes</v>
      </c>
      <c r="F71" s="9">
        <v>0</v>
      </c>
      <c r="G71" s="9">
        <f>'PE (2)'!$K$9</f>
        <v>186333.33333333334</v>
      </c>
      <c r="H71" s="46">
        <f t="shared" si="21"/>
        <v>0</v>
      </c>
      <c r="I71" s="46">
        <f t="shared" si="22"/>
        <v>186333.33333333334</v>
      </c>
      <c r="J71" s="318">
        <f t="shared" si="23"/>
        <v>-186333.33333333334</v>
      </c>
      <c r="K71" s="320">
        <f t="shared" si="24"/>
        <v>-186333.33333333334</v>
      </c>
      <c r="L71" s="123" t="str">
        <f t="shared" si="25"/>
        <v>martes</v>
      </c>
      <c r="M71" s="318">
        <f t="shared" si="26"/>
        <v>-186333.33333333334</v>
      </c>
      <c r="N71" s="318" t="str">
        <f t="shared" si="27"/>
        <v>nov</v>
      </c>
      <c r="P71" s="159"/>
    </row>
    <row r="72" spans="3:16" outlineLevel="1" x14ac:dyDescent="0.25">
      <c r="C72" s="123" t="str">
        <f>+Profitability!C73</f>
        <v>nov</v>
      </c>
      <c r="D72" s="366">
        <f>DAY(Profitability!D73)</f>
        <v>20</v>
      </c>
      <c r="E72" s="123" t="str">
        <f>+Profitability!E73</f>
        <v>miércoles</v>
      </c>
      <c r="F72" s="9">
        <v>0</v>
      </c>
      <c r="G72" s="9">
        <f>'PE (2)'!$K$9</f>
        <v>186333.33333333334</v>
      </c>
      <c r="H72" s="46">
        <f t="shared" si="21"/>
        <v>0</v>
      </c>
      <c r="I72" s="46">
        <f t="shared" si="22"/>
        <v>186333.33333333334</v>
      </c>
      <c r="J72" s="318">
        <f t="shared" si="23"/>
        <v>-186333.33333333334</v>
      </c>
      <c r="K72" s="320">
        <f t="shared" si="24"/>
        <v>-186333.33333333334</v>
      </c>
      <c r="L72" s="123" t="str">
        <f t="shared" si="25"/>
        <v>miércoles</v>
      </c>
      <c r="M72" s="318">
        <f t="shared" si="26"/>
        <v>-186333.33333333334</v>
      </c>
      <c r="N72" s="318" t="str">
        <f t="shared" si="27"/>
        <v>nov</v>
      </c>
      <c r="P72" s="159"/>
    </row>
    <row r="73" spans="3:16" outlineLevel="1" x14ac:dyDescent="0.25">
      <c r="C73" s="123" t="str">
        <f>+Profitability!C74</f>
        <v>nov</v>
      </c>
      <c r="D73" s="366">
        <f>DAY(Profitability!D74)</f>
        <v>21</v>
      </c>
      <c r="E73" s="123" t="str">
        <f>+Profitability!E74</f>
        <v>jueves</v>
      </c>
      <c r="F73" s="9">
        <v>0</v>
      </c>
      <c r="G73" s="9">
        <f>'PE (2)'!$K$9</f>
        <v>186333.33333333334</v>
      </c>
      <c r="H73" s="46">
        <f t="shared" si="21"/>
        <v>0</v>
      </c>
      <c r="I73" s="46">
        <f t="shared" si="22"/>
        <v>186333.33333333334</v>
      </c>
      <c r="J73" s="318">
        <f t="shared" si="23"/>
        <v>-186333.33333333334</v>
      </c>
      <c r="K73" s="320">
        <f t="shared" si="24"/>
        <v>-186333.33333333334</v>
      </c>
      <c r="L73" s="123" t="str">
        <f t="shared" si="25"/>
        <v>jueves</v>
      </c>
      <c r="M73" s="318">
        <f t="shared" si="26"/>
        <v>-186333.33333333334</v>
      </c>
      <c r="N73" s="318" t="str">
        <f t="shared" si="27"/>
        <v>nov</v>
      </c>
      <c r="P73" s="159"/>
    </row>
    <row r="74" spans="3:16" outlineLevel="1" x14ac:dyDescent="0.25">
      <c r="C74" s="123" t="str">
        <f>+Profitability!C75</f>
        <v>nov</v>
      </c>
      <c r="D74" s="366">
        <f>DAY(Profitability!D75)</f>
        <v>22</v>
      </c>
      <c r="E74" s="123" t="str">
        <f>+Profitability!E75</f>
        <v>viernes</v>
      </c>
      <c r="F74" s="9">
        <f>+Profitability!F75</f>
        <v>186000</v>
      </c>
      <c r="G74" s="9">
        <f>'PE (2)'!$K$9</f>
        <v>186333.33333333334</v>
      </c>
      <c r="H74" s="46">
        <f t="shared" si="21"/>
        <v>111600</v>
      </c>
      <c r="I74" s="46">
        <f t="shared" si="22"/>
        <v>297933.33333333337</v>
      </c>
      <c r="J74" s="318">
        <f t="shared" si="23"/>
        <v>-111933.33333333337</v>
      </c>
      <c r="K74" s="320">
        <f t="shared" si="24"/>
        <v>-111933.33333333337</v>
      </c>
      <c r="L74" s="123" t="str">
        <f t="shared" si="25"/>
        <v>viernes</v>
      </c>
      <c r="M74" s="318">
        <f t="shared" si="26"/>
        <v>-333.33333333334303</v>
      </c>
      <c r="N74" s="318" t="str">
        <f t="shared" si="27"/>
        <v>nov</v>
      </c>
      <c r="P74" s="159"/>
    </row>
    <row r="75" spans="3:16" outlineLevel="1" x14ac:dyDescent="0.25">
      <c r="C75" s="123" t="str">
        <f>+Profitability!C76</f>
        <v>nov</v>
      </c>
      <c r="D75" s="366">
        <f>DAY(Profitability!D76)</f>
        <v>23</v>
      </c>
      <c r="E75" s="123" t="str">
        <f>+Profitability!E76</f>
        <v>sábado</v>
      </c>
      <c r="F75" s="9">
        <f>+Profitability!F76</f>
        <v>587500</v>
      </c>
      <c r="G75" s="9">
        <f>'PE (2)'!$K$9</f>
        <v>186333.33333333334</v>
      </c>
      <c r="H75" s="46">
        <f t="shared" si="21"/>
        <v>352500</v>
      </c>
      <c r="I75" s="46">
        <f t="shared" si="22"/>
        <v>538833.33333333337</v>
      </c>
      <c r="J75" s="318">
        <f t="shared" si="23"/>
        <v>48666.666666666628</v>
      </c>
      <c r="K75" s="320">
        <f>+J75</f>
        <v>48666.666666666628</v>
      </c>
      <c r="L75" s="123" t="str">
        <f t="shared" si="25"/>
        <v>sábado</v>
      </c>
      <c r="M75" s="318">
        <f t="shared" si="26"/>
        <v>401166.66666666663</v>
      </c>
      <c r="N75" s="318" t="str">
        <f t="shared" si="27"/>
        <v>nov</v>
      </c>
      <c r="P75" s="159"/>
    </row>
    <row r="76" spans="3:16" outlineLevel="1" x14ac:dyDescent="0.25">
      <c r="C76" s="123" t="str">
        <f>+Profitability!C77</f>
        <v>nov</v>
      </c>
      <c r="D76" s="366">
        <f>DAY(Profitability!D77)</f>
        <v>24</v>
      </c>
      <c r="E76" s="123" t="str">
        <f>+Profitability!E77</f>
        <v>domingo</v>
      </c>
      <c r="F76" s="9">
        <f>+Profitability!F77</f>
        <v>960000</v>
      </c>
      <c r="G76" s="9">
        <f>'PE (2)'!$K$9</f>
        <v>186333.33333333334</v>
      </c>
      <c r="H76" s="46">
        <f t="shared" si="21"/>
        <v>576000</v>
      </c>
      <c r="I76" s="46">
        <f t="shared" si="22"/>
        <v>762333.33333333337</v>
      </c>
      <c r="J76" s="318">
        <f t="shared" si="23"/>
        <v>197666.66666666663</v>
      </c>
      <c r="K76" s="320">
        <f>+J76</f>
        <v>197666.66666666663</v>
      </c>
      <c r="L76" s="123" t="str">
        <f t="shared" si="25"/>
        <v>domingo</v>
      </c>
      <c r="M76" s="318">
        <f t="shared" si="26"/>
        <v>773666.66666666663</v>
      </c>
      <c r="N76" s="318" t="str">
        <f t="shared" si="27"/>
        <v>nov</v>
      </c>
      <c r="P76" s="159"/>
    </row>
    <row r="77" spans="3:16" outlineLevel="1" x14ac:dyDescent="0.25">
      <c r="C77" s="123" t="str">
        <f>+Profitability!C78</f>
        <v>nov</v>
      </c>
      <c r="D77" s="366">
        <f>DAY(Profitability!D78)</f>
        <v>25</v>
      </c>
      <c r="E77" s="123" t="str">
        <f>+Profitability!E78</f>
        <v>lunes</v>
      </c>
      <c r="F77" s="9">
        <v>0</v>
      </c>
      <c r="G77" s="9">
        <f>'PE (2)'!$K$9</f>
        <v>186333.33333333334</v>
      </c>
      <c r="H77" s="46">
        <f t="shared" ref="H77:H82" si="28">+F77*60%</f>
        <v>0</v>
      </c>
      <c r="I77" s="46">
        <f t="shared" ref="I77:I82" si="29">+G77+H77</f>
        <v>186333.33333333334</v>
      </c>
      <c r="J77" s="318">
        <f t="shared" ref="J77:J82" si="30">+F77-I77</f>
        <v>-186333.33333333334</v>
      </c>
      <c r="K77" s="320">
        <f t="shared" ref="K77:K82" si="31">+J77</f>
        <v>-186333.33333333334</v>
      </c>
      <c r="L77" s="123" t="str">
        <f t="shared" ref="L77:L82" si="32">+E77</f>
        <v>lunes</v>
      </c>
      <c r="M77" s="318">
        <f t="shared" ref="M77:M82" si="33">+F77-G77</f>
        <v>-186333.33333333334</v>
      </c>
      <c r="N77" s="318" t="str">
        <f t="shared" ref="N77:N82" si="34">+C77</f>
        <v>nov</v>
      </c>
      <c r="P77" s="159"/>
    </row>
    <row r="78" spans="3:16" outlineLevel="1" x14ac:dyDescent="0.25">
      <c r="C78" s="123" t="str">
        <f>+Profitability!C79</f>
        <v>nov</v>
      </c>
      <c r="D78" s="366">
        <f>DAY(Profitability!D79)</f>
        <v>26</v>
      </c>
      <c r="E78" s="123" t="str">
        <f>+Profitability!E79</f>
        <v>martes</v>
      </c>
      <c r="F78" s="9">
        <v>0</v>
      </c>
      <c r="G78" s="9">
        <f>'PE (2)'!$K$9</f>
        <v>186333.33333333334</v>
      </c>
      <c r="H78" s="46">
        <f t="shared" si="28"/>
        <v>0</v>
      </c>
      <c r="I78" s="46">
        <f t="shared" si="29"/>
        <v>186333.33333333334</v>
      </c>
      <c r="J78" s="318">
        <f t="shared" si="30"/>
        <v>-186333.33333333334</v>
      </c>
      <c r="K78" s="320">
        <f t="shared" si="31"/>
        <v>-186333.33333333334</v>
      </c>
      <c r="L78" s="123" t="str">
        <f t="shared" si="32"/>
        <v>martes</v>
      </c>
      <c r="M78" s="318">
        <f t="shared" si="33"/>
        <v>-186333.33333333334</v>
      </c>
      <c r="N78" s="318" t="str">
        <f t="shared" si="34"/>
        <v>nov</v>
      </c>
      <c r="P78" s="159"/>
    </row>
    <row r="79" spans="3:16" x14ac:dyDescent="0.25">
      <c r="C79" s="123" t="str">
        <f>+Profitability!C80</f>
        <v>nov</v>
      </c>
      <c r="D79" s="366">
        <f>DAY(Profitability!D80)</f>
        <v>27</v>
      </c>
      <c r="E79" s="123" t="str">
        <f>+Profitability!E80</f>
        <v>miércoles</v>
      </c>
      <c r="F79" s="9">
        <v>0</v>
      </c>
      <c r="G79" s="9">
        <f>'PE (2)'!$K$9</f>
        <v>186333.33333333334</v>
      </c>
      <c r="H79" s="46">
        <f t="shared" si="28"/>
        <v>0</v>
      </c>
      <c r="I79" s="46">
        <f t="shared" si="29"/>
        <v>186333.33333333334</v>
      </c>
      <c r="J79" s="318">
        <f t="shared" si="30"/>
        <v>-186333.33333333334</v>
      </c>
      <c r="K79" s="320">
        <f t="shared" si="31"/>
        <v>-186333.33333333334</v>
      </c>
      <c r="L79" s="123" t="str">
        <f t="shared" si="32"/>
        <v>miércoles</v>
      </c>
      <c r="M79" s="318">
        <f t="shared" si="33"/>
        <v>-186333.33333333334</v>
      </c>
      <c r="N79" s="318" t="str">
        <f t="shared" si="34"/>
        <v>nov</v>
      </c>
      <c r="P79" s="159"/>
    </row>
    <row r="80" spans="3:16" x14ac:dyDescent="0.25">
      <c r="C80" s="123" t="str">
        <f>+Profitability!C81</f>
        <v>nov</v>
      </c>
      <c r="D80" s="366">
        <f>DAY(Profitability!D81)</f>
        <v>28</v>
      </c>
      <c r="E80" s="123" t="str">
        <f>+Profitability!E81</f>
        <v>jueves</v>
      </c>
      <c r="F80" s="9">
        <v>0</v>
      </c>
      <c r="G80" s="9">
        <f>'PE (2)'!$K$9</f>
        <v>186333.33333333334</v>
      </c>
      <c r="H80" s="46">
        <f t="shared" si="28"/>
        <v>0</v>
      </c>
      <c r="I80" s="46">
        <f t="shared" si="29"/>
        <v>186333.33333333334</v>
      </c>
      <c r="J80" s="318">
        <f t="shared" si="30"/>
        <v>-186333.33333333334</v>
      </c>
      <c r="K80" s="320">
        <f t="shared" si="31"/>
        <v>-186333.33333333334</v>
      </c>
      <c r="L80" s="123" t="str">
        <f t="shared" si="32"/>
        <v>jueves</v>
      </c>
      <c r="M80" s="318">
        <f t="shared" si="33"/>
        <v>-186333.33333333334</v>
      </c>
      <c r="N80" s="318" t="str">
        <f t="shared" si="34"/>
        <v>nov</v>
      </c>
      <c r="P80" s="159"/>
    </row>
    <row r="81" spans="3:16" x14ac:dyDescent="0.25">
      <c r="C81" s="123" t="str">
        <f>+Profitability!C82</f>
        <v>nov</v>
      </c>
      <c r="D81" s="366">
        <f>DAY(Profitability!D82)</f>
        <v>29</v>
      </c>
      <c r="E81" s="123" t="str">
        <f>+Profitability!E82</f>
        <v>viernes</v>
      </c>
      <c r="F81" s="9">
        <f>+Profitability!F82</f>
        <v>400000</v>
      </c>
      <c r="G81" s="9">
        <f>'PE (2)'!$K$9</f>
        <v>186333.33333333334</v>
      </c>
      <c r="H81" s="46">
        <f t="shared" si="28"/>
        <v>240000</v>
      </c>
      <c r="I81" s="46">
        <f t="shared" si="29"/>
        <v>426333.33333333337</v>
      </c>
      <c r="J81" s="318">
        <f t="shared" si="30"/>
        <v>-26333.333333333372</v>
      </c>
      <c r="K81" s="320">
        <f t="shared" si="31"/>
        <v>-26333.333333333372</v>
      </c>
      <c r="L81" s="123" t="str">
        <f t="shared" si="32"/>
        <v>viernes</v>
      </c>
      <c r="M81" s="318">
        <f t="shared" si="33"/>
        <v>213666.66666666666</v>
      </c>
      <c r="N81" s="318" t="str">
        <f t="shared" si="34"/>
        <v>nov</v>
      </c>
      <c r="P81" s="159"/>
    </row>
    <row r="82" spans="3:16" x14ac:dyDescent="0.25">
      <c r="C82" s="123" t="str">
        <f>+Profitability!C83</f>
        <v>nov</v>
      </c>
      <c r="D82" s="366">
        <f>DAY(Profitability!D83)</f>
        <v>30</v>
      </c>
      <c r="E82" s="123" t="str">
        <f>+Profitability!E83</f>
        <v>sábado</v>
      </c>
      <c r="F82" s="9">
        <f>+Profitability!F83</f>
        <v>900000</v>
      </c>
      <c r="G82" s="9">
        <f>'PE (2)'!$K$9</f>
        <v>186333.33333333334</v>
      </c>
      <c r="H82" s="46">
        <f t="shared" si="28"/>
        <v>540000</v>
      </c>
      <c r="I82" s="46">
        <f t="shared" si="29"/>
        <v>726333.33333333337</v>
      </c>
      <c r="J82" s="318">
        <f t="shared" si="30"/>
        <v>173666.66666666663</v>
      </c>
      <c r="K82" s="320">
        <f t="shared" si="31"/>
        <v>173666.66666666663</v>
      </c>
      <c r="L82" s="123" t="str">
        <f t="shared" si="32"/>
        <v>sábado</v>
      </c>
      <c r="M82" s="318">
        <f t="shared" si="33"/>
        <v>713666.66666666663</v>
      </c>
      <c r="N82" s="318" t="str">
        <f t="shared" si="34"/>
        <v>nov</v>
      </c>
    </row>
    <row r="83" spans="3:16" x14ac:dyDescent="0.25">
      <c r="C83" s="123"/>
      <c r="D83" s="366"/>
      <c r="E83" s="123"/>
      <c r="G83" s="9"/>
      <c r="H83" s="46"/>
      <c r="I83" s="46"/>
      <c r="K83" s="320"/>
      <c r="L83" s="123"/>
      <c r="M83" s="318"/>
      <c r="N83" s="318"/>
    </row>
    <row r="84" spans="3:16" x14ac:dyDescent="0.25">
      <c r="C84" s="123"/>
      <c r="D84" s="366"/>
      <c r="E84" s="123"/>
      <c r="G84" s="9"/>
      <c r="H84" s="46"/>
      <c r="I84" s="46"/>
      <c r="K84" s="320"/>
      <c r="L84" s="123"/>
      <c r="M84" s="318"/>
      <c r="N84" s="318"/>
    </row>
    <row r="85" spans="3:16" x14ac:dyDescent="0.25">
      <c r="C85" s="123"/>
      <c r="D85" s="366"/>
      <c r="E85" s="123"/>
      <c r="G85" s="9"/>
      <c r="H85" s="46"/>
      <c r="I85" s="46"/>
      <c r="K85" s="320"/>
      <c r="L85" s="123"/>
      <c r="M85" s="318"/>
      <c r="N85" s="318"/>
    </row>
    <row r="86" spans="3:16" x14ac:dyDescent="0.25">
      <c r="C86" s="123"/>
      <c r="D86" s="366"/>
      <c r="E86" s="123"/>
      <c r="G86" s="9"/>
      <c r="H86" s="46"/>
      <c r="I86" s="46"/>
      <c r="K86" s="320"/>
      <c r="L86" s="123"/>
      <c r="M86" s="318"/>
      <c r="N86" s="318"/>
    </row>
    <row r="87" spans="3:16" x14ac:dyDescent="0.25">
      <c r="C87" s="123"/>
      <c r="D87" s="366"/>
      <c r="E87" s="123"/>
      <c r="G87" s="9"/>
      <c r="H87" s="46"/>
      <c r="I87" s="46"/>
      <c r="K87" s="320"/>
      <c r="L87" s="123"/>
      <c r="M87" s="318"/>
      <c r="N87" s="318"/>
    </row>
    <row r="88" spans="3:16" x14ac:dyDescent="0.25">
      <c r="C88" s="123"/>
      <c r="D88" s="366"/>
      <c r="E88" s="123"/>
      <c r="G88" s="9"/>
      <c r="H88" s="46"/>
      <c r="I88" s="46"/>
      <c r="K88" s="320"/>
      <c r="L88" s="123"/>
      <c r="M88" s="318"/>
      <c r="N88" s="318"/>
    </row>
    <row r="89" spans="3:16" x14ac:dyDescent="0.25">
      <c r="C89" s="123"/>
      <c r="D89" s="366"/>
      <c r="E89" s="123"/>
      <c r="G89" s="9"/>
      <c r="H89" s="46"/>
      <c r="I89" s="46"/>
      <c r="K89" s="320"/>
      <c r="L89" s="123"/>
      <c r="M89" s="318"/>
      <c r="N89" s="318"/>
    </row>
    <row r="90" spans="3:16" x14ac:dyDescent="0.25">
      <c r="C90" s="123"/>
      <c r="D90" s="366"/>
      <c r="E90" s="123"/>
      <c r="G90" s="9"/>
      <c r="H90" s="46"/>
      <c r="I90" s="46"/>
      <c r="K90" s="320"/>
      <c r="L90" s="123"/>
      <c r="M90" s="318"/>
      <c r="N90" s="318"/>
    </row>
    <row r="91" spans="3:16" x14ac:dyDescent="0.25">
      <c r="D91"/>
      <c r="E91"/>
      <c r="M91" s="318"/>
      <c r="N91" s="318"/>
    </row>
    <row r="92" spans="3:16" x14ac:dyDescent="0.25">
      <c r="D92"/>
      <c r="E92"/>
      <c r="M92" s="318"/>
      <c r="N92" s="318"/>
    </row>
    <row r="93" spans="3:16" x14ac:dyDescent="0.25">
      <c r="D93"/>
      <c r="E93"/>
      <c r="M93" s="318"/>
      <c r="N93" s="318"/>
    </row>
    <row r="94" spans="3:16" x14ac:dyDescent="0.25">
      <c r="D94"/>
      <c r="E94"/>
      <c r="M94" s="318"/>
      <c r="N94" s="318"/>
    </row>
    <row r="95" spans="3:16" x14ac:dyDescent="0.25">
      <c r="D95"/>
      <c r="E95"/>
      <c r="M95" s="318"/>
      <c r="N95" s="318"/>
    </row>
    <row r="96" spans="3:16" x14ac:dyDescent="0.25">
      <c r="D96"/>
      <c r="E96"/>
      <c r="M96" s="318"/>
      <c r="N96" s="318"/>
    </row>
    <row r="97" spans="4:14" x14ac:dyDescent="0.25">
      <c r="D97"/>
      <c r="E97"/>
      <c r="M97" s="318"/>
      <c r="N97" s="318"/>
    </row>
    <row r="98" spans="4:14" x14ac:dyDescent="0.25">
      <c r="D98"/>
      <c r="E98"/>
      <c r="M98" s="318"/>
      <c r="N98" s="318"/>
    </row>
    <row r="99" spans="4:14" x14ac:dyDescent="0.25">
      <c r="D99"/>
      <c r="E99"/>
      <c r="M99" s="318"/>
      <c r="N99" s="318"/>
    </row>
    <row r="100" spans="4:14" x14ac:dyDescent="0.25">
      <c r="D100"/>
      <c r="E100"/>
      <c r="M100" s="318"/>
      <c r="N100" s="318"/>
    </row>
    <row r="101" spans="4:14" x14ac:dyDescent="0.25">
      <c r="D101"/>
      <c r="E101"/>
      <c r="M101" s="318"/>
      <c r="N101" s="318"/>
    </row>
    <row r="102" spans="4:14" x14ac:dyDescent="0.25">
      <c r="D102"/>
      <c r="E102"/>
      <c r="M102" s="318"/>
      <c r="N102" s="318"/>
    </row>
    <row r="103" spans="4:14" x14ac:dyDescent="0.25">
      <c r="D103"/>
      <c r="E103"/>
      <c r="M103" s="318"/>
      <c r="N103" s="318"/>
    </row>
    <row r="104" spans="4:14" x14ac:dyDescent="0.25">
      <c r="D104"/>
      <c r="E104"/>
      <c r="M104" s="318"/>
      <c r="N104" s="318"/>
    </row>
    <row r="105" spans="4:14" x14ac:dyDescent="0.25">
      <c r="D105"/>
      <c r="E105"/>
      <c r="M105" s="318"/>
      <c r="N105" s="318"/>
    </row>
    <row r="106" spans="4:14" x14ac:dyDescent="0.25">
      <c r="D106"/>
      <c r="E106"/>
      <c r="M106" s="318"/>
      <c r="N106" s="318"/>
    </row>
    <row r="107" spans="4:14" x14ac:dyDescent="0.25">
      <c r="D107"/>
      <c r="E107"/>
      <c r="M107" s="318"/>
      <c r="N107" s="318"/>
    </row>
    <row r="108" spans="4:14" x14ac:dyDescent="0.25">
      <c r="D108"/>
      <c r="E108"/>
      <c r="M108" s="318"/>
      <c r="N108" s="318"/>
    </row>
    <row r="109" spans="4:14" x14ac:dyDescent="0.25">
      <c r="D109"/>
      <c r="E109"/>
      <c r="M109" s="318"/>
      <c r="N109" s="318"/>
    </row>
    <row r="110" spans="4:14" x14ac:dyDescent="0.25">
      <c r="D110"/>
      <c r="E110"/>
      <c r="M110" s="318"/>
      <c r="N110" s="318"/>
    </row>
    <row r="111" spans="4:14" x14ac:dyDescent="0.25">
      <c r="D111"/>
      <c r="E111"/>
      <c r="M111" s="318"/>
      <c r="N111" s="318"/>
    </row>
    <row r="112" spans="4:14" x14ac:dyDescent="0.25">
      <c r="D112"/>
      <c r="E112"/>
      <c r="M112" s="318"/>
      <c r="N112" s="318"/>
    </row>
    <row r="113" spans="4:14" x14ac:dyDescent="0.25">
      <c r="D113"/>
      <c r="E113"/>
      <c r="M113" s="318"/>
      <c r="N113" s="318"/>
    </row>
    <row r="114" spans="4:14" x14ac:dyDescent="0.25">
      <c r="D114"/>
      <c r="E114"/>
      <c r="M114" s="318"/>
      <c r="N114" s="318"/>
    </row>
    <row r="115" spans="4:14" x14ac:dyDescent="0.25">
      <c r="D115"/>
      <c r="E115"/>
      <c r="M115" s="318"/>
      <c r="N115" s="318"/>
    </row>
    <row r="116" spans="4:14" x14ac:dyDescent="0.25">
      <c r="D116"/>
      <c r="E116"/>
      <c r="M116" s="318"/>
      <c r="N116" s="318"/>
    </row>
    <row r="117" spans="4:14" x14ac:dyDescent="0.25">
      <c r="D117"/>
      <c r="E117"/>
      <c r="M117" s="318"/>
      <c r="N117" s="318"/>
    </row>
    <row r="118" spans="4:14" x14ac:dyDescent="0.25">
      <c r="D118"/>
      <c r="E118"/>
      <c r="M118" s="318"/>
      <c r="N118" s="318"/>
    </row>
    <row r="119" spans="4:14" x14ac:dyDescent="0.25">
      <c r="D119"/>
      <c r="E119"/>
      <c r="M119" s="318"/>
      <c r="N119" s="318"/>
    </row>
    <row r="120" spans="4:14" x14ac:dyDescent="0.25">
      <c r="D120"/>
      <c r="E120"/>
      <c r="M120" s="318"/>
      <c r="N120" s="318"/>
    </row>
    <row r="121" spans="4:14" x14ac:dyDescent="0.25">
      <c r="D121"/>
      <c r="E121"/>
      <c r="M121" s="318"/>
      <c r="N121" s="318"/>
    </row>
    <row r="122" spans="4:14" x14ac:dyDescent="0.25">
      <c r="D122"/>
      <c r="E122"/>
      <c r="M122" s="318"/>
      <c r="N122" s="318"/>
    </row>
    <row r="123" spans="4:14" x14ac:dyDescent="0.25">
      <c r="D123"/>
      <c r="E123"/>
      <c r="M123" s="318"/>
      <c r="N123" s="318"/>
    </row>
    <row r="124" spans="4:14" x14ac:dyDescent="0.25">
      <c r="D124"/>
      <c r="E124"/>
      <c r="M124" s="318"/>
      <c r="N124" s="318"/>
    </row>
    <row r="125" spans="4:14" x14ac:dyDescent="0.25">
      <c r="D125"/>
      <c r="E125"/>
      <c r="M125" s="318"/>
      <c r="N125" s="318"/>
    </row>
    <row r="126" spans="4:14" x14ac:dyDescent="0.25">
      <c r="D126"/>
      <c r="E126"/>
      <c r="M126" s="318"/>
      <c r="N126" s="318"/>
    </row>
    <row r="127" spans="4:14" x14ac:dyDescent="0.25">
      <c r="D127"/>
      <c r="E127"/>
      <c r="M127" s="318"/>
      <c r="N127" s="318"/>
    </row>
    <row r="128" spans="4:14" x14ac:dyDescent="0.25">
      <c r="D128"/>
      <c r="E128"/>
      <c r="M128" s="318"/>
      <c r="N128" s="318"/>
    </row>
    <row r="129" spans="4:14" x14ac:dyDescent="0.25">
      <c r="D129"/>
      <c r="E129"/>
      <c r="M129" s="318"/>
      <c r="N129" s="318"/>
    </row>
    <row r="130" spans="4:14" x14ac:dyDescent="0.25">
      <c r="D130"/>
      <c r="E130"/>
      <c r="M130" s="318"/>
      <c r="N130" s="318"/>
    </row>
    <row r="131" spans="4:14" x14ac:dyDescent="0.25">
      <c r="D131"/>
      <c r="E131"/>
      <c r="M131" s="318"/>
      <c r="N131" s="318"/>
    </row>
    <row r="132" spans="4:14" x14ac:dyDescent="0.25">
      <c r="D132"/>
      <c r="E132"/>
      <c r="M132" s="318"/>
      <c r="N132" s="318"/>
    </row>
    <row r="133" spans="4:14" x14ac:dyDescent="0.25">
      <c r="D133"/>
      <c r="E133"/>
      <c r="M133" s="318"/>
      <c r="N133" s="318"/>
    </row>
    <row r="134" spans="4:14" x14ac:dyDescent="0.25">
      <c r="D134"/>
      <c r="E134"/>
      <c r="M134" s="318"/>
      <c r="N134" s="318"/>
    </row>
    <row r="135" spans="4:14" x14ac:dyDescent="0.25">
      <c r="D135"/>
      <c r="E135"/>
      <c r="M135" s="318"/>
      <c r="N135" s="318"/>
    </row>
    <row r="136" spans="4:14" x14ac:dyDescent="0.25">
      <c r="D136"/>
      <c r="E136"/>
      <c r="M136" s="318"/>
      <c r="N136" s="318"/>
    </row>
    <row r="137" spans="4:14" x14ac:dyDescent="0.25">
      <c r="D137"/>
      <c r="E137"/>
      <c r="M137" s="318"/>
      <c r="N137" s="318"/>
    </row>
    <row r="138" spans="4:14" x14ac:dyDescent="0.25">
      <c r="D138"/>
      <c r="E138"/>
      <c r="M138" s="318"/>
      <c r="N138" s="318"/>
    </row>
    <row r="139" spans="4:14" x14ac:dyDescent="0.25">
      <c r="D139"/>
      <c r="E139"/>
      <c r="M139" s="318"/>
      <c r="N139" s="318"/>
    </row>
    <row r="140" spans="4:14" x14ac:dyDescent="0.25">
      <c r="D140"/>
      <c r="E140"/>
      <c r="M140" s="318"/>
      <c r="N140" s="318"/>
    </row>
    <row r="141" spans="4:14" x14ac:dyDescent="0.25">
      <c r="D141"/>
      <c r="E141"/>
      <c r="M141" s="318"/>
      <c r="N141" s="318"/>
    </row>
    <row r="142" spans="4:14" x14ac:dyDescent="0.25">
      <c r="D142"/>
      <c r="E142"/>
      <c r="M142" s="318"/>
      <c r="N142" s="318"/>
    </row>
    <row r="143" spans="4:14" x14ac:dyDescent="0.25">
      <c r="D143"/>
      <c r="E143"/>
      <c r="M143" s="318"/>
      <c r="N143" s="318"/>
    </row>
    <row r="144" spans="4:14" x14ac:dyDescent="0.25">
      <c r="D144"/>
      <c r="E144"/>
      <c r="M144" s="318"/>
      <c r="N144" s="318"/>
    </row>
    <row r="145" spans="4:14" x14ac:dyDescent="0.25">
      <c r="D145"/>
      <c r="E145"/>
      <c r="M145" s="318"/>
      <c r="N145" s="318"/>
    </row>
    <row r="146" spans="4:14" x14ac:dyDescent="0.25">
      <c r="D146"/>
      <c r="E146"/>
      <c r="M146" s="318"/>
      <c r="N146" s="318"/>
    </row>
    <row r="147" spans="4:14" x14ac:dyDescent="0.25">
      <c r="D147"/>
      <c r="E147"/>
      <c r="M147" s="318"/>
      <c r="N147" s="318"/>
    </row>
    <row r="148" spans="4:14" x14ac:dyDescent="0.25">
      <c r="D148"/>
      <c r="E148"/>
      <c r="M148" s="318"/>
      <c r="N148" s="318"/>
    </row>
    <row r="149" spans="4:14" x14ac:dyDescent="0.25">
      <c r="D149"/>
      <c r="E149"/>
      <c r="M149" s="318"/>
      <c r="N149" s="318"/>
    </row>
    <row r="150" spans="4:14" x14ac:dyDescent="0.25">
      <c r="D150"/>
      <c r="E150"/>
      <c r="M150" s="318"/>
      <c r="N150" s="318"/>
    </row>
    <row r="151" spans="4:14" x14ac:dyDescent="0.25">
      <c r="D151"/>
      <c r="E151"/>
      <c r="M151" s="318"/>
      <c r="N151" s="318"/>
    </row>
    <row r="152" spans="4:14" x14ac:dyDescent="0.25">
      <c r="D152"/>
      <c r="E152"/>
      <c r="M152" s="318"/>
      <c r="N152" s="318"/>
    </row>
  </sheetData>
  <autoFilter ref="C12:N76" xr:uid="{00000000-0009-0000-0000-000019000000}"/>
  <conditionalFormatting sqref="J12:J9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{74791466-5B59-48BD-B6BD-89A04B1A9CFB}</x14:id>
        </ext>
      </extLst>
    </cfRule>
  </conditionalFormatting>
  <conditionalFormatting sqref="K2:M2">
    <cfRule type="iconSet" priority="1">
      <iconSet>
        <cfvo type="percent" val="0"/>
        <cfvo type="num" val="-200000"/>
        <cfvo type="num" val="0" gte="0"/>
      </iconSet>
    </cfRule>
  </conditionalFormatting>
  <conditionalFormatting sqref="K3:M8">
    <cfRule type="iconSet" priority="6">
      <iconSet>
        <cfvo type="percent" val="0"/>
        <cfvo type="num" val="-200000"/>
        <cfvo type="num" val="0" gte="0"/>
      </iconSet>
    </cfRule>
  </conditionalFormatting>
  <conditionalFormatting sqref="M13:M9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{908C63B0-5B90-4A8D-9F64-441D6C433770}</x14:id>
        </ext>
      </extLst>
    </cfRule>
  </conditionalFormatting>
  <conditionalFormatting sqref="M70:N152 N13:N9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{C40A41E1-9735-4A54-961A-4BB4C00F94E1}</x14:id>
        </ext>
      </extLst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791466-5B59-48BD-B6BD-89A04B1A9C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J12:J90</xm:sqref>
        </x14:conditionalFormatting>
        <x14:conditionalFormatting xmlns:xm="http://schemas.microsoft.com/office/excel/2006/main">
          <x14:cfRule type="dataBar" id="{908C63B0-5B90-4A8D-9F64-441D6C4337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M13:M90</xm:sqref>
        </x14:conditionalFormatting>
        <x14:conditionalFormatting xmlns:xm="http://schemas.microsoft.com/office/excel/2006/main">
          <x14:cfRule type="dataBar" id="{C40A41E1-9735-4A54-961A-4BB4C00F9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M70:N152 N13:N90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B1:P151"/>
  <sheetViews>
    <sheetView workbookViewId="0"/>
  </sheetViews>
  <sheetFormatPr baseColWidth="10" defaultColWidth="11.42578125" defaultRowHeight="15" outlineLevelRow="1" outlineLevelCol="1" x14ac:dyDescent="0.25"/>
  <cols>
    <col min="1" max="1" width="4.42578125" customWidth="1"/>
    <col min="2" max="2" width="7.42578125" customWidth="1"/>
    <col min="3" max="3" width="9.42578125" bestFit="1" customWidth="1"/>
    <col min="4" max="4" width="14.5703125" style="47" bestFit="1" customWidth="1"/>
    <col min="5" max="5" width="12.5703125" style="47" bestFit="1" customWidth="1"/>
    <col min="6" max="6" width="12" style="9" bestFit="1" customWidth="1"/>
    <col min="7" max="7" width="17.85546875" style="46" bestFit="1" customWidth="1" outlineLevel="1"/>
    <col min="8" max="8" width="34.5703125" style="9" bestFit="1" customWidth="1" outlineLevel="1"/>
    <col min="9" max="9" width="17.85546875" style="9" customWidth="1"/>
    <col min="10" max="10" width="21.140625" style="318" bestFit="1" customWidth="1"/>
    <col min="11" max="11" width="19.42578125" customWidth="1"/>
    <col min="12" max="12" width="23" customWidth="1"/>
    <col min="13" max="13" width="23.85546875" customWidth="1"/>
    <col min="14" max="14" width="18" bestFit="1" customWidth="1"/>
    <col min="15" max="15" width="17.42578125" customWidth="1"/>
    <col min="16" max="21" width="15.7109375" customWidth="1"/>
    <col min="22" max="22" width="17.140625" customWidth="1"/>
    <col min="23" max="26" width="15.7109375" customWidth="1"/>
    <col min="27" max="27" width="17.140625" customWidth="1"/>
    <col min="28" max="28" width="15.7109375" customWidth="1"/>
    <col min="29" max="30" width="17.140625" customWidth="1"/>
    <col min="31" max="31" width="15.7109375" customWidth="1"/>
    <col min="32" max="32" width="15.28515625" customWidth="1"/>
    <col min="33" max="33" width="15.7109375" customWidth="1"/>
    <col min="34" max="37" width="15.7109375" bestFit="1" customWidth="1"/>
    <col min="38" max="38" width="17.140625" bestFit="1" customWidth="1"/>
    <col min="39" max="39" width="17.42578125" bestFit="1" customWidth="1"/>
    <col min="40" max="41" width="15.7109375" bestFit="1" customWidth="1"/>
    <col min="42" max="42" width="15.28515625" bestFit="1" customWidth="1"/>
    <col min="43" max="43" width="14.28515625" bestFit="1" customWidth="1"/>
    <col min="44" max="45" width="15.7109375" bestFit="1" customWidth="1"/>
    <col min="46" max="46" width="17.42578125" bestFit="1" customWidth="1"/>
    <col min="47" max="52" width="15.7109375" bestFit="1" customWidth="1"/>
    <col min="53" max="53" width="17.140625" bestFit="1" customWidth="1"/>
    <col min="54" max="57" width="15.7109375" bestFit="1" customWidth="1"/>
    <col min="58" max="58" width="17.42578125" bestFit="1" customWidth="1"/>
    <col min="59" max="59" width="15.7109375" bestFit="1" customWidth="1"/>
    <col min="60" max="60" width="17.42578125" bestFit="1" customWidth="1"/>
    <col min="61" max="64" width="15.7109375" bestFit="1" customWidth="1"/>
    <col min="65" max="65" width="18.85546875" bestFit="1" customWidth="1"/>
    <col min="66" max="66" width="15.7109375" bestFit="1" customWidth="1"/>
    <col min="67" max="67" width="15.28515625" bestFit="1" customWidth="1"/>
    <col min="68" max="68" width="15.7109375" bestFit="1" customWidth="1"/>
    <col min="69" max="72" width="15.28515625" bestFit="1" customWidth="1"/>
    <col min="73" max="73" width="15.7109375" bestFit="1" customWidth="1"/>
    <col min="74" max="74" width="14.85546875" bestFit="1" customWidth="1"/>
    <col min="75" max="75" width="17.42578125" bestFit="1" customWidth="1"/>
    <col min="16378" max="16384" width="2" customWidth="1"/>
  </cols>
  <sheetData>
    <row r="1" spans="2:16" x14ac:dyDescent="0.25">
      <c r="D1" s="158" t="s">
        <v>55</v>
      </c>
      <c r="E1"/>
      <c r="F1"/>
      <c r="J1" s="352"/>
      <c r="K1" s="349" t="s">
        <v>318</v>
      </c>
      <c r="L1" s="349" t="s">
        <v>319</v>
      </c>
      <c r="M1" s="349" t="s">
        <v>558</v>
      </c>
      <c r="N1" s="352" t="s">
        <v>614</v>
      </c>
    </row>
    <row r="2" spans="2:16" x14ac:dyDescent="0.25">
      <c r="D2" s="389" t="s">
        <v>318</v>
      </c>
      <c r="E2" s="389" t="s">
        <v>319</v>
      </c>
      <c r="F2" s="389" t="s">
        <v>558</v>
      </c>
      <c r="J2" s="349" t="s">
        <v>631</v>
      </c>
      <c r="K2" s="350">
        <f t="shared" ref="K2:M5" si="0">+SUMIFS($J$12:$J$81,$C$12:$C$81,K$1,$E$12:$E$81,$J2)</f>
        <v>0</v>
      </c>
      <c r="L2" s="350">
        <f t="shared" si="0"/>
        <v>-412642.84615384624</v>
      </c>
      <c r="M2" s="350">
        <f t="shared" si="0"/>
        <v>-361367.5</v>
      </c>
      <c r="N2" s="351">
        <f>+SUM(K2:M2)</f>
        <v>-774010.34615384624</v>
      </c>
    </row>
    <row r="3" spans="2:16" x14ac:dyDescent="0.25">
      <c r="C3" s="47" t="s">
        <v>607</v>
      </c>
      <c r="D3" s="145">
        <v>4055210</v>
      </c>
      <c r="E3" s="145">
        <v>17351500</v>
      </c>
      <c r="F3" s="235">
        <v>16752900</v>
      </c>
      <c r="J3" s="349" t="s">
        <v>336</v>
      </c>
      <c r="K3" s="350">
        <f t="shared" ref="K3:M4" si="1">+SUMIFS($J$12:$J$81,$C$12:$C$81,K$1,$E$12:$E$81,$J3)</f>
        <v>-467300</v>
      </c>
      <c r="L3" s="350">
        <f t="shared" si="1"/>
        <v>-1726671.384615385</v>
      </c>
      <c r="M3" s="350">
        <f t="shared" si="1"/>
        <v>-949367.5</v>
      </c>
      <c r="N3" s="351">
        <f>+SUM(K3:M3)</f>
        <v>-3143338.884615385</v>
      </c>
    </row>
    <row r="4" spans="2:16" ht="45" x14ac:dyDescent="0.25">
      <c r="B4" s="311">
        <v>0.4</v>
      </c>
      <c r="C4" s="307" t="s">
        <v>584</v>
      </c>
      <c r="D4" s="309">
        <f>OPEX!G27</f>
        <v>2920000</v>
      </c>
      <c r="E4" s="309" t="str">
        <f>OPEX!M22</f>
        <v>Mes</v>
      </c>
      <c r="F4"/>
      <c r="J4" s="349" t="s">
        <v>337</v>
      </c>
      <c r="K4" s="350">
        <f t="shared" si="1"/>
        <v>63200</v>
      </c>
      <c r="L4" s="350">
        <f t="shared" si="1"/>
        <v>-888771.38461538497</v>
      </c>
      <c r="M4" s="350">
        <f t="shared" si="1"/>
        <v>390632.5</v>
      </c>
      <c r="N4" s="351">
        <f>+SUM(K4:M4)</f>
        <v>-434938.88461538497</v>
      </c>
    </row>
    <row r="5" spans="2:16" ht="30" x14ac:dyDescent="0.25">
      <c r="B5" s="313">
        <v>0.6</v>
      </c>
      <c r="C5" s="310" t="s">
        <v>583</v>
      </c>
      <c r="D5" s="5" t="e">
        <f>OPEX!#REF!</f>
        <v>#REF!</v>
      </c>
      <c r="E5" s="5" t="e">
        <f>OPEX!#REF!</f>
        <v>#REF!</v>
      </c>
      <c r="F5"/>
      <c r="J5" s="349" t="s">
        <v>338</v>
      </c>
      <c r="K5" s="350">
        <f t="shared" si="0"/>
        <v>-546600</v>
      </c>
      <c r="L5" s="350">
        <f t="shared" si="0"/>
        <v>1241028.615384615</v>
      </c>
      <c r="M5" s="350">
        <f>+SUMIFS($J$12:$J$81,$C$12:$C$81,M$1,$E$12:$E$81,$J5)</f>
        <v>1728632.5</v>
      </c>
      <c r="N5" s="351">
        <f>+SUM(K5:M5)</f>
        <v>2423061.115384615</v>
      </c>
    </row>
    <row r="6" spans="2:16" ht="19.5" thickBot="1" x14ac:dyDescent="0.35">
      <c r="D6" s="146" t="e">
        <f>OPEX!#REF!</f>
        <v>#REF!</v>
      </c>
      <c r="E6" s="146" t="e">
        <f>OPEX!#REF!</f>
        <v>#REF!</v>
      </c>
      <c r="F6"/>
      <c r="J6" s="352" t="s">
        <v>614</v>
      </c>
      <c r="K6" s="351">
        <f>+SUM(K2:K5)</f>
        <v>-950700</v>
      </c>
      <c r="L6" s="351">
        <f>+SUM(L2:L5)</f>
        <v>-1787057.0000000009</v>
      </c>
      <c r="M6" s="351">
        <f>+SUM(M2:M5)</f>
        <v>808530</v>
      </c>
      <c r="N6" s="353">
        <f>+SUM(N2:N5)</f>
        <v>-1929227.0000000009</v>
      </c>
      <c r="O6" s="215">
        <f>+N6-'Profitability (2-Mensualizado)'!N9</f>
        <v>2152870.0000000014</v>
      </c>
    </row>
    <row r="7" spans="2:16" ht="15.75" thickTop="1" x14ac:dyDescent="0.25">
      <c r="D7" s="1" t="e">
        <f>+D3-D6</f>
        <v>#REF!</v>
      </c>
      <c r="E7" s="1" t="e">
        <f>+E3-E6</f>
        <v>#REF!</v>
      </c>
      <c r="F7"/>
    </row>
    <row r="8" spans="2:16" x14ac:dyDescent="0.25">
      <c r="F8"/>
      <c r="G8" s="1"/>
    </row>
    <row r="9" spans="2:16" x14ac:dyDescent="0.25">
      <c r="C9" s="158" t="s">
        <v>625</v>
      </c>
      <c r="D9" t="s">
        <v>624</v>
      </c>
      <c r="G9" s="9"/>
    </row>
    <row r="10" spans="2:16" x14ac:dyDescent="0.25">
      <c r="D10"/>
      <c r="G10" s="208">
        <f>+G12/I12</f>
        <v>0.64842958459979738</v>
      </c>
      <c r="H10" s="208">
        <f>+H12/I12</f>
        <v>0.35157041540020262</v>
      </c>
    </row>
    <row r="11" spans="2:16" ht="30" x14ac:dyDescent="0.25">
      <c r="C11" s="321" t="s">
        <v>55</v>
      </c>
      <c r="D11" s="321" t="s">
        <v>316</v>
      </c>
      <c r="E11" s="321" t="s">
        <v>611</v>
      </c>
      <c r="F11" s="323" t="s">
        <v>612</v>
      </c>
      <c r="G11" s="346" t="s">
        <v>606</v>
      </c>
      <c r="H11" s="347" t="s">
        <v>613</v>
      </c>
      <c r="I11" s="345" t="s">
        <v>629</v>
      </c>
      <c r="J11" s="348" t="s">
        <v>630</v>
      </c>
      <c r="K11" s="324" t="s">
        <v>608</v>
      </c>
      <c r="L11" s="324" t="s">
        <v>609</v>
      </c>
      <c r="M11" s="322" t="s">
        <v>610</v>
      </c>
      <c r="N11" s="324" t="s">
        <v>55</v>
      </c>
      <c r="P11" s="159"/>
    </row>
    <row r="12" spans="2:16" outlineLevel="1" x14ac:dyDescent="0.25">
      <c r="B12" s="123"/>
      <c r="C12" s="389" t="s">
        <v>318</v>
      </c>
      <c r="D12" s="47">
        <v>22</v>
      </c>
      <c r="E12" s="159" t="s">
        <v>338</v>
      </c>
      <c r="F12" s="145">
        <v>572000</v>
      </c>
      <c r="G12" s="9">
        <f>'PE (2)'!$C$8</f>
        <v>576000</v>
      </c>
      <c r="H12" s="46">
        <f>'PE (2)'!$C$23</f>
        <v>312300</v>
      </c>
      <c r="I12" s="46">
        <f t="shared" ref="I12:I17" si="2">+G12+H12</f>
        <v>888300</v>
      </c>
      <c r="J12" s="318">
        <f t="shared" ref="J12:J23" si="3">+F12-I12</f>
        <v>-316300</v>
      </c>
      <c r="K12" s="320">
        <f>+J12</f>
        <v>-316300</v>
      </c>
      <c r="L12" s="123" t="str">
        <f t="shared" ref="L12:L36" si="4">+E12</f>
        <v>domingo</v>
      </c>
      <c r="M12" s="318">
        <f>+F12-G12</f>
        <v>-4000</v>
      </c>
      <c r="N12" s="318" t="str">
        <f>+C12</f>
        <v>sep</v>
      </c>
    </row>
    <row r="13" spans="2:16" outlineLevel="1" x14ac:dyDescent="0.25">
      <c r="C13" s="389" t="s">
        <v>318</v>
      </c>
      <c r="D13" s="47">
        <v>27</v>
      </c>
      <c r="E13" s="159" t="s">
        <v>336</v>
      </c>
      <c r="F13" s="145">
        <v>421000</v>
      </c>
      <c r="G13" s="9">
        <f>'PE (2)'!$C$8</f>
        <v>576000</v>
      </c>
      <c r="H13" s="46">
        <f>'PE (2)'!$C$23</f>
        <v>312300</v>
      </c>
      <c r="I13" s="46">
        <f t="shared" si="2"/>
        <v>888300</v>
      </c>
      <c r="J13" s="318">
        <f t="shared" si="3"/>
        <v>-467300</v>
      </c>
      <c r="K13" s="320">
        <f t="shared" ref="K13:K36" si="5">+J13+K12</f>
        <v>-783600</v>
      </c>
      <c r="L13" s="123" t="str">
        <f t="shared" si="4"/>
        <v>viernes</v>
      </c>
      <c r="M13" s="318">
        <f t="shared" ref="M13:M36" si="6">+F13-G13</f>
        <v>-155000</v>
      </c>
      <c r="N13" s="318" t="str">
        <f t="shared" ref="N13:N36" si="7">+C13</f>
        <v>sep</v>
      </c>
    </row>
    <row r="14" spans="2:16" outlineLevel="1" x14ac:dyDescent="0.25">
      <c r="C14" s="389" t="s">
        <v>318</v>
      </c>
      <c r="D14" s="47">
        <v>28</v>
      </c>
      <c r="E14" s="159" t="s">
        <v>337</v>
      </c>
      <c r="F14" s="145">
        <v>951500</v>
      </c>
      <c r="G14" s="9">
        <f>'PE (2)'!$C$8</f>
        <v>576000</v>
      </c>
      <c r="H14" s="46">
        <f>'PE (2)'!$C$23</f>
        <v>312300</v>
      </c>
      <c r="I14" s="46">
        <f t="shared" si="2"/>
        <v>888300</v>
      </c>
      <c r="J14" s="318">
        <f t="shared" si="3"/>
        <v>63200</v>
      </c>
      <c r="K14" s="320">
        <f t="shared" si="5"/>
        <v>-720400</v>
      </c>
      <c r="L14" s="123" t="str">
        <f t="shared" si="4"/>
        <v>sábado</v>
      </c>
      <c r="M14" s="318">
        <f t="shared" si="6"/>
        <v>375500</v>
      </c>
      <c r="N14" s="318" t="str">
        <f t="shared" si="7"/>
        <v>sep</v>
      </c>
    </row>
    <row r="15" spans="2:16" outlineLevel="1" x14ac:dyDescent="0.25">
      <c r="C15" s="389" t="s">
        <v>318</v>
      </c>
      <c r="D15" s="47">
        <v>29</v>
      </c>
      <c r="E15" s="159" t="s">
        <v>338</v>
      </c>
      <c r="F15" s="145">
        <v>658000</v>
      </c>
      <c r="G15" s="9">
        <f>'PE (2)'!$C$8</f>
        <v>576000</v>
      </c>
      <c r="H15" s="46">
        <f>'PE (2)'!$C$23</f>
        <v>312300</v>
      </c>
      <c r="I15" s="46">
        <f t="shared" si="2"/>
        <v>888300</v>
      </c>
      <c r="J15" s="318">
        <f t="shared" si="3"/>
        <v>-230300</v>
      </c>
      <c r="K15" s="320">
        <f t="shared" si="5"/>
        <v>-950700</v>
      </c>
      <c r="L15" s="123" t="str">
        <f t="shared" si="4"/>
        <v>domingo</v>
      </c>
      <c r="M15" s="318">
        <f t="shared" si="6"/>
        <v>82000</v>
      </c>
      <c r="N15" s="318" t="str">
        <f t="shared" si="7"/>
        <v>sep</v>
      </c>
    </row>
    <row r="16" spans="2:16" outlineLevel="1" x14ac:dyDescent="0.25">
      <c r="C16" s="389" t="s">
        <v>319</v>
      </c>
      <c r="D16" s="47">
        <v>4</v>
      </c>
      <c r="E16" s="159" t="s">
        <v>336</v>
      </c>
      <c r="F16" s="145">
        <v>420500</v>
      </c>
      <c r="G16" s="9">
        <f>'PE (2)'!$G$8</f>
        <v>496336.69230769231</v>
      </c>
      <c r="H16" s="46">
        <f>'PE (2)'!$G$23</f>
        <v>538306.15384615387</v>
      </c>
      <c r="I16" s="46">
        <f t="shared" si="2"/>
        <v>1034642.8461538462</v>
      </c>
      <c r="J16" s="318">
        <f t="shared" si="3"/>
        <v>-614142.84615384624</v>
      </c>
      <c r="K16" s="320">
        <f t="shared" si="5"/>
        <v>-1564842.8461538462</v>
      </c>
      <c r="L16" s="123" t="str">
        <f t="shared" si="4"/>
        <v>viernes</v>
      </c>
      <c r="M16" s="318">
        <f t="shared" si="6"/>
        <v>-75836.692307692312</v>
      </c>
      <c r="N16" s="318" t="str">
        <f t="shared" si="7"/>
        <v>oct</v>
      </c>
    </row>
    <row r="17" spans="2:16" outlineLevel="1" x14ac:dyDescent="0.25">
      <c r="C17" s="389" t="s">
        <v>319</v>
      </c>
      <c r="D17" s="47">
        <v>5</v>
      </c>
      <c r="E17" s="159" t="s">
        <v>337</v>
      </c>
      <c r="F17" s="145">
        <v>1210300</v>
      </c>
      <c r="G17" s="9">
        <f>'PE (2)'!$G$8</f>
        <v>496336.69230769231</v>
      </c>
      <c r="H17" s="46">
        <f>'PE (2)'!$G$23</f>
        <v>538306.15384615387</v>
      </c>
      <c r="I17" s="46">
        <f t="shared" si="2"/>
        <v>1034642.8461538462</v>
      </c>
      <c r="J17" s="318">
        <f t="shared" si="3"/>
        <v>175657.15384615376</v>
      </c>
      <c r="K17" s="320">
        <f t="shared" si="5"/>
        <v>-1389185.6923076925</v>
      </c>
      <c r="L17" s="123" t="str">
        <f t="shared" si="4"/>
        <v>sábado</v>
      </c>
      <c r="M17" s="318">
        <f t="shared" si="6"/>
        <v>713963.30769230775</v>
      </c>
      <c r="N17" s="318" t="str">
        <f t="shared" si="7"/>
        <v>oct</v>
      </c>
    </row>
    <row r="18" spans="2:16" outlineLevel="1" x14ac:dyDescent="0.25">
      <c r="C18" s="389" t="s">
        <v>319</v>
      </c>
      <c r="D18" s="47">
        <v>6</v>
      </c>
      <c r="E18" s="159" t="s">
        <v>338</v>
      </c>
      <c r="F18" s="145">
        <v>1345600</v>
      </c>
      <c r="G18" s="9">
        <f>'PE (2)'!$G$8</f>
        <v>496336.69230769231</v>
      </c>
      <c r="H18" s="46">
        <f>'PE (2)'!$G$23</f>
        <v>538306.15384615387</v>
      </c>
      <c r="I18" s="46">
        <f t="shared" ref="I18:I36" si="8">+G18+H18</f>
        <v>1034642.8461538462</v>
      </c>
      <c r="J18" s="318">
        <f t="shared" si="3"/>
        <v>310957.15384615376</v>
      </c>
      <c r="K18" s="320">
        <f t="shared" si="5"/>
        <v>-1078228.5384615387</v>
      </c>
      <c r="L18" s="123" t="str">
        <f t="shared" si="4"/>
        <v>domingo</v>
      </c>
      <c r="M18" s="318">
        <f t="shared" si="6"/>
        <v>849263.30769230775</v>
      </c>
      <c r="N18" s="318" t="str">
        <f t="shared" si="7"/>
        <v>oct</v>
      </c>
    </row>
    <row r="19" spans="2:16" outlineLevel="1" x14ac:dyDescent="0.25">
      <c r="C19" s="389" t="s">
        <v>319</v>
      </c>
      <c r="D19" s="47">
        <v>11</v>
      </c>
      <c r="E19" s="159" t="s">
        <v>336</v>
      </c>
      <c r="F19" s="145">
        <v>427900</v>
      </c>
      <c r="G19" s="9">
        <f>'PE (2)'!$G$8</f>
        <v>496336.69230769231</v>
      </c>
      <c r="H19" s="46">
        <f>'PE (2)'!$G$23</f>
        <v>538306.15384615387</v>
      </c>
      <c r="I19" s="46">
        <f t="shared" si="8"/>
        <v>1034642.8461538462</v>
      </c>
      <c r="J19" s="318">
        <f t="shared" si="3"/>
        <v>-606742.84615384624</v>
      </c>
      <c r="K19" s="320">
        <f t="shared" si="5"/>
        <v>-1684971.384615385</v>
      </c>
      <c r="L19" s="123" t="str">
        <f t="shared" si="4"/>
        <v>viernes</v>
      </c>
      <c r="M19" s="318">
        <f t="shared" si="6"/>
        <v>-68436.692307692312</v>
      </c>
      <c r="N19" s="318" t="str">
        <f t="shared" si="7"/>
        <v>oct</v>
      </c>
      <c r="P19" s="159"/>
    </row>
    <row r="20" spans="2:16" outlineLevel="1" x14ac:dyDescent="0.25">
      <c r="C20" s="389" t="s">
        <v>319</v>
      </c>
      <c r="D20" s="47">
        <v>12</v>
      </c>
      <c r="E20" s="159" t="s">
        <v>337</v>
      </c>
      <c r="F20" s="145">
        <v>664500</v>
      </c>
      <c r="G20" s="9">
        <f>'PE (2)'!$G$8</f>
        <v>496336.69230769231</v>
      </c>
      <c r="H20" s="46">
        <f>'PE (2)'!$G$23</f>
        <v>538306.15384615387</v>
      </c>
      <c r="I20" s="46">
        <f t="shared" si="8"/>
        <v>1034642.8461538462</v>
      </c>
      <c r="J20" s="318">
        <f t="shared" si="3"/>
        <v>-370142.84615384624</v>
      </c>
      <c r="K20" s="320">
        <f t="shared" si="5"/>
        <v>-2055114.2307692312</v>
      </c>
      <c r="L20" s="123" t="str">
        <f t="shared" si="4"/>
        <v>sábado</v>
      </c>
      <c r="M20" s="318">
        <f t="shared" si="6"/>
        <v>168163.30769230769</v>
      </c>
      <c r="N20" s="318" t="str">
        <f t="shared" si="7"/>
        <v>oct</v>
      </c>
      <c r="P20" s="159"/>
    </row>
    <row r="21" spans="2:16" x14ac:dyDescent="0.25">
      <c r="C21" s="389" t="s">
        <v>319</v>
      </c>
      <c r="D21" s="47">
        <v>13</v>
      </c>
      <c r="E21" s="159" t="s">
        <v>338</v>
      </c>
      <c r="F21" s="145">
        <v>1283500</v>
      </c>
      <c r="G21" s="9">
        <f>'PE (2)'!$G$8</f>
        <v>496336.69230769231</v>
      </c>
      <c r="H21" s="46">
        <f>'PE (2)'!$G$23</f>
        <v>538306.15384615387</v>
      </c>
      <c r="I21" s="46">
        <f>+G21+H21</f>
        <v>1034642.8461538462</v>
      </c>
      <c r="J21" s="318">
        <f t="shared" si="3"/>
        <v>248857.15384615376</v>
      </c>
      <c r="K21" s="320">
        <f t="shared" si="5"/>
        <v>-1806257.0769230775</v>
      </c>
      <c r="L21" s="123" t="str">
        <f t="shared" si="4"/>
        <v>domingo</v>
      </c>
      <c r="M21" s="318">
        <f t="shared" si="6"/>
        <v>787163.30769230775</v>
      </c>
      <c r="N21" s="318" t="str">
        <f t="shared" si="7"/>
        <v>oct</v>
      </c>
      <c r="P21" s="159"/>
    </row>
    <row r="22" spans="2:16" x14ac:dyDescent="0.25">
      <c r="C22" s="389" t="s">
        <v>319</v>
      </c>
      <c r="D22" s="47">
        <v>14</v>
      </c>
      <c r="E22" s="159" t="s">
        <v>332</v>
      </c>
      <c r="F22" s="145">
        <v>622000</v>
      </c>
      <c r="G22" s="9">
        <f>'PE (2)'!$G$8</f>
        <v>496336.69230769231</v>
      </c>
      <c r="H22" s="46">
        <f>'PE (2)'!$G$23</f>
        <v>538306.15384615387</v>
      </c>
      <c r="I22" s="46">
        <f t="shared" si="8"/>
        <v>1034642.8461538462</v>
      </c>
      <c r="J22" s="318">
        <f t="shared" si="3"/>
        <v>-412642.84615384624</v>
      </c>
      <c r="K22" s="320">
        <f t="shared" si="5"/>
        <v>-2218899.9230769239</v>
      </c>
      <c r="L22" s="123" t="str">
        <f t="shared" si="4"/>
        <v>lunes</v>
      </c>
      <c r="M22" s="318">
        <f t="shared" si="6"/>
        <v>125663.30769230769</v>
      </c>
      <c r="N22" s="318" t="str">
        <f t="shared" si="7"/>
        <v>oct</v>
      </c>
      <c r="P22" s="159"/>
    </row>
    <row r="23" spans="2:16" x14ac:dyDescent="0.25">
      <c r="C23" s="389" t="s">
        <v>319</v>
      </c>
      <c r="D23" s="47">
        <v>18</v>
      </c>
      <c r="E23" s="159" t="s">
        <v>336</v>
      </c>
      <c r="F23" s="145">
        <v>363500</v>
      </c>
      <c r="G23" s="9">
        <f>'PE (2)'!$G$8</f>
        <v>496336.69230769231</v>
      </c>
      <c r="H23" s="46">
        <f>'PE (2)'!$G$23</f>
        <v>538306.15384615387</v>
      </c>
      <c r="I23" s="46">
        <f t="shared" si="8"/>
        <v>1034642.8461538462</v>
      </c>
      <c r="J23" s="318">
        <f t="shared" si="3"/>
        <v>-671142.84615384624</v>
      </c>
      <c r="K23" s="320">
        <f t="shared" si="5"/>
        <v>-2890042.7692307699</v>
      </c>
      <c r="L23" s="123" t="str">
        <f t="shared" si="4"/>
        <v>viernes</v>
      </c>
      <c r="M23" s="318">
        <f t="shared" si="6"/>
        <v>-132836.69230769231</v>
      </c>
      <c r="N23" s="318" t="str">
        <f t="shared" si="7"/>
        <v>oct</v>
      </c>
      <c r="P23" s="159"/>
    </row>
    <row r="24" spans="2:16" x14ac:dyDescent="0.25">
      <c r="C24" s="389" t="s">
        <v>319</v>
      </c>
      <c r="D24" s="47">
        <v>19</v>
      </c>
      <c r="E24" s="159" t="s">
        <v>337</v>
      </c>
      <c r="F24" s="145">
        <v>720000</v>
      </c>
      <c r="G24" s="9">
        <f>'PE (2)'!$G$8</f>
        <v>496336.69230769231</v>
      </c>
      <c r="H24" s="46">
        <f>'PE (2)'!$G$23</f>
        <v>538306.15384615387</v>
      </c>
      <c r="I24" s="46">
        <f t="shared" si="8"/>
        <v>1034642.8461538462</v>
      </c>
      <c r="J24" s="318">
        <f t="shared" ref="J24:J36" si="9">+F24-I24</f>
        <v>-314642.84615384624</v>
      </c>
      <c r="K24" s="320">
        <f t="shared" si="5"/>
        <v>-3204685.615384616</v>
      </c>
      <c r="L24" s="123" t="str">
        <f t="shared" si="4"/>
        <v>sábado</v>
      </c>
      <c r="M24" s="318">
        <f t="shared" si="6"/>
        <v>223663.30769230769</v>
      </c>
      <c r="N24" s="318" t="str">
        <f t="shared" si="7"/>
        <v>oct</v>
      </c>
      <c r="P24" s="159"/>
    </row>
    <row r="25" spans="2:16" x14ac:dyDescent="0.25">
      <c r="C25" s="389" t="s">
        <v>319</v>
      </c>
      <c r="D25" s="47">
        <v>20</v>
      </c>
      <c r="E25" s="159" t="s">
        <v>338</v>
      </c>
      <c r="F25" s="145">
        <v>1550500</v>
      </c>
      <c r="G25" s="9">
        <f>'PE (2)'!$G$8</f>
        <v>496336.69230769231</v>
      </c>
      <c r="H25" s="46">
        <f>'PE (2)'!$G$23</f>
        <v>538306.15384615387</v>
      </c>
      <c r="I25" s="46">
        <f t="shared" si="8"/>
        <v>1034642.8461538462</v>
      </c>
      <c r="J25" s="318">
        <f t="shared" si="9"/>
        <v>515857.15384615376</v>
      </c>
      <c r="K25" s="320">
        <f t="shared" si="5"/>
        <v>-2688828.461538462</v>
      </c>
      <c r="L25" s="123" t="str">
        <f t="shared" si="4"/>
        <v>domingo</v>
      </c>
      <c r="M25" s="318">
        <f t="shared" si="6"/>
        <v>1054163.3076923077</v>
      </c>
      <c r="N25" s="318" t="str">
        <f t="shared" si="7"/>
        <v>oct</v>
      </c>
      <c r="P25" s="159"/>
    </row>
    <row r="26" spans="2:16" x14ac:dyDescent="0.25">
      <c r="C26" s="389" t="s">
        <v>319</v>
      </c>
      <c r="D26" s="47">
        <v>25</v>
      </c>
      <c r="E26" s="159" t="s">
        <v>336</v>
      </c>
      <c r="F26" s="145">
        <v>1200000</v>
      </c>
      <c r="G26" s="9">
        <f>'PE (2)'!$G$8</f>
        <v>496336.69230769231</v>
      </c>
      <c r="H26" s="46">
        <f>'PE (2)'!$G$23</f>
        <v>538306.15384615387</v>
      </c>
      <c r="I26" s="46">
        <f t="shared" si="8"/>
        <v>1034642.8461538462</v>
      </c>
      <c r="J26" s="318">
        <f t="shared" si="9"/>
        <v>165357.15384615376</v>
      </c>
      <c r="K26" s="320">
        <f t="shared" si="5"/>
        <v>-2523471.307692308</v>
      </c>
      <c r="L26" s="123" t="str">
        <f t="shared" si="4"/>
        <v>viernes</v>
      </c>
      <c r="M26" s="318">
        <f t="shared" si="6"/>
        <v>703663.30769230775</v>
      </c>
      <c r="N26" s="318" t="str">
        <f t="shared" si="7"/>
        <v>oct</v>
      </c>
      <c r="P26" s="159"/>
    </row>
    <row r="27" spans="2:16" x14ac:dyDescent="0.25">
      <c r="C27" s="389" t="s">
        <v>319</v>
      </c>
      <c r="D27" s="47">
        <v>26</v>
      </c>
      <c r="E27" s="159" t="s">
        <v>337</v>
      </c>
      <c r="F27" s="145">
        <v>655000</v>
      </c>
      <c r="G27" s="9">
        <f>'PE (2)'!$G$8</f>
        <v>496336.69230769231</v>
      </c>
      <c r="H27" s="46">
        <f>'PE (2)'!$G$23</f>
        <v>538306.15384615387</v>
      </c>
      <c r="I27" s="46">
        <f t="shared" si="8"/>
        <v>1034642.8461538462</v>
      </c>
      <c r="J27" s="318">
        <f t="shared" si="9"/>
        <v>-379642.84615384624</v>
      </c>
      <c r="K27" s="320">
        <f t="shared" si="5"/>
        <v>-2903114.153846154</v>
      </c>
      <c r="L27" s="123" t="str">
        <f t="shared" si="4"/>
        <v>sábado</v>
      </c>
      <c r="M27" s="318">
        <f t="shared" si="6"/>
        <v>158663.30769230769</v>
      </c>
      <c r="N27" s="318" t="str">
        <f t="shared" si="7"/>
        <v>oct</v>
      </c>
      <c r="P27" s="159"/>
    </row>
    <row r="28" spans="2:16" x14ac:dyDescent="0.25">
      <c r="C28" s="389" t="s">
        <v>319</v>
      </c>
      <c r="D28" s="47">
        <v>27</v>
      </c>
      <c r="E28" s="159" t="s">
        <v>338</v>
      </c>
      <c r="F28" s="145">
        <v>1200000</v>
      </c>
      <c r="G28" s="9">
        <f>'PE (2)'!$G$8</f>
        <v>496336.69230769231</v>
      </c>
      <c r="H28" s="46">
        <f>'PE (2)'!$G$23</f>
        <v>538306.15384615387</v>
      </c>
      <c r="I28" s="46">
        <f t="shared" si="8"/>
        <v>1034642.8461538462</v>
      </c>
      <c r="J28" s="318">
        <f t="shared" si="9"/>
        <v>165357.15384615376</v>
      </c>
      <c r="K28" s="320">
        <f t="shared" si="5"/>
        <v>-2737757</v>
      </c>
      <c r="L28" s="123" t="str">
        <f t="shared" si="4"/>
        <v>domingo</v>
      </c>
      <c r="M28" s="318">
        <f t="shared" si="6"/>
        <v>703663.30769230775</v>
      </c>
      <c r="N28" s="318" t="str">
        <f t="shared" si="7"/>
        <v>oct</v>
      </c>
      <c r="P28" s="159"/>
    </row>
    <row r="29" spans="2:16" x14ac:dyDescent="0.25">
      <c r="C29" s="389" t="s">
        <v>558</v>
      </c>
      <c r="D29" s="47">
        <v>1</v>
      </c>
      <c r="E29" s="159" t="s">
        <v>336</v>
      </c>
      <c r="F29" s="145">
        <v>370000</v>
      </c>
      <c r="G29" s="9">
        <f>'PE (2)'!$K$8</f>
        <v>349375</v>
      </c>
      <c r="H29" s="101">
        <f>'PE (2)'!$K$23</f>
        <v>481308.75</v>
      </c>
      <c r="I29" s="46">
        <f t="shared" si="8"/>
        <v>830683.75</v>
      </c>
      <c r="J29" s="318">
        <f t="shared" si="9"/>
        <v>-460683.75</v>
      </c>
      <c r="K29" s="320">
        <f t="shared" si="5"/>
        <v>-3198440.75</v>
      </c>
      <c r="L29" s="123" t="str">
        <f t="shared" si="4"/>
        <v>viernes</v>
      </c>
      <c r="M29" s="318">
        <f t="shared" si="6"/>
        <v>20625</v>
      </c>
      <c r="N29" s="318" t="str">
        <f t="shared" si="7"/>
        <v>nov</v>
      </c>
      <c r="P29" s="159"/>
    </row>
    <row r="30" spans="2:16" x14ac:dyDescent="0.25">
      <c r="C30" s="389" t="s">
        <v>558</v>
      </c>
      <c r="D30" s="47">
        <v>2</v>
      </c>
      <c r="E30" s="159" t="s">
        <v>337</v>
      </c>
      <c r="F30" s="145">
        <v>500000</v>
      </c>
      <c r="G30" s="9">
        <f>'PE (2)'!$K$8</f>
        <v>349375</v>
      </c>
      <c r="H30" s="101">
        <f>'PE (2)'!$K$23</f>
        <v>481308.75</v>
      </c>
      <c r="I30" s="46">
        <f t="shared" si="8"/>
        <v>830683.75</v>
      </c>
      <c r="J30" s="318">
        <f t="shared" si="9"/>
        <v>-330683.75</v>
      </c>
      <c r="K30" s="320">
        <f t="shared" si="5"/>
        <v>-3529124.5</v>
      </c>
      <c r="L30" s="123" t="str">
        <f t="shared" si="4"/>
        <v>sábado</v>
      </c>
      <c r="M30" s="318">
        <f t="shared" si="6"/>
        <v>150625</v>
      </c>
      <c r="N30" s="318" t="str">
        <f t="shared" si="7"/>
        <v>nov</v>
      </c>
      <c r="P30" s="159"/>
    </row>
    <row r="31" spans="2:16" x14ac:dyDescent="0.25">
      <c r="B31" s="199"/>
      <c r="C31" s="389" t="s">
        <v>558</v>
      </c>
      <c r="D31" s="47">
        <v>3</v>
      </c>
      <c r="E31" s="159" t="s">
        <v>338</v>
      </c>
      <c r="F31" s="145">
        <v>1700000</v>
      </c>
      <c r="G31" s="9">
        <f>'PE (2)'!$K$8</f>
        <v>349375</v>
      </c>
      <c r="H31" s="101">
        <f>'PE (2)'!$K$23</f>
        <v>481308.75</v>
      </c>
      <c r="I31" s="46">
        <f t="shared" si="8"/>
        <v>830683.75</v>
      </c>
      <c r="J31" s="318">
        <f t="shared" si="9"/>
        <v>869316.25</v>
      </c>
      <c r="K31" s="320">
        <f t="shared" si="5"/>
        <v>-2659808.25</v>
      </c>
      <c r="L31" s="123" t="str">
        <f t="shared" si="4"/>
        <v>domingo</v>
      </c>
      <c r="M31" s="318">
        <f t="shared" si="6"/>
        <v>1350625</v>
      </c>
      <c r="N31" s="318" t="str">
        <f t="shared" si="7"/>
        <v>nov</v>
      </c>
      <c r="P31" s="159"/>
    </row>
    <row r="32" spans="2:16" x14ac:dyDescent="0.25">
      <c r="C32" s="389" t="s">
        <v>558</v>
      </c>
      <c r="D32" s="47">
        <v>4</v>
      </c>
      <c r="E32" s="159" t="s">
        <v>332</v>
      </c>
      <c r="F32" s="145">
        <v>600000</v>
      </c>
      <c r="G32" s="9">
        <f>'PE (2)'!$K$8</f>
        <v>349375</v>
      </c>
      <c r="H32" s="101">
        <f>'PE (2)'!$K$23</f>
        <v>481308.75</v>
      </c>
      <c r="I32" s="46">
        <f t="shared" si="8"/>
        <v>830683.75</v>
      </c>
      <c r="J32" s="318">
        <f t="shared" si="9"/>
        <v>-230683.75</v>
      </c>
      <c r="K32" s="320">
        <f t="shared" si="5"/>
        <v>-2890492</v>
      </c>
      <c r="L32" s="123" t="str">
        <f t="shared" si="4"/>
        <v>lunes</v>
      </c>
      <c r="M32" s="318">
        <f t="shared" si="6"/>
        <v>250625</v>
      </c>
      <c r="N32" s="318" t="str">
        <f t="shared" si="7"/>
        <v>nov</v>
      </c>
      <c r="P32" s="159"/>
    </row>
    <row r="33" spans="3:16" x14ac:dyDescent="0.25">
      <c r="C33" s="389" t="s">
        <v>558</v>
      </c>
      <c r="D33" s="47">
        <v>8</v>
      </c>
      <c r="E33" s="159" t="s">
        <v>336</v>
      </c>
      <c r="F33" s="145">
        <v>342000</v>
      </c>
      <c r="G33" s="9">
        <f>'PE (2)'!$K$8</f>
        <v>349375</v>
      </c>
      <c r="H33" s="101">
        <f>'PE (2)'!$K$23</f>
        <v>481308.75</v>
      </c>
      <c r="I33" s="46">
        <f t="shared" si="8"/>
        <v>830683.75</v>
      </c>
      <c r="J33" s="318">
        <f t="shared" si="9"/>
        <v>-488683.75</v>
      </c>
      <c r="K33" s="320">
        <f t="shared" si="5"/>
        <v>-3379175.75</v>
      </c>
      <c r="L33" s="123" t="str">
        <f t="shared" si="4"/>
        <v>viernes</v>
      </c>
      <c r="M33" s="318">
        <f t="shared" si="6"/>
        <v>-7375</v>
      </c>
      <c r="N33" s="318" t="str">
        <f t="shared" si="7"/>
        <v>nov</v>
      </c>
      <c r="P33" s="159"/>
    </row>
    <row r="34" spans="3:16" x14ac:dyDescent="0.25">
      <c r="C34" s="389" t="s">
        <v>558</v>
      </c>
      <c r="D34" s="47">
        <v>9</v>
      </c>
      <c r="E34" s="159" t="s">
        <v>337</v>
      </c>
      <c r="F34" s="145">
        <v>1552000</v>
      </c>
      <c r="G34" s="9">
        <f>'PE (2)'!$K$8</f>
        <v>349375</v>
      </c>
      <c r="H34" s="101">
        <f>'PE (2)'!$K$23</f>
        <v>481308.75</v>
      </c>
      <c r="I34" s="46">
        <f t="shared" si="8"/>
        <v>830683.75</v>
      </c>
      <c r="J34" s="318">
        <f t="shared" si="9"/>
        <v>721316.25</v>
      </c>
      <c r="K34" s="320">
        <f t="shared" si="5"/>
        <v>-2657859.5</v>
      </c>
      <c r="L34" s="123" t="str">
        <f t="shared" si="4"/>
        <v>sábado</v>
      </c>
      <c r="M34" s="318">
        <f t="shared" si="6"/>
        <v>1202625</v>
      </c>
      <c r="N34" s="318" t="str">
        <f t="shared" si="7"/>
        <v>nov</v>
      </c>
      <c r="P34" s="159"/>
    </row>
    <row r="35" spans="3:16" x14ac:dyDescent="0.25">
      <c r="C35" s="389" t="s">
        <v>558</v>
      </c>
      <c r="D35" s="47">
        <v>10</v>
      </c>
      <c r="E35" s="159" t="s">
        <v>338</v>
      </c>
      <c r="F35" s="145">
        <v>1690000</v>
      </c>
      <c r="G35" s="9">
        <f>'PE (2)'!$K$8</f>
        <v>349375</v>
      </c>
      <c r="H35" s="101">
        <f>'PE (2)'!$K$23</f>
        <v>481308.75</v>
      </c>
      <c r="I35" s="46">
        <f t="shared" si="8"/>
        <v>830683.75</v>
      </c>
      <c r="J35" s="318">
        <f t="shared" si="9"/>
        <v>859316.25</v>
      </c>
      <c r="K35" s="320">
        <f t="shared" si="5"/>
        <v>-1798543.25</v>
      </c>
      <c r="L35" s="123" t="str">
        <f t="shared" si="4"/>
        <v>domingo</v>
      </c>
      <c r="M35" s="318">
        <f t="shared" si="6"/>
        <v>1340625</v>
      </c>
      <c r="N35" s="318" t="str">
        <f t="shared" si="7"/>
        <v>nov</v>
      </c>
      <c r="P35" s="159"/>
    </row>
    <row r="36" spans="3:16" x14ac:dyDescent="0.25">
      <c r="C36" s="389" t="s">
        <v>558</v>
      </c>
      <c r="D36" s="47">
        <v>11</v>
      </c>
      <c r="E36" s="159" t="s">
        <v>332</v>
      </c>
      <c r="F36" s="145">
        <v>700000</v>
      </c>
      <c r="G36" s="9">
        <f>'PE (2)'!$K$8</f>
        <v>349375</v>
      </c>
      <c r="H36" s="101">
        <f>'PE (2)'!$K$23</f>
        <v>481308.75</v>
      </c>
      <c r="I36" s="46">
        <f t="shared" si="8"/>
        <v>830683.75</v>
      </c>
      <c r="J36" s="318">
        <f t="shared" si="9"/>
        <v>-130683.75</v>
      </c>
      <c r="K36" s="320">
        <f t="shared" si="5"/>
        <v>-1929227</v>
      </c>
      <c r="L36" s="123" t="str">
        <f t="shared" si="4"/>
        <v>lunes</v>
      </c>
      <c r="M36" s="318">
        <f t="shared" si="6"/>
        <v>350625</v>
      </c>
      <c r="N36" s="318" t="str">
        <f t="shared" si="7"/>
        <v>nov</v>
      </c>
      <c r="P36" s="159"/>
    </row>
    <row r="37" spans="3:16" x14ac:dyDescent="0.25">
      <c r="C37" s="389" t="s">
        <v>558</v>
      </c>
      <c r="D37" s="47">
        <v>15</v>
      </c>
      <c r="E37" s="159" t="s">
        <v>336</v>
      </c>
      <c r="F37" s="145">
        <v>235000</v>
      </c>
      <c r="G37" s="9"/>
      <c r="H37" s="101"/>
      <c r="I37" s="46"/>
      <c r="K37" s="320"/>
      <c r="L37" s="123"/>
      <c r="M37" s="318"/>
      <c r="N37" s="318"/>
      <c r="P37" s="159"/>
    </row>
    <row r="38" spans="3:16" x14ac:dyDescent="0.25">
      <c r="C38" s="389" t="s">
        <v>558</v>
      </c>
      <c r="D38" s="47">
        <v>16</v>
      </c>
      <c r="E38" s="159" t="s">
        <v>337</v>
      </c>
      <c r="F38" s="145">
        <v>811500</v>
      </c>
      <c r="G38" s="9"/>
      <c r="H38" s="101"/>
      <c r="I38" s="46"/>
      <c r="K38" s="320"/>
      <c r="L38" s="123"/>
      <c r="M38" s="318"/>
      <c r="N38" s="318"/>
      <c r="P38" s="159"/>
    </row>
    <row r="39" spans="3:16" x14ac:dyDescent="0.25">
      <c r="C39" s="389" t="s">
        <v>558</v>
      </c>
      <c r="D39" s="47">
        <v>17</v>
      </c>
      <c r="E39" s="159" t="s">
        <v>338</v>
      </c>
      <c r="F39" s="145">
        <v>1300900</v>
      </c>
      <c r="G39" s="9"/>
      <c r="H39" s="101"/>
      <c r="I39" s="46"/>
      <c r="K39" s="320"/>
      <c r="L39" s="123"/>
      <c r="M39" s="318"/>
      <c r="N39" s="318"/>
      <c r="P39" s="159"/>
    </row>
    <row r="40" spans="3:16" x14ac:dyDescent="0.25">
      <c r="C40" s="389" t="s">
        <v>558</v>
      </c>
      <c r="D40" s="47">
        <v>22</v>
      </c>
      <c r="E40" s="159" t="s">
        <v>336</v>
      </c>
      <c r="F40" s="145">
        <v>186000</v>
      </c>
      <c r="G40" s="9"/>
      <c r="H40" s="101"/>
      <c r="I40" s="46"/>
      <c r="K40" s="320"/>
      <c r="L40" s="123"/>
      <c r="M40" s="318"/>
      <c r="N40" s="318"/>
      <c r="P40" s="159"/>
    </row>
    <row r="41" spans="3:16" x14ac:dyDescent="0.25">
      <c r="C41" s="389" t="s">
        <v>558</v>
      </c>
      <c r="D41" s="47">
        <v>23</v>
      </c>
      <c r="E41" s="159" t="s">
        <v>337</v>
      </c>
      <c r="F41" s="145">
        <v>587500</v>
      </c>
      <c r="G41" s="9"/>
      <c r="H41" s="101"/>
      <c r="I41" s="46"/>
      <c r="K41" s="320"/>
      <c r="L41" s="123"/>
      <c r="M41" s="318"/>
      <c r="N41" s="318"/>
      <c r="P41" s="159"/>
    </row>
    <row r="42" spans="3:16" x14ac:dyDescent="0.25">
      <c r="C42" s="389" t="s">
        <v>558</v>
      </c>
      <c r="D42" s="47">
        <v>24</v>
      </c>
      <c r="E42" s="159" t="s">
        <v>338</v>
      </c>
      <c r="F42" s="145">
        <v>960000</v>
      </c>
      <c r="G42" s="9"/>
      <c r="H42" s="101"/>
      <c r="I42" s="46"/>
      <c r="K42" s="320"/>
      <c r="L42" s="123"/>
      <c r="M42" s="318"/>
      <c r="N42" s="318"/>
      <c r="P42" s="159"/>
    </row>
    <row r="43" spans="3:16" x14ac:dyDescent="0.25">
      <c r="C43" s="389" t="s">
        <v>558</v>
      </c>
      <c r="D43" s="47">
        <v>29</v>
      </c>
      <c r="E43" s="159" t="s">
        <v>336</v>
      </c>
      <c r="F43" s="145">
        <v>400000</v>
      </c>
      <c r="G43" s="9"/>
      <c r="H43" s="101"/>
      <c r="I43" s="46"/>
      <c r="K43" s="320"/>
      <c r="L43" s="123"/>
      <c r="M43" s="318"/>
      <c r="N43" s="318"/>
      <c r="P43" s="159"/>
    </row>
    <row r="44" spans="3:16" x14ac:dyDescent="0.25">
      <c r="C44" s="389" t="s">
        <v>558</v>
      </c>
      <c r="D44" s="47">
        <v>30</v>
      </c>
      <c r="E44" s="159" t="s">
        <v>337</v>
      </c>
      <c r="F44" s="145">
        <v>900000</v>
      </c>
      <c r="G44" s="9"/>
      <c r="H44" s="101"/>
      <c r="I44" s="46"/>
      <c r="K44" s="320"/>
      <c r="L44" s="123"/>
      <c r="M44" s="318"/>
      <c r="N44" s="318"/>
      <c r="P44" s="159"/>
    </row>
    <row r="45" spans="3:16" x14ac:dyDescent="0.25">
      <c r="D45"/>
      <c r="E45"/>
      <c r="F45"/>
      <c r="G45" s="9"/>
      <c r="H45" s="101"/>
      <c r="I45" s="46"/>
      <c r="K45" s="320"/>
      <c r="L45" s="123"/>
      <c r="M45" s="318"/>
      <c r="N45" s="318"/>
      <c r="P45" s="159"/>
    </row>
    <row r="46" spans="3:16" x14ac:dyDescent="0.25">
      <c r="D46"/>
      <c r="E46"/>
      <c r="F46"/>
      <c r="G46" s="9"/>
      <c r="H46" s="101"/>
      <c r="I46" s="46"/>
      <c r="K46" s="320"/>
      <c r="L46" s="123"/>
      <c r="M46" s="318"/>
      <c r="N46" s="318"/>
      <c r="P46" s="159"/>
    </row>
    <row r="47" spans="3:16" x14ac:dyDescent="0.25">
      <c r="D47"/>
      <c r="E47"/>
      <c r="F47"/>
      <c r="G47" s="9"/>
      <c r="H47" s="101"/>
      <c r="I47" s="46"/>
      <c r="K47" s="320"/>
      <c r="L47" s="123"/>
      <c r="M47" s="318"/>
      <c r="N47" s="318"/>
      <c r="P47" s="159"/>
    </row>
    <row r="48" spans="3:16" x14ac:dyDescent="0.25">
      <c r="D48"/>
      <c r="E48"/>
      <c r="F48"/>
      <c r="G48" s="9"/>
      <c r="H48" s="101"/>
      <c r="I48" s="46"/>
      <c r="K48" s="320"/>
      <c r="L48" s="123"/>
      <c r="M48" s="318"/>
      <c r="N48" s="318"/>
      <c r="P48" s="159"/>
    </row>
    <row r="49" spans="4:16" x14ac:dyDescent="0.25">
      <c r="D49"/>
      <c r="E49"/>
      <c r="F49"/>
      <c r="G49" s="9"/>
      <c r="H49" s="101"/>
      <c r="I49" s="46"/>
      <c r="K49" s="320"/>
      <c r="L49" s="123"/>
      <c r="M49" s="318"/>
      <c r="N49" s="318"/>
      <c r="P49" s="159"/>
    </row>
    <row r="50" spans="4:16" x14ac:dyDescent="0.25">
      <c r="D50"/>
      <c r="E50"/>
      <c r="F50"/>
      <c r="G50" s="9"/>
      <c r="H50" s="101"/>
      <c r="I50" s="46"/>
      <c r="K50" s="320"/>
      <c r="L50" s="123"/>
      <c r="M50" s="318"/>
      <c r="N50" s="318"/>
      <c r="P50" s="159"/>
    </row>
    <row r="51" spans="4:16" x14ac:dyDescent="0.25">
      <c r="D51"/>
      <c r="E51"/>
      <c r="F51"/>
      <c r="G51" s="9"/>
      <c r="H51" s="101"/>
      <c r="I51" s="46"/>
      <c r="K51" s="320"/>
      <c r="L51" s="123"/>
      <c r="M51" s="318"/>
      <c r="N51" s="318"/>
      <c r="P51" s="159"/>
    </row>
    <row r="52" spans="4:16" outlineLevel="1" x14ac:dyDescent="0.25">
      <c r="D52"/>
      <c r="E52"/>
      <c r="F52"/>
      <c r="G52" s="9"/>
      <c r="I52" s="46"/>
      <c r="K52" s="320"/>
      <c r="L52" s="123"/>
      <c r="M52" s="318"/>
      <c r="N52" s="318"/>
      <c r="P52" s="159"/>
    </row>
    <row r="53" spans="4:16" outlineLevel="1" x14ac:dyDescent="0.25">
      <c r="D53"/>
      <c r="E53"/>
      <c r="F53"/>
      <c r="G53" s="9"/>
      <c r="I53" s="46"/>
      <c r="K53" s="320"/>
      <c r="L53" s="123"/>
      <c r="M53" s="318"/>
      <c r="N53" s="318"/>
      <c r="P53" s="159"/>
    </row>
    <row r="54" spans="4:16" outlineLevel="1" x14ac:dyDescent="0.25">
      <c r="D54"/>
      <c r="E54"/>
      <c r="F54"/>
      <c r="G54" s="9"/>
      <c r="I54" s="46"/>
      <c r="K54" s="320"/>
      <c r="L54" s="123"/>
      <c r="M54" s="318"/>
      <c r="N54" s="318"/>
      <c r="P54" s="159"/>
    </row>
    <row r="55" spans="4:16" outlineLevel="1" x14ac:dyDescent="0.25">
      <c r="D55"/>
      <c r="E55"/>
      <c r="F55"/>
      <c r="G55" s="9"/>
      <c r="I55" s="46"/>
      <c r="K55" s="320"/>
      <c r="L55" s="123"/>
      <c r="M55" s="318"/>
      <c r="N55" s="318"/>
      <c r="P55" s="159"/>
    </row>
    <row r="56" spans="4:16" outlineLevel="1" x14ac:dyDescent="0.25">
      <c r="D56"/>
      <c r="E56"/>
      <c r="F56"/>
      <c r="G56" s="9"/>
      <c r="I56" s="46"/>
      <c r="K56" s="320"/>
      <c r="L56" s="123"/>
      <c r="M56" s="318"/>
      <c r="N56" s="318"/>
      <c r="P56" s="159"/>
    </row>
    <row r="57" spans="4:16" outlineLevel="1" x14ac:dyDescent="0.25">
      <c r="D57"/>
      <c r="E57"/>
      <c r="F57"/>
      <c r="G57" s="9"/>
      <c r="I57" s="46"/>
      <c r="K57" s="320"/>
      <c r="L57" s="123"/>
      <c r="M57" s="318"/>
      <c r="N57" s="318"/>
      <c r="P57" s="159"/>
    </row>
    <row r="58" spans="4:16" outlineLevel="1" x14ac:dyDescent="0.25">
      <c r="D58"/>
      <c r="E58"/>
      <c r="F58"/>
      <c r="G58" s="9"/>
      <c r="I58" s="46"/>
      <c r="K58" s="320"/>
      <c r="L58" s="123"/>
      <c r="M58" s="318"/>
      <c r="N58" s="318"/>
      <c r="P58" s="159"/>
    </row>
    <row r="59" spans="4:16" outlineLevel="1" x14ac:dyDescent="0.25">
      <c r="D59"/>
      <c r="E59"/>
      <c r="F59"/>
      <c r="G59" s="9"/>
      <c r="I59" s="46"/>
      <c r="K59" s="320"/>
      <c r="L59" s="123"/>
      <c r="M59" s="318"/>
      <c r="N59" s="318"/>
      <c r="P59" s="159"/>
    </row>
    <row r="60" spans="4:16" outlineLevel="1" x14ac:dyDescent="0.25">
      <c r="D60"/>
      <c r="E60"/>
      <c r="F60"/>
      <c r="G60" s="9"/>
      <c r="I60" s="46"/>
      <c r="K60" s="320"/>
      <c r="L60" s="123"/>
      <c r="M60" s="318"/>
      <c r="N60" s="318"/>
      <c r="P60" s="159"/>
    </row>
    <row r="61" spans="4:16" outlineLevel="1" x14ac:dyDescent="0.25">
      <c r="D61"/>
      <c r="E61"/>
      <c r="F61"/>
      <c r="G61" s="9"/>
      <c r="I61" s="46"/>
      <c r="K61" s="320"/>
      <c r="L61" s="123"/>
      <c r="M61" s="318"/>
      <c r="N61" s="318"/>
      <c r="P61" s="159"/>
    </row>
    <row r="62" spans="4:16" outlineLevel="1" x14ac:dyDescent="0.25">
      <c r="D62"/>
      <c r="E62"/>
      <c r="F62"/>
      <c r="G62" s="9"/>
      <c r="I62" s="46"/>
      <c r="K62" s="320"/>
      <c r="L62" s="123"/>
      <c r="M62" s="318"/>
      <c r="N62" s="318"/>
      <c r="P62" s="159"/>
    </row>
    <row r="63" spans="4:16" outlineLevel="1" x14ac:dyDescent="0.25">
      <c r="D63"/>
      <c r="E63"/>
      <c r="F63"/>
      <c r="G63" s="9"/>
      <c r="I63" s="46"/>
      <c r="K63" s="320"/>
      <c r="L63" s="123"/>
      <c r="M63" s="318"/>
      <c r="N63" s="318"/>
      <c r="P63" s="159"/>
    </row>
    <row r="64" spans="4:16" outlineLevel="1" x14ac:dyDescent="0.25">
      <c r="D64"/>
      <c r="E64"/>
      <c r="F64"/>
      <c r="G64" s="9"/>
      <c r="I64" s="46"/>
      <c r="K64" s="320"/>
      <c r="L64" s="123"/>
      <c r="M64" s="318"/>
      <c r="N64" s="318"/>
      <c r="P64" s="159"/>
    </row>
    <row r="65" spans="4:16" outlineLevel="1" x14ac:dyDescent="0.25">
      <c r="D65"/>
      <c r="E65"/>
      <c r="F65"/>
      <c r="G65" s="9"/>
      <c r="M65" s="318"/>
      <c r="N65" s="318"/>
      <c r="P65" s="159"/>
    </row>
    <row r="66" spans="4:16" outlineLevel="1" x14ac:dyDescent="0.25">
      <c r="D66"/>
      <c r="E66"/>
      <c r="F66"/>
      <c r="G66" s="9"/>
      <c r="M66" s="318"/>
      <c r="N66" s="318"/>
      <c r="P66" s="159"/>
    </row>
    <row r="67" spans="4:16" outlineLevel="1" x14ac:dyDescent="0.25">
      <c r="D67"/>
      <c r="E67"/>
      <c r="F67"/>
      <c r="G67" s="9"/>
      <c r="M67" s="318"/>
      <c r="N67" s="318"/>
      <c r="P67" s="159"/>
    </row>
    <row r="68" spans="4:16" outlineLevel="1" x14ac:dyDescent="0.25">
      <c r="D68"/>
      <c r="E68"/>
      <c r="F68"/>
      <c r="G68" s="9"/>
      <c r="M68" s="318"/>
      <c r="N68" s="318"/>
      <c r="P68" s="159"/>
    </row>
    <row r="69" spans="4:16" outlineLevel="1" x14ac:dyDescent="0.25">
      <c r="D69"/>
      <c r="E69"/>
      <c r="F69"/>
      <c r="G69" s="9"/>
      <c r="M69" s="318"/>
      <c r="N69" s="318"/>
      <c r="P69" s="159"/>
    </row>
    <row r="70" spans="4:16" outlineLevel="1" x14ac:dyDescent="0.25">
      <c r="D70"/>
      <c r="E70"/>
      <c r="F70"/>
      <c r="G70" s="9"/>
      <c r="M70" s="318"/>
      <c r="N70" s="318"/>
      <c r="P70" s="159"/>
    </row>
    <row r="71" spans="4:16" outlineLevel="1" x14ac:dyDescent="0.25">
      <c r="D71"/>
      <c r="E71"/>
      <c r="F71"/>
      <c r="G71" s="9"/>
      <c r="M71" s="318"/>
      <c r="N71" s="318"/>
      <c r="P71" s="159"/>
    </row>
    <row r="72" spans="4:16" outlineLevel="1" x14ac:dyDescent="0.25">
      <c r="D72"/>
      <c r="E72"/>
      <c r="F72"/>
      <c r="G72" s="9"/>
      <c r="M72" s="318"/>
      <c r="N72" s="318"/>
      <c r="P72" s="159"/>
    </row>
    <row r="73" spans="4:16" outlineLevel="1" x14ac:dyDescent="0.25">
      <c r="D73"/>
      <c r="E73"/>
      <c r="F73"/>
      <c r="G73" s="9"/>
      <c r="M73" s="318"/>
      <c r="N73" s="318"/>
      <c r="P73" s="159"/>
    </row>
    <row r="74" spans="4:16" outlineLevel="1" x14ac:dyDescent="0.25">
      <c r="D74"/>
      <c r="E74"/>
      <c r="F74"/>
      <c r="G74" s="9"/>
      <c r="M74" s="318"/>
      <c r="N74" s="318"/>
      <c r="P74" s="159"/>
    </row>
    <row r="75" spans="4:16" outlineLevel="1" x14ac:dyDescent="0.25">
      <c r="D75"/>
      <c r="E75"/>
      <c r="F75"/>
      <c r="G75" s="9"/>
      <c r="M75" s="318"/>
      <c r="N75" s="318"/>
      <c r="P75" s="159"/>
    </row>
    <row r="76" spans="4:16" outlineLevel="1" x14ac:dyDescent="0.25">
      <c r="D76"/>
      <c r="E76"/>
      <c r="F76"/>
      <c r="G76" s="9"/>
      <c r="M76" s="318"/>
      <c r="N76" s="318"/>
      <c r="P76" s="159"/>
    </row>
    <row r="77" spans="4:16" outlineLevel="1" x14ac:dyDescent="0.25">
      <c r="D77"/>
      <c r="E77"/>
      <c r="F77"/>
      <c r="G77" s="9"/>
      <c r="M77" s="318"/>
      <c r="N77" s="318"/>
      <c r="P77" s="159"/>
    </row>
    <row r="78" spans="4:16" x14ac:dyDescent="0.25">
      <c r="D78"/>
      <c r="E78"/>
      <c r="F78"/>
      <c r="G78" s="9"/>
      <c r="M78" s="318"/>
      <c r="N78" s="318"/>
      <c r="P78" s="159"/>
    </row>
    <row r="79" spans="4:16" x14ac:dyDescent="0.25">
      <c r="D79"/>
      <c r="E79"/>
      <c r="F79"/>
      <c r="G79" s="9"/>
      <c r="M79" s="318"/>
      <c r="N79" s="318"/>
      <c r="P79" s="159"/>
    </row>
    <row r="80" spans="4:16" x14ac:dyDescent="0.25">
      <c r="D80"/>
      <c r="E80"/>
      <c r="F80"/>
      <c r="G80" s="9"/>
      <c r="M80" s="318"/>
      <c r="N80" s="318"/>
      <c r="P80" s="159"/>
    </row>
    <row r="81" spans="4:14" x14ac:dyDescent="0.25">
      <c r="D81"/>
      <c r="E81"/>
      <c r="F81"/>
      <c r="G81" s="9"/>
      <c r="M81" s="318"/>
      <c r="N81" s="318"/>
    </row>
    <row r="82" spans="4:14" x14ac:dyDescent="0.25">
      <c r="D82"/>
      <c r="E82"/>
      <c r="G82" s="9"/>
      <c r="M82" s="318"/>
      <c r="N82" s="318"/>
    </row>
    <row r="83" spans="4:14" x14ac:dyDescent="0.25">
      <c r="D83"/>
      <c r="E83"/>
      <c r="G83" s="9"/>
      <c r="M83" s="318"/>
      <c r="N83" s="318"/>
    </row>
    <row r="84" spans="4:14" x14ac:dyDescent="0.25">
      <c r="D84"/>
      <c r="E84"/>
      <c r="G84" s="9"/>
      <c r="M84" s="318"/>
      <c r="N84" s="318"/>
    </row>
    <row r="85" spans="4:14" x14ac:dyDescent="0.25">
      <c r="D85"/>
      <c r="E85"/>
      <c r="G85" s="9"/>
      <c r="M85" s="318"/>
      <c r="N85" s="318"/>
    </row>
    <row r="86" spans="4:14" x14ac:dyDescent="0.25">
      <c r="D86"/>
      <c r="E86"/>
      <c r="M86" s="318"/>
      <c r="N86" s="318"/>
    </row>
    <row r="87" spans="4:14" x14ac:dyDescent="0.25">
      <c r="D87"/>
      <c r="E87"/>
      <c r="M87" s="318"/>
      <c r="N87" s="318"/>
    </row>
    <row r="88" spans="4:14" x14ac:dyDescent="0.25">
      <c r="D88"/>
      <c r="E88"/>
      <c r="M88" s="318"/>
      <c r="N88" s="318"/>
    </row>
    <row r="89" spans="4:14" x14ac:dyDescent="0.25">
      <c r="D89"/>
      <c r="E89"/>
      <c r="M89" s="318"/>
      <c r="N89" s="318"/>
    </row>
    <row r="90" spans="4:14" x14ac:dyDescent="0.25">
      <c r="D90"/>
      <c r="E90"/>
      <c r="M90" s="318"/>
      <c r="N90" s="318"/>
    </row>
    <row r="91" spans="4:14" x14ac:dyDescent="0.25">
      <c r="D91"/>
      <c r="E91"/>
      <c r="M91" s="318"/>
      <c r="N91" s="318"/>
    </row>
    <row r="92" spans="4:14" x14ac:dyDescent="0.25">
      <c r="D92"/>
      <c r="E92"/>
      <c r="M92" s="318"/>
      <c r="N92" s="318"/>
    </row>
    <row r="93" spans="4:14" x14ac:dyDescent="0.25">
      <c r="D93"/>
      <c r="E93"/>
      <c r="M93" s="318"/>
      <c r="N93" s="318"/>
    </row>
    <row r="94" spans="4:14" x14ac:dyDescent="0.25">
      <c r="D94"/>
      <c r="E94"/>
      <c r="M94" s="318"/>
      <c r="N94" s="318"/>
    </row>
    <row r="95" spans="4:14" x14ac:dyDescent="0.25">
      <c r="D95"/>
      <c r="E95"/>
      <c r="M95" s="318"/>
      <c r="N95" s="318"/>
    </row>
    <row r="96" spans="4:14" x14ac:dyDescent="0.25">
      <c r="D96"/>
      <c r="E96"/>
      <c r="M96" s="318"/>
      <c r="N96" s="318"/>
    </row>
    <row r="97" spans="4:14" x14ac:dyDescent="0.25">
      <c r="D97"/>
      <c r="E97"/>
      <c r="M97" s="318"/>
      <c r="N97" s="318"/>
    </row>
    <row r="98" spans="4:14" x14ac:dyDescent="0.25">
      <c r="D98"/>
      <c r="E98"/>
      <c r="M98" s="318"/>
      <c r="N98" s="318"/>
    </row>
    <row r="99" spans="4:14" x14ac:dyDescent="0.25">
      <c r="D99"/>
      <c r="E99"/>
      <c r="M99" s="318"/>
      <c r="N99" s="318"/>
    </row>
    <row r="100" spans="4:14" x14ac:dyDescent="0.25">
      <c r="D100"/>
      <c r="E100"/>
      <c r="M100" s="318"/>
      <c r="N100" s="318"/>
    </row>
    <row r="101" spans="4:14" x14ac:dyDescent="0.25">
      <c r="D101"/>
      <c r="E101"/>
      <c r="M101" s="318"/>
      <c r="N101" s="318"/>
    </row>
    <row r="102" spans="4:14" x14ac:dyDescent="0.25">
      <c r="D102"/>
      <c r="E102"/>
      <c r="M102" s="318"/>
      <c r="N102" s="318"/>
    </row>
    <row r="103" spans="4:14" x14ac:dyDescent="0.25">
      <c r="D103"/>
      <c r="E103"/>
      <c r="M103" s="318"/>
      <c r="N103" s="318"/>
    </row>
    <row r="104" spans="4:14" x14ac:dyDescent="0.25">
      <c r="D104"/>
      <c r="E104"/>
      <c r="M104" s="318"/>
      <c r="N104" s="318"/>
    </row>
    <row r="105" spans="4:14" x14ac:dyDescent="0.25">
      <c r="D105"/>
      <c r="E105"/>
      <c r="M105" s="318"/>
      <c r="N105" s="318"/>
    </row>
    <row r="106" spans="4:14" x14ac:dyDescent="0.25">
      <c r="D106"/>
      <c r="E106"/>
      <c r="M106" s="318"/>
      <c r="N106" s="318"/>
    </row>
    <row r="107" spans="4:14" x14ac:dyDescent="0.25">
      <c r="D107"/>
      <c r="E107"/>
      <c r="M107" s="318"/>
      <c r="N107" s="318"/>
    </row>
    <row r="108" spans="4:14" x14ac:dyDescent="0.25">
      <c r="D108"/>
      <c r="E108"/>
      <c r="M108" s="318"/>
      <c r="N108" s="318"/>
    </row>
    <row r="109" spans="4:14" x14ac:dyDescent="0.25">
      <c r="D109"/>
      <c r="E109"/>
      <c r="M109" s="318"/>
      <c r="N109" s="318"/>
    </row>
    <row r="110" spans="4:14" x14ac:dyDescent="0.25">
      <c r="D110"/>
      <c r="E110"/>
      <c r="M110" s="318"/>
      <c r="N110" s="318"/>
    </row>
    <row r="111" spans="4:14" x14ac:dyDescent="0.25">
      <c r="D111"/>
      <c r="E111"/>
      <c r="M111" s="318"/>
      <c r="N111" s="318"/>
    </row>
    <row r="112" spans="4:14" x14ac:dyDescent="0.25">
      <c r="D112"/>
      <c r="E112"/>
      <c r="M112" s="318"/>
      <c r="N112" s="318"/>
    </row>
    <row r="113" spans="4:14" x14ac:dyDescent="0.25">
      <c r="D113"/>
      <c r="E113"/>
      <c r="M113" s="318"/>
      <c r="N113" s="318"/>
    </row>
    <row r="114" spans="4:14" x14ac:dyDescent="0.25">
      <c r="D114"/>
      <c r="E114"/>
      <c r="M114" s="318"/>
      <c r="N114" s="318"/>
    </row>
    <row r="115" spans="4:14" x14ac:dyDescent="0.25">
      <c r="D115"/>
      <c r="E115"/>
      <c r="M115" s="318"/>
      <c r="N115" s="318"/>
    </row>
    <row r="116" spans="4:14" x14ac:dyDescent="0.25">
      <c r="D116"/>
      <c r="E116"/>
      <c r="M116" s="318"/>
      <c r="N116" s="318"/>
    </row>
    <row r="117" spans="4:14" x14ac:dyDescent="0.25">
      <c r="D117"/>
      <c r="E117"/>
      <c r="M117" s="318"/>
      <c r="N117" s="318"/>
    </row>
    <row r="118" spans="4:14" x14ac:dyDescent="0.25">
      <c r="D118"/>
      <c r="E118"/>
      <c r="M118" s="318"/>
      <c r="N118" s="318"/>
    </row>
    <row r="119" spans="4:14" x14ac:dyDescent="0.25">
      <c r="D119"/>
      <c r="E119"/>
      <c r="M119" s="318"/>
      <c r="N119" s="318"/>
    </row>
    <row r="120" spans="4:14" x14ac:dyDescent="0.25">
      <c r="D120"/>
      <c r="E120"/>
      <c r="M120" s="318"/>
      <c r="N120" s="318"/>
    </row>
    <row r="121" spans="4:14" x14ac:dyDescent="0.25">
      <c r="D121"/>
      <c r="E121"/>
      <c r="M121" s="318"/>
      <c r="N121" s="318"/>
    </row>
    <row r="122" spans="4:14" x14ac:dyDescent="0.25">
      <c r="D122"/>
      <c r="E122"/>
      <c r="M122" s="318"/>
      <c r="N122" s="318"/>
    </row>
    <row r="123" spans="4:14" x14ac:dyDescent="0.25">
      <c r="D123"/>
      <c r="E123"/>
      <c r="M123" s="318"/>
      <c r="N123" s="318"/>
    </row>
    <row r="124" spans="4:14" x14ac:dyDescent="0.25">
      <c r="D124"/>
      <c r="E124"/>
      <c r="M124" s="318"/>
      <c r="N124" s="318"/>
    </row>
    <row r="125" spans="4:14" x14ac:dyDescent="0.25">
      <c r="D125"/>
      <c r="E125"/>
      <c r="M125" s="318"/>
      <c r="N125" s="318"/>
    </row>
    <row r="126" spans="4:14" x14ac:dyDescent="0.25">
      <c r="D126"/>
      <c r="E126"/>
      <c r="M126" s="318"/>
      <c r="N126" s="318"/>
    </row>
    <row r="127" spans="4:14" x14ac:dyDescent="0.25">
      <c r="D127"/>
      <c r="E127"/>
      <c r="M127" s="318"/>
      <c r="N127" s="318"/>
    </row>
    <row r="128" spans="4:14" x14ac:dyDescent="0.25">
      <c r="D128"/>
      <c r="E128"/>
      <c r="M128" s="318"/>
      <c r="N128" s="318"/>
    </row>
    <row r="129" spans="4:14" x14ac:dyDescent="0.25">
      <c r="D129"/>
      <c r="E129"/>
      <c r="M129" s="318"/>
      <c r="N129" s="318"/>
    </row>
    <row r="130" spans="4:14" x14ac:dyDescent="0.25">
      <c r="D130"/>
      <c r="E130"/>
      <c r="M130" s="318"/>
      <c r="N130" s="318"/>
    </row>
    <row r="131" spans="4:14" x14ac:dyDescent="0.25">
      <c r="D131"/>
      <c r="E131"/>
      <c r="M131" s="318"/>
      <c r="N131" s="318"/>
    </row>
    <row r="132" spans="4:14" x14ac:dyDescent="0.25">
      <c r="D132"/>
      <c r="E132"/>
      <c r="M132" s="318"/>
      <c r="N132" s="318"/>
    </row>
    <row r="133" spans="4:14" x14ac:dyDescent="0.25">
      <c r="D133"/>
      <c r="E133"/>
      <c r="M133" s="318"/>
      <c r="N133" s="318"/>
    </row>
    <row r="134" spans="4:14" x14ac:dyDescent="0.25">
      <c r="D134"/>
      <c r="E134"/>
      <c r="M134" s="318"/>
      <c r="N134" s="318"/>
    </row>
    <row r="135" spans="4:14" x14ac:dyDescent="0.25">
      <c r="D135"/>
      <c r="E135"/>
      <c r="M135" s="318"/>
      <c r="N135" s="318"/>
    </row>
    <row r="136" spans="4:14" x14ac:dyDescent="0.25">
      <c r="D136"/>
      <c r="E136"/>
      <c r="M136" s="318"/>
      <c r="N136" s="318"/>
    </row>
    <row r="137" spans="4:14" x14ac:dyDescent="0.25">
      <c r="D137"/>
      <c r="E137"/>
      <c r="M137" s="318"/>
      <c r="N137" s="318"/>
    </row>
    <row r="138" spans="4:14" x14ac:dyDescent="0.25">
      <c r="D138"/>
      <c r="E138"/>
      <c r="M138" s="318"/>
      <c r="N138" s="318"/>
    </row>
    <row r="139" spans="4:14" x14ac:dyDescent="0.25">
      <c r="D139"/>
      <c r="E139"/>
      <c r="M139" s="318"/>
      <c r="N139" s="318"/>
    </row>
    <row r="140" spans="4:14" x14ac:dyDescent="0.25">
      <c r="D140"/>
      <c r="E140"/>
      <c r="M140" s="318"/>
      <c r="N140" s="318"/>
    </row>
    <row r="141" spans="4:14" x14ac:dyDescent="0.25">
      <c r="D141"/>
      <c r="E141"/>
      <c r="M141" s="318"/>
      <c r="N141" s="318"/>
    </row>
    <row r="142" spans="4:14" x14ac:dyDescent="0.25">
      <c r="D142"/>
      <c r="E142"/>
      <c r="M142" s="318"/>
      <c r="N142" s="318"/>
    </row>
    <row r="143" spans="4:14" x14ac:dyDescent="0.25">
      <c r="D143"/>
      <c r="E143"/>
      <c r="M143" s="318"/>
      <c r="N143" s="318"/>
    </row>
    <row r="144" spans="4:14" x14ac:dyDescent="0.25">
      <c r="D144"/>
      <c r="E144"/>
      <c r="M144" s="318"/>
      <c r="N144" s="318"/>
    </row>
    <row r="145" spans="4:14" x14ac:dyDescent="0.25">
      <c r="D145"/>
      <c r="E145"/>
      <c r="M145" s="318"/>
      <c r="N145" s="318"/>
    </row>
    <row r="146" spans="4:14" x14ac:dyDescent="0.25">
      <c r="D146"/>
      <c r="E146"/>
      <c r="M146" s="318"/>
      <c r="N146" s="318"/>
    </row>
    <row r="147" spans="4:14" x14ac:dyDescent="0.25">
      <c r="D147"/>
      <c r="E147"/>
      <c r="M147" s="318"/>
      <c r="N147" s="318"/>
    </row>
    <row r="148" spans="4:14" x14ac:dyDescent="0.25">
      <c r="D148"/>
      <c r="E148"/>
      <c r="M148" s="318"/>
      <c r="N148" s="318"/>
    </row>
    <row r="149" spans="4:14" x14ac:dyDescent="0.25">
      <c r="D149"/>
      <c r="E149"/>
      <c r="M149" s="318"/>
      <c r="N149" s="318"/>
    </row>
    <row r="150" spans="4:14" x14ac:dyDescent="0.25">
      <c r="D150"/>
      <c r="E150"/>
      <c r="M150" s="318"/>
      <c r="N150" s="318"/>
    </row>
    <row r="151" spans="4:14" x14ac:dyDescent="0.25">
      <c r="D151"/>
      <c r="E151"/>
      <c r="M151" s="318"/>
      <c r="N151" s="318"/>
    </row>
  </sheetData>
  <autoFilter ref="G11:N64" xr:uid="{00000000-0009-0000-0000-00001A000000}"/>
  <conditionalFormatting sqref="J11:J6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{98C5A5E5-D269-41E0-918F-05657AF58BD8}</x14:id>
        </ext>
      </extLst>
    </cfRule>
  </conditionalFormatting>
  <conditionalFormatting sqref="K2:M2">
    <cfRule type="iconSet" priority="1">
      <iconSet>
        <cfvo type="percent" val="0"/>
        <cfvo type="num" val="-200000"/>
        <cfvo type="num" val="0" gte="0"/>
      </iconSet>
    </cfRule>
  </conditionalFormatting>
  <conditionalFormatting sqref="K3:M5">
    <cfRule type="iconSet" priority="66">
      <iconSet>
        <cfvo type="percent" val="0"/>
        <cfvo type="num" val="-200000"/>
        <cfvo type="num" val="0" gte="0"/>
      </iconSet>
    </cfRule>
  </conditionalFormatting>
  <conditionalFormatting sqref="M12:M64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{48346256-3ACF-4324-8141-8A8F34003BF7}</x14:id>
        </ext>
      </extLst>
    </cfRule>
  </conditionalFormatting>
  <conditionalFormatting sqref="M65:N151 N12:N63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{86222B3E-F348-4781-9C3E-127F1249EE97}</x14:id>
        </ext>
      </extLst>
    </cfRule>
  </conditionalFormatting>
  <conditionalFormatting sqref="N6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{0DF13EBE-5D4B-4FD7-9371-B7A12AA91400}</x14:id>
        </ext>
      </extLst>
    </cfRule>
  </conditionalFormatting>
  <pageMargins left="0.7" right="0.7" top="0.75" bottom="0.75" header="0.3" footer="0.3"/>
  <pageSetup paperSize="9" orientation="portrait" horizontalDpi="300" verticalDpi="300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C5A5E5-D269-41E0-918F-05657AF58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J11:J64</xm:sqref>
        </x14:conditionalFormatting>
        <x14:conditionalFormatting xmlns:xm="http://schemas.microsoft.com/office/excel/2006/main">
          <x14:cfRule type="dataBar" id="{48346256-3ACF-4324-8141-8A8F34003BF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M12:M64</xm:sqref>
        </x14:conditionalFormatting>
        <x14:conditionalFormatting xmlns:xm="http://schemas.microsoft.com/office/excel/2006/main">
          <x14:cfRule type="dataBar" id="{86222B3E-F348-4781-9C3E-127F1249EE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M65:N151 N12:N63</xm:sqref>
        </x14:conditionalFormatting>
        <x14:conditionalFormatting xmlns:xm="http://schemas.microsoft.com/office/excel/2006/main">
          <x14:cfRule type="dataBar" id="{0DF13EBE-5D4B-4FD7-9371-B7A12AA914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N64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B1:P151"/>
  <sheetViews>
    <sheetView workbookViewId="0"/>
  </sheetViews>
  <sheetFormatPr baseColWidth="10" defaultColWidth="11.42578125" defaultRowHeight="15" outlineLevelRow="1" outlineLevelCol="1" x14ac:dyDescent="0.25"/>
  <cols>
    <col min="1" max="1" width="4.42578125" customWidth="1"/>
    <col min="2" max="2" width="7.42578125" customWidth="1"/>
    <col min="3" max="3" width="10.42578125" bestFit="1" customWidth="1"/>
    <col min="4" max="4" width="12" style="47" bestFit="1" customWidth="1"/>
    <col min="5" max="5" width="13" style="47" bestFit="1" customWidth="1"/>
    <col min="6" max="6" width="13" style="9" bestFit="1" customWidth="1"/>
    <col min="7" max="7" width="17.85546875" style="46" bestFit="1" customWidth="1" outlineLevel="1"/>
    <col min="8" max="8" width="34.5703125" style="9" bestFit="1" customWidth="1" outlineLevel="1"/>
    <col min="9" max="9" width="17.85546875" style="9" customWidth="1"/>
    <col min="10" max="10" width="21.140625" style="318" bestFit="1" customWidth="1"/>
    <col min="11" max="11" width="19.42578125" customWidth="1"/>
    <col min="12" max="12" width="23" customWidth="1"/>
    <col min="13" max="13" width="23.85546875" customWidth="1"/>
    <col min="14" max="14" width="18" bestFit="1" customWidth="1"/>
    <col min="15" max="15" width="17.42578125" customWidth="1"/>
    <col min="16" max="21" width="15.7109375" customWidth="1"/>
    <col min="22" max="22" width="17.140625" customWidth="1"/>
    <col min="23" max="26" width="15.7109375" customWidth="1"/>
    <col min="27" max="27" width="17.140625" customWidth="1"/>
    <col min="28" max="28" width="15.7109375" customWidth="1"/>
    <col min="29" max="30" width="17.140625" customWidth="1"/>
    <col min="31" max="31" width="15.7109375" customWidth="1"/>
    <col min="32" max="32" width="15.28515625" customWidth="1"/>
    <col min="33" max="33" width="15.7109375" customWidth="1"/>
    <col min="34" max="37" width="15.7109375" bestFit="1" customWidth="1"/>
    <col min="38" max="38" width="17.140625" bestFit="1" customWidth="1"/>
    <col min="39" max="39" width="17.42578125" bestFit="1" customWidth="1"/>
    <col min="40" max="41" width="15.7109375" bestFit="1" customWidth="1"/>
    <col min="42" max="42" width="15.28515625" bestFit="1" customWidth="1"/>
    <col min="43" max="43" width="14.28515625" bestFit="1" customWidth="1"/>
    <col min="44" max="45" width="15.7109375" bestFit="1" customWidth="1"/>
    <col min="46" max="46" width="17.42578125" bestFit="1" customWidth="1"/>
    <col min="47" max="52" width="15.7109375" bestFit="1" customWidth="1"/>
    <col min="53" max="53" width="17.140625" bestFit="1" customWidth="1"/>
    <col min="54" max="57" width="15.7109375" bestFit="1" customWidth="1"/>
    <col min="58" max="58" width="17.42578125" bestFit="1" customWidth="1"/>
    <col min="59" max="59" width="15.7109375" bestFit="1" customWidth="1"/>
    <col min="60" max="60" width="17.42578125" bestFit="1" customWidth="1"/>
    <col min="61" max="64" width="15.7109375" bestFit="1" customWidth="1"/>
    <col min="65" max="65" width="18.85546875" bestFit="1" customWidth="1"/>
    <col min="66" max="66" width="15.7109375" bestFit="1" customWidth="1"/>
    <col min="67" max="67" width="15.28515625" bestFit="1" customWidth="1"/>
    <col min="68" max="68" width="15.7109375" bestFit="1" customWidth="1"/>
    <col min="69" max="72" width="15.28515625" bestFit="1" customWidth="1"/>
    <col min="73" max="73" width="15.7109375" bestFit="1" customWidth="1"/>
    <col min="74" max="74" width="14.85546875" bestFit="1" customWidth="1"/>
    <col min="75" max="75" width="17.42578125" bestFit="1" customWidth="1"/>
    <col min="16378" max="16384" width="2" customWidth="1"/>
  </cols>
  <sheetData>
    <row r="1" spans="2:16" x14ac:dyDescent="0.25">
      <c r="D1" s="158" t="s">
        <v>55</v>
      </c>
      <c r="E1"/>
      <c r="F1"/>
      <c r="J1" s="352"/>
      <c r="K1" s="349" t="s">
        <v>318</v>
      </c>
      <c r="L1" s="349" t="s">
        <v>319</v>
      </c>
      <c r="M1" s="349" t="s">
        <v>558</v>
      </c>
      <c r="N1" s="352" t="s">
        <v>614</v>
      </c>
    </row>
    <row r="2" spans="2:16" x14ac:dyDescent="0.25">
      <c r="D2" s="389" t="s">
        <v>318</v>
      </c>
      <c r="E2" s="389" t="s">
        <v>319</v>
      </c>
      <c r="F2" s="389" t="s">
        <v>558</v>
      </c>
      <c r="J2" s="349" t="s">
        <v>631</v>
      </c>
      <c r="K2" s="350">
        <f t="shared" ref="K2:M4" si="0">+SUMIFS($J$12:$J$81,$C$12:$C$81,K$1,$E$12:$E$81,$J2)</f>
        <v>0</v>
      </c>
      <c r="L2" s="350">
        <f t="shared" si="0"/>
        <v>-662801.88888888899</v>
      </c>
      <c r="M2" s="350">
        <f t="shared" si="0"/>
        <v>-1553832.2077922076</v>
      </c>
      <c r="N2" s="351">
        <f>+SUM(K2:M2)</f>
        <v>-2216634.0966810966</v>
      </c>
    </row>
    <row r="3" spans="2:16" x14ac:dyDescent="0.25">
      <c r="C3" s="47" t="s">
        <v>607</v>
      </c>
      <c r="D3" s="145">
        <v>4055210</v>
      </c>
      <c r="E3" s="145">
        <v>17351500</v>
      </c>
      <c r="F3" s="235">
        <v>16752900</v>
      </c>
      <c r="J3" s="349" t="s">
        <v>337</v>
      </c>
      <c r="K3" s="350">
        <f t="shared" si="0"/>
        <v>-223133.33333333349</v>
      </c>
      <c r="L3" s="350">
        <f t="shared" si="0"/>
        <v>-1889407.555555556</v>
      </c>
      <c r="M3" s="350">
        <f t="shared" si="0"/>
        <v>-801832.2077922076</v>
      </c>
      <c r="N3" s="351">
        <f>+SUM(K3:M3)</f>
        <v>-2914373.0966810971</v>
      </c>
    </row>
    <row r="4" spans="2:16" ht="45" x14ac:dyDescent="0.25">
      <c r="B4" s="311">
        <v>0.4</v>
      </c>
      <c r="C4" s="307" t="s">
        <v>584</v>
      </c>
      <c r="D4" s="309">
        <f>OPEX!G27</f>
        <v>2920000</v>
      </c>
      <c r="E4" s="309" t="str">
        <f>OPEX!M22</f>
        <v>Mes</v>
      </c>
      <c r="F4"/>
      <c r="J4" s="349" t="s">
        <v>338</v>
      </c>
      <c r="K4" s="350">
        <f t="shared" si="0"/>
        <v>-1119266.666666667</v>
      </c>
      <c r="L4" s="350">
        <f t="shared" si="0"/>
        <v>240392.44444444403</v>
      </c>
      <c r="M4" s="350">
        <f t="shared" si="0"/>
        <v>536167.7922077924</v>
      </c>
      <c r="N4" s="351">
        <f>+SUM(K4:M4)</f>
        <v>-342706.43001443055</v>
      </c>
    </row>
    <row r="5" spans="2:16" ht="30.75" x14ac:dyDescent="0.3">
      <c r="B5" s="313">
        <v>0.6</v>
      </c>
      <c r="C5" s="310" t="s">
        <v>583</v>
      </c>
      <c r="D5" s="5" t="e">
        <f>OPEX!#REF!</f>
        <v>#REF!</v>
      </c>
      <c r="E5" s="5" t="e">
        <f>OPEX!#REF!</f>
        <v>#REF!</v>
      </c>
      <c r="F5"/>
      <c r="J5" s="352" t="s">
        <v>614</v>
      </c>
      <c r="K5" s="351">
        <f>+SUM(K2:K4)</f>
        <v>-1342400.0000000005</v>
      </c>
      <c r="L5" s="351">
        <f t="shared" ref="L5:M5" si="1">+SUM(L2:L4)</f>
        <v>-2311817.0000000009</v>
      </c>
      <c r="M5" s="351">
        <f t="shared" si="1"/>
        <v>-1819496.6233766228</v>
      </c>
      <c r="N5" s="353">
        <f>+SUM(N2:N4)</f>
        <v>-5473713.6233766237</v>
      </c>
    </row>
    <row r="6" spans="2:16" ht="15.75" thickBot="1" x14ac:dyDescent="0.3">
      <c r="D6" s="146" t="e">
        <f>OPEX!#REF!</f>
        <v>#REF!</v>
      </c>
      <c r="E6" s="146" t="e">
        <f>OPEX!#REF!</f>
        <v>#REF!</v>
      </c>
      <c r="F6"/>
    </row>
    <row r="7" spans="2:16" ht="15.75" thickTop="1" x14ac:dyDescent="0.25">
      <c r="D7" s="1" t="e">
        <f>+D3-D6</f>
        <v>#REF!</v>
      </c>
      <c r="E7" s="1" t="e">
        <f>+E3-E6</f>
        <v>#REF!</v>
      </c>
      <c r="F7"/>
    </row>
    <row r="8" spans="2:16" x14ac:dyDescent="0.25">
      <c r="F8"/>
      <c r="G8" s="1"/>
    </row>
    <row r="9" spans="2:16" x14ac:dyDescent="0.25">
      <c r="C9" s="158" t="s">
        <v>625</v>
      </c>
      <c r="D9" t="s">
        <v>624</v>
      </c>
      <c r="G9" s="9"/>
      <c r="H9" s="208"/>
      <c r="I9" s="133"/>
    </row>
    <row r="10" spans="2:16" x14ac:dyDescent="0.25">
      <c r="D10"/>
      <c r="G10" s="208">
        <f>+G12/I12</f>
        <v>0.62856494225148263</v>
      </c>
      <c r="H10" s="208">
        <f>+H12/I12</f>
        <v>0.37143505774851721</v>
      </c>
    </row>
    <row r="11" spans="2:16" ht="30" x14ac:dyDescent="0.25">
      <c r="C11" s="321" t="s">
        <v>55</v>
      </c>
      <c r="D11" s="321" t="s">
        <v>316</v>
      </c>
      <c r="E11" s="321" t="s">
        <v>611</v>
      </c>
      <c r="F11" s="323" t="s">
        <v>612</v>
      </c>
      <c r="G11" s="346" t="s">
        <v>606</v>
      </c>
      <c r="H11" s="347" t="s">
        <v>613</v>
      </c>
      <c r="I11" s="345" t="s">
        <v>629</v>
      </c>
      <c r="J11" s="348" t="s">
        <v>630</v>
      </c>
      <c r="K11" s="324" t="s">
        <v>608</v>
      </c>
      <c r="L11" s="324" t="s">
        <v>609</v>
      </c>
      <c r="M11" s="322" t="s">
        <v>610</v>
      </c>
      <c r="N11" s="324" t="s">
        <v>55</v>
      </c>
      <c r="P11" s="159"/>
    </row>
    <row r="12" spans="2:16" outlineLevel="1" x14ac:dyDescent="0.25">
      <c r="B12" s="123"/>
      <c r="C12" s="389" t="s">
        <v>318</v>
      </c>
      <c r="D12" s="47">
        <v>22</v>
      </c>
      <c r="E12" s="159" t="s">
        <v>338</v>
      </c>
      <c r="F12" s="145">
        <v>572000</v>
      </c>
      <c r="G12" s="9">
        <f>'PE (3)'!$C$8</f>
        <v>738333.33333333337</v>
      </c>
      <c r="H12" s="46">
        <f>'PE (3)'!$C$22</f>
        <v>436300</v>
      </c>
      <c r="I12" s="46">
        <f t="shared" ref="I12:I17" si="2">+G12+H12</f>
        <v>1174633.3333333335</v>
      </c>
      <c r="J12" s="318">
        <f t="shared" ref="J12:J23" si="3">+F12-I12</f>
        <v>-602633.33333333349</v>
      </c>
      <c r="K12" s="320">
        <f>+J12</f>
        <v>-602633.33333333349</v>
      </c>
      <c r="L12" s="123" t="str">
        <f t="shared" ref="L12:L29" si="4">+E12</f>
        <v>domingo</v>
      </c>
      <c r="M12" s="318">
        <f>+F12-G12</f>
        <v>-166333.33333333337</v>
      </c>
      <c r="N12" s="318" t="str">
        <f>+C12</f>
        <v>sep</v>
      </c>
    </row>
    <row r="13" spans="2:16" outlineLevel="1" x14ac:dyDescent="0.25">
      <c r="C13" s="389" t="s">
        <v>318</v>
      </c>
      <c r="D13" s="47">
        <v>28</v>
      </c>
      <c r="E13" s="159" t="s">
        <v>337</v>
      </c>
      <c r="F13" s="145">
        <v>951500</v>
      </c>
      <c r="G13" s="9">
        <f>'PE (3)'!$C$8</f>
        <v>738333.33333333337</v>
      </c>
      <c r="H13" s="46">
        <f>'PE (3)'!$C$22</f>
        <v>436300</v>
      </c>
      <c r="I13" s="46">
        <f t="shared" si="2"/>
        <v>1174633.3333333335</v>
      </c>
      <c r="J13" s="318">
        <f t="shared" si="3"/>
        <v>-223133.33333333349</v>
      </c>
      <c r="K13" s="320">
        <f t="shared" ref="K13:K29" si="5">+J13+K12</f>
        <v>-825766.66666666698</v>
      </c>
      <c r="L13" s="123" t="str">
        <f t="shared" si="4"/>
        <v>sábado</v>
      </c>
      <c r="M13" s="318">
        <f t="shared" ref="M13:M29" si="6">+F13-G13</f>
        <v>213166.66666666663</v>
      </c>
      <c r="N13" s="318" t="str">
        <f t="shared" ref="N13:N29" si="7">+C13</f>
        <v>sep</v>
      </c>
    </row>
    <row r="14" spans="2:16" outlineLevel="1" x14ac:dyDescent="0.25">
      <c r="C14" s="389" t="s">
        <v>318</v>
      </c>
      <c r="D14" s="47">
        <v>29</v>
      </c>
      <c r="E14" s="159" t="s">
        <v>338</v>
      </c>
      <c r="F14" s="145">
        <v>658000</v>
      </c>
      <c r="G14" s="9">
        <f>'PE (3)'!$C$8</f>
        <v>738333.33333333337</v>
      </c>
      <c r="H14" s="46">
        <f>'PE (3)'!$C$22</f>
        <v>436300</v>
      </c>
      <c r="I14" s="46">
        <f t="shared" si="2"/>
        <v>1174633.3333333335</v>
      </c>
      <c r="J14" s="318">
        <f t="shared" si="3"/>
        <v>-516633.33333333349</v>
      </c>
      <c r="K14" s="320">
        <f t="shared" si="5"/>
        <v>-1342400.0000000005</v>
      </c>
      <c r="L14" s="123" t="str">
        <f t="shared" si="4"/>
        <v>domingo</v>
      </c>
      <c r="M14" s="318">
        <f t="shared" si="6"/>
        <v>-80333.333333333372</v>
      </c>
      <c r="N14" s="318" t="str">
        <f t="shared" si="7"/>
        <v>sep</v>
      </c>
    </row>
    <row r="15" spans="2:16" outlineLevel="1" x14ac:dyDescent="0.25">
      <c r="C15" s="389" t="s">
        <v>319</v>
      </c>
      <c r="D15" s="47">
        <v>5</v>
      </c>
      <c r="E15" s="159" t="s">
        <v>337</v>
      </c>
      <c r="F15" s="145">
        <v>1210300</v>
      </c>
      <c r="G15" s="9">
        <f>'PE (3)'!$G$8</f>
        <v>668041.88888888888</v>
      </c>
      <c r="H15" s="46">
        <f>'PE (3)'!$G$22</f>
        <v>616760</v>
      </c>
      <c r="I15" s="46">
        <f t="shared" si="2"/>
        <v>1284801.888888889</v>
      </c>
      <c r="J15" s="318">
        <f t="shared" si="3"/>
        <v>-74501.888888888992</v>
      </c>
      <c r="K15" s="320">
        <f t="shared" si="5"/>
        <v>-1416901.8888888895</v>
      </c>
      <c r="L15" s="123" t="str">
        <f t="shared" si="4"/>
        <v>sábado</v>
      </c>
      <c r="M15" s="318">
        <f t="shared" si="6"/>
        <v>542258.11111111112</v>
      </c>
      <c r="N15" s="318" t="str">
        <f t="shared" si="7"/>
        <v>oct</v>
      </c>
    </row>
    <row r="16" spans="2:16" outlineLevel="1" x14ac:dyDescent="0.25">
      <c r="C16" s="389" t="s">
        <v>319</v>
      </c>
      <c r="D16" s="47">
        <v>6</v>
      </c>
      <c r="E16" s="159" t="s">
        <v>338</v>
      </c>
      <c r="F16" s="145">
        <v>1345600</v>
      </c>
      <c r="G16" s="9">
        <f>'PE (3)'!$G$8</f>
        <v>668041.88888888888</v>
      </c>
      <c r="H16" s="46">
        <f>'PE (3)'!$G$22</f>
        <v>616760</v>
      </c>
      <c r="I16" s="46">
        <f t="shared" si="2"/>
        <v>1284801.888888889</v>
      </c>
      <c r="J16" s="318">
        <f t="shared" si="3"/>
        <v>60798.111111111008</v>
      </c>
      <c r="K16" s="320">
        <f t="shared" si="5"/>
        <v>-1356103.7777777785</v>
      </c>
      <c r="L16" s="123" t="str">
        <f t="shared" si="4"/>
        <v>domingo</v>
      </c>
      <c r="M16" s="318">
        <f t="shared" si="6"/>
        <v>677558.11111111112</v>
      </c>
      <c r="N16" s="318" t="str">
        <f t="shared" si="7"/>
        <v>oct</v>
      </c>
    </row>
    <row r="17" spans="2:16" outlineLevel="1" x14ac:dyDescent="0.25">
      <c r="C17" s="389" t="s">
        <v>319</v>
      </c>
      <c r="D17" s="47">
        <v>12</v>
      </c>
      <c r="E17" s="159" t="s">
        <v>337</v>
      </c>
      <c r="F17" s="145">
        <v>664500</v>
      </c>
      <c r="G17" s="9">
        <f>'PE (3)'!$G$8</f>
        <v>668041.88888888888</v>
      </c>
      <c r="H17" s="46">
        <f>'PE (3)'!$G$22</f>
        <v>616760</v>
      </c>
      <c r="I17" s="46">
        <f t="shared" si="2"/>
        <v>1284801.888888889</v>
      </c>
      <c r="J17" s="318">
        <f t="shared" si="3"/>
        <v>-620301.88888888899</v>
      </c>
      <c r="K17" s="320">
        <f t="shared" si="5"/>
        <v>-1976405.6666666674</v>
      </c>
      <c r="L17" s="123" t="str">
        <f t="shared" si="4"/>
        <v>sábado</v>
      </c>
      <c r="M17" s="318">
        <f t="shared" si="6"/>
        <v>-3541.888888888876</v>
      </c>
      <c r="N17" s="318" t="str">
        <f t="shared" si="7"/>
        <v>oct</v>
      </c>
    </row>
    <row r="18" spans="2:16" outlineLevel="1" x14ac:dyDescent="0.25">
      <c r="C18" s="389" t="s">
        <v>319</v>
      </c>
      <c r="D18" s="47">
        <v>13</v>
      </c>
      <c r="E18" s="159" t="s">
        <v>338</v>
      </c>
      <c r="F18" s="145">
        <v>1283500</v>
      </c>
      <c r="G18" s="9">
        <f>'PE (3)'!$G$8</f>
        <v>668041.88888888888</v>
      </c>
      <c r="H18" s="46">
        <f>'PE (3)'!$G$22</f>
        <v>616760</v>
      </c>
      <c r="I18" s="46">
        <f t="shared" ref="I18:I29" si="8">+G18+H18</f>
        <v>1284801.888888889</v>
      </c>
      <c r="J18" s="318">
        <f t="shared" si="3"/>
        <v>-1301.8888888889924</v>
      </c>
      <c r="K18" s="320">
        <f t="shared" si="5"/>
        <v>-1977707.5555555564</v>
      </c>
      <c r="L18" s="123" t="str">
        <f t="shared" si="4"/>
        <v>domingo</v>
      </c>
      <c r="M18" s="318">
        <f t="shared" si="6"/>
        <v>615458.11111111112</v>
      </c>
      <c r="N18" s="318" t="str">
        <f t="shared" si="7"/>
        <v>oct</v>
      </c>
    </row>
    <row r="19" spans="2:16" outlineLevel="1" x14ac:dyDescent="0.25">
      <c r="C19" s="389" t="s">
        <v>319</v>
      </c>
      <c r="D19" s="47">
        <v>14</v>
      </c>
      <c r="E19" s="159" t="s">
        <v>332</v>
      </c>
      <c r="F19" s="145">
        <v>622000</v>
      </c>
      <c r="G19" s="9">
        <f>'PE (3)'!$G$8</f>
        <v>668041.88888888888</v>
      </c>
      <c r="H19" s="46">
        <f>'PE (3)'!$G$22</f>
        <v>616760</v>
      </c>
      <c r="I19" s="46">
        <f t="shared" si="8"/>
        <v>1284801.888888889</v>
      </c>
      <c r="J19" s="318">
        <f t="shared" si="3"/>
        <v>-662801.88888888899</v>
      </c>
      <c r="K19" s="320">
        <f t="shared" si="5"/>
        <v>-2640509.4444444454</v>
      </c>
      <c r="L19" s="123" t="str">
        <f t="shared" si="4"/>
        <v>lunes</v>
      </c>
      <c r="M19" s="318">
        <f t="shared" si="6"/>
        <v>-46041.888888888876</v>
      </c>
      <c r="N19" s="318" t="str">
        <f t="shared" si="7"/>
        <v>oct</v>
      </c>
      <c r="P19" s="159"/>
    </row>
    <row r="20" spans="2:16" outlineLevel="1" x14ac:dyDescent="0.25">
      <c r="C20" s="389" t="s">
        <v>319</v>
      </c>
      <c r="D20" s="47">
        <v>19</v>
      </c>
      <c r="E20" s="159" t="s">
        <v>337</v>
      </c>
      <c r="F20" s="145">
        <v>720000</v>
      </c>
      <c r="G20" s="9">
        <f>'PE (3)'!$G$8</f>
        <v>668041.88888888888</v>
      </c>
      <c r="H20" s="46">
        <f>'PE (3)'!$G$22</f>
        <v>616760</v>
      </c>
      <c r="I20" s="46">
        <f t="shared" si="8"/>
        <v>1284801.888888889</v>
      </c>
      <c r="J20" s="318">
        <f t="shared" si="3"/>
        <v>-564801.88888888899</v>
      </c>
      <c r="K20" s="320">
        <f t="shared" si="5"/>
        <v>-3205311.3333333344</v>
      </c>
      <c r="L20" s="123" t="str">
        <f t="shared" si="4"/>
        <v>sábado</v>
      </c>
      <c r="M20" s="318">
        <f t="shared" si="6"/>
        <v>51958.111111111124</v>
      </c>
      <c r="N20" s="318" t="str">
        <f t="shared" si="7"/>
        <v>oct</v>
      </c>
      <c r="P20" s="159"/>
    </row>
    <row r="21" spans="2:16" x14ac:dyDescent="0.25">
      <c r="C21" s="389" t="s">
        <v>319</v>
      </c>
      <c r="D21" s="47">
        <v>20</v>
      </c>
      <c r="E21" s="159" t="s">
        <v>338</v>
      </c>
      <c r="F21" s="145">
        <v>1550500</v>
      </c>
      <c r="G21" s="9">
        <f>'PE (3)'!$G$8</f>
        <v>668041.88888888888</v>
      </c>
      <c r="H21" s="46">
        <f>'PE (3)'!$G$22</f>
        <v>616760</v>
      </c>
      <c r="I21" s="46">
        <f>+G21+H21</f>
        <v>1284801.888888889</v>
      </c>
      <c r="J21" s="318">
        <f t="shared" si="3"/>
        <v>265698.11111111101</v>
      </c>
      <c r="K21" s="320">
        <f t="shared" si="5"/>
        <v>-2939613.2222222234</v>
      </c>
      <c r="L21" s="123" t="str">
        <f t="shared" si="4"/>
        <v>domingo</v>
      </c>
      <c r="M21" s="318">
        <f t="shared" si="6"/>
        <v>882458.11111111112</v>
      </c>
      <c r="N21" s="318" t="str">
        <f t="shared" si="7"/>
        <v>oct</v>
      </c>
      <c r="P21" s="159"/>
    </row>
    <row r="22" spans="2:16" x14ac:dyDescent="0.25">
      <c r="C22" s="389" t="s">
        <v>319</v>
      </c>
      <c r="D22" s="47">
        <v>26</v>
      </c>
      <c r="E22" s="159" t="s">
        <v>337</v>
      </c>
      <c r="F22" s="145">
        <v>655000</v>
      </c>
      <c r="G22" s="9">
        <f>'PE (3)'!$G$8</f>
        <v>668041.88888888888</v>
      </c>
      <c r="H22" s="46">
        <f>'PE (3)'!$G$22</f>
        <v>616760</v>
      </c>
      <c r="I22" s="46">
        <f t="shared" si="8"/>
        <v>1284801.888888889</v>
      </c>
      <c r="J22" s="318">
        <f t="shared" si="3"/>
        <v>-629801.88888888899</v>
      </c>
      <c r="K22" s="320">
        <f t="shared" si="5"/>
        <v>-3569415.1111111124</v>
      </c>
      <c r="L22" s="123" t="str">
        <f t="shared" si="4"/>
        <v>sábado</v>
      </c>
      <c r="M22" s="318">
        <f t="shared" si="6"/>
        <v>-13041.888888888876</v>
      </c>
      <c r="N22" s="318" t="str">
        <f t="shared" si="7"/>
        <v>oct</v>
      </c>
      <c r="P22" s="159"/>
    </row>
    <row r="23" spans="2:16" x14ac:dyDescent="0.25">
      <c r="C23" s="389" t="s">
        <v>319</v>
      </c>
      <c r="D23" s="47">
        <v>27</v>
      </c>
      <c r="E23" s="159" t="s">
        <v>338</v>
      </c>
      <c r="F23" s="145">
        <v>1200000</v>
      </c>
      <c r="G23" s="9">
        <f>'PE (3)'!$G$8</f>
        <v>668041.88888888888</v>
      </c>
      <c r="H23" s="46">
        <f>'PE (3)'!$G$22</f>
        <v>616760</v>
      </c>
      <c r="I23" s="46">
        <f t="shared" si="8"/>
        <v>1284801.888888889</v>
      </c>
      <c r="J23" s="318">
        <f t="shared" si="3"/>
        <v>-84801.888888888992</v>
      </c>
      <c r="K23" s="320">
        <f t="shared" si="5"/>
        <v>-3654217.0000000014</v>
      </c>
      <c r="L23" s="123" t="str">
        <f t="shared" si="4"/>
        <v>domingo</v>
      </c>
      <c r="M23" s="318">
        <f t="shared" si="6"/>
        <v>531958.11111111112</v>
      </c>
      <c r="N23" s="318" t="str">
        <f t="shared" si="7"/>
        <v>oct</v>
      </c>
      <c r="P23" s="159"/>
    </row>
    <row r="24" spans="2:16" x14ac:dyDescent="0.25">
      <c r="C24" s="389" t="s">
        <v>558</v>
      </c>
      <c r="D24" s="47">
        <v>2</v>
      </c>
      <c r="E24" s="159" t="s">
        <v>337</v>
      </c>
      <c r="F24" s="145">
        <v>500000</v>
      </c>
      <c r="G24" s="9">
        <f>'PE (3)'!$K$8</f>
        <v>458181.81818181818</v>
      </c>
      <c r="H24" s="46">
        <f>'PE (3)'!$K$22</f>
        <v>968734.28571428568</v>
      </c>
      <c r="I24" s="46">
        <f t="shared" si="8"/>
        <v>1426916.1038961038</v>
      </c>
      <c r="J24" s="318">
        <f t="shared" ref="J24:J29" si="9">+F24-I24</f>
        <v>-926916.1038961038</v>
      </c>
      <c r="K24" s="320">
        <f t="shared" si="5"/>
        <v>-4581133.1038961057</v>
      </c>
      <c r="L24" s="123" t="str">
        <f t="shared" si="4"/>
        <v>sábado</v>
      </c>
      <c r="M24" s="318">
        <f t="shared" si="6"/>
        <v>41818.181818181823</v>
      </c>
      <c r="N24" s="318" t="str">
        <f t="shared" si="7"/>
        <v>nov</v>
      </c>
      <c r="P24" s="159"/>
    </row>
    <row r="25" spans="2:16" x14ac:dyDescent="0.25">
      <c r="C25" s="389" t="s">
        <v>558</v>
      </c>
      <c r="D25" s="47">
        <v>3</v>
      </c>
      <c r="E25" s="159" t="s">
        <v>338</v>
      </c>
      <c r="F25" s="145">
        <v>1700000</v>
      </c>
      <c r="G25" s="9">
        <f>'PE (3)'!$K$8</f>
        <v>458181.81818181818</v>
      </c>
      <c r="H25" s="46">
        <f>'PE (3)'!$K$22</f>
        <v>968734.28571428568</v>
      </c>
      <c r="I25" s="46">
        <f t="shared" si="8"/>
        <v>1426916.1038961038</v>
      </c>
      <c r="J25" s="318">
        <f t="shared" si="9"/>
        <v>273083.8961038962</v>
      </c>
      <c r="K25" s="320">
        <f t="shared" si="5"/>
        <v>-4308049.2077922095</v>
      </c>
      <c r="L25" s="123" t="str">
        <f t="shared" si="4"/>
        <v>domingo</v>
      </c>
      <c r="M25" s="318">
        <f t="shared" si="6"/>
        <v>1241818.1818181819</v>
      </c>
      <c r="N25" s="318" t="str">
        <f t="shared" si="7"/>
        <v>nov</v>
      </c>
      <c r="P25" s="159"/>
    </row>
    <row r="26" spans="2:16" x14ac:dyDescent="0.25">
      <c r="C26" s="389" t="s">
        <v>558</v>
      </c>
      <c r="D26" s="47">
        <v>4</v>
      </c>
      <c r="E26" s="159" t="s">
        <v>332</v>
      </c>
      <c r="F26" s="145">
        <v>600000</v>
      </c>
      <c r="G26" s="9">
        <f>'PE (3)'!$K$8</f>
        <v>458181.81818181818</v>
      </c>
      <c r="H26" s="46">
        <f>'PE (3)'!$K$22</f>
        <v>968734.28571428568</v>
      </c>
      <c r="I26" s="46">
        <f t="shared" si="8"/>
        <v>1426916.1038961038</v>
      </c>
      <c r="J26" s="318">
        <f t="shared" si="9"/>
        <v>-826916.1038961038</v>
      </c>
      <c r="K26" s="320">
        <f t="shared" si="5"/>
        <v>-5134965.3116883133</v>
      </c>
      <c r="L26" s="123" t="str">
        <f t="shared" si="4"/>
        <v>lunes</v>
      </c>
      <c r="M26" s="318">
        <f t="shared" si="6"/>
        <v>141818.18181818182</v>
      </c>
      <c r="N26" s="318" t="str">
        <f t="shared" si="7"/>
        <v>nov</v>
      </c>
      <c r="P26" s="159"/>
    </row>
    <row r="27" spans="2:16" x14ac:dyDescent="0.25">
      <c r="C27" s="389" t="s">
        <v>558</v>
      </c>
      <c r="D27" s="47">
        <v>9</v>
      </c>
      <c r="E27" s="159" t="s">
        <v>337</v>
      </c>
      <c r="F27" s="145">
        <v>1552000</v>
      </c>
      <c r="G27" s="9">
        <f>'PE (3)'!$K$8</f>
        <v>458181.81818181818</v>
      </c>
      <c r="H27" s="46">
        <f>'PE (3)'!$K$22</f>
        <v>968734.28571428568</v>
      </c>
      <c r="I27" s="46">
        <f t="shared" si="8"/>
        <v>1426916.1038961038</v>
      </c>
      <c r="J27" s="318">
        <f t="shared" si="9"/>
        <v>125083.8961038962</v>
      </c>
      <c r="K27" s="320">
        <f t="shared" si="5"/>
        <v>-5009881.4155844171</v>
      </c>
      <c r="L27" s="123" t="str">
        <f t="shared" si="4"/>
        <v>sábado</v>
      </c>
      <c r="M27" s="318">
        <f t="shared" si="6"/>
        <v>1093818.1818181819</v>
      </c>
      <c r="N27" s="318" t="str">
        <f t="shared" si="7"/>
        <v>nov</v>
      </c>
      <c r="P27" s="159"/>
    </row>
    <row r="28" spans="2:16" x14ac:dyDescent="0.25">
      <c r="C28" s="389" t="s">
        <v>558</v>
      </c>
      <c r="D28" s="47">
        <v>10</v>
      </c>
      <c r="E28" s="159" t="s">
        <v>338</v>
      </c>
      <c r="F28" s="145">
        <v>1690000</v>
      </c>
      <c r="G28" s="9">
        <f>'PE (3)'!$K$8</f>
        <v>458181.81818181818</v>
      </c>
      <c r="H28" s="46">
        <f>'PE (3)'!$K$22</f>
        <v>968734.28571428568</v>
      </c>
      <c r="I28" s="46">
        <f t="shared" si="8"/>
        <v>1426916.1038961038</v>
      </c>
      <c r="J28" s="318">
        <f t="shared" si="9"/>
        <v>263083.8961038962</v>
      </c>
      <c r="K28" s="320">
        <f t="shared" si="5"/>
        <v>-4746797.5194805209</v>
      </c>
      <c r="L28" s="123" t="str">
        <f t="shared" si="4"/>
        <v>domingo</v>
      </c>
      <c r="M28" s="318">
        <f t="shared" si="6"/>
        <v>1231818.1818181819</v>
      </c>
      <c r="N28" s="318" t="str">
        <f t="shared" si="7"/>
        <v>nov</v>
      </c>
      <c r="P28" s="159"/>
    </row>
    <row r="29" spans="2:16" x14ac:dyDescent="0.25">
      <c r="C29" s="389" t="s">
        <v>558</v>
      </c>
      <c r="D29" s="47">
        <v>11</v>
      </c>
      <c r="E29" s="159" t="s">
        <v>332</v>
      </c>
      <c r="F29" s="145">
        <v>700000</v>
      </c>
      <c r="G29" s="9">
        <f>'PE (3)'!$K$8</f>
        <v>458181.81818181818</v>
      </c>
      <c r="H29" s="46">
        <f>'PE (3)'!$K$22</f>
        <v>968734.28571428568</v>
      </c>
      <c r="I29" s="46">
        <f t="shared" si="8"/>
        <v>1426916.1038961038</v>
      </c>
      <c r="J29" s="318">
        <f t="shared" si="9"/>
        <v>-726916.1038961038</v>
      </c>
      <c r="K29" s="320">
        <f t="shared" si="5"/>
        <v>-5473713.6233766247</v>
      </c>
      <c r="L29" s="123" t="str">
        <f t="shared" si="4"/>
        <v>lunes</v>
      </c>
      <c r="M29" s="318">
        <f t="shared" si="6"/>
        <v>241818.18181818182</v>
      </c>
      <c r="N29" s="318" t="str">
        <f t="shared" si="7"/>
        <v>nov</v>
      </c>
      <c r="P29" s="159"/>
    </row>
    <row r="30" spans="2:16" x14ac:dyDescent="0.25">
      <c r="C30" s="389" t="s">
        <v>558</v>
      </c>
      <c r="D30" s="47">
        <v>16</v>
      </c>
      <c r="E30" s="159" t="s">
        <v>337</v>
      </c>
      <c r="F30" s="145">
        <v>811500</v>
      </c>
      <c r="G30" s="9"/>
      <c r="H30" s="101"/>
      <c r="I30" s="46"/>
      <c r="K30" s="320"/>
      <c r="L30" s="123"/>
      <c r="M30" s="318"/>
      <c r="N30" s="318"/>
      <c r="P30" s="159"/>
    </row>
    <row r="31" spans="2:16" x14ac:dyDescent="0.25">
      <c r="B31" s="199"/>
      <c r="C31" s="389" t="s">
        <v>558</v>
      </c>
      <c r="D31" s="47">
        <v>17</v>
      </c>
      <c r="E31" s="159" t="s">
        <v>338</v>
      </c>
      <c r="F31" s="145">
        <v>1300900</v>
      </c>
      <c r="G31" s="9"/>
      <c r="H31" s="101"/>
      <c r="I31" s="46"/>
      <c r="K31" s="320"/>
      <c r="L31" s="123"/>
      <c r="M31" s="318"/>
      <c r="N31" s="318"/>
      <c r="P31" s="159"/>
    </row>
    <row r="32" spans="2:16" x14ac:dyDescent="0.25">
      <c r="C32" s="389" t="s">
        <v>558</v>
      </c>
      <c r="D32" s="47">
        <v>23</v>
      </c>
      <c r="E32" s="159" t="s">
        <v>337</v>
      </c>
      <c r="F32" s="145">
        <v>587500</v>
      </c>
      <c r="G32" s="9"/>
      <c r="H32" s="101"/>
      <c r="I32" s="46"/>
      <c r="K32" s="320"/>
      <c r="L32" s="123"/>
      <c r="M32" s="318"/>
      <c r="N32" s="318"/>
      <c r="P32" s="159"/>
    </row>
    <row r="33" spans="3:16" x14ac:dyDescent="0.25">
      <c r="C33" s="389" t="s">
        <v>558</v>
      </c>
      <c r="D33" s="47">
        <v>24</v>
      </c>
      <c r="E33" s="159" t="s">
        <v>338</v>
      </c>
      <c r="F33" s="145">
        <v>960000</v>
      </c>
      <c r="G33" s="9"/>
      <c r="H33" s="101"/>
      <c r="I33" s="46"/>
      <c r="K33" s="320"/>
      <c r="L33" s="123"/>
      <c r="M33" s="318"/>
      <c r="N33" s="318"/>
      <c r="P33" s="159"/>
    </row>
    <row r="34" spans="3:16" x14ac:dyDescent="0.25">
      <c r="C34" s="389" t="s">
        <v>558</v>
      </c>
      <c r="D34" s="47">
        <v>30</v>
      </c>
      <c r="E34" s="159" t="s">
        <v>337</v>
      </c>
      <c r="F34" s="145">
        <v>900000</v>
      </c>
      <c r="G34" s="9"/>
      <c r="H34" s="101"/>
      <c r="I34" s="46"/>
      <c r="K34" s="320"/>
      <c r="L34" s="123"/>
      <c r="M34" s="318"/>
      <c r="N34" s="318"/>
      <c r="P34" s="159"/>
    </row>
    <row r="35" spans="3:16" x14ac:dyDescent="0.25">
      <c r="D35"/>
      <c r="E35"/>
      <c r="F35"/>
      <c r="G35" s="9"/>
      <c r="H35" s="101"/>
      <c r="I35" s="46"/>
      <c r="K35" s="320"/>
      <c r="L35" s="123"/>
      <c r="M35" s="318"/>
      <c r="N35" s="318"/>
      <c r="P35" s="159"/>
    </row>
    <row r="36" spans="3:16" x14ac:dyDescent="0.25">
      <c r="D36"/>
      <c r="E36"/>
      <c r="F36"/>
      <c r="G36" s="9"/>
      <c r="H36" s="101"/>
      <c r="I36" s="46"/>
      <c r="K36" s="320"/>
      <c r="L36" s="123"/>
      <c r="M36" s="318"/>
      <c r="N36" s="318"/>
      <c r="P36" s="159"/>
    </row>
    <row r="37" spans="3:16" x14ac:dyDescent="0.25">
      <c r="D37"/>
      <c r="E37"/>
      <c r="F37"/>
      <c r="G37" s="9"/>
      <c r="H37" s="101"/>
      <c r="I37" s="46"/>
      <c r="K37" s="320"/>
      <c r="L37" s="123"/>
      <c r="M37" s="318"/>
      <c r="N37" s="318"/>
      <c r="P37" s="159"/>
    </row>
    <row r="38" spans="3:16" x14ac:dyDescent="0.25">
      <c r="D38"/>
      <c r="E38"/>
      <c r="F38"/>
      <c r="G38" s="9"/>
      <c r="H38" s="101"/>
      <c r="I38" s="46"/>
      <c r="K38" s="320"/>
      <c r="L38" s="123"/>
      <c r="M38" s="318"/>
      <c r="N38" s="318"/>
      <c r="P38" s="159"/>
    </row>
    <row r="39" spans="3:16" x14ac:dyDescent="0.25">
      <c r="D39"/>
      <c r="E39"/>
      <c r="F39"/>
      <c r="G39" s="9"/>
      <c r="H39" s="101"/>
      <c r="I39" s="46"/>
      <c r="K39" s="320"/>
      <c r="L39" s="123"/>
      <c r="M39" s="318"/>
      <c r="N39" s="318"/>
      <c r="P39" s="159"/>
    </row>
    <row r="40" spans="3:16" x14ac:dyDescent="0.25">
      <c r="D40"/>
      <c r="E40"/>
      <c r="F40"/>
      <c r="G40" s="9"/>
      <c r="H40" s="101"/>
      <c r="I40" s="46"/>
      <c r="K40" s="320"/>
      <c r="L40" s="123"/>
      <c r="M40" s="318"/>
      <c r="N40" s="318"/>
      <c r="P40" s="159"/>
    </row>
    <row r="41" spans="3:16" x14ac:dyDescent="0.25">
      <c r="D41"/>
      <c r="E41"/>
      <c r="F41"/>
      <c r="G41" s="9"/>
      <c r="H41" s="101"/>
      <c r="I41" s="46"/>
      <c r="K41" s="320"/>
      <c r="L41" s="123"/>
      <c r="M41" s="318"/>
      <c r="N41" s="318"/>
      <c r="P41" s="159"/>
    </row>
    <row r="42" spans="3:16" x14ac:dyDescent="0.25">
      <c r="D42"/>
      <c r="E42"/>
      <c r="F42"/>
      <c r="G42" s="9"/>
      <c r="H42" s="101"/>
      <c r="I42" s="46"/>
      <c r="K42" s="320"/>
      <c r="L42" s="123"/>
      <c r="M42" s="318"/>
      <c r="N42" s="318"/>
      <c r="P42" s="159"/>
    </row>
    <row r="43" spans="3:16" x14ac:dyDescent="0.25">
      <c r="D43"/>
      <c r="E43"/>
      <c r="F43"/>
      <c r="G43" s="9"/>
      <c r="H43" s="101"/>
      <c r="I43" s="46"/>
      <c r="K43" s="320"/>
      <c r="L43" s="123"/>
      <c r="M43" s="318"/>
      <c r="N43" s="318"/>
      <c r="P43" s="159"/>
    </row>
    <row r="44" spans="3:16" x14ac:dyDescent="0.25">
      <c r="D44"/>
      <c r="E44"/>
      <c r="F44"/>
      <c r="G44" s="9"/>
      <c r="H44" s="101"/>
      <c r="I44" s="46"/>
      <c r="K44" s="320"/>
      <c r="L44" s="123"/>
      <c r="M44" s="318"/>
      <c r="N44" s="318"/>
      <c r="P44" s="159"/>
    </row>
    <row r="45" spans="3:16" x14ac:dyDescent="0.25">
      <c r="D45"/>
      <c r="E45"/>
      <c r="F45"/>
      <c r="G45" s="9"/>
      <c r="H45" s="101"/>
      <c r="I45" s="46"/>
      <c r="K45" s="320"/>
      <c r="L45" s="123"/>
      <c r="M45" s="318"/>
      <c r="N45" s="318"/>
      <c r="P45" s="159"/>
    </row>
    <row r="46" spans="3:16" x14ac:dyDescent="0.25">
      <c r="D46"/>
      <c r="E46"/>
      <c r="F46"/>
      <c r="G46" s="9"/>
      <c r="H46" s="101"/>
      <c r="I46" s="46"/>
      <c r="K46" s="320"/>
      <c r="L46" s="123"/>
      <c r="M46" s="318"/>
      <c r="N46" s="318"/>
      <c r="P46" s="159"/>
    </row>
    <row r="47" spans="3:16" x14ac:dyDescent="0.25">
      <c r="D47"/>
      <c r="E47"/>
      <c r="F47"/>
      <c r="G47" s="9"/>
      <c r="H47" s="101"/>
      <c r="I47" s="46"/>
      <c r="K47" s="320"/>
      <c r="L47" s="123"/>
      <c r="M47" s="318"/>
      <c r="N47" s="318"/>
      <c r="P47" s="159"/>
    </row>
    <row r="48" spans="3:16" x14ac:dyDescent="0.25">
      <c r="D48"/>
      <c r="E48"/>
      <c r="F48"/>
      <c r="G48" s="9"/>
      <c r="H48" s="101"/>
      <c r="I48" s="46"/>
      <c r="K48" s="320"/>
      <c r="L48" s="123"/>
      <c r="M48" s="318"/>
      <c r="N48" s="318"/>
      <c r="P48" s="159"/>
    </row>
    <row r="49" spans="4:16" x14ac:dyDescent="0.25">
      <c r="D49"/>
      <c r="E49"/>
      <c r="F49"/>
      <c r="G49" s="9"/>
      <c r="H49" s="101"/>
      <c r="I49" s="46"/>
      <c r="K49" s="320"/>
      <c r="L49" s="123"/>
      <c r="M49" s="318"/>
      <c r="N49" s="318"/>
      <c r="P49" s="159"/>
    </row>
    <row r="50" spans="4:16" x14ac:dyDescent="0.25">
      <c r="D50"/>
      <c r="E50"/>
      <c r="F50"/>
      <c r="G50" s="9"/>
      <c r="H50" s="101"/>
      <c r="I50" s="46"/>
      <c r="K50" s="320"/>
      <c r="L50" s="123"/>
      <c r="M50" s="318"/>
      <c r="N50" s="318"/>
      <c r="P50" s="159"/>
    </row>
    <row r="51" spans="4:16" x14ac:dyDescent="0.25">
      <c r="D51"/>
      <c r="E51"/>
      <c r="F51"/>
      <c r="G51" s="9"/>
      <c r="H51" s="101"/>
      <c r="I51" s="46"/>
      <c r="K51" s="320"/>
      <c r="L51" s="123"/>
      <c r="M51" s="318"/>
      <c r="N51" s="318"/>
      <c r="P51" s="159"/>
    </row>
    <row r="52" spans="4:16" outlineLevel="1" x14ac:dyDescent="0.25">
      <c r="D52"/>
      <c r="E52"/>
      <c r="F52"/>
      <c r="G52" s="9"/>
      <c r="I52" s="46"/>
      <c r="K52" s="320"/>
      <c r="L52" s="123"/>
      <c r="M52" s="318"/>
      <c r="N52" s="318"/>
      <c r="P52" s="159"/>
    </row>
    <row r="53" spans="4:16" outlineLevel="1" x14ac:dyDescent="0.25">
      <c r="D53"/>
      <c r="E53"/>
      <c r="F53"/>
      <c r="G53" s="9"/>
      <c r="I53" s="46"/>
      <c r="K53" s="320"/>
      <c r="L53" s="123"/>
      <c r="M53" s="318"/>
      <c r="N53" s="318"/>
      <c r="P53" s="159"/>
    </row>
    <row r="54" spans="4:16" outlineLevel="1" x14ac:dyDescent="0.25">
      <c r="D54"/>
      <c r="E54"/>
      <c r="F54"/>
      <c r="G54" s="9"/>
      <c r="I54" s="46"/>
      <c r="K54" s="320"/>
      <c r="L54" s="123"/>
      <c r="M54" s="318"/>
      <c r="N54" s="318"/>
      <c r="P54" s="159"/>
    </row>
    <row r="55" spans="4:16" outlineLevel="1" x14ac:dyDescent="0.25">
      <c r="D55"/>
      <c r="E55"/>
      <c r="F55"/>
      <c r="G55" s="9"/>
      <c r="I55" s="46"/>
      <c r="K55" s="320"/>
      <c r="L55" s="123"/>
      <c r="M55" s="318"/>
      <c r="N55" s="318"/>
      <c r="P55" s="159"/>
    </row>
    <row r="56" spans="4:16" outlineLevel="1" x14ac:dyDescent="0.25">
      <c r="D56"/>
      <c r="E56"/>
      <c r="F56"/>
      <c r="G56" s="9"/>
      <c r="I56" s="46"/>
      <c r="K56" s="320"/>
      <c r="L56" s="123"/>
      <c r="M56" s="318"/>
      <c r="N56" s="318"/>
      <c r="P56" s="159"/>
    </row>
    <row r="57" spans="4:16" outlineLevel="1" x14ac:dyDescent="0.25">
      <c r="D57"/>
      <c r="E57"/>
      <c r="F57"/>
      <c r="G57" s="9"/>
      <c r="I57" s="46"/>
      <c r="K57" s="320"/>
      <c r="L57" s="123"/>
      <c r="M57" s="318"/>
      <c r="N57" s="318"/>
      <c r="P57" s="159"/>
    </row>
    <row r="58" spans="4:16" outlineLevel="1" x14ac:dyDescent="0.25">
      <c r="D58"/>
      <c r="E58"/>
      <c r="F58"/>
      <c r="G58" s="9"/>
      <c r="I58" s="46"/>
      <c r="K58" s="320"/>
      <c r="L58" s="123"/>
      <c r="M58" s="318"/>
      <c r="N58" s="318"/>
      <c r="P58" s="159"/>
    </row>
    <row r="59" spans="4:16" outlineLevel="1" x14ac:dyDescent="0.25">
      <c r="D59"/>
      <c r="E59"/>
      <c r="F59"/>
      <c r="G59" s="9"/>
      <c r="I59" s="46"/>
      <c r="K59" s="320"/>
      <c r="L59" s="123"/>
      <c r="M59" s="318"/>
      <c r="N59" s="318"/>
      <c r="P59" s="159"/>
    </row>
    <row r="60" spans="4:16" outlineLevel="1" x14ac:dyDescent="0.25">
      <c r="D60"/>
      <c r="E60"/>
      <c r="F60"/>
      <c r="G60" s="9"/>
      <c r="I60" s="46"/>
      <c r="K60" s="320"/>
      <c r="L60" s="123"/>
      <c r="M60" s="318"/>
      <c r="N60" s="318"/>
      <c r="P60" s="159"/>
    </row>
    <row r="61" spans="4:16" outlineLevel="1" x14ac:dyDescent="0.25">
      <c r="D61"/>
      <c r="E61"/>
      <c r="F61"/>
      <c r="G61" s="9"/>
      <c r="I61" s="46"/>
      <c r="K61" s="320"/>
      <c r="L61" s="123"/>
      <c r="M61" s="318"/>
      <c r="N61" s="318"/>
      <c r="P61" s="159"/>
    </row>
    <row r="62" spans="4:16" outlineLevel="1" x14ac:dyDescent="0.25">
      <c r="D62"/>
      <c r="E62"/>
      <c r="F62"/>
      <c r="G62" s="9"/>
      <c r="I62" s="46"/>
      <c r="K62" s="320"/>
      <c r="L62" s="123"/>
      <c r="M62" s="318"/>
      <c r="N62" s="318"/>
      <c r="P62" s="159"/>
    </row>
    <row r="63" spans="4:16" outlineLevel="1" x14ac:dyDescent="0.25">
      <c r="D63"/>
      <c r="E63"/>
      <c r="F63"/>
      <c r="G63" s="9"/>
      <c r="I63" s="46"/>
      <c r="K63" s="320"/>
      <c r="L63" s="123"/>
      <c r="M63" s="318"/>
      <c r="N63" s="318"/>
      <c r="P63" s="159"/>
    </row>
    <row r="64" spans="4:16" outlineLevel="1" x14ac:dyDescent="0.25">
      <c r="D64"/>
      <c r="E64"/>
      <c r="F64"/>
      <c r="G64" s="9"/>
      <c r="I64" s="46"/>
      <c r="K64" s="320"/>
      <c r="L64" s="123"/>
      <c r="M64" s="318"/>
      <c r="N64" s="318"/>
      <c r="P64" s="159"/>
    </row>
    <row r="65" spans="4:16" outlineLevel="1" x14ac:dyDescent="0.25">
      <c r="D65"/>
      <c r="E65"/>
      <c r="F65"/>
      <c r="G65" s="9"/>
      <c r="M65" s="318"/>
      <c r="N65" s="318"/>
      <c r="P65" s="159"/>
    </row>
    <row r="66" spans="4:16" outlineLevel="1" x14ac:dyDescent="0.25">
      <c r="D66"/>
      <c r="E66"/>
      <c r="F66"/>
      <c r="G66" s="9"/>
      <c r="M66" s="318"/>
      <c r="N66" s="318"/>
      <c r="P66" s="159"/>
    </row>
    <row r="67" spans="4:16" outlineLevel="1" x14ac:dyDescent="0.25">
      <c r="D67"/>
      <c r="E67"/>
      <c r="F67"/>
      <c r="G67" s="9"/>
      <c r="M67" s="318"/>
      <c r="N67" s="318"/>
      <c r="P67" s="159"/>
    </row>
    <row r="68" spans="4:16" outlineLevel="1" x14ac:dyDescent="0.25">
      <c r="D68"/>
      <c r="E68"/>
      <c r="F68"/>
      <c r="G68" s="9"/>
      <c r="M68" s="318"/>
      <c r="N68" s="318"/>
      <c r="P68" s="159"/>
    </row>
    <row r="69" spans="4:16" outlineLevel="1" x14ac:dyDescent="0.25">
      <c r="D69"/>
      <c r="E69"/>
      <c r="F69"/>
      <c r="G69" s="9"/>
      <c r="M69" s="318"/>
      <c r="N69" s="318"/>
      <c r="P69" s="159"/>
    </row>
    <row r="70" spans="4:16" outlineLevel="1" x14ac:dyDescent="0.25">
      <c r="D70"/>
      <c r="E70"/>
      <c r="F70"/>
      <c r="G70" s="9"/>
      <c r="M70" s="318"/>
      <c r="N70" s="318"/>
      <c r="P70" s="159"/>
    </row>
    <row r="71" spans="4:16" outlineLevel="1" x14ac:dyDescent="0.25">
      <c r="D71"/>
      <c r="E71"/>
      <c r="F71"/>
      <c r="G71" s="9"/>
      <c r="M71" s="318"/>
      <c r="N71" s="318"/>
      <c r="P71" s="159"/>
    </row>
    <row r="72" spans="4:16" outlineLevel="1" x14ac:dyDescent="0.25">
      <c r="D72"/>
      <c r="E72"/>
      <c r="F72"/>
      <c r="G72" s="9"/>
      <c r="M72" s="318"/>
      <c r="N72" s="318"/>
      <c r="P72" s="159"/>
    </row>
    <row r="73" spans="4:16" outlineLevel="1" x14ac:dyDescent="0.25">
      <c r="D73"/>
      <c r="E73"/>
      <c r="F73"/>
      <c r="G73" s="9"/>
      <c r="M73" s="318"/>
      <c r="N73" s="318"/>
      <c r="P73" s="159"/>
    </row>
    <row r="74" spans="4:16" outlineLevel="1" x14ac:dyDescent="0.25">
      <c r="D74"/>
      <c r="E74"/>
      <c r="F74"/>
      <c r="G74" s="9"/>
      <c r="M74" s="318"/>
      <c r="N74" s="318"/>
      <c r="P74" s="159"/>
    </row>
    <row r="75" spans="4:16" outlineLevel="1" x14ac:dyDescent="0.25">
      <c r="D75"/>
      <c r="E75"/>
      <c r="F75"/>
      <c r="G75" s="9"/>
      <c r="M75" s="318"/>
      <c r="N75" s="318"/>
      <c r="P75" s="159"/>
    </row>
    <row r="76" spans="4:16" outlineLevel="1" x14ac:dyDescent="0.25">
      <c r="D76"/>
      <c r="E76"/>
      <c r="F76"/>
      <c r="G76" s="9"/>
      <c r="M76" s="318"/>
      <c r="N76" s="318"/>
      <c r="P76" s="159"/>
    </row>
    <row r="77" spans="4:16" outlineLevel="1" x14ac:dyDescent="0.25">
      <c r="D77"/>
      <c r="E77"/>
      <c r="F77"/>
      <c r="G77" s="9"/>
      <c r="M77" s="318"/>
      <c r="N77" s="318"/>
      <c r="P77" s="159"/>
    </row>
    <row r="78" spans="4:16" x14ac:dyDescent="0.25">
      <c r="D78"/>
      <c r="E78"/>
      <c r="F78"/>
      <c r="G78" s="9"/>
      <c r="M78" s="318"/>
      <c r="N78" s="318"/>
      <c r="P78" s="159"/>
    </row>
    <row r="79" spans="4:16" x14ac:dyDescent="0.25">
      <c r="D79"/>
      <c r="E79"/>
      <c r="F79"/>
      <c r="G79" s="9"/>
      <c r="M79" s="318"/>
      <c r="N79" s="318"/>
      <c r="P79" s="159"/>
    </row>
    <row r="80" spans="4:16" x14ac:dyDescent="0.25">
      <c r="D80"/>
      <c r="E80"/>
      <c r="F80"/>
      <c r="G80" s="9"/>
      <c r="M80" s="318"/>
      <c r="N80" s="318"/>
      <c r="P80" s="159"/>
    </row>
    <row r="81" spans="4:14" x14ac:dyDescent="0.25">
      <c r="D81"/>
      <c r="E81"/>
      <c r="F81"/>
      <c r="G81" s="9"/>
      <c r="M81" s="318"/>
      <c r="N81" s="318"/>
    </row>
    <row r="82" spans="4:14" x14ac:dyDescent="0.25">
      <c r="D82"/>
      <c r="E82"/>
      <c r="G82" s="9"/>
      <c r="M82" s="318"/>
      <c r="N82" s="318"/>
    </row>
    <row r="83" spans="4:14" x14ac:dyDescent="0.25">
      <c r="D83"/>
      <c r="E83"/>
      <c r="G83" s="9"/>
      <c r="M83" s="318"/>
      <c r="N83" s="318"/>
    </row>
    <row r="84" spans="4:14" x14ac:dyDescent="0.25">
      <c r="D84"/>
      <c r="E84"/>
      <c r="G84" s="9"/>
      <c r="M84" s="318"/>
      <c r="N84" s="318"/>
    </row>
    <row r="85" spans="4:14" x14ac:dyDescent="0.25">
      <c r="D85"/>
      <c r="E85"/>
      <c r="G85" s="9"/>
      <c r="M85" s="318"/>
      <c r="N85" s="318"/>
    </row>
    <row r="86" spans="4:14" x14ac:dyDescent="0.25">
      <c r="D86"/>
      <c r="E86"/>
      <c r="M86" s="318"/>
      <c r="N86" s="318"/>
    </row>
    <row r="87" spans="4:14" x14ac:dyDescent="0.25">
      <c r="D87"/>
      <c r="E87"/>
      <c r="M87" s="318"/>
      <c r="N87" s="318"/>
    </row>
    <row r="88" spans="4:14" x14ac:dyDescent="0.25">
      <c r="D88"/>
      <c r="E88"/>
      <c r="M88" s="318"/>
      <c r="N88" s="318"/>
    </row>
    <row r="89" spans="4:14" x14ac:dyDescent="0.25">
      <c r="D89"/>
      <c r="E89"/>
      <c r="M89" s="318"/>
      <c r="N89" s="318"/>
    </row>
    <row r="90" spans="4:14" x14ac:dyDescent="0.25">
      <c r="D90"/>
      <c r="E90"/>
      <c r="M90" s="318"/>
      <c r="N90" s="318"/>
    </row>
    <row r="91" spans="4:14" x14ac:dyDescent="0.25">
      <c r="D91"/>
      <c r="E91"/>
      <c r="M91" s="318"/>
      <c r="N91" s="318"/>
    </row>
    <row r="92" spans="4:14" x14ac:dyDescent="0.25">
      <c r="D92"/>
      <c r="E92"/>
      <c r="M92" s="318"/>
      <c r="N92" s="318"/>
    </row>
    <row r="93" spans="4:14" x14ac:dyDescent="0.25">
      <c r="D93"/>
      <c r="E93"/>
      <c r="M93" s="318"/>
      <c r="N93" s="318"/>
    </row>
    <row r="94" spans="4:14" x14ac:dyDescent="0.25">
      <c r="D94"/>
      <c r="E94"/>
      <c r="M94" s="318"/>
      <c r="N94" s="318"/>
    </row>
    <row r="95" spans="4:14" x14ac:dyDescent="0.25">
      <c r="D95"/>
      <c r="E95"/>
      <c r="M95" s="318"/>
      <c r="N95" s="318"/>
    </row>
    <row r="96" spans="4:14" x14ac:dyDescent="0.25">
      <c r="D96"/>
      <c r="E96"/>
      <c r="M96" s="318"/>
      <c r="N96" s="318"/>
    </row>
    <row r="97" spans="4:14" x14ac:dyDescent="0.25">
      <c r="D97"/>
      <c r="E97"/>
      <c r="M97" s="318"/>
      <c r="N97" s="318"/>
    </row>
    <row r="98" spans="4:14" x14ac:dyDescent="0.25">
      <c r="D98"/>
      <c r="E98"/>
      <c r="M98" s="318"/>
      <c r="N98" s="318"/>
    </row>
    <row r="99" spans="4:14" x14ac:dyDescent="0.25">
      <c r="D99"/>
      <c r="E99"/>
      <c r="M99" s="318"/>
      <c r="N99" s="318"/>
    </row>
    <row r="100" spans="4:14" x14ac:dyDescent="0.25">
      <c r="D100"/>
      <c r="E100"/>
      <c r="M100" s="318"/>
      <c r="N100" s="318"/>
    </row>
    <row r="101" spans="4:14" x14ac:dyDescent="0.25">
      <c r="D101"/>
      <c r="E101"/>
      <c r="M101" s="318"/>
      <c r="N101" s="318"/>
    </row>
    <row r="102" spans="4:14" x14ac:dyDescent="0.25">
      <c r="D102"/>
      <c r="E102"/>
      <c r="M102" s="318"/>
      <c r="N102" s="318"/>
    </row>
    <row r="103" spans="4:14" x14ac:dyDescent="0.25">
      <c r="D103"/>
      <c r="E103"/>
      <c r="M103" s="318"/>
      <c r="N103" s="318"/>
    </row>
    <row r="104" spans="4:14" x14ac:dyDescent="0.25">
      <c r="D104"/>
      <c r="E104"/>
      <c r="M104" s="318"/>
      <c r="N104" s="318"/>
    </row>
    <row r="105" spans="4:14" x14ac:dyDescent="0.25">
      <c r="D105"/>
      <c r="E105"/>
      <c r="M105" s="318"/>
      <c r="N105" s="318"/>
    </row>
    <row r="106" spans="4:14" x14ac:dyDescent="0.25">
      <c r="D106"/>
      <c r="E106"/>
      <c r="M106" s="318"/>
      <c r="N106" s="318"/>
    </row>
    <row r="107" spans="4:14" x14ac:dyDescent="0.25">
      <c r="D107"/>
      <c r="E107"/>
      <c r="M107" s="318"/>
      <c r="N107" s="318"/>
    </row>
    <row r="108" spans="4:14" x14ac:dyDescent="0.25">
      <c r="D108"/>
      <c r="E108"/>
      <c r="M108" s="318"/>
      <c r="N108" s="318"/>
    </row>
    <row r="109" spans="4:14" x14ac:dyDescent="0.25">
      <c r="D109"/>
      <c r="E109"/>
      <c r="M109" s="318"/>
      <c r="N109" s="318"/>
    </row>
    <row r="110" spans="4:14" x14ac:dyDescent="0.25">
      <c r="D110"/>
      <c r="E110"/>
      <c r="M110" s="318"/>
      <c r="N110" s="318"/>
    </row>
    <row r="111" spans="4:14" x14ac:dyDescent="0.25">
      <c r="D111"/>
      <c r="E111"/>
      <c r="M111" s="318"/>
      <c r="N111" s="318"/>
    </row>
    <row r="112" spans="4:14" x14ac:dyDescent="0.25">
      <c r="D112"/>
      <c r="E112"/>
      <c r="M112" s="318"/>
      <c r="N112" s="318"/>
    </row>
    <row r="113" spans="4:14" x14ac:dyDescent="0.25">
      <c r="D113"/>
      <c r="E113"/>
      <c r="M113" s="318"/>
      <c r="N113" s="318"/>
    </row>
    <row r="114" spans="4:14" x14ac:dyDescent="0.25">
      <c r="D114"/>
      <c r="E114"/>
      <c r="M114" s="318"/>
      <c r="N114" s="318"/>
    </row>
    <row r="115" spans="4:14" x14ac:dyDescent="0.25">
      <c r="D115"/>
      <c r="E115"/>
      <c r="M115" s="318"/>
      <c r="N115" s="318"/>
    </row>
    <row r="116" spans="4:14" x14ac:dyDescent="0.25">
      <c r="D116"/>
      <c r="E116"/>
      <c r="M116" s="318"/>
      <c r="N116" s="318"/>
    </row>
    <row r="117" spans="4:14" x14ac:dyDescent="0.25">
      <c r="D117"/>
      <c r="E117"/>
      <c r="M117" s="318"/>
      <c r="N117" s="318"/>
    </row>
    <row r="118" spans="4:14" x14ac:dyDescent="0.25">
      <c r="D118"/>
      <c r="E118"/>
      <c r="M118" s="318"/>
      <c r="N118" s="318"/>
    </row>
    <row r="119" spans="4:14" x14ac:dyDescent="0.25">
      <c r="D119"/>
      <c r="E119"/>
      <c r="M119" s="318"/>
      <c r="N119" s="318"/>
    </row>
    <row r="120" spans="4:14" x14ac:dyDescent="0.25">
      <c r="D120"/>
      <c r="E120"/>
      <c r="M120" s="318"/>
      <c r="N120" s="318"/>
    </row>
    <row r="121" spans="4:14" x14ac:dyDescent="0.25">
      <c r="D121"/>
      <c r="E121"/>
      <c r="M121" s="318"/>
      <c r="N121" s="318"/>
    </row>
    <row r="122" spans="4:14" x14ac:dyDescent="0.25">
      <c r="D122"/>
      <c r="E122"/>
      <c r="M122" s="318"/>
      <c r="N122" s="318"/>
    </row>
    <row r="123" spans="4:14" x14ac:dyDescent="0.25">
      <c r="D123"/>
      <c r="E123"/>
      <c r="M123" s="318"/>
      <c r="N123" s="318"/>
    </row>
    <row r="124" spans="4:14" x14ac:dyDescent="0.25">
      <c r="D124"/>
      <c r="E124"/>
      <c r="M124" s="318"/>
      <c r="N124" s="318"/>
    </row>
    <row r="125" spans="4:14" x14ac:dyDescent="0.25">
      <c r="D125"/>
      <c r="E125"/>
      <c r="M125" s="318"/>
      <c r="N125" s="318"/>
    </row>
    <row r="126" spans="4:14" x14ac:dyDescent="0.25">
      <c r="D126"/>
      <c r="E126"/>
      <c r="M126" s="318"/>
      <c r="N126" s="318"/>
    </row>
    <row r="127" spans="4:14" x14ac:dyDescent="0.25">
      <c r="D127"/>
      <c r="E127"/>
      <c r="M127" s="318"/>
      <c r="N127" s="318"/>
    </row>
    <row r="128" spans="4:14" x14ac:dyDescent="0.25">
      <c r="D128"/>
      <c r="E128"/>
      <c r="M128" s="318"/>
      <c r="N128" s="318"/>
    </row>
    <row r="129" spans="4:14" x14ac:dyDescent="0.25">
      <c r="D129"/>
      <c r="E129"/>
      <c r="M129" s="318"/>
      <c r="N129" s="318"/>
    </row>
    <row r="130" spans="4:14" x14ac:dyDescent="0.25">
      <c r="D130"/>
      <c r="E130"/>
      <c r="M130" s="318"/>
      <c r="N130" s="318"/>
    </row>
    <row r="131" spans="4:14" x14ac:dyDescent="0.25">
      <c r="D131"/>
      <c r="E131"/>
      <c r="M131" s="318"/>
      <c r="N131" s="318"/>
    </row>
    <row r="132" spans="4:14" x14ac:dyDescent="0.25">
      <c r="D132"/>
      <c r="E132"/>
      <c r="M132" s="318"/>
      <c r="N132" s="318"/>
    </row>
    <row r="133" spans="4:14" x14ac:dyDescent="0.25">
      <c r="D133"/>
      <c r="E133"/>
      <c r="M133" s="318"/>
      <c r="N133" s="318"/>
    </row>
    <row r="134" spans="4:14" x14ac:dyDescent="0.25">
      <c r="D134"/>
      <c r="E134"/>
      <c r="M134" s="318"/>
      <c r="N134" s="318"/>
    </row>
    <row r="135" spans="4:14" x14ac:dyDescent="0.25">
      <c r="D135"/>
      <c r="E135"/>
      <c r="M135" s="318"/>
      <c r="N135" s="318"/>
    </row>
    <row r="136" spans="4:14" x14ac:dyDescent="0.25">
      <c r="D136"/>
      <c r="E136"/>
      <c r="M136" s="318"/>
      <c r="N136" s="318"/>
    </row>
    <row r="137" spans="4:14" x14ac:dyDescent="0.25">
      <c r="D137"/>
      <c r="E137"/>
      <c r="M137" s="318"/>
      <c r="N137" s="318"/>
    </row>
    <row r="138" spans="4:14" x14ac:dyDescent="0.25">
      <c r="D138"/>
      <c r="E138"/>
      <c r="M138" s="318"/>
      <c r="N138" s="318"/>
    </row>
    <row r="139" spans="4:14" x14ac:dyDescent="0.25">
      <c r="D139"/>
      <c r="E139"/>
      <c r="M139" s="318"/>
      <c r="N139" s="318"/>
    </row>
    <row r="140" spans="4:14" x14ac:dyDescent="0.25">
      <c r="D140"/>
      <c r="E140"/>
      <c r="M140" s="318"/>
      <c r="N140" s="318"/>
    </row>
    <row r="141" spans="4:14" x14ac:dyDescent="0.25">
      <c r="D141"/>
      <c r="E141"/>
      <c r="M141" s="318"/>
      <c r="N141" s="318"/>
    </row>
    <row r="142" spans="4:14" x14ac:dyDescent="0.25">
      <c r="D142"/>
      <c r="E142"/>
      <c r="M142" s="318"/>
      <c r="N142" s="318"/>
    </row>
    <row r="143" spans="4:14" x14ac:dyDescent="0.25">
      <c r="D143"/>
      <c r="E143"/>
      <c r="M143" s="318"/>
      <c r="N143" s="318"/>
    </row>
    <row r="144" spans="4:14" x14ac:dyDescent="0.25">
      <c r="D144"/>
      <c r="E144"/>
      <c r="M144" s="318"/>
      <c r="N144" s="318"/>
    </row>
    <row r="145" spans="4:14" x14ac:dyDescent="0.25">
      <c r="D145"/>
      <c r="E145"/>
      <c r="M145" s="318"/>
      <c r="N145" s="318"/>
    </row>
    <row r="146" spans="4:14" x14ac:dyDescent="0.25">
      <c r="D146"/>
      <c r="E146"/>
      <c r="M146" s="318"/>
      <c r="N146" s="318"/>
    </row>
    <row r="147" spans="4:14" x14ac:dyDescent="0.25">
      <c r="D147"/>
      <c r="E147"/>
      <c r="M147" s="318"/>
      <c r="N147" s="318"/>
    </row>
    <row r="148" spans="4:14" x14ac:dyDescent="0.25">
      <c r="D148"/>
      <c r="E148"/>
      <c r="M148" s="318"/>
      <c r="N148" s="318"/>
    </row>
    <row r="149" spans="4:14" x14ac:dyDescent="0.25">
      <c r="D149"/>
      <c r="E149"/>
      <c r="M149" s="318"/>
      <c r="N149" s="318"/>
    </row>
    <row r="150" spans="4:14" x14ac:dyDescent="0.25">
      <c r="D150"/>
      <c r="E150"/>
      <c r="M150" s="318"/>
      <c r="N150" s="318"/>
    </row>
    <row r="151" spans="4:14" x14ac:dyDescent="0.25">
      <c r="D151"/>
      <c r="E151"/>
      <c r="M151" s="318"/>
      <c r="N151" s="318"/>
    </row>
  </sheetData>
  <autoFilter ref="G11:N64" xr:uid="{00000000-0009-0000-0000-00001B000000}"/>
  <conditionalFormatting sqref="J11:J6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{2B94F639-AA23-4039-AFCE-49AFB88F41C2}</x14:id>
        </ext>
      </extLst>
    </cfRule>
  </conditionalFormatting>
  <conditionalFormatting sqref="K2:M4">
    <cfRule type="iconSet" priority="5">
      <iconSet>
        <cfvo type="percent" val="0"/>
        <cfvo type="num" val="-200000"/>
        <cfvo type="num" val="0" gte="0"/>
      </iconSet>
    </cfRule>
  </conditionalFormatting>
  <conditionalFormatting sqref="M12:M64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{5BE654BE-A942-484F-9EF8-473F20984B6A}</x14:id>
        </ext>
      </extLst>
    </cfRule>
  </conditionalFormatting>
  <conditionalFormatting sqref="M65:N151 N12:N6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{C8DC83B5-C846-48A5-833B-DBED4D1DE4D3}</x14:id>
        </ext>
      </extLst>
    </cfRule>
  </conditionalFormatting>
  <conditionalFormatting sqref="N6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{7EF5252B-8753-4FC4-B114-9EC0F4122634}</x14:id>
        </ext>
      </extLst>
    </cfRule>
  </conditionalFormatting>
  <pageMargins left="0.7" right="0.7" top="0.75" bottom="0.75" header="0.3" footer="0.3"/>
  <pageSetup paperSize="9" orientation="portrait" horizontalDpi="300" verticalDpi="300"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94F639-AA23-4039-AFCE-49AFB88F4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J11:J64</xm:sqref>
        </x14:conditionalFormatting>
        <x14:conditionalFormatting xmlns:xm="http://schemas.microsoft.com/office/excel/2006/main">
          <x14:cfRule type="dataBar" id="{5BE654BE-A942-484F-9EF8-473F20984B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M12:M64</xm:sqref>
        </x14:conditionalFormatting>
        <x14:conditionalFormatting xmlns:xm="http://schemas.microsoft.com/office/excel/2006/main">
          <x14:cfRule type="dataBar" id="{C8DC83B5-C846-48A5-833B-DBED4D1DE4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M65:N151 N12:N63</xm:sqref>
        </x14:conditionalFormatting>
        <x14:conditionalFormatting xmlns:xm="http://schemas.microsoft.com/office/excel/2006/main">
          <x14:cfRule type="dataBar" id="{7EF5252B-8753-4FC4-B114-9EC0F41226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N64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29"/>
  <sheetViews>
    <sheetView workbookViewId="0">
      <selection sqref="A1:E1"/>
    </sheetView>
  </sheetViews>
  <sheetFormatPr baseColWidth="10" defaultColWidth="0" defaultRowHeight="15" outlineLevelCol="1" x14ac:dyDescent="0.25"/>
  <cols>
    <col min="1" max="1" width="12.5703125" bestFit="1" customWidth="1"/>
    <col min="2" max="2" width="58.28515625" bestFit="1" customWidth="1"/>
    <col min="3" max="4" width="10.42578125" customWidth="1" outlineLevel="1"/>
    <col min="5" max="5" width="13" bestFit="1" customWidth="1"/>
    <col min="6" max="6" width="4.5703125" bestFit="1" customWidth="1"/>
    <col min="7" max="7" width="12.5703125" bestFit="1" customWidth="1"/>
    <col min="8" max="8" width="58.42578125" bestFit="1" customWidth="1"/>
    <col min="9" max="9" width="12" bestFit="1" customWidth="1"/>
    <col min="10" max="10" width="10.42578125" bestFit="1" customWidth="1"/>
    <col min="11" max="11" width="13" bestFit="1" customWidth="1"/>
    <col min="12" max="12" width="4.5703125" bestFit="1" customWidth="1"/>
    <col min="13" max="13" width="11.42578125" customWidth="1"/>
    <col min="14" max="16384" width="11.42578125" hidden="1"/>
  </cols>
  <sheetData>
    <row r="1" spans="1:12" ht="21" x14ac:dyDescent="0.35">
      <c r="A1" s="475" t="s">
        <v>495</v>
      </c>
      <c r="B1" s="475"/>
      <c r="C1" s="475"/>
      <c r="D1" s="475"/>
      <c r="E1" s="475"/>
      <c r="F1" s="114"/>
      <c r="G1" s="475" t="s">
        <v>313</v>
      </c>
      <c r="H1" s="475"/>
      <c r="I1" s="475"/>
      <c r="J1" s="475"/>
      <c r="K1" s="475"/>
      <c r="L1" s="145"/>
    </row>
    <row r="2" spans="1:12" x14ac:dyDescent="0.25">
      <c r="A2" s="1"/>
      <c r="B2" s="1"/>
      <c r="C2" s="144" t="s">
        <v>311</v>
      </c>
      <c r="D2" s="144" t="s">
        <v>310</v>
      </c>
      <c r="E2" s="144" t="s">
        <v>195</v>
      </c>
      <c r="F2" s="114"/>
      <c r="G2" s="1"/>
      <c r="H2" s="1"/>
      <c r="I2" s="144" t="s">
        <v>311</v>
      </c>
      <c r="J2" s="144" t="s">
        <v>310</v>
      </c>
      <c r="K2" s="144" t="s">
        <v>195</v>
      </c>
      <c r="L2" s="145"/>
    </row>
    <row r="3" spans="1:12" x14ac:dyDescent="0.25">
      <c r="A3" s="143" t="s">
        <v>2</v>
      </c>
      <c r="B3" s="7" t="s">
        <v>2</v>
      </c>
      <c r="C3" s="476">
        <f>+E3/30</f>
        <v>83333.333333333328</v>
      </c>
      <c r="D3" s="476"/>
      <c r="E3" s="7">
        <v>2500000</v>
      </c>
      <c r="F3" s="114"/>
      <c r="G3" s="143" t="s">
        <v>2</v>
      </c>
      <c r="H3" s="7" t="s">
        <v>2</v>
      </c>
      <c r="I3" s="476">
        <f>+K3/30</f>
        <v>83333.333333333328</v>
      </c>
      <c r="J3" s="476"/>
      <c r="K3" s="7">
        <v>2500000</v>
      </c>
      <c r="L3" s="145"/>
    </row>
    <row r="4" spans="1:12" x14ac:dyDescent="0.25">
      <c r="A4" s="478" t="s">
        <v>10</v>
      </c>
      <c r="B4" s="138" t="s">
        <v>7</v>
      </c>
      <c r="C4" s="493">
        <f>+E4/30</f>
        <v>10000</v>
      </c>
      <c r="D4" s="493"/>
      <c r="E4" s="210">
        <v>300000</v>
      </c>
      <c r="F4" s="114"/>
      <c r="G4" s="478" t="s">
        <v>10</v>
      </c>
      <c r="H4" s="138" t="s">
        <v>7</v>
      </c>
      <c r="I4" s="493">
        <f>+K4/30</f>
        <v>26666.666666666668</v>
      </c>
      <c r="J4" s="493"/>
      <c r="K4" s="210">
        <v>800000</v>
      </c>
      <c r="L4" s="145"/>
    </row>
    <row r="5" spans="1:12" x14ac:dyDescent="0.25">
      <c r="A5" s="479"/>
      <c r="B5" s="138" t="s">
        <v>8</v>
      </c>
      <c r="C5" s="493">
        <f>+E5/30</f>
        <v>8333.3333333333339</v>
      </c>
      <c r="D5" s="493"/>
      <c r="E5" s="210">
        <v>250000</v>
      </c>
      <c r="F5" s="114"/>
      <c r="G5" s="479"/>
      <c r="H5" s="138" t="s">
        <v>8</v>
      </c>
      <c r="I5" s="493">
        <f>+K5/30</f>
        <v>8333.3333333333339</v>
      </c>
      <c r="J5" s="493"/>
      <c r="K5" s="210">
        <v>250000</v>
      </c>
      <c r="L5" s="145"/>
    </row>
    <row r="6" spans="1:12" x14ac:dyDescent="0.25">
      <c r="A6" s="479"/>
      <c r="B6" s="138" t="s">
        <v>9</v>
      </c>
      <c r="C6" s="493">
        <f>+E6/30</f>
        <v>8333.3333333333339</v>
      </c>
      <c r="D6" s="493"/>
      <c r="E6" s="210">
        <v>250000</v>
      </c>
      <c r="F6" s="114"/>
      <c r="G6" s="479"/>
      <c r="H6" s="138" t="s">
        <v>9</v>
      </c>
      <c r="I6" s="493">
        <f>+K6/30</f>
        <v>8333.3333333333339</v>
      </c>
      <c r="J6" s="493"/>
      <c r="K6" s="210">
        <v>250000</v>
      </c>
      <c r="L6" s="145"/>
    </row>
    <row r="7" spans="1:12" x14ac:dyDescent="0.25">
      <c r="A7" s="480"/>
      <c r="B7" s="138" t="s">
        <v>306</v>
      </c>
      <c r="C7" s="481"/>
      <c r="D7" s="482"/>
      <c r="E7" s="210"/>
      <c r="F7" s="114"/>
      <c r="G7" s="480"/>
      <c r="H7" s="138" t="s">
        <v>306</v>
      </c>
      <c r="I7" s="481">
        <f>+K7/30</f>
        <v>4666.666666666667</v>
      </c>
      <c r="J7" s="482"/>
      <c r="K7" s="210">
        <v>140000</v>
      </c>
      <c r="L7" s="145"/>
    </row>
    <row r="8" spans="1:12" x14ac:dyDescent="0.25">
      <c r="A8" s="485" t="s">
        <v>56</v>
      </c>
      <c r="B8" s="139" t="s">
        <v>302</v>
      </c>
      <c r="C8" s="139">
        <v>35000</v>
      </c>
      <c r="D8" s="139">
        <v>35000</v>
      </c>
      <c r="E8" s="139">
        <f t="shared" ref="E8:E16" si="0">+(C8*20)+(D8*10)</f>
        <v>1050000</v>
      </c>
      <c r="F8" s="208"/>
      <c r="G8" s="485" t="s">
        <v>56</v>
      </c>
      <c r="H8" s="139" t="s">
        <v>302</v>
      </c>
      <c r="I8" s="139">
        <v>30000</v>
      </c>
      <c r="J8" s="139">
        <v>35000</v>
      </c>
      <c r="K8" s="139">
        <f>+(I8*20)+(J8*10)</f>
        <v>950000</v>
      </c>
      <c r="L8" s="207"/>
    </row>
    <row r="9" spans="1:12" x14ac:dyDescent="0.25">
      <c r="A9" s="485"/>
      <c r="B9" s="139" t="s">
        <v>303</v>
      </c>
      <c r="C9" s="139">
        <v>25000</v>
      </c>
      <c r="D9" s="139">
        <v>25000</v>
      </c>
      <c r="E9" s="139">
        <f t="shared" si="0"/>
        <v>750000</v>
      </c>
      <c r="F9" s="208"/>
      <c r="G9" s="485"/>
      <c r="H9" s="139" t="s">
        <v>303</v>
      </c>
      <c r="I9" s="139">
        <v>25000</v>
      </c>
      <c r="J9" s="139">
        <v>30000</v>
      </c>
      <c r="K9" s="139">
        <f t="shared" ref="K9:K15" si="1">+(I9*20)+(J9*10)</f>
        <v>800000</v>
      </c>
      <c r="L9" s="207"/>
    </row>
    <row r="10" spans="1:12" x14ac:dyDescent="0.25">
      <c r="A10" s="485"/>
      <c r="B10" s="139" t="s">
        <v>304</v>
      </c>
      <c r="C10" s="139">
        <v>25000</v>
      </c>
      <c r="D10" s="139">
        <v>25000</v>
      </c>
      <c r="E10" s="139">
        <f t="shared" si="0"/>
        <v>750000</v>
      </c>
      <c r="F10" s="208"/>
      <c r="G10" s="485"/>
      <c r="H10" s="139" t="s">
        <v>304</v>
      </c>
      <c r="I10" s="139">
        <v>25000</v>
      </c>
      <c r="J10" s="139">
        <v>30000</v>
      </c>
      <c r="K10" s="139">
        <f t="shared" si="1"/>
        <v>800000</v>
      </c>
      <c r="L10" s="207"/>
    </row>
    <row r="11" spans="1:12" x14ac:dyDescent="0.25">
      <c r="A11" s="485"/>
      <c r="B11" s="139" t="s">
        <v>305</v>
      </c>
      <c r="C11" s="139">
        <v>0</v>
      </c>
      <c r="D11" s="139">
        <v>35000</v>
      </c>
      <c r="E11" s="139">
        <f t="shared" si="0"/>
        <v>350000</v>
      </c>
      <c r="F11" s="208"/>
      <c r="G11" s="485"/>
      <c r="H11" s="139" t="s">
        <v>305</v>
      </c>
      <c r="I11" s="139">
        <v>0</v>
      </c>
      <c r="J11" s="139">
        <v>35000</v>
      </c>
      <c r="K11" s="139">
        <f t="shared" si="1"/>
        <v>350000</v>
      </c>
      <c r="L11" s="207"/>
    </row>
    <row r="12" spans="1:12" x14ac:dyDescent="0.25">
      <c r="A12" s="485"/>
      <c r="B12" s="139" t="s">
        <v>312</v>
      </c>
      <c r="C12" s="139">
        <v>0</v>
      </c>
      <c r="D12" s="139">
        <v>35000</v>
      </c>
      <c r="E12" s="139">
        <f t="shared" si="0"/>
        <v>350000</v>
      </c>
      <c r="F12" s="208"/>
      <c r="G12" s="485"/>
      <c r="H12" s="139" t="s">
        <v>312</v>
      </c>
      <c r="I12" s="139">
        <v>0</v>
      </c>
      <c r="J12" s="139">
        <v>45000</v>
      </c>
      <c r="K12" s="139">
        <f t="shared" si="1"/>
        <v>450000</v>
      </c>
      <c r="L12" s="207"/>
    </row>
    <row r="13" spans="1:12" x14ac:dyDescent="0.25">
      <c r="A13" s="485"/>
      <c r="B13" s="139" t="s">
        <v>331</v>
      </c>
      <c r="C13" s="139">
        <v>15000</v>
      </c>
      <c r="D13" s="139">
        <v>15000</v>
      </c>
      <c r="E13" s="139">
        <f t="shared" si="0"/>
        <v>450000</v>
      </c>
      <c r="F13" s="208"/>
      <c r="G13" s="485"/>
      <c r="H13" s="139" t="s">
        <v>331</v>
      </c>
      <c r="I13" s="139">
        <v>15000</v>
      </c>
      <c r="J13" s="139">
        <v>15000</v>
      </c>
      <c r="K13" s="139">
        <f>+(I13*20)+(J13*10)</f>
        <v>450000</v>
      </c>
      <c r="L13" s="207"/>
    </row>
    <row r="14" spans="1:12" hidden="1" x14ac:dyDescent="0.25">
      <c r="A14" s="485"/>
      <c r="B14" s="140" t="s">
        <v>307</v>
      </c>
      <c r="C14" s="140"/>
      <c r="D14" s="140"/>
      <c r="E14" s="140">
        <f t="shared" si="0"/>
        <v>0</v>
      </c>
      <c r="F14" s="208"/>
      <c r="G14" s="485"/>
      <c r="H14" s="140" t="s">
        <v>307</v>
      </c>
      <c r="I14" s="140">
        <v>35000</v>
      </c>
      <c r="J14" s="140">
        <v>35000</v>
      </c>
      <c r="K14" s="140">
        <f>+(I14*20)+(J14*10)</f>
        <v>1050000</v>
      </c>
      <c r="L14" s="207"/>
    </row>
    <row r="15" spans="1:12" x14ac:dyDescent="0.25">
      <c r="A15" s="485"/>
      <c r="B15" s="187" t="s">
        <v>308</v>
      </c>
      <c r="C15" s="187">
        <v>50000</v>
      </c>
      <c r="D15" s="187">
        <v>50000</v>
      </c>
      <c r="E15" s="187">
        <f t="shared" si="0"/>
        <v>1500000</v>
      </c>
      <c r="F15" s="208"/>
      <c r="G15" s="485"/>
      <c r="H15" s="140" t="s">
        <v>308</v>
      </c>
      <c r="I15" s="140">
        <f>60000+50000</f>
        <v>110000</v>
      </c>
      <c r="J15" s="140">
        <f>80000+50000</f>
        <v>130000</v>
      </c>
      <c r="K15" s="140">
        <f t="shared" si="1"/>
        <v>3500000</v>
      </c>
      <c r="L15" s="207"/>
    </row>
    <row r="16" spans="1:12" ht="60" hidden="1" x14ac:dyDescent="0.25">
      <c r="A16" s="485"/>
      <c r="B16" s="141" t="s">
        <v>309</v>
      </c>
      <c r="C16" s="140">
        <v>0</v>
      </c>
      <c r="D16" s="140">
        <v>0</v>
      </c>
      <c r="E16" s="140">
        <f t="shared" si="0"/>
        <v>0</v>
      </c>
      <c r="F16" s="208"/>
      <c r="G16" s="485"/>
      <c r="H16" s="141" t="s">
        <v>309</v>
      </c>
      <c r="I16" s="140">
        <f>35000</f>
        <v>35000</v>
      </c>
      <c r="J16" s="140">
        <f>35000</f>
        <v>35000</v>
      </c>
      <c r="K16" s="140">
        <f>+(I16*20)+(J16*10)</f>
        <v>1050000</v>
      </c>
      <c r="L16" s="207"/>
    </row>
    <row r="17" spans="1:12" x14ac:dyDescent="0.25">
      <c r="A17" s="483" t="s">
        <v>11</v>
      </c>
      <c r="B17" s="142" t="s">
        <v>14</v>
      </c>
      <c r="C17" s="484">
        <f>+E17/30</f>
        <v>4166.666666666667</v>
      </c>
      <c r="D17" s="484"/>
      <c r="E17" s="209">
        <v>125000</v>
      </c>
      <c r="F17" s="114"/>
      <c r="G17" s="483" t="s">
        <v>11</v>
      </c>
      <c r="H17" s="142" t="s">
        <v>14</v>
      </c>
      <c r="I17" s="484">
        <f>+K17/30</f>
        <v>4166.666666666667</v>
      </c>
      <c r="J17" s="484"/>
      <c r="K17" s="209">
        <v>125000</v>
      </c>
      <c r="L17" s="145"/>
    </row>
    <row r="18" spans="1:12" x14ac:dyDescent="0.25">
      <c r="A18" s="483"/>
      <c r="B18" s="142" t="s">
        <v>16</v>
      </c>
      <c r="C18" s="484">
        <f>+E18/30</f>
        <v>8256.6666666666661</v>
      </c>
      <c r="D18" s="484"/>
      <c r="E18" s="209">
        <v>247700</v>
      </c>
      <c r="F18" s="114"/>
      <c r="G18" s="483"/>
      <c r="H18" s="142" t="s">
        <v>16</v>
      </c>
      <c r="I18" s="484">
        <f>+K18/30</f>
        <v>8256.6666666666661</v>
      </c>
      <c r="J18" s="484"/>
      <c r="K18" s="209">
        <v>247700</v>
      </c>
      <c r="L18" s="145"/>
    </row>
    <row r="19" spans="1:12" x14ac:dyDescent="0.25">
      <c r="A19" s="483"/>
      <c r="B19" s="189" t="s">
        <v>330</v>
      </c>
      <c r="C19" s="484">
        <f>+E19/30</f>
        <v>20000</v>
      </c>
      <c r="D19" s="484"/>
      <c r="E19" s="209">
        <v>600000</v>
      </c>
      <c r="F19" s="114"/>
      <c r="G19" s="483"/>
      <c r="H19" s="142" t="s">
        <v>301</v>
      </c>
      <c r="I19" s="484">
        <f>+K19/30</f>
        <v>16666.666666666668</v>
      </c>
      <c r="J19" s="484"/>
      <c r="K19" s="209">
        <v>500000</v>
      </c>
      <c r="L19" s="145"/>
    </row>
    <row r="20" spans="1:12" x14ac:dyDescent="0.25">
      <c r="A20" s="1"/>
      <c r="B20" s="1"/>
      <c r="C20" s="1"/>
      <c r="D20" s="1"/>
      <c r="E20" s="1"/>
      <c r="F20" s="114"/>
      <c r="G20" s="1"/>
      <c r="H20" s="1"/>
      <c r="I20" s="1"/>
      <c r="J20" s="1"/>
      <c r="K20" s="1"/>
      <c r="L20" s="145"/>
    </row>
    <row r="21" spans="1:12" x14ac:dyDescent="0.25">
      <c r="A21" s="1"/>
      <c r="B21" s="1"/>
      <c r="C21" s="188">
        <f>+SUM(C3:D7,C17:D19,C8:C16)</f>
        <v>292423.33333333331</v>
      </c>
      <c r="D21" s="188">
        <f>+SUM(C3:D7,C17:D19,D8:D16)</f>
        <v>362423.33333333331</v>
      </c>
      <c r="E21" s="188">
        <f>+SUM(E3:E19)</f>
        <v>9472700</v>
      </c>
      <c r="F21" s="114">
        <v>0.4</v>
      </c>
      <c r="G21" s="1" t="s">
        <v>58</v>
      </c>
      <c r="H21" s="1"/>
      <c r="I21" s="188">
        <f>+SUM(I3:I19)</f>
        <v>435423.33333333337</v>
      </c>
      <c r="J21" s="188">
        <f>+SUM(J3:J19)</f>
        <v>390000</v>
      </c>
      <c r="K21" s="188">
        <f>+SUM(K3:K19)</f>
        <v>14212700</v>
      </c>
      <c r="L21" s="114">
        <v>0.4</v>
      </c>
    </row>
    <row r="22" spans="1:12" x14ac:dyDescent="0.25">
      <c r="A22" s="1"/>
      <c r="B22" s="1"/>
      <c r="C22" s="1">
        <f t="shared" ref="C22:E23" si="2">+C$24*$F22</f>
        <v>36552.916666666664</v>
      </c>
      <c r="D22" s="1">
        <f t="shared" si="2"/>
        <v>45302.916666666664</v>
      </c>
      <c r="E22" s="1">
        <f t="shared" si="2"/>
        <v>1184087.5</v>
      </c>
      <c r="F22" s="114">
        <v>0.05</v>
      </c>
      <c r="G22" s="1" t="s">
        <v>315</v>
      </c>
      <c r="H22" s="1"/>
      <c r="I22" s="1">
        <f t="shared" ref="I22:K23" si="3">+I$24*$F22</f>
        <v>54427.916666666679</v>
      </c>
      <c r="J22" s="1">
        <f t="shared" si="3"/>
        <v>48750</v>
      </c>
      <c r="K22" s="1">
        <f t="shared" si="3"/>
        <v>1776587.5</v>
      </c>
      <c r="L22" s="114">
        <v>0.05</v>
      </c>
    </row>
    <row r="23" spans="1:12" ht="15.75" thickBot="1" x14ac:dyDescent="0.3">
      <c r="A23" s="1"/>
      <c r="B23" s="1"/>
      <c r="C23" s="146">
        <f t="shared" si="2"/>
        <v>402082.08333333331</v>
      </c>
      <c r="D23" s="146">
        <f t="shared" si="2"/>
        <v>498332.08333333331</v>
      </c>
      <c r="E23" s="146">
        <f t="shared" si="2"/>
        <v>13024962.500000002</v>
      </c>
      <c r="F23" s="114">
        <v>0.55000000000000004</v>
      </c>
      <c r="G23" s="1" t="s">
        <v>314</v>
      </c>
      <c r="H23" s="1"/>
      <c r="I23" s="146">
        <f t="shared" si="3"/>
        <v>598707.08333333349</v>
      </c>
      <c r="J23" s="146">
        <f t="shared" si="3"/>
        <v>536250</v>
      </c>
      <c r="K23" s="146">
        <f t="shared" si="3"/>
        <v>19542462.5</v>
      </c>
      <c r="L23" s="114">
        <v>0.55000000000000004</v>
      </c>
    </row>
    <row r="24" spans="1:12" ht="16.5" thickTop="1" thickBot="1" x14ac:dyDescent="0.3">
      <c r="A24" s="1"/>
      <c r="B24" s="1"/>
      <c r="C24" s="1">
        <f>(C21/40)*100</f>
        <v>731058.33333333326</v>
      </c>
      <c r="D24" s="1">
        <f>(D21/40)*100</f>
        <v>906058.33333333326</v>
      </c>
      <c r="E24" s="147">
        <f>(E21/40)*100</f>
        <v>23681750</v>
      </c>
      <c r="F24" s="114"/>
      <c r="G24" s="1"/>
      <c r="H24" s="1"/>
      <c r="I24" s="1">
        <f>(I21/40)*100</f>
        <v>1088558.3333333335</v>
      </c>
      <c r="J24" s="1">
        <f>(J21/40)*100</f>
        <v>975000</v>
      </c>
      <c r="K24" s="147">
        <f>(K21/40)*100</f>
        <v>35531750</v>
      </c>
      <c r="L24" s="145"/>
    </row>
    <row r="25" spans="1:12" ht="15.75" thickTop="1" x14ac:dyDescent="0.25">
      <c r="A25" s="1"/>
      <c r="B25" s="1"/>
      <c r="C25" s="1"/>
      <c r="D25" s="1"/>
      <c r="E25" s="1"/>
      <c r="F25" s="114"/>
      <c r="G25" s="1"/>
      <c r="H25" s="1"/>
      <c r="I25" s="1"/>
      <c r="J25" s="1"/>
      <c r="K25" s="1"/>
      <c r="L25" s="145"/>
    </row>
    <row r="27" spans="1:12" x14ac:dyDescent="0.25">
      <c r="E27" s="1">
        <v>15910250</v>
      </c>
    </row>
    <row r="29" spans="1:12" x14ac:dyDescent="0.25">
      <c r="E29" s="1">
        <f>+E27-E21</f>
        <v>6437550</v>
      </c>
    </row>
  </sheetData>
  <mergeCells count="24">
    <mergeCell ref="I17:J17"/>
    <mergeCell ref="C18:D18"/>
    <mergeCell ref="I18:J18"/>
    <mergeCell ref="C19:D19"/>
    <mergeCell ref="I19:J19"/>
    <mergeCell ref="A8:A16"/>
    <mergeCell ref="G8:G16"/>
    <mergeCell ref="A17:A19"/>
    <mergeCell ref="C17:D17"/>
    <mergeCell ref="G17:G19"/>
    <mergeCell ref="A1:E1"/>
    <mergeCell ref="G1:K1"/>
    <mergeCell ref="C3:D3"/>
    <mergeCell ref="I3:J3"/>
    <mergeCell ref="A4:A7"/>
    <mergeCell ref="C4:D4"/>
    <mergeCell ref="G4:G7"/>
    <mergeCell ref="I4:J4"/>
    <mergeCell ref="C5:D5"/>
    <mergeCell ref="I5:J5"/>
    <mergeCell ref="C6:D6"/>
    <mergeCell ref="I6:J6"/>
    <mergeCell ref="C7:D7"/>
    <mergeCell ref="I7:J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M178"/>
  <sheetViews>
    <sheetView workbookViewId="0"/>
  </sheetViews>
  <sheetFormatPr baseColWidth="10" defaultRowHeight="15" x14ac:dyDescent="0.25"/>
  <cols>
    <col min="1" max="1" width="54" bestFit="1" customWidth="1"/>
    <col min="2" max="2" width="15.140625" bestFit="1" customWidth="1"/>
    <col min="3" max="3" width="35" bestFit="1" customWidth="1"/>
    <col min="4" max="4" width="22.42578125" bestFit="1" customWidth="1"/>
    <col min="5" max="5" width="50.28515625" customWidth="1"/>
    <col min="6" max="6" width="22.42578125" customWidth="1"/>
    <col min="7" max="12" width="10.42578125" customWidth="1"/>
    <col min="13" max="13" width="12.5703125" bestFit="1" customWidth="1"/>
  </cols>
  <sheetData>
    <row r="1" spans="1:13" x14ac:dyDescent="0.25">
      <c r="A1" s="158" t="s">
        <v>255</v>
      </c>
      <c r="B1" t="s" vm="2">
        <v>497</v>
      </c>
      <c r="E1" s="158" t="s">
        <v>255</v>
      </c>
      <c r="F1" t="s" vm="1">
        <v>450</v>
      </c>
    </row>
    <row r="3" spans="1:13" x14ac:dyDescent="0.25">
      <c r="A3" s="158" t="s">
        <v>451</v>
      </c>
      <c r="B3" t="s">
        <v>453</v>
      </c>
      <c r="C3" t="s">
        <v>454</v>
      </c>
      <c r="E3" s="158" t="s">
        <v>453</v>
      </c>
      <c r="F3" s="158" t="s">
        <v>452</v>
      </c>
    </row>
    <row r="4" spans="1:13" x14ac:dyDescent="0.25">
      <c r="A4" s="159" t="s">
        <v>332</v>
      </c>
      <c r="B4" s="215">
        <v>4350710</v>
      </c>
      <c r="C4" s="215">
        <v>15</v>
      </c>
      <c r="E4" s="158" t="s">
        <v>451</v>
      </c>
      <c r="F4" t="s">
        <v>332</v>
      </c>
      <c r="G4" t="s">
        <v>333</v>
      </c>
      <c r="H4" t="s">
        <v>334</v>
      </c>
      <c r="I4" t="s">
        <v>335</v>
      </c>
      <c r="J4" t="s">
        <v>336</v>
      </c>
      <c r="K4" t="s">
        <v>337</v>
      </c>
      <c r="L4" t="s">
        <v>338</v>
      </c>
      <c r="M4" t="s">
        <v>317</v>
      </c>
    </row>
    <row r="5" spans="1:13" x14ac:dyDescent="0.25">
      <c r="A5" s="214" t="s">
        <v>496</v>
      </c>
      <c r="B5" s="215">
        <v>3586710</v>
      </c>
      <c r="C5" s="215">
        <v>1</v>
      </c>
      <c r="E5" s="159" t="s">
        <v>375</v>
      </c>
      <c r="F5" s="215"/>
      <c r="G5" s="215"/>
      <c r="H5" s="215">
        <v>125000</v>
      </c>
      <c r="I5" s="215">
        <v>20000</v>
      </c>
      <c r="J5" s="215">
        <v>105000</v>
      </c>
      <c r="K5" s="215">
        <v>370000</v>
      </c>
      <c r="L5" s="215">
        <v>215000</v>
      </c>
      <c r="M5" s="215">
        <v>835000</v>
      </c>
    </row>
    <row r="6" spans="1:13" x14ac:dyDescent="0.25">
      <c r="A6" s="214" t="s">
        <v>375</v>
      </c>
      <c r="B6" s="215">
        <v>475000</v>
      </c>
      <c r="C6" s="215">
        <v>11</v>
      </c>
      <c r="E6" s="159" t="s">
        <v>353</v>
      </c>
      <c r="F6" s="215">
        <v>106000</v>
      </c>
      <c r="G6" s="215">
        <v>70000</v>
      </c>
      <c r="H6" s="215">
        <v>148000</v>
      </c>
      <c r="I6" s="215">
        <v>122000</v>
      </c>
      <c r="J6" s="215">
        <v>220000</v>
      </c>
      <c r="K6" s="215">
        <v>62500</v>
      </c>
      <c r="L6" s="215">
        <v>32000</v>
      </c>
      <c r="M6" s="215">
        <v>760500</v>
      </c>
    </row>
    <row r="7" spans="1:13" x14ac:dyDescent="0.25">
      <c r="A7" s="214" t="s">
        <v>353</v>
      </c>
      <c r="B7" s="215">
        <v>130000</v>
      </c>
      <c r="C7" s="215">
        <v>6</v>
      </c>
      <c r="E7" s="159" t="s">
        <v>366</v>
      </c>
      <c r="F7" s="215"/>
      <c r="G7" s="215">
        <v>144000</v>
      </c>
      <c r="H7" s="215">
        <v>49000</v>
      </c>
      <c r="I7" s="215">
        <v>50000</v>
      </c>
      <c r="J7" s="215"/>
      <c r="K7" s="215">
        <v>50000</v>
      </c>
      <c r="L7" s="215"/>
      <c r="M7" s="215">
        <v>293000</v>
      </c>
    </row>
    <row r="8" spans="1:13" x14ac:dyDescent="0.25">
      <c r="A8" s="214" t="s">
        <v>358</v>
      </c>
      <c r="B8" s="215">
        <v>49500</v>
      </c>
      <c r="C8" s="215">
        <v>5</v>
      </c>
      <c r="E8" s="159" t="s">
        <v>381</v>
      </c>
      <c r="F8" s="215"/>
      <c r="G8" s="215"/>
      <c r="H8" s="215"/>
      <c r="I8" s="215">
        <v>70000</v>
      </c>
      <c r="J8" s="215"/>
      <c r="K8" s="215">
        <v>100000</v>
      </c>
      <c r="L8" s="215"/>
      <c r="M8" s="215">
        <v>170000</v>
      </c>
    </row>
    <row r="9" spans="1:13" x14ac:dyDescent="0.25">
      <c r="A9" s="214" t="s">
        <v>396</v>
      </c>
      <c r="B9" s="215">
        <v>22000</v>
      </c>
      <c r="C9" s="215">
        <v>1</v>
      </c>
      <c r="E9" s="159" t="s">
        <v>358</v>
      </c>
      <c r="F9" s="215">
        <v>6000</v>
      </c>
      <c r="G9" s="215">
        <v>24000</v>
      </c>
      <c r="H9" s="215">
        <v>24000</v>
      </c>
      <c r="I9" s="215">
        <v>14000</v>
      </c>
      <c r="J9" s="215">
        <v>13000</v>
      </c>
      <c r="K9" s="215">
        <v>54000</v>
      </c>
      <c r="L9" s="215">
        <v>27000</v>
      </c>
      <c r="M9" s="215">
        <v>162000</v>
      </c>
    </row>
    <row r="10" spans="1:13" x14ac:dyDescent="0.25">
      <c r="A10" s="214" t="s">
        <v>364</v>
      </c>
      <c r="B10" s="215">
        <v>22000</v>
      </c>
      <c r="C10" s="215">
        <v>1</v>
      </c>
      <c r="E10" s="159" t="s">
        <v>369</v>
      </c>
      <c r="F10" s="215"/>
      <c r="G10" s="215">
        <v>75000</v>
      </c>
      <c r="H10" s="215"/>
      <c r="I10" s="215">
        <v>6000</v>
      </c>
      <c r="J10" s="215">
        <v>16000</v>
      </c>
      <c r="K10" s="215"/>
      <c r="L10" s="215"/>
      <c r="M10" s="215">
        <v>97000</v>
      </c>
    </row>
    <row r="11" spans="1:13" x14ac:dyDescent="0.25">
      <c r="A11" s="214" t="s">
        <v>433</v>
      </c>
      <c r="B11" s="215">
        <v>17500</v>
      </c>
      <c r="C11" s="215">
        <v>3</v>
      </c>
      <c r="E11" s="159" t="s">
        <v>371</v>
      </c>
      <c r="F11" s="215"/>
      <c r="G11" s="215">
        <v>15000</v>
      </c>
      <c r="H11" s="215">
        <v>30000</v>
      </c>
      <c r="I11" s="215">
        <v>27000</v>
      </c>
      <c r="J11" s="215"/>
      <c r="K11" s="215">
        <v>15000</v>
      </c>
      <c r="L11" s="215"/>
      <c r="M11" s="215">
        <v>87000</v>
      </c>
    </row>
    <row r="12" spans="1:13" x14ac:dyDescent="0.25">
      <c r="A12" s="214" t="s">
        <v>529</v>
      </c>
      <c r="B12" s="215">
        <v>16000</v>
      </c>
      <c r="C12" s="215">
        <v>2</v>
      </c>
      <c r="E12" s="159" t="s">
        <v>388</v>
      </c>
      <c r="F12" s="215"/>
      <c r="G12" s="215"/>
      <c r="H12" s="215"/>
      <c r="I12" s="215"/>
      <c r="J12" s="215"/>
      <c r="K12" s="215">
        <v>40000</v>
      </c>
      <c r="L12" s="215">
        <v>24000</v>
      </c>
      <c r="M12" s="215">
        <v>64000</v>
      </c>
    </row>
    <row r="13" spans="1:13" x14ac:dyDescent="0.25">
      <c r="A13" s="214" t="s">
        <v>368</v>
      </c>
      <c r="B13" s="215">
        <v>10000</v>
      </c>
      <c r="C13" s="215">
        <v>4</v>
      </c>
      <c r="E13" s="159" t="s">
        <v>384</v>
      </c>
      <c r="F13" s="215"/>
      <c r="G13" s="215"/>
      <c r="H13" s="215"/>
      <c r="I13" s="215"/>
      <c r="J13" s="215">
        <v>25000</v>
      </c>
      <c r="K13" s="215">
        <v>12000</v>
      </c>
      <c r="L13" s="215">
        <v>25000</v>
      </c>
      <c r="M13" s="215">
        <v>62000</v>
      </c>
    </row>
    <row r="14" spans="1:13" x14ac:dyDescent="0.25">
      <c r="A14" s="214" t="s">
        <v>367</v>
      </c>
      <c r="B14" s="215">
        <v>4000</v>
      </c>
      <c r="C14" s="215">
        <v>1</v>
      </c>
      <c r="E14" s="159" t="s">
        <v>424</v>
      </c>
      <c r="F14" s="215"/>
      <c r="G14" s="215"/>
      <c r="H14" s="215"/>
      <c r="I14" s="215"/>
      <c r="J14" s="215"/>
      <c r="K14" s="215"/>
      <c r="L14" s="215">
        <v>60000</v>
      </c>
      <c r="M14" s="215">
        <v>60000</v>
      </c>
    </row>
    <row r="15" spans="1:13" x14ac:dyDescent="0.25">
      <c r="A15" s="214" t="s">
        <v>457</v>
      </c>
      <c r="B15" s="215">
        <v>4000</v>
      </c>
      <c r="C15" s="215">
        <v>1</v>
      </c>
      <c r="E15" s="159" t="s">
        <v>430</v>
      </c>
      <c r="F15" s="215"/>
      <c r="G15" s="215"/>
      <c r="H15" s="215"/>
      <c r="I15" s="215"/>
      <c r="J15" s="215"/>
      <c r="K15" s="215"/>
      <c r="L15" s="215">
        <v>50000</v>
      </c>
      <c r="M15" s="215">
        <v>50000</v>
      </c>
    </row>
    <row r="16" spans="1:13" x14ac:dyDescent="0.25">
      <c r="A16" s="214" t="s">
        <v>355</v>
      </c>
      <c r="B16" s="215">
        <v>3500</v>
      </c>
      <c r="C16" s="215">
        <v>2</v>
      </c>
      <c r="E16" s="159" t="s">
        <v>396</v>
      </c>
      <c r="F16" s="215"/>
      <c r="G16" s="215"/>
      <c r="H16" s="215"/>
      <c r="I16" s="215"/>
      <c r="J16" s="215"/>
      <c r="K16" s="215">
        <v>26000</v>
      </c>
      <c r="L16" s="215">
        <v>20000</v>
      </c>
      <c r="M16" s="215">
        <v>46000</v>
      </c>
    </row>
    <row r="17" spans="1:13" x14ac:dyDescent="0.25">
      <c r="A17" s="214" t="s">
        <v>385</v>
      </c>
      <c r="B17" s="215">
        <v>2500</v>
      </c>
      <c r="C17" s="215">
        <v>1</v>
      </c>
      <c r="E17" s="159" t="s">
        <v>365</v>
      </c>
      <c r="F17" s="215"/>
      <c r="G17" s="215">
        <v>15000</v>
      </c>
      <c r="H17" s="215"/>
      <c r="I17" s="215"/>
      <c r="J17" s="215">
        <v>30000</v>
      </c>
      <c r="K17" s="215"/>
      <c r="L17" s="215"/>
      <c r="M17" s="215">
        <v>45000</v>
      </c>
    </row>
    <row r="18" spans="1:13" x14ac:dyDescent="0.25">
      <c r="A18" s="214" t="s">
        <v>406</v>
      </c>
      <c r="B18" s="215">
        <v>2500</v>
      </c>
      <c r="C18" s="215">
        <v>1</v>
      </c>
      <c r="E18" s="159" t="s">
        <v>399</v>
      </c>
      <c r="F18" s="215"/>
      <c r="G18" s="215"/>
      <c r="H18" s="215"/>
      <c r="I18" s="215"/>
      <c r="J18" s="215"/>
      <c r="K18" s="215">
        <v>35000</v>
      </c>
      <c r="L18" s="215">
        <v>9000</v>
      </c>
      <c r="M18" s="215">
        <v>44000</v>
      </c>
    </row>
    <row r="19" spans="1:13" x14ac:dyDescent="0.25">
      <c r="A19" s="214" t="s">
        <v>354</v>
      </c>
      <c r="B19" s="215">
        <v>2000</v>
      </c>
      <c r="C19" s="215">
        <v>1</v>
      </c>
      <c r="E19" s="159" t="s">
        <v>426</v>
      </c>
      <c r="F19" s="215"/>
      <c r="G19" s="215"/>
      <c r="H19" s="215"/>
      <c r="I19" s="215"/>
      <c r="J19" s="215"/>
      <c r="K19" s="215"/>
      <c r="L19" s="215">
        <v>40000</v>
      </c>
      <c r="M19" s="215">
        <v>40000</v>
      </c>
    </row>
    <row r="20" spans="1:13" x14ac:dyDescent="0.25">
      <c r="A20" s="214" t="s">
        <v>545</v>
      </c>
      <c r="B20" s="215">
        <v>2000</v>
      </c>
      <c r="C20" s="215">
        <v>1</v>
      </c>
      <c r="E20" s="159" t="s">
        <v>387</v>
      </c>
      <c r="F20" s="215"/>
      <c r="G20" s="215"/>
      <c r="H20" s="215"/>
      <c r="I20" s="215"/>
      <c r="J20" s="215"/>
      <c r="K20" s="215">
        <v>27000</v>
      </c>
      <c r="L20" s="215">
        <v>6000</v>
      </c>
      <c r="M20" s="215">
        <v>33000</v>
      </c>
    </row>
    <row r="21" spans="1:13" x14ac:dyDescent="0.25">
      <c r="A21" s="214" t="s">
        <v>544</v>
      </c>
      <c r="B21" s="215">
        <v>1500</v>
      </c>
      <c r="C21" s="215">
        <v>1</v>
      </c>
      <c r="E21" s="159" t="s">
        <v>373</v>
      </c>
      <c r="F21" s="215"/>
      <c r="G21" s="215">
        <v>30000</v>
      </c>
      <c r="H21" s="215"/>
      <c r="I21" s="215"/>
      <c r="J21" s="215"/>
      <c r="K21" s="215"/>
      <c r="L21" s="215"/>
      <c r="M21" s="215">
        <v>30000</v>
      </c>
    </row>
    <row r="22" spans="1:13" x14ac:dyDescent="0.25">
      <c r="A22" s="159" t="s">
        <v>333</v>
      </c>
      <c r="B22" s="215">
        <v>2812140</v>
      </c>
      <c r="C22" s="215">
        <v>20</v>
      </c>
      <c r="E22" s="159" t="s">
        <v>409</v>
      </c>
      <c r="F22" s="215"/>
      <c r="G22" s="215"/>
      <c r="H22" s="215"/>
      <c r="I22" s="215"/>
      <c r="J22" s="215"/>
      <c r="K22" s="215">
        <v>30000</v>
      </c>
      <c r="L22" s="215"/>
      <c r="M22" s="215">
        <v>30000</v>
      </c>
    </row>
    <row r="23" spans="1:13" x14ac:dyDescent="0.25">
      <c r="A23" s="214" t="s">
        <v>496</v>
      </c>
      <c r="B23" s="215">
        <v>2192140</v>
      </c>
      <c r="C23" s="215">
        <v>1</v>
      </c>
      <c r="E23" s="159" t="s">
        <v>367</v>
      </c>
      <c r="F23" s="215"/>
      <c r="G23" s="215">
        <v>8000</v>
      </c>
      <c r="H23" s="215"/>
      <c r="I23" s="215"/>
      <c r="J23" s="215">
        <v>5000</v>
      </c>
      <c r="K23" s="215">
        <v>4000</v>
      </c>
      <c r="L23" s="215">
        <v>12000</v>
      </c>
      <c r="M23" s="215">
        <v>29000</v>
      </c>
    </row>
    <row r="24" spans="1:13" x14ac:dyDescent="0.25">
      <c r="A24" s="214" t="s">
        <v>353</v>
      </c>
      <c r="B24" s="215">
        <v>239000</v>
      </c>
      <c r="C24" s="215">
        <v>15</v>
      </c>
      <c r="E24" s="159" t="s">
        <v>432</v>
      </c>
      <c r="F24" s="215"/>
      <c r="G24" s="215"/>
      <c r="H24" s="215"/>
      <c r="I24" s="215"/>
      <c r="J24" s="215"/>
      <c r="K24" s="215"/>
      <c r="L24" s="215">
        <v>28000</v>
      </c>
      <c r="M24" s="215">
        <v>28000</v>
      </c>
    </row>
    <row r="25" spans="1:13" x14ac:dyDescent="0.25">
      <c r="A25" s="214" t="s">
        <v>366</v>
      </c>
      <c r="B25" s="215">
        <v>144000</v>
      </c>
      <c r="C25" s="215">
        <v>4</v>
      </c>
      <c r="E25" s="159" t="s">
        <v>377</v>
      </c>
      <c r="F25" s="215"/>
      <c r="G25" s="215"/>
      <c r="H25" s="215">
        <v>25000</v>
      </c>
      <c r="I25" s="215"/>
      <c r="J25" s="215"/>
      <c r="K25" s="215"/>
      <c r="L25" s="215"/>
      <c r="M25" s="215">
        <v>25000</v>
      </c>
    </row>
    <row r="26" spans="1:13" x14ac:dyDescent="0.25">
      <c r="A26" s="214" t="s">
        <v>369</v>
      </c>
      <c r="B26" s="215">
        <v>75000</v>
      </c>
      <c r="C26" s="215">
        <v>4</v>
      </c>
      <c r="E26" s="159" t="s">
        <v>423</v>
      </c>
      <c r="F26" s="215"/>
      <c r="G26" s="215"/>
      <c r="H26" s="215"/>
      <c r="I26" s="215"/>
      <c r="J26" s="215"/>
      <c r="K26" s="215"/>
      <c r="L26" s="215">
        <v>25000</v>
      </c>
      <c r="M26" s="215">
        <v>25000</v>
      </c>
    </row>
    <row r="27" spans="1:13" x14ac:dyDescent="0.25">
      <c r="A27" s="214" t="s">
        <v>358</v>
      </c>
      <c r="B27" s="215">
        <v>46000</v>
      </c>
      <c r="C27" s="215">
        <v>5</v>
      </c>
      <c r="E27" s="159" t="s">
        <v>398</v>
      </c>
      <c r="F27" s="215"/>
      <c r="G27" s="215"/>
      <c r="H27" s="215"/>
      <c r="I27" s="215"/>
      <c r="J27" s="215"/>
      <c r="K27" s="215">
        <v>24000</v>
      </c>
      <c r="L27" s="215"/>
      <c r="M27" s="215">
        <v>24000</v>
      </c>
    </row>
    <row r="28" spans="1:13" x14ac:dyDescent="0.25">
      <c r="A28" s="214" t="s">
        <v>373</v>
      </c>
      <c r="B28" s="215">
        <v>30000</v>
      </c>
      <c r="C28" s="215">
        <v>1</v>
      </c>
      <c r="E28" s="159" t="s">
        <v>368</v>
      </c>
      <c r="F28" s="215">
        <v>4000</v>
      </c>
      <c r="G28" s="215">
        <v>8000</v>
      </c>
      <c r="H28" s="215">
        <v>2000</v>
      </c>
      <c r="I28" s="215">
        <v>2000</v>
      </c>
      <c r="J28" s="215"/>
      <c r="K28" s="215">
        <v>6000</v>
      </c>
      <c r="L28" s="215">
        <v>2000</v>
      </c>
      <c r="M28" s="215">
        <v>24000</v>
      </c>
    </row>
    <row r="29" spans="1:13" x14ac:dyDescent="0.25">
      <c r="A29" s="214" t="s">
        <v>375</v>
      </c>
      <c r="B29" s="215">
        <v>20000</v>
      </c>
      <c r="C29" s="215">
        <v>1</v>
      </c>
      <c r="E29" s="159" t="s">
        <v>428</v>
      </c>
      <c r="F29" s="215"/>
      <c r="G29" s="215"/>
      <c r="H29" s="215"/>
      <c r="I29" s="215"/>
      <c r="J29" s="215"/>
      <c r="K29" s="215"/>
      <c r="L29" s="215">
        <v>22000</v>
      </c>
      <c r="M29" s="215">
        <v>22000</v>
      </c>
    </row>
    <row r="30" spans="1:13" x14ac:dyDescent="0.25">
      <c r="A30" s="214" t="s">
        <v>371</v>
      </c>
      <c r="B30" s="215">
        <v>15000</v>
      </c>
      <c r="C30" s="215">
        <v>1</v>
      </c>
      <c r="E30" s="159" t="s">
        <v>364</v>
      </c>
      <c r="F30" s="215">
        <v>22000</v>
      </c>
      <c r="G30" s="215"/>
      <c r="H30" s="215"/>
      <c r="I30" s="215"/>
      <c r="J30" s="215"/>
      <c r="K30" s="215"/>
      <c r="L30" s="215"/>
      <c r="M30" s="215">
        <v>22000</v>
      </c>
    </row>
    <row r="31" spans="1:13" x14ac:dyDescent="0.25">
      <c r="A31" s="214" t="s">
        <v>365</v>
      </c>
      <c r="B31" s="215">
        <v>15000</v>
      </c>
      <c r="C31" s="215">
        <v>1</v>
      </c>
      <c r="E31" s="159" t="s">
        <v>385</v>
      </c>
      <c r="F31" s="215"/>
      <c r="G31" s="215"/>
      <c r="H31" s="215"/>
      <c r="I31" s="215"/>
      <c r="J31" s="215">
        <v>5000</v>
      </c>
      <c r="K31" s="215">
        <v>7500</v>
      </c>
      <c r="L31" s="215">
        <v>7500</v>
      </c>
      <c r="M31" s="215">
        <v>20000</v>
      </c>
    </row>
    <row r="32" spans="1:13" x14ac:dyDescent="0.25">
      <c r="A32" s="214" t="s">
        <v>368</v>
      </c>
      <c r="B32" s="215">
        <v>8000</v>
      </c>
      <c r="C32" s="215">
        <v>2</v>
      </c>
      <c r="E32" s="159" t="s">
        <v>422</v>
      </c>
      <c r="F32" s="215"/>
      <c r="G32" s="215"/>
      <c r="H32" s="215"/>
      <c r="I32" s="215"/>
      <c r="J32" s="215"/>
      <c r="K32" s="215"/>
      <c r="L32" s="215">
        <v>20000</v>
      </c>
      <c r="M32" s="215">
        <v>20000</v>
      </c>
    </row>
    <row r="33" spans="1:13" x14ac:dyDescent="0.25">
      <c r="A33" s="214" t="s">
        <v>367</v>
      </c>
      <c r="B33" s="215">
        <v>8000</v>
      </c>
      <c r="C33" s="215">
        <v>2</v>
      </c>
      <c r="E33" s="159" t="s">
        <v>416</v>
      </c>
      <c r="F33" s="215"/>
      <c r="G33" s="215"/>
      <c r="H33" s="215"/>
      <c r="I33" s="215"/>
      <c r="J33" s="215"/>
      <c r="K33" s="215">
        <v>20000</v>
      </c>
      <c r="L33" s="215"/>
      <c r="M33" s="215">
        <v>20000</v>
      </c>
    </row>
    <row r="34" spans="1:13" x14ac:dyDescent="0.25">
      <c r="A34" s="214" t="s">
        <v>385</v>
      </c>
      <c r="B34" s="215">
        <v>5000</v>
      </c>
      <c r="C34" s="215">
        <v>2</v>
      </c>
      <c r="E34" s="159" t="s">
        <v>355</v>
      </c>
      <c r="F34" s="215">
        <v>2000</v>
      </c>
      <c r="G34" s="215"/>
      <c r="H34" s="215">
        <v>6000</v>
      </c>
      <c r="I34" s="215">
        <v>2000</v>
      </c>
      <c r="J34" s="215"/>
      <c r="K34" s="215">
        <v>6000</v>
      </c>
      <c r="L34" s="215">
        <v>2000</v>
      </c>
      <c r="M34" s="215">
        <v>18000</v>
      </c>
    </row>
    <row r="35" spans="1:13" x14ac:dyDescent="0.25">
      <c r="A35" s="214" t="s">
        <v>378</v>
      </c>
      <c r="B35" s="215">
        <v>4500</v>
      </c>
      <c r="C35" s="215">
        <v>2</v>
      </c>
      <c r="E35" s="159" t="s">
        <v>414</v>
      </c>
      <c r="F35" s="215"/>
      <c r="G35" s="215"/>
      <c r="H35" s="215"/>
      <c r="I35" s="215"/>
      <c r="J35" s="215"/>
      <c r="K35" s="215">
        <v>12000</v>
      </c>
      <c r="L35" s="215"/>
      <c r="M35" s="215">
        <v>12000</v>
      </c>
    </row>
    <row r="36" spans="1:13" x14ac:dyDescent="0.25">
      <c r="A36" s="214" t="s">
        <v>433</v>
      </c>
      <c r="B36" s="215">
        <v>4500</v>
      </c>
      <c r="C36" s="215">
        <v>1</v>
      </c>
      <c r="E36" s="159" t="s">
        <v>420</v>
      </c>
      <c r="F36" s="215"/>
      <c r="G36" s="215"/>
      <c r="H36" s="215"/>
      <c r="I36" s="215"/>
      <c r="J36" s="215"/>
      <c r="K36" s="215"/>
      <c r="L36" s="215">
        <v>12000</v>
      </c>
      <c r="M36" s="215">
        <v>12000</v>
      </c>
    </row>
    <row r="37" spans="1:13" x14ac:dyDescent="0.25">
      <c r="A37" s="214" t="s">
        <v>7</v>
      </c>
      <c r="B37" s="215">
        <v>4000</v>
      </c>
      <c r="C37" s="215">
        <v>2</v>
      </c>
      <c r="E37" s="159" t="s">
        <v>389</v>
      </c>
      <c r="F37" s="215"/>
      <c r="G37" s="215"/>
      <c r="H37" s="215"/>
      <c r="I37" s="215"/>
      <c r="J37" s="215"/>
      <c r="K37" s="215">
        <v>12000</v>
      </c>
      <c r="L37" s="215"/>
      <c r="M37" s="215">
        <v>12000</v>
      </c>
    </row>
    <row r="38" spans="1:13" x14ac:dyDescent="0.25">
      <c r="A38" s="214" t="s">
        <v>457</v>
      </c>
      <c r="B38" s="215">
        <v>2000</v>
      </c>
      <c r="C38" s="215">
        <v>1</v>
      </c>
      <c r="E38" s="159" t="s">
        <v>405</v>
      </c>
      <c r="F38" s="215"/>
      <c r="G38" s="215"/>
      <c r="H38" s="215"/>
      <c r="I38" s="215"/>
      <c r="J38" s="215"/>
      <c r="K38" s="215">
        <v>5000</v>
      </c>
      <c r="L38" s="215">
        <v>5000</v>
      </c>
      <c r="M38" s="215">
        <v>10000</v>
      </c>
    </row>
    <row r="39" spans="1:13" x14ac:dyDescent="0.25">
      <c r="A39" s="159" t="s">
        <v>334</v>
      </c>
      <c r="B39" s="215">
        <v>3368800</v>
      </c>
      <c r="C39" s="215">
        <v>21</v>
      </c>
      <c r="E39" s="159" t="s">
        <v>404</v>
      </c>
      <c r="F39" s="215"/>
      <c r="G39" s="215"/>
      <c r="H39" s="215"/>
      <c r="I39" s="215"/>
      <c r="J39" s="215"/>
      <c r="K39" s="215">
        <v>8500</v>
      </c>
      <c r="L39" s="215"/>
      <c r="M39" s="215">
        <v>8500</v>
      </c>
    </row>
    <row r="40" spans="1:13" x14ac:dyDescent="0.25">
      <c r="A40" s="214" t="s">
        <v>496</v>
      </c>
      <c r="B40" s="215">
        <v>2564000</v>
      </c>
      <c r="C40" s="215">
        <v>2</v>
      </c>
      <c r="E40" s="159" t="s">
        <v>410</v>
      </c>
      <c r="F40" s="215"/>
      <c r="G40" s="215"/>
      <c r="H40" s="215"/>
      <c r="I40" s="215"/>
      <c r="J40" s="215"/>
      <c r="K40" s="215">
        <v>8000</v>
      </c>
      <c r="L40" s="215"/>
      <c r="M40" s="215">
        <v>8000</v>
      </c>
    </row>
    <row r="41" spans="1:13" x14ac:dyDescent="0.25">
      <c r="A41" s="214" t="s">
        <v>375</v>
      </c>
      <c r="B41" s="215">
        <v>330000</v>
      </c>
      <c r="C41" s="215">
        <v>8</v>
      </c>
      <c r="E41" s="159" t="s">
        <v>408</v>
      </c>
      <c r="F41" s="215"/>
      <c r="G41" s="215"/>
      <c r="H41" s="215"/>
      <c r="I41" s="215"/>
      <c r="J41" s="215"/>
      <c r="K41" s="215">
        <v>7000</v>
      </c>
      <c r="L41" s="215"/>
      <c r="M41" s="215">
        <v>7000</v>
      </c>
    </row>
    <row r="42" spans="1:13" x14ac:dyDescent="0.25">
      <c r="A42" s="214" t="s">
        <v>353</v>
      </c>
      <c r="B42" s="215">
        <v>264000</v>
      </c>
      <c r="C42" s="215">
        <v>12</v>
      </c>
      <c r="E42" s="159" t="s">
        <v>431</v>
      </c>
      <c r="F42" s="215"/>
      <c r="G42" s="215"/>
      <c r="H42" s="215"/>
      <c r="I42" s="215"/>
      <c r="J42" s="215"/>
      <c r="K42" s="215"/>
      <c r="L42" s="215">
        <v>6000</v>
      </c>
      <c r="M42" s="215">
        <v>6000</v>
      </c>
    </row>
    <row r="43" spans="1:13" x14ac:dyDescent="0.25">
      <c r="A43" s="214" t="s">
        <v>366</v>
      </c>
      <c r="B43" s="215">
        <v>49000</v>
      </c>
      <c r="C43" s="215">
        <v>2</v>
      </c>
      <c r="E43" s="159" t="s">
        <v>360</v>
      </c>
      <c r="F43" s="215"/>
      <c r="G43" s="215"/>
      <c r="H43" s="215">
        <v>2000</v>
      </c>
      <c r="I43" s="215">
        <v>2000</v>
      </c>
      <c r="J43" s="215">
        <v>2000</v>
      </c>
      <c r="K43" s="215"/>
      <c r="L43" s="215"/>
      <c r="M43" s="215">
        <v>6000</v>
      </c>
    </row>
    <row r="44" spans="1:13" x14ac:dyDescent="0.25">
      <c r="A44" s="214" t="s">
        <v>358</v>
      </c>
      <c r="B44" s="215">
        <v>33000</v>
      </c>
      <c r="C44" s="215">
        <v>4</v>
      </c>
      <c r="E44" s="159" t="s">
        <v>403</v>
      </c>
      <c r="F44" s="215"/>
      <c r="G44" s="215"/>
      <c r="H44" s="215"/>
      <c r="I44" s="215"/>
      <c r="J44" s="215"/>
      <c r="K44" s="215">
        <v>5000</v>
      </c>
      <c r="L44" s="215"/>
      <c r="M44" s="215">
        <v>5000</v>
      </c>
    </row>
    <row r="45" spans="1:13" x14ac:dyDescent="0.25">
      <c r="A45" s="214" t="s">
        <v>371</v>
      </c>
      <c r="B45" s="215">
        <v>30000</v>
      </c>
      <c r="C45" s="215">
        <v>2</v>
      </c>
      <c r="E45" s="159" t="s">
        <v>379</v>
      </c>
      <c r="F45" s="215"/>
      <c r="G45" s="215"/>
      <c r="H45" s="215">
        <v>4500</v>
      </c>
      <c r="I45" s="215"/>
      <c r="J45" s="215"/>
      <c r="K45" s="215"/>
      <c r="L45" s="215"/>
      <c r="M45" s="215">
        <v>4500</v>
      </c>
    </row>
    <row r="46" spans="1:13" x14ac:dyDescent="0.25">
      <c r="A46" s="214" t="s">
        <v>377</v>
      </c>
      <c r="B46" s="215">
        <v>25000</v>
      </c>
      <c r="C46" s="215">
        <v>1</v>
      </c>
      <c r="E46" s="159" t="s">
        <v>433</v>
      </c>
      <c r="F46" s="215"/>
      <c r="G46" s="215"/>
      <c r="H46" s="215"/>
      <c r="I46" s="215"/>
      <c r="J46" s="215"/>
      <c r="K46" s="215"/>
      <c r="L46" s="215">
        <v>4500</v>
      </c>
      <c r="M46" s="215">
        <v>4500</v>
      </c>
    </row>
    <row r="47" spans="1:13" x14ac:dyDescent="0.25">
      <c r="A47" s="214" t="s">
        <v>524</v>
      </c>
      <c r="B47" s="215">
        <v>23000</v>
      </c>
      <c r="C47" s="215">
        <v>1</v>
      </c>
      <c r="E47" s="159" t="s">
        <v>7</v>
      </c>
      <c r="F47" s="215"/>
      <c r="G47" s="215">
        <v>4000</v>
      </c>
      <c r="H47" s="215"/>
      <c r="I47" s="215"/>
      <c r="J47" s="215"/>
      <c r="K47" s="215"/>
      <c r="L47" s="215"/>
      <c r="M47" s="215">
        <v>4000</v>
      </c>
    </row>
    <row r="48" spans="1:13" x14ac:dyDescent="0.25">
      <c r="A48" s="214" t="s">
        <v>467</v>
      </c>
      <c r="B48" s="215">
        <v>8800</v>
      </c>
      <c r="C48" s="215">
        <v>2</v>
      </c>
      <c r="E48" s="159" t="s">
        <v>394</v>
      </c>
      <c r="F48" s="215"/>
      <c r="G48" s="215"/>
      <c r="H48" s="215"/>
      <c r="I48" s="215"/>
      <c r="J48" s="215"/>
      <c r="K48" s="215">
        <v>4000</v>
      </c>
      <c r="L48" s="215"/>
      <c r="M48" s="215">
        <v>4000</v>
      </c>
    </row>
    <row r="49" spans="1:13" x14ac:dyDescent="0.25">
      <c r="A49" s="214" t="s">
        <v>355</v>
      </c>
      <c r="B49" s="215">
        <v>6000</v>
      </c>
      <c r="C49" s="215">
        <v>2</v>
      </c>
      <c r="E49" s="159" t="s">
        <v>378</v>
      </c>
      <c r="F49" s="215"/>
      <c r="G49" s="215"/>
      <c r="H49" s="215">
        <v>4000</v>
      </c>
      <c r="I49" s="215"/>
      <c r="J49" s="215"/>
      <c r="K49" s="215"/>
      <c r="L49" s="215"/>
      <c r="M49" s="215">
        <v>4000</v>
      </c>
    </row>
    <row r="50" spans="1:13" x14ac:dyDescent="0.25">
      <c r="A50" s="214" t="s">
        <v>468</v>
      </c>
      <c r="B50" s="215">
        <v>6000</v>
      </c>
      <c r="C50" s="215">
        <v>2</v>
      </c>
      <c r="E50" s="159" t="s">
        <v>425</v>
      </c>
      <c r="F50" s="215"/>
      <c r="G50" s="215"/>
      <c r="H50" s="215"/>
      <c r="I50" s="215"/>
      <c r="J50" s="215"/>
      <c r="K50" s="215"/>
      <c r="L50" s="215">
        <v>4000</v>
      </c>
      <c r="M50" s="215">
        <v>4000</v>
      </c>
    </row>
    <row r="51" spans="1:13" x14ac:dyDescent="0.25">
      <c r="A51" s="214" t="s">
        <v>539</v>
      </c>
      <c r="B51" s="215">
        <v>6000</v>
      </c>
      <c r="C51" s="215">
        <v>1</v>
      </c>
      <c r="E51" s="159" t="s">
        <v>407</v>
      </c>
      <c r="F51" s="215"/>
      <c r="G51" s="215"/>
      <c r="H51" s="215"/>
      <c r="I51" s="215"/>
      <c r="J51" s="215"/>
      <c r="K51" s="215">
        <v>3000</v>
      </c>
      <c r="L51" s="215"/>
      <c r="M51" s="215">
        <v>3000</v>
      </c>
    </row>
    <row r="52" spans="1:13" x14ac:dyDescent="0.25">
      <c r="A52" s="214" t="s">
        <v>433</v>
      </c>
      <c r="B52" s="215">
        <v>5000</v>
      </c>
      <c r="C52" s="215">
        <v>1</v>
      </c>
      <c r="E52" s="159" t="s">
        <v>419</v>
      </c>
      <c r="F52" s="215"/>
      <c r="G52" s="215"/>
      <c r="H52" s="215"/>
      <c r="I52" s="215"/>
      <c r="J52" s="215"/>
      <c r="K52" s="215"/>
      <c r="L52" s="215">
        <v>2500</v>
      </c>
      <c r="M52" s="215">
        <v>2500</v>
      </c>
    </row>
    <row r="53" spans="1:13" x14ac:dyDescent="0.25">
      <c r="A53" s="214" t="s">
        <v>379</v>
      </c>
      <c r="B53" s="215">
        <v>4500</v>
      </c>
      <c r="C53" s="215">
        <v>1</v>
      </c>
      <c r="E53" s="159" t="s">
        <v>392</v>
      </c>
      <c r="F53" s="215"/>
      <c r="G53" s="215"/>
      <c r="H53" s="215"/>
      <c r="I53" s="215"/>
      <c r="J53" s="215"/>
      <c r="K53" s="215">
        <v>2500</v>
      </c>
      <c r="L53" s="215"/>
      <c r="M53" s="215">
        <v>2500</v>
      </c>
    </row>
    <row r="54" spans="1:13" x14ac:dyDescent="0.25">
      <c r="A54" s="214" t="s">
        <v>457</v>
      </c>
      <c r="B54" s="215">
        <v>4000</v>
      </c>
      <c r="C54" s="215">
        <v>2</v>
      </c>
      <c r="E54" s="159" t="s">
        <v>467</v>
      </c>
      <c r="F54" s="215"/>
      <c r="G54" s="215"/>
      <c r="H54" s="215"/>
      <c r="I54" s="215"/>
      <c r="J54" s="215"/>
      <c r="K54" s="215">
        <v>2000</v>
      </c>
      <c r="L54" s="215"/>
      <c r="M54" s="215">
        <v>2000</v>
      </c>
    </row>
    <row r="55" spans="1:13" x14ac:dyDescent="0.25">
      <c r="A55" s="214" t="s">
        <v>378</v>
      </c>
      <c r="B55" s="215">
        <v>4000</v>
      </c>
      <c r="C55" s="215">
        <v>1</v>
      </c>
      <c r="E55" s="159" t="s">
        <v>354</v>
      </c>
      <c r="F55" s="215">
        <v>2000</v>
      </c>
      <c r="G55" s="215"/>
      <c r="H55" s="215"/>
      <c r="I55" s="215"/>
      <c r="J55" s="215"/>
      <c r="K55" s="215"/>
      <c r="L55" s="215"/>
      <c r="M55" s="215">
        <v>2000</v>
      </c>
    </row>
    <row r="56" spans="1:13" x14ac:dyDescent="0.25">
      <c r="A56" s="214" t="s">
        <v>385</v>
      </c>
      <c r="B56" s="215">
        <v>2500</v>
      </c>
      <c r="C56" s="215">
        <v>1</v>
      </c>
      <c r="E56" s="159" t="s">
        <v>406</v>
      </c>
      <c r="F56" s="215"/>
      <c r="G56" s="215"/>
      <c r="H56" s="215"/>
      <c r="I56" s="215"/>
      <c r="J56" s="215"/>
      <c r="K56" s="215">
        <v>1500</v>
      </c>
      <c r="L56" s="215"/>
      <c r="M56" s="215">
        <v>1500</v>
      </c>
    </row>
    <row r="57" spans="1:13" x14ac:dyDescent="0.25">
      <c r="A57" s="214" t="s">
        <v>368</v>
      </c>
      <c r="B57" s="215">
        <v>2000</v>
      </c>
      <c r="C57" s="215">
        <v>1</v>
      </c>
      <c r="E57" s="159" t="s">
        <v>401</v>
      </c>
      <c r="F57" s="215"/>
      <c r="G57" s="215"/>
      <c r="H57" s="215"/>
      <c r="I57" s="215"/>
      <c r="J57" s="215"/>
      <c r="K57" s="215">
        <v>-8000</v>
      </c>
      <c r="L57" s="215">
        <v>-2500</v>
      </c>
      <c r="M57" s="215">
        <v>-10500</v>
      </c>
    </row>
    <row r="58" spans="1:13" x14ac:dyDescent="0.25">
      <c r="A58" s="214" t="s">
        <v>360</v>
      </c>
      <c r="B58" s="215">
        <v>2000</v>
      </c>
      <c r="C58" s="215">
        <v>1</v>
      </c>
      <c r="E58" s="159" t="s">
        <v>317</v>
      </c>
      <c r="F58" s="215">
        <v>142000</v>
      </c>
      <c r="G58" s="215">
        <v>393000</v>
      </c>
      <c r="H58" s="215">
        <v>419500</v>
      </c>
      <c r="I58" s="215">
        <v>315000</v>
      </c>
      <c r="J58" s="215">
        <v>421000</v>
      </c>
      <c r="K58" s="215">
        <v>951500</v>
      </c>
      <c r="L58" s="215">
        <v>658000</v>
      </c>
      <c r="M58" s="215">
        <v>3300000</v>
      </c>
    </row>
    <row r="59" spans="1:13" x14ac:dyDescent="0.25">
      <c r="A59" s="159" t="s">
        <v>335</v>
      </c>
      <c r="B59" s="215">
        <v>2449300</v>
      </c>
      <c r="C59" s="215">
        <v>15</v>
      </c>
    </row>
    <row r="60" spans="1:13" x14ac:dyDescent="0.25">
      <c r="A60" s="214" t="s">
        <v>496</v>
      </c>
      <c r="B60" s="215">
        <v>1883500</v>
      </c>
      <c r="C60" s="215">
        <v>1</v>
      </c>
    </row>
    <row r="61" spans="1:13" x14ac:dyDescent="0.25">
      <c r="A61" s="214" t="s">
        <v>353</v>
      </c>
      <c r="B61" s="215">
        <v>332000</v>
      </c>
      <c r="C61" s="215">
        <v>13</v>
      </c>
    </row>
    <row r="62" spans="1:13" x14ac:dyDescent="0.25">
      <c r="A62" s="214" t="s">
        <v>381</v>
      </c>
      <c r="B62" s="215">
        <v>70000</v>
      </c>
      <c r="C62" s="215">
        <v>1</v>
      </c>
    </row>
    <row r="63" spans="1:13" x14ac:dyDescent="0.25">
      <c r="A63" s="214" t="s">
        <v>366</v>
      </c>
      <c r="B63" s="215">
        <v>50000</v>
      </c>
      <c r="C63" s="215">
        <v>2</v>
      </c>
    </row>
    <row r="64" spans="1:13" x14ac:dyDescent="0.25">
      <c r="A64" s="214" t="s">
        <v>375</v>
      </c>
      <c r="B64" s="215">
        <v>30000</v>
      </c>
      <c r="C64" s="215">
        <v>2</v>
      </c>
    </row>
    <row r="65" spans="1:3" x14ac:dyDescent="0.25">
      <c r="A65" s="214" t="s">
        <v>371</v>
      </c>
      <c r="B65" s="215">
        <v>27000</v>
      </c>
      <c r="C65" s="215">
        <v>2</v>
      </c>
    </row>
    <row r="66" spans="1:3" x14ac:dyDescent="0.25">
      <c r="A66" s="214" t="s">
        <v>358</v>
      </c>
      <c r="B66" s="215">
        <v>14000</v>
      </c>
      <c r="C66" s="215">
        <v>2</v>
      </c>
    </row>
    <row r="67" spans="1:3" x14ac:dyDescent="0.25">
      <c r="A67" s="214" t="s">
        <v>384</v>
      </c>
      <c r="B67" s="215">
        <v>12000</v>
      </c>
      <c r="C67" s="215">
        <v>1</v>
      </c>
    </row>
    <row r="68" spans="1:3" x14ac:dyDescent="0.25">
      <c r="A68" s="214" t="s">
        <v>468</v>
      </c>
      <c r="B68" s="215">
        <v>9000</v>
      </c>
      <c r="C68" s="215">
        <v>2</v>
      </c>
    </row>
    <row r="69" spans="1:3" x14ac:dyDescent="0.25">
      <c r="A69" s="214" t="s">
        <v>369</v>
      </c>
      <c r="B69" s="215">
        <v>6000</v>
      </c>
      <c r="C69" s="215">
        <v>2</v>
      </c>
    </row>
    <row r="70" spans="1:3" x14ac:dyDescent="0.25">
      <c r="A70" s="214" t="s">
        <v>368</v>
      </c>
      <c r="B70" s="215">
        <v>6000</v>
      </c>
      <c r="C70" s="215">
        <v>2</v>
      </c>
    </row>
    <row r="71" spans="1:3" x14ac:dyDescent="0.25">
      <c r="A71" s="214" t="s">
        <v>385</v>
      </c>
      <c r="B71" s="215">
        <v>5000</v>
      </c>
      <c r="C71" s="215">
        <v>2</v>
      </c>
    </row>
    <row r="72" spans="1:3" x14ac:dyDescent="0.25">
      <c r="A72" s="214" t="s">
        <v>360</v>
      </c>
      <c r="B72" s="215">
        <v>2000</v>
      </c>
      <c r="C72" s="215">
        <v>1</v>
      </c>
    </row>
    <row r="73" spans="1:3" x14ac:dyDescent="0.25">
      <c r="A73" s="214" t="s">
        <v>355</v>
      </c>
      <c r="B73" s="215">
        <v>2000</v>
      </c>
      <c r="C73" s="215">
        <v>1</v>
      </c>
    </row>
    <row r="74" spans="1:3" x14ac:dyDescent="0.25">
      <c r="A74" s="214" t="s">
        <v>467</v>
      </c>
      <c r="B74" s="215">
        <v>800</v>
      </c>
      <c r="C74" s="215">
        <v>1</v>
      </c>
    </row>
    <row r="75" spans="1:3" x14ac:dyDescent="0.25">
      <c r="A75" s="159" t="s">
        <v>336</v>
      </c>
      <c r="B75" s="215">
        <v>4365900</v>
      </c>
      <c r="C75" s="215">
        <v>16</v>
      </c>
    </row>
    <row r="76" spans="1:3" x14ac:dyDescent="0.25">
      <c r="A76" s="214" t="s">
        <v>496</v>
      </c>
      <c r="B76" s="215">
        <v>3581400</v>
      </c>
      <c r="C76" s="215">
        <v>1</v>
      </c>
    </row>
    <row r="77" spans="1:3" x14ac:dyDescent="0.25">
      <c r="A77" s="214" t="s">
        <v>353</v>
      </c>
      <c r="B77" s="215">
        <v>370000</v>
      </c>
      <c r="C77" s="215">
        <v>11</v>
      </c>
    </row>
    <row r="78" spans="1:3" x14ac:dyDescent="0.25">
      <c r="A78" s="214" t="s">
        <v>375</v>
      </c>
      <c r="B78" s="215">
        <v>230000</v>
      </c>
      <c r="C78" s="215">
        <v>6</v>
      </c>
    </row>
    <row r="79" spans="1:3" x14ac:dyDescent="0.25">
      <c r="A79" s="214" t="s">
        <v>384</v>
      </c>
      <c r="B79" s="215">
        <v>37000</v>
      </c>
      <c r="C79" s="215">
        <v>1</v>
      </c>
    </row>
    <row r="80" spans="1:3" x14ac:dyDescent="0.25">
      <c r="A80" s="214" t="s">
        <v>365</v>
      </c>
      <c r="B80" s="215">
        <v>30000</v>
      </c>
      <c r="C80" s="215">
        <v>1</v>
      </c>
    </row>
    <row r="81" spans="1:3" x14ac:dyDescent="0.25">
      <c r="A81" s="214" t="s">
        <v>358</v>
      </c>
      <c r="B81" s="215">
        <v>29000</v>
      </c>
      <c r="C81" s="215">
        <v>4</v>
      </c>
    </row>
    <row r="82" spans="1:3" x14ac:dyDescent="0.25">
      <c r="A82" s="214" t="s">
        <v>369</v>
      </c>
      <c r="B82" s="215">
        <v>26000</v>
      </c>
      <c r="C82" s="215">
        <v>3</v>
      </c>
    </row>
    <row r="83" spans="1:3" x14ac:dyDescent="0.25">
      <c r="A83" s="214" t="s">
        <v>396</v>
      </c>
      <c r="B83" s="215">
        <v>20000</v>
      </c>
      <c r="C83" s="215">
        <v>1</v>
      </c>
    </row>
    <row r="84" spans="1:3" x14ac:dyDescent="0.25">
      <c r="A84" s="214" t="s">
        <v>368</v>
      </c>
      <c r="B84" s="215">
        <v>14000</v>
      </c>
      <c r="C84" s="215">
        <v>2</v>
      </c>
    </row>
    <row r="85" spans="1:3" x14ac:dyDescent="0.25">
      <c r="A85" s="214" t="s">
        <v>457</v>
      </c>
      <c r="B85" s="215">
        <v>6000</v>
      </c>
      <c r="C85" s="215">
        <v>1</v>
      </c>
    </row>
    <row r="86" spans="1:3" x14ac:dyDescent="0.25">
      <c r="A86" s="214" t="s">
        <v>385</v>
      </c>
      <c r="B86" s="215">
        <v>5000</v>
      </c>
      <c r="C86" s="215">
        <v>1</v>
      </c>
    </row>
    <row r="87" spans="1:3" x14ac:dyDescent="0.25">
      <c r="A87" s="214" t="s">
        <v>469</v>
      </c>
      <c r="B87" s="215">
        <v>5000</v>
      </c>
      <c r="C87" s="215">
        <v>1</v>
      </c>
    </row>
    <row r="88" spans="1:3" x14ac:dyDescent="0.25">
      <c r="A88" s="214" t="s">
        <v>367</v>
      </c>
      <c r="B88" s="215">
        <v>5000</v>
      </c>
      <c r="C88" s="215">
        <v>1</v>
      </c>
    </row>
    <row r="89" spans="1:3" x14ac:dyDescent="0.25">
      <c r="A89" s="214" t="s">
        <v>470</v>
      </c>
      <c r="B89" s="215">
        <v>3000</v>
      </c>
      <c r="C89" s="215">
        <v>1</v>
      </c>
    </row>
    <row r="90" spans="1:3" x14ac:dyDescent="0.25">
      <c r="A90" s="214" t="s">
        <v>468</v>
      </c>
      <c r="B90" s="215">
        <v>2500</v>
      </c>
      <c r="C90" s="215">
        <v>1</v>
      </c>
    </row>
    <row r="91" spans="1:3" x14ac:dyDescent="0.25">
      <c r="A91" s="214" t="s">
        <v>360</v>
      </c>
      <c r="B91" s="215">
        <v>2000</v>
      </c>
      <c r="C91" s="215">
        <v>1</v>
      </c>
    </row>
    <row r="92" spans="1:3" x14ac:dyDescent="0.25">
      <c r="A92" s="214" t="s">
        <v>473</v>
      </c>
      <c r="B92" s="215">
        <v>0</v>
      </c>
      <c r="C92" s="215">
        <v>1</v>
      </c>
    </row>
    <row r="93" spans="1:3" x14ac:dyDescent="0.25">
      <c r="A93" s="159" t="s">
        <v>337</v>
      </c>
      <c r="B93" s="215">
        <v>8552300</v>
      </c>
      <c r="C93" s="215">
        <v>30</v>
      </c>
    </row>
    <row r="94" spans="1:3" x14ac:dyDescent="0.25">
      <c r="A94" s="214" t="s">
        <v>496</v>
      </c>
      <c r="B94" s="215">
        <v>7600800</v>
      </c>
      <c r="C94" s="215">
        <v>1</v>
      </c>
    </row>
    <row r="95" spans="1:3" x14ac:dyDescent="0.25">
      <c r="A95" s="214" t="s">
        <v>375</v>
      </c>
      <c r="B95" s="215">
        <v>370000</v>
      </c>
      <c r="C95" s="215">
        <v>12</v>
      </c>
    </row>
    <row r="96" spans="1:3" x14ac:dyDescent="0.25">
      <c r="A96" s="214" t="s">
        <v>381</v>
      </c>
      <c r="B96" s="215">
        <v>100000</v>
      </c>
      <c r="C96" s="215">
        <v>1</v>
      </c>
    </row>
    <row r="97" spans="1:3" x14ac:dyDescent="0.25">
      <c r="A97" s="214" t="s">
        <v>353</v>
      </c>
      <c r="B97" s="215">
        <v>62500</v>
      </c>
      <c r="C97" s="215">
        <v>4</v>
      </c>
    </row>
    <row r="98" spans="1:3" x14ac:dyDescent="0.25">
      <c r="A98" s="214" t="s">
        <v>358</v>
      </c>
      <c r="B98" s="215">
        <v>54000</v>
      </c>
      <c r="C98" s="215">
        <v>8</v>
      </c>
    </row>
    <row r="99" spans="1:3" x14ac:dyDescent="0.25">
      <c r="A99" s="214" t="s">
        <v>366</v>
      </c>
      <c r="B99" s="215">
        <v>50000</v>
      </c>
      <c r="C99" s="215">
        <v>2</v>
      </c>
    </row>
    <row r="100" spans="1:3" x14ac:dyDescent="0.25">
      <c r="A100" s="214" t="s">
        <v>388</v>
      </c>
      <c r="B100" s="215">
        <v>40000</v>
      </c>
      <c r="C100" s="215">
        <v>2</v>
      </c>
    </row>
    <row r="101" spans="1:3" x14ac:dyDescent="0.25">
      <c r="A101" s="214" t="s">
        <v>399</v>
      </c>
      <c r="B101" s="215">
        <v>35000</v>
      </c>
      <c r="C101" s="215">
        <v>4</v>
      </c>
    </row>
    <row r="102" spans="1:3" x14ac:dyDescent="0.25">
      <c r="A102" s="214" t="s">
        <v>409</v>
      </c>
      <c r="B102" s="215">
        <v>30000</v>
      </c>
      <c r="C102" s="215">
        <v>1</v>
      </c>
    </row>
    <row r="103" spans="1:3" x14ac:dyDescent="0.25">
      <c r="A103" s="214" t="s">
        <v>387</v>
      </c>
      <c r="B103" s="215">
        <v>27000</v>
      </c>
      <c r="C103" s="215">
        <v>6</v>
      </c>
    </row>
    <row r="104" spans="1:3" x14ac:dyDescent="0.25">
      <c r="A104" s="214" t="s">
        <v>396</v>
      </c>
      <c r="B104" s="215">
        <v>26000</v>
      </c>
      <c r="C104" s="215">
        <v>1</v>
      </c>
    </row>
    <row r="105" spans="1:3" x14ac:dyDescent="0.25">
      <c r="A105" s="214" t="s">
        <v>398</v>
      </c>
      <c r="B105" s="215">
        <v>24000</v>
      </c>
      <c r="C105" s="215">
        <v>1</v>
      </c>
    </row>
    <row r="106" spans="1:3" x14ac:dyDescent="0.25">
      <c r="A106" s="214" t="s">
        <v>416</v>
      </c>
      <c r="B106" s="215">
        <v>20000</v>
      </c>
      <c r="C106" s="215">
        <v>1</v>
      </c>
    </row>
    <row r="107" spans="1:3" x14ac:dyDescent="0.25">
      <c r="A107" s="214" t="s">
        <v>371</v>
      </c>
      <c r="B107" s="215">
        <v>15000</v>
      </c>
      <c r="C107" s="215">
        <v>1</v>
      </c>
    </row>
    <row r="108" spans="1:3" x14ac:dyDescent="0.25">
      <c r="A108" s="214" t="s">
        <v>384</v>
      </c>
      <c r="B108" s="215">
        <v>12000</v>
      </c>
      <c r="C108" s="215">
        <v>1</v>
      </c>
    </row>
    <row r="109" spans="1:3" x14ac:dyDescent="0.25">
      <c r="A109" s="214" t="s">
        <v>414</v>
      </c>
      <c r="B109" s="215">
        <v>12000</v>
      </c>
      <c r="C109" s="215">
        <v>1</v>
      </c>
    </row>
    <row r="110" spans="1:3" x14ac:dyDescent="0.25">
      <c r="A110" s="214" t="s">
        <v>389</v>
      </c>
      <c r="B110" s="215">
        <v>12000</v>
      </c>
      <c r="C110" s="215">
        <v>1</v>
      </c>
    </row>
    <row r="111" spans="1:3" x14ac:dyDescent="0.25">
      <c r="A111" s="214" t="s">
        <v>404</v>
      </c>
      <c r="B111" s="215">
        <v>8500</v>
      </c>
      <c r="C111" s="215">
        <v>2</v>
      </c>
    </row>
    <row r="112" spans="1:3" x14ac:dyDescent="0.25">
      <c r="A112" s="214" t="s">
        <v>410</v>
      </c>
      <c r="B112" s="215">
        <v>8000</v>
      </c>
      <c r="C112" s="215">
        <v>1</v>
      </c>
    </row>
    <row r="113" spans="1:3" x14ac:dyDescent="0.25">
      <c r="A113" s="214" t="s">
        <v>385</v>
      </c>
      <c r="B113" s="215">
        <v>7500</v>
      </c>
      <c r="C113" s="215">
        <v>1</v>
      </c>
    </row>
    <row r="114" spans="1:3" x14ac:dyDescent="0.25">
      <c r="A114" s="214" t="s">
        <v>408</v>
      </c>
      <c r="B114" s="215">
        <v>7000</v>
      </c>
      <c r="C114" s="215">
        <v>1</v>
      </c>
    </row>
    <row r="115" spans="1:3" x14ac:dyDescent="0.25">
      <c r="A115" s="214" t="s">
        <v>368</v>
      </c>
      <c r="B115" s="215">
        <v>6000</v>
      </c>
      <c r="C115" s="215">
        <v>3</v>
      </c>
    </row>
    <row r="116" spans="1:3" x14ac:dyDescent="0.25">
      <c r="A116" s="214" t="s">
        <v>355</v>
      </c>
      <c r="B116" s="215">
        <v>6000</v>
      </c>
      <c r="C116" s="215">
        <v>3</v>
      </c>
    </row>
    <row r="117" spans="1:3" x14ac:dyDescent="0.25">
      <c r="A117" s="214" t="s">
        <v>403</v>
      </c>
      <c r="B117" s="215">
        <v>5000</v>
      </c>
      <c r="C117" s="215">
        <v>1</v>
      </c>
    </row>
    <row r="118" spans="1:3" x14ac:dyDescent="0.25">
      <c r="A118" s="214" t="s">
        <v>405</v>
      </c>
      <c r="B118" s="215">
        <v>5000</v>
      </c>
      <c r="C118" s="215">
        <v>1</v>
      </c>
    </row>
    <row r="119" spans="1:3" x14ac:dyDescent="0.25">
      <c r="A119" s="214" t="s">
        <v>367</v>
      </c>
      <c r="B119" s="215">
        <v>4000</v>
      </c>
      <c r="C119" s="215">
        <v>1</v>
      </c>
    </row>
    <row r="120" spans="1:3" x14ac:dyDescent="0.25">
      <c r="A120" s="214" t="s">
        <v>394</v>
      </c>
      <c r="B120" s="215">
        <v>4000</v>
      </c>
      <c r="C120" s="215">
        <v>1</v>
      </c>
    </row>
    <row r="121" spans="1:3" x14ac:dyDescent="0.25">
      <c r="A121" s="214" t="s">
        <v>407</v>
      </c>
      <c r="B121" s="215">
        <v>3000</v>
      </c>
      <c r="C121" s="215">
        <v>1</v>
      </c>
    </row>
    <row r="122" spans="1:3" x14ac:dyDescent="0.25">
      <c r="A122" s="214" t="s">
        <v>392</v>
      </c>
      <c r="B122" s="215">
        <v>2500</v>
      </c>
      <c r="C122" s="215">
        <v>1</v>
      </c>
    </row>
    <row r="123" spans="1:3" x14ac:dyDescent="0.25">
      <c r="A123" s="214" t="s">
        <v>467</v>
      </c>
      <c r="B123" s="215">
        <v>2000</v>
      </c>
      <c r="C123" s="215">
        <v>1</v>
      </c>
    </row>
    <row r="124" spans="1:3" x14ac:dyDescent="0.25">
      <c r="A124" s="214" t="s">
        <v>406</v>
      </c>
      <c r="B124" s="215">
        <v>1500</v>
      </c>
      <c r="C124" s="215">
        <v>1</v>
      </c>
    </row>
    <row r="125" spans="1:3" x14ac:dyDescent="0.25">
      <c r="A125" s="214" t="s">
        <v>401</v>
      </c>
      <c r="B125" s="215">
        <v>-8000</v>
      </c>
      <c r="C125" s="215">
        <v>2</v>
      </c>
    </row>
    <row r="126" spans="1:3" x14ac:dyDescent="0.25">
      <c r="A126" s="159" t="s">
        <v>338</v>
      </c>
      <c r="B126" s="215">
        <v>13761000</v>
      </c>
      <c r="C126" s="215">
        <v>37</v>
      </c>
    </row>
    <row r="127" spans="1:3" x14ac:dyDescent="0.25">
      <c r="A127" s="214" t="s">
        <v>496</v>
      </c>
      <c r="B127" s="215">
        <v>10268500</v>
      </c>
      <c r="C127" s="215">
        <v>1</v>
      </c>
    </row>
    <row r="128" spans="1:3" x14ac:dyDescent="0.25">
      <c r="A128" s="214" t="s">
        <v>375</v>
      </c>
      <c r="B128" s="215">
        <v>1965000</v>
      </c>
      <c r="C128" s="215">
        <v>26</v>
      </c>
    </row>
    <row r="129" spans="1:3" x14ac:dyDescent="0.25">
      <c r="A129" s="214" t="s">
        <v>358</v>
      </c>
      <c r="B129" s="215">
        <v>304000</v>
      </c>
      <c r="C129" s="215">
        <v>19</v>
      </c>
    </row>
    <row r="130" spans="1:3" x14ac:dyDescent="0.25">
      <c r="A130" s="214" t="s">
        <v>424</v>
      </c>
      <c r="B130" s="215">
        <v>115000</v>
      </c>
      <c r="C130" s="215">
        <v>4</v>
      </c>
    </row>
    <row r="131" spans="1:3" x14ac:dyDescent="0.25">
      <c r="A131" s="214" t="s">
        <v>353</v>
      </c>
      <c r="B131" s="215">
        <v>114000</v>
      </c>
      <c r="C131" s="215">
        <v>6</v>
      </c>
    </row>
    <row r="132" spans="1:3" x14ac:dyDescent="0.25">
      <c r="A132" s="214" t="s">
        <v>366</v>
      </c>
      <c r="B132" s="215">
        <v>110000</v>
      </c>
      <c r="C132" s="215">
        <v>3</v>
      </c>
    </row>
    <row r="133" spans="1:3" x14ac:dyDescent="0.25">
      <c r="A133" s="214" t="s">
        <v>524</v>
      </c>
      <c r="B133" s="215">
        <v>95000</v>
      </c>
      <c r="C133" s="215">
        <v>5</v>
      </c>
    </row>
    <row r="134" spans="1:3" x14ac:dyDescent="0.25">
      <c r="A134" s="214" t="s">
        <v>430</v>
      </c>
      <c r="B134" s="215">
        <v>50000</v>
      </c>
      <c r="C134" s="215">
        <v>1</v>
      </c>
    </row>
    <row r="135" spans="1:3" x14ac:dyDescent="0.25">
      <c r="A135" s="214" t="s">
        <v>522</v>
      </c>
      <c r="B135" s="215">
        <v>48000</v>
      </c>
      <c r="C135" s="215">
        <v>1</v>
      </c>
    </row>
    <row r="136" spans="1:3" x14ac:dyDescent="0.25">
      <c r="A136" s="214" t="s">
        <v>433</v>
      </c>
      <c r="B136" s="215">
        <v>40000</v>
      </c>
      <c r="C136" s="215">
        <v>8</v>
      </c>
    </row>
    <row r="137" spans="1:3" x14ac:dyDescent="0.25">
      <c r="A137" s="214" t="s">
        <v>426</v>
      </c>
      <c r="B137" s="215">
        <v>40000</v>
      </c>
      <c r="C137" s="215">
        <v>1</v>
      </c>
    </row>
    <row r="138" spans="1:3" x14ac:dyDescent="0.25">
      <c r="A138" s="214" t="s">
        <v>523</v>
      </c>
      <c r="B138" s="215">
        <v>36000</v>
      </c>
      <c r="C138" s="215">
        <v>1</v>
      </c>
    </row>
    <row r="139" spans="1:3" x14ac:dyDescent="0.25">
      <c r="A139" s="214" t="s">
        <v>468</v>
      </c>
      <c r="B139" s="215">
        <v>36000</v>
      </c>
      <c r="C139" s="215">
        <v>6</v>
      </c>
    </row>
    <row r="140" spans="1:3" x14ac:dyDescent="0.25">
      <c r="A140" s="214" t="s">
        <v>367</v>
      </c>
      <c r="B140" s="215">
        <v>32500</v>
      </c>
      <c r="C140" s="215">
        <v>8</v>
      </c>
    </row>
    <row r="141" spans="1:3" x14ac:dyDescent="0.25">
      <c r="A141" s="214" t="s">
        <v>432</v>
      </c>
      <c r="B141" s="215">
        <v>28000</v>
      </c>
      <c r="C141" s="215">
        <v>1</v>
      </c>
    </row>
    <row r="142" spans="1:3" x14ac:dyDescent="0.25">
      <c r="A142" s="214" t="s">
        <v>423</v>
      </c>
      <c r="B142" s="215">
        <v>25000</v>
      </c>
      <c r="C142" s="215">
        <v>1</v>
      </c>
    </row>
    <row r="143" spans="1:3" x14ac:dyDescent="0.25">
      <c r="A143" s="214" t="s">
        <v>416</v>
      </c>
      <c r="B143" s="215">
        <v>25000</v>
      </c>
      <c r="C143" s="215">
        <v>1</v>
      </c>
    </row>
    <row r="144" spans="1:3" x14ac:dyDescent="0.25">
      <c r="A144" s="214" t="s">
        <v>384</v>
      </c>
      <c r="B144" s="215">
        <v>25000</v>
      </c>
      <c r="C144" s="215">
        <v>1</v>
      </c>
    </row>
    <row r="145" spans="1:3" x14ac:dyDescent="0.25">
      <c r="A145" s="214" t="s">
        <v>551</v>
      </c>
      <c r="B145" s="215">
        <v>25000</v>
      </c>
      <c r="C145" s="215">
        <v>1</v>
      </c>
    </row>
    <row r="146" spans="1:3" x14ac:dyDescent="0.25">
      <c r="A146" s="214" t="s">
        <v>385</v>
      </c>
      <c r="B146" s="215">
        <v>25000</v>
      </c>
      <c r="C146" s="215">
        <v>7</v>
      </c>
    </row>
    <row r="147" spans="1:3" x14ac:dyDescent="0.25">
      <c r="A147" s="214" t="s">
        <v>526</v>
      </c>
      <c r="B147" s="215">
        <v>24000</v>
      </c>
      <c r="C147" s="215">
        <v>1</v>
      </c>
    </row>
    <row r="148" spans="1:3" x14ac:dyDescent="0.25">
      <c r="A148" s="214" t="s">
        <v>388</v>
      </c>
      <c r="B148" s="215">
        <v>24000</v>
      </c>
      <c r="C148" s="215">
        <v>1</v>
      </c>
    </row>
    <row r="149" spans="1:3" x14ac:dyDescent="0.25">
      <c r="A149" s="214" t="s">
        <v>550</v>
      </c>
      <c r="B149" s="215">
        <v>22000</v>
      </c>
      <c r="C149" s="215">
        <v>1</v>
      </c>
    </row>
    <row r="150" spans="1:3" x14ac:dyDescent="0.25">
      <c r="A150" s="214" t="s">
        <v>428</v>
      </c>
      <c r="B150" s="215">
        <v>22000</v>
      </c>
      <c r="C150" s="215">
        <v>1</v>
      </c>
    </row>
    <row r="151" spans="1:3" x14ac:dyDescent="0.25">
      <c r="A151" s="214" t="s">
        <v>422</v>
      </c>
      <c r="B151" s="215">
        <v>20000</v>
      </c>
      <c r="C151" s="215">
        <v>1</v>
      </c>
    </row>
    <row r="152" spans="1:3" x14ac:dyDescent="0.25">
      <c r="A152" s="214" t="s">
        <v>396</v>
      </c>
      <c r="B152" s="215">
        <v>20000</v>
      </c>
      <c r="C152" s="215">
        <v>1</v>
      </c>
    </row>
    <row r="153" spans="1:3" x14ac:dyDescent="0.25">
      <c r="A153" s="214" t="s">
        <v>529</v>
      </c>
      <c r="B153" s="215">
        <v>18000</v>
      </c>
      <c r="C153" s="215">
        <v>3</v>
      </c>
    </row>
    <row r="154" spans="1:3" x14ac:dyDescent="0.25">
      <c r="A154" s="214" t="s">
        <v>378</v>
      </c>
      <c r="B154" s="215">
        <v>16500</v>
      </c>
      <c r="C154" s="215">
        <v>3</v>
      </c>
    </row>
    <row r="155" spans="1:3" x14ac:dyDescent="0.25">
      <c r="A155" s="214" t="s">
        <v>368</v>
      </c>
      <c r="B155" s="215">
        <v>16000</v>
      </c>
      <c r="C155" s="215">
        <v>7</v>
      </c>
    </row>
    <row r="156" spans="1:3" x14ac:dyDescent="0.25">
      <c r="A156" s="214" t="s">
        <v>410</v>
      </c>
      <c r="B156" s="215">
        <v>16000</v>
      </c>
      <c r="C156" s="215">
        <v>2</v>
      </c>
    </row>
    <row r="157" spans="1:3" x14ac:dyDescent="0.25">
      <c r="A157" s="214" t="s">
        <v>398</v>
      </c>
      <c r="B157" s="215">
        <v>15000</v>
      </c>
      <c r="C157" s="215">
        <v>1</v>
      </c>
    </row>
    <row r="158" spans="1:3" x14ac:dyDescent="0.25">
      <c r="A158" s="214" t="s">
        <v>535</v>
      </c>
      <c r="B158" s="215">
        <v>12000</v>
      </c>
      <c r="C158" s="215">
        <v>1</v>
      </c>
    </row>
    <row r="159" spans="1:3" x14ac:dyDescent="0.25">
      <c r="A159" s="214" t="s">
        <v>420</v>
      </c>
      <c r="B159" s="215">
        <v>12000</v>
      </c>
      <c r="C159" s="215">
        <v>1</v>
      </c>
    </row>
    <row r="160" spans="1:3" x14ac:dyDescent="0.25">
      <c r="A160" s="214" t="s">
        <v>457</v>
      </c>
      <c r="B160" s="215">
        <v>12000</v>
      </c>
      <c r="C160" s="215">
        <v>3</v>
      </c>
    </row>
    <row r="161" spans="1:3" x14ac:dyDescent="0.25">
      <c r="A161" s="214" t="s">
        <v>389</v>
      </c>
      <c r="B161" s="215">
        <v>12000</v>
      </c>
      <c r="C161" s="215">
        <v>1</v>
      </c>
    </row>
    <row r="162" spans="1:3" x14ac:dyDescent="0.25">
      <c r="A162" s="214" t="s">
        <v>399</v>
      </c>
      <c r="B162" s="215">
        <v>11500</v>
      </c>
      <c r="C162" s="215">
        <v>3</v>
      </c>
    </row>
    <row r="163" spans="1:3" x14ac:dyDescent="0.25">
      <c r="A163" s="214" t="s">
        <v>536</v>
      </c>
      <c r="B163" s="215">
        <v>11000</v>
      </c>
      <c r="C163" s="215">
        <v>1</v>
      </c>
    </row>
    <row r="164" spans="1:3" x14ac:dyDescent="0.25">
      <c r="A164" s="214" t="s">
        <v>405</v>
      </c>
      <c r="B164" s="215">
        <v>10000</v>
      </c>
      <c r="C164" s="215">
        <v>2</v>
      </c>
    </row>
    <row r="165" spans="1:3" x14ac:dyDescent="0.25">
      <c r="A165" s="214" t="s">
        <v>355</v>
      </c>
      <c r="B165" s="215">
        <v>10000</v>
      </c>
      <c r="C165" s="215">
        <v>4</v>
      </c>
    </row>
    <row r="166" spans="1:3" x14ac:dyDescent="0.25">
      <c r="A166" s="214" t="s">
        <v>387</v>
      </c>
      <c r="B166" s="215">
        <v>9000</v>
      </c>
      <c r="C166" s="215">
        <v>2</v>
      </c>
    </row>
    <row r="167" spans="1:3" x14ac:dyDescent="0.25">
      <c r="A167" s="214" t="s">
        <v>530</v>
      </c>
      <c r="B167" s="215">
        <v>8000</v>
      </c>
      <c r="C167" s="215">
        <v>1</v>
      </c>
    </row>
    <row r="168" spans="1:3" x14ac:dyDescent="0.25">
      <c r="A168" s="214" t="s">
        <v>520</v>
      </c>
      <c r="B168" s="215">
        <v>7500</v>
      </c>
      <c r="C168" s="215">
        <v>3</v>
      </c>
    </row>
    <row r="169" spans="1:3" x14ac:dyDescent="0.25">
      <c r="A169" s="214" t="s">
        <v>431</v>
      </c>
      <c r="B169" s="215">
        <v>6000</v>
      </c>
      <c r="C169" s="215">
        <v>1</v>
      </c>
    </row>
    <row r="170" spans="1:3" x14ac:dyDescent="0.25">
      <c r="A170" s="214" t="s">
        <v>427</v>
      </c>
      <c r="B170" s="215">
        <v>6000</v>
      </c>
      <c r="C170" s="215">
        <v>1</v>
      </c>
    </row>
    <row r="171" spans="1:3" x14ac:dyDescent="0.25">
      <c r="A171" s="214" t="s">
        <v>537</v>
      </c>
      <c r="B171" s="215">
        <v>5800</v>
      </c>
      <c r="C171" s="215">
        <v>1</v>
      </c>
    </row>
    <row r="172" spans="1:3" x14ac:dyDescent="0.25">
      <c r="A172" s="214" t="s">
        <v>532</v>
      </c>
      <c r="B172" s="215">
        <v>5000</v>
      </c>
      <c r="C172" s="215">
        <v>1</v>
      </c>
    </row>
    <row r="173" spans="1:3" x14ac:dyDescent="0.25">
      <c r="A173" s="214" t="s">
        <v>425</v>
      </c>
      <c r="B173" s="215">
        <v>4000</v>
      </c>
      <c r="C173" s="215">
        <v>1</v>
      </c>
    </row>
    <row r="174" spans="1:3" x14ac:dyDescent="0.25">
      <c r="A174" s="214" t="s">
        <v>467</v>
      </c>
      <c r="B174" s="215">
        <v>3200</v>
      </c>
      <c r="C174" s="215">
        <v>1</v>
      </c>
    </row>
    <row r="175" spans="1:3" x14ac:dyDescent="0.25">
      <c r="A175" s="214" t="s">
        <v>419</v>
      </c>
      <c r="B175" s="215">
        <v>2500</v>
      </c>
      <c r="C175" s="215">
        <v>1</v>
      </c>
    </row>
    <row r="176" spans="1:3" x14ac:dyDescent="0.25">
      <c r="A176" s="214" t="s">
        <v>469</v>
      </c>
      <c r="B176" s="215">
        <v>2500</v>
      </c>
      <c r="C176" s="215">
        <v>1</v>
      </c>
    </row>
    <row r="177" spans="1:3" x14ac:dyDescent="0.25">
      <c r="A177" s="214" t="s">
        <v>401</v>
      </c>
      <c r="B177" s="215">
        <v>-9500</v>
      </c>
      <c r="C177" s="215">
        <v>3</v>
      </c>
    </row>
    <row r="178" spans="1:3" x14ac:dyDescent="0.25">
      <c r="A178" s="159" t="s">
        <v>317</v>
      </c>
      <c r="B178" s="215">
        <v>39660150</v>
      </c>
      <c r="C178" s="215">
        <v>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2:G13"/>
  <sheetViews>
    <sheetView workbookViewId="0"/>
  </sheetViews>
  <sheetFormatPr baseColWidth="10" defaultRowHeight="15" x14ac:dyDescent="0.25"/>
  <cols>
    <col min="1" max="1" width="29.7109375" bestFit="1" customWidth="1"/>
    <col min="2" max="2" width="15.140625" customWidth="1"/>
    <col min="3" max="3" width="50" bestFit="1" customWidth="1"/>
    <col min="4" max="4" width="24.7109375" bestFit="1" customWidth="1"/>
    <col min="5" max="5" width="8" bestFit="1" customWidth="1"/>
    <col min="6" max="7" width="18.28515625" bestFit="1" customWidth="1"/>
    <col min="9" max="9" width="11.85546875" bestFit="1" customWidth="1"/>
  </cols>
  <sheetData>
    <row r="2" spans="1:7" x14ac:dyDescent="0.25">
      <c r="C2" s="238" t="s">
        <v>483</v>
      </c>
    </row>
    <row r="5" spans="1:7" x14ac:dyDescent="0.25">
      <c r="A5" t="s">
        <v>483</v>
      </c>
      <c r="C5" t="s">
        <v>484</v>
      </c>
    </row>
    <row r="9" spans="1:7" x14ac:dyDescent="0.25">
      <c r="A9" t="s">
        <v>494</v>
      </c>
    </row>
    <row r="10" spans="1:7" x14ac:dyDescent="0.25">
      <c r="A10" s="237" t="s">
        <v>485</v>
      </c>
      <c r="B10" s="237" t="s">
        <v>486</v>
      </c>
      <c r="C10" s="237" t="s">
        <v>487</v>
      </c>
      <c r="D10" s="237" t="s">
        <v>488</v>
      </c>
      <c r="E10" s="237">
        <v>3181740</v>
      </c>
      <c r="F10" s="237" t="s">
        <v>489</v>
      </c>
      <c r="G10" s="237" t="s">
        <v>489</v>
      </c>
    </row>
    <row r="11" spans="1:7" x14ac:dyDescent="0.25">
      <c r="A11" s="237" t="s">
        <v>485</v>
      </c>
      <c r="B11" s="237" t="s">
        <v>486</v>
      </c>
      <c r="C11" s="237" t="s">
        <v>490</v>
      </c>
      <c r="D11" s="237" t="s">
        <v>491</v>
      </c>
      <c r="E11" s="237">
        <v>52843</v>
      </c>
      <c r="F11" s="237" t="s">
        <v>489</v>
      </c>
      <c r="G11" s="237" t="s">
        <v>489</v>
      </c>
    </row>
    <row r="12" spans="1:7" x14ac:dyDescent="0.25">
      <c r="A12" s="237" t="s">
        <v>485</v>
      </c>
      <c r="B12" s="237" t="s">
        <v>486</v>
      </c>
      <c r="C12" s="237" t="s">
        <v>492</v>
      </c>
      <c r="D12" s="237" t="s">
        <v>493</v>
      </c>
      <c r="E12" s="237">
        <v>57544</v>
      </c>
      <c r="F12" s="237" t="s">
        <v>489</v>
      </c>
      <c r="G12" s="237" t="s">
        <v>489</v>
      </c>
    </row>
    <row r="13" spans="1:7" x14ac:dyDescent="0.25">
      <c r="A13" s="237" t="s">
        <v>485</v>
      </c>
      <c r="B13" s="237" t="s">
        <v>486</v>
      </c>
      <c r="C13" s="237" t="s">
        <v>492</v>
      </c>
      <c r="D13" s="237" t="s">
        <v>488</v>
      </c>
      <c r="E13" s="237">
        <v>793358</v>
      </c>
      <c r="F13" s="237" t="s">
        <v>489</v>
      </c>
      <c r="G13" s="237" t="s">
        <v>489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D3:E8"/>
  <sheetViews>
    <sheetView workbookViewId="0"/>
  </sheetViews>
  <sheetFormatPr baseColWidth="10" defaultRowHeight="15" x14ac:dyDescent="0.25"/>
  <cols>
    <col min="5" max="5" width="30" bestFit="1" customWidth="1"/>
  </cols>
  <sheetData>
    <row r="3" spans="4:5" x14ac:dyDescent="0.25">
      <c r="D3" s="105" t="s">
        <v>344</v>
      </c>
      <c r="E3" t="s">
        <v>345</v>
      </c>
    </row>
    <row r="4" spans="4:5" x14ac:dyDescent="0.25">
      <c r="D4" s="105" t="s">
        <v>341</v>
      </c>
      <c r="E4" s="190" t="s">
        <v>346</v>
      </c>
    </row>
    <row r="5" spans="4:5" x14ac:dyDescent="0.25">
      <c r="D5" s="105" t="s">
        <v>342</v>
      </c>
      <c r="E5" t="s">
        <v>347</v>
      </c>
    </row>
    <row r="6" spans="4:5" x14ac:dyDescent="0.25">
      <c r="D6" s="105" t="s">
        <v>343</v>
      </c>
    </row>
    <row r="7" spans="4:5" x14ac:dyDescent="0.25">
      <c r="D7" s="105" t="s">
        <v>348</v>
      </c>
    </row>
    <row r="8" spans="4:5" x14ac:dyDescent="0.25">
      <c r="D8" s="105" t="s">
        <v>349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39"/>
  <sheetViews>
    <sheetView workbookViewId="0"/>
  </sheetViews>
  <sheetFormatPr baseColWidth="10" defaultColWidth="0" defaultRowHeight="15" zeroHeight="1" x14ac:dyDescent="0.25"/>
  <cols>
    <col min="1" max="1" width="17.140625" bestFit="1" customWidth="1"/>
    <col min="2" max="2" width="21.7109375" customWidth="1"/>
    <col min="3" max="3" width="10.28515625" customWidth="1"/>
    <col min="4" max="4" width="10.7109375" customWidth="1"/>
    <col min="5" max="5" width="17.85546875" style="9" bestFit="1" customWidth="1"/>
    <col min="6" max="6" width="13.28515625" style="9" customWidth="1"/>
    <col min="7" max="7" width="13" style="9" bestFit="1" customWidth="1"/>
    <col min="8" max="8" width="13.5703125" style="9" customWidth="1"/>
    <col min="9" max="9" width="18.85546875" style="9" bestFit="1" customWidth="1"/>
    <col min="10" max="10" width="22" style="9" bestFit="1" customWidth="1"/>
    <col min="11" max="11" width="29.42578125" style="9" customWidth="1"/>
    <col min="12" max="15" width="11.42578125" style="9" customWidth="1"/>
    <col min="16" max="16384" width="11.42578125" style="9" hidden="1"/>
  </cols>
  <sheetData>
    <row r="1" spans="1:13" x14ac:dyDescent="0.25"/>
    <row r="2" spans="1:13" x14ac:dyDescent="0.25"/>
    <row r="3" spans="1:13" x14ac:dyDescent="0.25"/>
    <row r="4" spans="1:13" x14ac:dyDescent="0.25"/>
    <row r="5" spans="1:13" customFormat="1" x14ac:dyDescent="0.25">
      <c r="A5" s="62" t="s">
        <v>184</v>
      </c>
      <c r="B5" s="62" t="s">
        <v>171</v>
      </c>
      <c r="C5" s="62" t="s">
        <v>185</v>
      </c>
      <c r="D5" s="62" t="s">
        <v>186</v>
      </c>
      <c r="E5" s="62" t="s">
        <v>172</v>
      </c>
      <c r="F5" s="62" t="s">
        <v>177</v>
      </c>
      <c r="G5" s="494" t="s">
        <v>176</v>
      </c>
      <c r="H5" s="494"/>
      <c r="I5" s="54" t="s">
        <v>173</v>
      </c>
      <c r="J5" s="54" t="s">
        <v>178</v>
      </c>
      <c r="K5" s="54" t="s">
        <v>187</v>
      </c>
      <c r="L5" s="9"/>
      <c r="M5" s="9"/>
    </row>
    <row r="6" spans="1:13" customFormat="1" x14ac:dyDescent="0.25">
      <c r="A6" s="65" t="s">
        <v>14</v>
      </c>
      <c r="B6" s="55" t="s">
        <v>12</v>
      </c>
      <c r="C6" s="63">
        <v>8.3000000000000001E-3</v>
      </c>
      <c r="D6" s="63">
        <v>0.1043</v>
      </c>
      <c r="E6" s="55">
        <v>5300000</v>
      </c>
      <c r="F6" s="55">
        <f>2600000+70000</f>
        <v>2670000</v>
      </c>
      <c r="G6" s="56">
        <f>+E6-F6</f>
        <v>2630000</v>
      </c>
      <c r="H6" s="57">
        <v>0.5</v>
      </c>
      <c r="I6" s="58">
        <v>0</v>
      </c>
      <c r="J6" s="58" t="s">
        <v>179</v>
      </c>
      <c r="K6" s="115"/>
      <c r="L6" s="9"/>
      <c r="M6" s="9"/>
    </row>
    <row r="7" spans="1:13" customFormat="1" x14ac:dyDescent="0.25">
      <c r="A7" s="65" t="s">
        <v>14</v>
      </c>
      <c r="B7" s="55" t="s">
        <v>13</v>
      </c>
      <c r="C7" s="63">
        <v>1.3899999999999999E-2</v>
      </c>
      <c r="D7" s="63">
        <v>0.1802</v>
      </c>
      <c r="E7" s="55">
        <v>1500000</v>
      </c>
      <c r="F7" s="55">
        <v>0</v>
      </c>
      <c r="G7" s="56">
        <f t="shared" ref="G7:G12" si="0">+E7-F7</f>
        <v>1500000</v>
      </c>
      <c r="H7" s="57">
        <v>0.1</v>
      </c>
      <c r="I7" s="58">
        <f>+E7*H7</f>
        <v>150000</v>
      </c>
      <c r="J7" s="58" t="s">
        <v>180</v>
      </c>
      <c r="K7" s="115"/>
      <c r="L7" s="9"/>
      <c r="M7" s="9"/>
    </row>
    <row r="8" spans="1:13" customFormat="1" x14ac:dyDescent="0.25">
      <c r="A8" s="65" t="s">
        <v>14</v>
      </c>
      <c r="B8" s="55" t="s">
        <v>15</v>
      </c>
      <c r="C8" s="63">
        <v>1.3899999999999999E-2</v>
      </c>
      <c r="D8" s="63">
        <v>0.1802</v>
      </c>
      <c r="E8" s="55">
        <v>1500000</v>
      </c>
      <c r="F8" s="55">
        <v>0</v>
      </c>
      <c r="G8" s="56">
        <f t="shared" si="0"/>
        <v>1500000</v>
      </c>
      <c r="H8" s="57">
        <v>0.1</v>
      </c>
      <c r="I8" s="58">
        <f>+E8*H8</f>
        <v>150000</v>
      </c>
      <c r="J8" s="58" t="s">
        <v>180</v>
      </c>
      <c r="K8" s="115"/>
      <c r="L8" s="9"/>
      <c r="M8" s="9"/>
    </row>
    <row r="9" spans="1:13" customFormat="1" x14ac:dyDescent="0.25">
      <c r="A9" s="64" t="s">
        <v>16</v>
      </c>
      <c r="B9" s="55" t="s">
        <v>15</v>
      </c>
      <c r="C9" s="63">
        <v>2.1399999999999999E-2</v>
      </c>
      <c r="D9" s="63">
        <v>0.28920000000000001</v>
      </c>
      <c r="E9" s="55">
        <v>4000000</v>
      </c>
      <c r="F9" s="55">
        <v>0</v>
      </c>
      <c r="G9" s="56">
        <f t="shared" si="0"/>
        <v>4000000</v>
      </c>
      <c r="H9" s="57">
        <v>1</v>
      </c>
      <c r="I9" s="59">
        <f>+E9</f>
        <v>4000000</v>
      </c>
      <c r="J9" s="59" t="s">
        <v>181</v>
      </c>
      <c r="K9" s="115" t="s">
        <v>210</v>
      </c>
      <c r="L9" s="9"/>
      <c r="M9" s="9"/>
    </row>
    <row r="10" spans="1:13" customFormat="1" x14ac:dyDescent="0.25">
      <c r="A10" s="64" t="s">
        <v>16</v>
      </c>
      <c r="B10" s="55" t="s">
        <v>17</v>
      </c>
      <c r="C10" s="63">
        <v>2.1399999999999999E-2</v>
      </c>
      <c r="D10" s="63">
        <v>0.28920000000000001</v>
      </c>
      <c r="E10" s="55">
        <v>3000000</v>
      </c>
      <c r="F10" s="55">
        <v>0</v>
      </c>
      <c r="G10" s="56">
        <f t="shared" si="0"/>
        <v>3000000</v>
      </c>
      <c r="H10" s="57">
        <v>1</v>
      </c>
      <c r="I10" s="59">
        <f>+E10</f>
        <v>3000000</v>
      </c>
      <c r="J10" s="59" t="s">
        <v>181</v>
      </c>
      <c r="K10" s="115" t="s">
        <v>210</v>
      </c>
      <c r="L10" s="9"/>
      <c r="M10" s="9"/>
    </row>
    <row r="11" spans="1:13" customFormat="1" x14ac:dyDescent="0.25">
      <c r="A11" s="66" t="s">
        <v>18</v>
      </c>
      <c r="B11" s="55" t="s">
        <v>15</v>
      </c>
      <c r="C11" s="63"/>
      <c r="D11" s="63"/>
      <c r="E11" s="60">
        <v>500000</v>
      </c>
      <c r="F11" s="60">
        <v>0</v>
      </c>
      <c r="G11" s="56">
        <f t="shared" si="0"/>
        <v>500000</v>
      </c>
      <c r="H11" s="57">
        <v>1</v>
      </c>
      <c r="I11" s="58">
        <f>+E11</f>
        <v>500000</v>
      </c>
      <c r="J11" s="58" t="s">
        <v>181</v>
      </c>
      <c r="K11" s="115" t="s">
        <v>210</v>
      </c>
      <c r="L11" s="9"/>
      <c r="M11" s="9"/>
    </row>
    <row r="12" spans="1:13" customFormat="1" ht="30" x14ac:dyDescent="0.25">
      <c r="A12" s="67" t="s">
        <v>19</v>
      </c>
      <c r="B12" s="55"/>
      <c r="C12" s="99">
        <v>2.1420000000000002E-2</v>
      </c>
      <c r="D12" s="63">
        <v>0.28949999999999998</v>
      </c>
      <c r="E12" s="55">
        <v>3800000</v>
      </c>
      <c r="F12" s="55">
        <v>950000</v>
      </c>
      <c r="G12" s="56">
        <f t="shared" si="0"/>
        <v>2850000</v>
      </c>
      <c r="H12" s="57">
        <f>+I12/E12</f>
        <v>0</v>
      </c>
      <c r="I12" s="59"/>
      <c r="J12" s="59" t="s">
        <v>179</v>
      </c>
      <c r="K12" s="115" t="s">
        <v>212</v>
      </c>
      <c r="L12" s="9"/>
      <c r="M12" s="9"/>
    </row>
    <row r="13" spans="1:13" customFormat="1" ht="15.75" thickBot="1" x14ac:dyDescent="0.3">
      <c r="A13" s="68" t="s">
        <v>20</v>
      </c>
      <c r="B13" s="61"/>
      <c r="C13" s="63"/>
      <c r="D13" s="63"/>
      <c r="E13" s="55">
        <v>3000000</v>
      </c>
      <c r="F13" s="55"/>
      <c r="G13" s="56">
        <f>+E13-F13</f>
        <v>3000000</v>
      </c>
      <c r="H13" s="116" t="s">
        <v>183</v>
      </c>
      <c r="I13" s="59"/>
      <c r="J13" s="59" t="s">
        <v>182</v>
      </c>
      <c r="K13" s="115" t="s">
        <v>211</v>
      </c>
      <c r="L13" s="9"/>
      <c r="M13" s="9"/>
    </row>
    <row r="14" spans="1:13" ht="15.75" thickTop="1" x14ac:dyDescent="0.25">
      <c r="E14" s="9">
        <f>+SUM(E6:E13)</f>
        <v>22600000</v>
      </c>
      <c r="G14" s="9">
        <f>+SUM(G6:G13)</f>
        <v>18980000</v>
      </c>
      <c r="I14" s="9">
        <f>+SUM(I6:I13)</f>
        <v>7800000</v>
      </c>
    </row>
    <row r="15" spans="1:13" x14ac:dyDescent="0.25"/>
    <row r="16" spans="1:13" x14ac:dyDescent="0.25">
      <c r="A16" s="495" t="s">
        <v>174</v>
      </c>
      <c r="B16" s="51" t="s">
        <v>174</v>
      </c>
      <c r="C16" s="51"/>
      <c r="D16" s="51"/>
      <c r="E16" s="52">
        <v>250000</v>
      </c>
    </row>
    <row r="17" spans="1:6" ht="15.75" thickBot="1" x14ac:dyDescent="0.3">
      <c r="A17" s="495"/>
      <c r="B17" s="51" t="s">
        <v>175</v>
      </c>
      <c r="C17" s="51"/>
      <c r="D17" s="51"/>
      <c r="E17" s="53">
        <v>750000</v>
      </c>
    </row>
    <row r="18" spans="1:6" ht="15.75" thickTop="1" x14ac:dyDescent="0.25">
      <c r="E18" s="9">
        <f>+E16+E17</f>
        <v>1000000</v>
      </c>
      <c r="F18" s="9" t="s">
        <v>233</v>
      </c>
    </row>
    <row r="19" spans="1:6" x14ac:dyDescent="0.25"/>
    <row r="20" spans="1:6" x14ac:dyDescent="0.25"/>
    <row r="21" spans="1:6" x14ac:dyDescent="0.25">
      <c r="A21" s="105" t="s">
        <v>232</v>
      </c>
      <c r="B21" s="108" t="s">
        <v>187</v>
      </c>
      <c r="C21" s="108" t="s">
        <v>231</v>
      </c>
      <c r="D21" s="108" t="s">
        <v>230</v>
      </c>
      <c r="E21" s="109" t="s">
        <v>229</v>
      </c>
      <c r="F21" s="109" t="s">
        <v>228</v>
      </c>
    </row>
    <row r="22" spans="1:6" x14ac:dyDescent="0.25">
      <c r="A22" s="107" t="s">
        <v>213</v>
      </c>
      <c r="B22" s="110">
        <f>Scotiabank_Platino!$D$14</f>
        <v>163129.62853244602</v>
      </c>
      <c r="C22" s="110">
        <f>Scotiabank_Platino!$E$14</f>
        <v>30594.66666666701</v>
      </c>
      <c r="D22" s="111">
        <f>+C22/B22</f>
        <v>0.18754819061322031</v>
      </c>
      <c r="E22" s="110">
        <f>Scotiabank_Platino!$D$3</f>
        <v>3520000</v>
      </c>
      <c r="F22" s="110">
        <f>Bancolombia!$G$6</f>
        <v>1593717.7158159649</v>
      </c>
    </row>
    <row r="23" spans="1:6" ht="15.75" thickBot="1" x14ac:dyDescent="0.3">
      <c r="A23" s="106" t="s">
        <v>16</v>
      </c>
      <c r="B23" s="112">
        <v>221433.59848164799</v>
      </c>
      <c r="C23" s="112">
        <f>Bancolombia!$E$14</f>
        <v>116885.00000000004</v>
      </c>
      <c r="D23" s="113">
        <f>+C23/B23</f>
        <v>0.52785575812103902</v>
      </c>
      <c r="E23" s="112">
        <f>Bancolombia!$D$3</f>
        <v>4850000</v>
      </c>
      <c r="F23" s="112">
        <f>Scotiabank_Platino!$G$6</f>
        <v>395111.08477870602</v>
      </c>
    </row>
    <row r="24" spans="1:6" x14ac:dyDescent="0.25">
      <c r="A24" s="9"/>
      <c r="B24" s="46">
        <f>+SUM(B22:B23)</f>
        <v>384563.22701409401</v>
      </c>
      <c r="C24" s="46">
        <f>+SUM(C22:C23)</f>
        <v>147479.66666666706</v>
      </c>
      <c r="D24" s="114">
        <f>+C24/B24</f>
        <v>0.38349913956089726</v>
      </c>
      <c r="E24" s="46">
        <f>+SUM(E22:E23)</f>
        <v>8370000</v>
      </c>
      <c r="F24" s="46">
        <f>+SUM(F22:F23)</f>
        <v>1988828.8005946709</v>
      </c>
    </row>
    <row r="25" spans="1:6" x14ac:dyDescent="0.25">
      <c r="A25" s="9"/>
      <c r="B25" s="9"/>
      <c r="C25" s="9"/>
      <c r="D25" s="9"/>
    </row>
    <row r="26" spans="1:6" x14ac:dyDescent="0.25"/>
    <row r="27" spans="1:6" x14ac:dyDescent="0.25"/>
    <row r="39" x14ac:dyDescent="0.25"/>
  </sheetData>
  <mergeCells count="2">
    <mergeCell ref="G5:H5"/>
    <mergeCell ref="A16:A17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5"/>
  <sheetViews>
    <sheetView workbookViewId="0"/>
  </sheetViews>
  <sheetFormatPr baseColWidth="10" defaultRowHeight="15" x14ac:dyDescent="0.25"/>
  <cols>
    <col min="1" max="1" width="14.140625" bestFit="1" customWidth="1"/>
    <col min="2" max="2" width="49.7109375" customWidth="1"/>
    <col min="4" max="4" width="97" customWidth="1"/>
  </cols>
  <sheetData>
    <row r="1" spans="1:4" x14ac:dyDescent="0.25">
      <c r="A1" s="105" t="s">
        <v>286</v>
      </c>
      <c r="B1" t="s">
        <v>285</v>
      </c>
    </row>
    <row r="2" spans="1:4" x14ac:dyDescent="0.25">
      <c r="B2" t="s">
        <v>284</v>
      </c>
    </row>
    <row r="6" spans="1:4" x14ac:dyDescent="0.25">
      <c r="A6" s="105" t="s">
        <v>283</v>
      </c>
      <c r="B6" t="s">
        <v>282</v>
      </c>
      <c r="C6" s="105" t="s">
        <v>279</v>
      </c>
      <c r="D6" s="126" t="s">
        <v>281</v>
      </c>
    </row>
    <row r="7" spans="1:4" x14ac:dyDescent="0.25">
      <c r="B7" t="s">
        <v>280</v>
      </c>
      <c r="C7" s="105" t="s">
        <v>279</v>
      </c>
      <c r="D7" s="126" t="s">
        <v>278</v>
      </c>
    </row>
    <row r="9" spans="1:4" x14ac:dyDescent="0.25">
      <c r="B9" t="s">
        <v>277</v>
      </c>
    </row>
    <row r="10" spans="1:4" x14ac:dyDescent="0.25">
      <c r="B10" t="s">
        <v>276</v>
      </c>
    </row>
    <row r="13" spans="1:4" x14ac:dyDescent="0.25">
      <c r="B13" s="105" t="s">
        <v>275</v>
      </c>
    </row>
    <row r="14" spans="1:4" x14ac:dyDescent="0.25">
      <c r="B14" t="s">
        <v>274</v>
      </c>
    </row>
    <row r="15" spans="1:4" x14ac:dyDescent="0.25">
      <c r="B15" t="s">
        <v>273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5"/>
  <sheetViews>
    <sheetView workbookViewId="0"/>
  </sheetViews>
  <sheetFormatPr baseColWidth="10" defaultRowHeight="15" x14ac:dyDescent="0.25"/>
  <cols>
    <col min="1" max="1" width="14.140625" bestFit="1" customWidth="1"/>
    <col min="2" max="2" width="49.7109375" customWidth="1"/>
    <col min="4" max="4" width="97" customWidth="1"/>
  </cols>
  <sheetData>
    <row r="1" spans="1:4" x14ac:dyDescent="0.25">
      <c r="A1" s="105" t="s">
        <v>286</v>
      </c>
      <c r="B1" t="s">
        <v>285</v>
      </c>
    </row>
    <row r="2" spans="1:4" x14ac:dyDescent="0.25">
      <c r="B2" t="s">
        <v>284</v>
      </c>
    </row>
    <row r="6" spans="1:4" x14ac:dyDescent="0.25">
      <c r="A6" s="105" t="s">
        <v>283</v>
      </c>
      <c r="B6" t="s">
        <v>282</v>
      </c>
      <c r="C6" s="105" t="s">
        <v>279</v>
      </c>
      <c r="D6" s="126" t="s">
        <v>281</v>
      </c>
    </row>
    <row r="7" spans="1:4" x14ac:dyDescent="0.25">
      <c r="B7" t="s">
        <v>280</v>
      </c>
      <c r="C7" s="105" t="s">
        <v>279</v>
      </c>
      <c r="D7" s="126" t="s">
        <v>278</v>
      </c>
    </row>
    <row r="9" spans="1:4" x14ac:dyDescent="0.25">
      <c r="B9" t="s">
        <v>277</v>
      </c>
    </row>
    <row r="10" spans="1:4" x14ac:dyDescent="0.25">
      <c r="B10" t="s">
        <v>276</v>
      </c>
    </row>
    <row r="13" spans="1:4" x14ac:dyDescent="0.25">
      <c r="B13" s="105" t="s">
        <v>275</v>
      </c>
    </row>
    <row r="14" spans="1:4" x14ac:dyDescent="0.25">
      <c r="B14" t="s">
        <v>274</v>
      </c>
    </row>
    <row r="15" spans="1:4" x14ac:dyDescent="0.25">
      <c r="B15" t="s">
        <v>273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C13"/>
  <sheetViews>
    <sheetView workbookViewId="0"/>
  </sheetViews>
  <sheetFormatPr baseColWidth="10" defaultRowHeight="15" x14ac:dyDescent="0.25"/>
  <cols>
    <col min="1" max="1" width="34.28515625" bestFit="1" customWidth="1"/>
    <col min="2" max="2" width="12" style="118" bestFit="1" customWidth="1"/>
  </cols>
  <sheetData>
    <row r="2" spans="1:3" x14ac:dyDescent="0.25">
      <c r="A2" s="119" t="s">
        <v>236</v>
      </c>
      <c r="B2" s="120" t="s">
        <v>237</v>
      </c>
    </row>
    <row r="3" spans="1:3" x14ac:dyDescent="0.25">
      <c r="A3" t="s">
        <v>234</v>
      </c>
      <c r="B3" s="118">
        <v>650000</v>
      </c>
    </row>
    <row r="4" spans="1:3" x14ac:dyDescent="0.25">
      <c r="A4" t="s">
        <v>235</v>
      </c>
      <c r="B4" s="118">
        <v>120000</v>
      </c>
      <c r="C4" t="s">
        <v>238</v>
      </c>
    </row>
    <row r="5" spans="1:3" x14ac:dyDescent="0.25">
      <c r="A5" t="s">
        <v>239</v>
      </c>
      <c r="B5" s="118">
        <v>260000</v>
      </c>
    </row>
    <row r="6" spans="1:3" x14ac:dyDescent="0.25">
      <c r="A6" t="s">
        <v>240</v>
      </c>
      <c r="B6" s="118">
        <v>600000</v>
      </c>
    </row>
    <row r="10" spans="1:3" x14ac:dyDescent="0.25">
      <c r="B10" s="118">
        <f>+SUM(B3:B6)</f>
        <v>1630000</v>
      </c>
    </row>
    <row r="13" spans="1:3" x14ac:dyDescent="0.25">
      <c r="A13" t="s">
        <v>241</v>
      </c>
      <c r="B13" s="118">
        <v>800000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C1:H13"/>
  <sheetViews>
    <sheetView workbookViewId="0"/>
  </sheetViews>
  <sheetFormatPr baseColWidth="10" defaultRowHeight="15" x14ac:dyDescent="0.25"/>
  <sheetData>
    <row r="1" spans="3:8" x14ac:dyDescent="0.25">
      <c r="H1" t="s">
        <v>267</v>
      </c>
    </row>
    <row r="2" spans="3:8" x14ac:dyDescent="0.25">
      <c r="C2" t="s">
        <v>259</v>
      </c>
      <c r="H2" t="s">
        <v>263</v>
      </c>
    </row>
    <row r="3" spans="3:8" x14ac:dyDescent="0.25">
      <c r="C3" t="s">
        <v>260</v>
      </c>
      <c r="H3" t="s">
        <v>264</v>
      </c>
    </row>
    <row r="4" spans="3:8" x14ac:dyDescent="0.25">
      <c r="C4" t="s">
        <v>262</v>
      </c>
      <c r="H4" t="s">
        <v>268</v>
      </c>
    </row>
    <row r="5" spans="3:8" x14ac:dyDescent="0.25">
      <c r="C5" t="s">
        <v>261</v>
      </c>
      <c r="H5" t="s">
        <v>269</v>
      </c>
    </row>
    <row r="10" spans="3:8" x14ac:dyDescent="0.25">
      <c r="H10">
        <v>380847</v>
      </c>
    </row>
    <row r="11" spans="3:8" x14ac:dyDescent="0.25">
      <c r="E11">
        <v>79256899</v>
      </c>
      <c r="H11">
        <v>3231835</v>
      </c>
    </row>
    <row r="12" spans="3:8" x14ac:dyDescent="0.25">
      <c r="E12" t="s">
        <v>265</v>
      </c>
    </row>
    <row r="13" spans="3:8" x14ac:dyDescent="0.25">
      <c r="E13" t="s">
        <v>266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C21:H23"/>
  <sheetViews>
    <sheetView workbookViewId="0"/>
  </sheetViews>
  <sheetFormatPr baseColWidth="10" defaultRowHeight="15" x14ac:dyDescent="0.25"/>
  <sheetData>
    <row r="21" spans="3:8" x14ac:dyDescent="0.25">
      <c r="C21" s="123">
        <v>43735</v>
      </c>
      <c r="E21" s="123">
        <f ca="1">+TODAY()</f>
        <v>45866</v>
      </c>
      <c r="F21">
        <v>43735</v>
      </c>
      <c r="H21">
        <v>43735</v>
      </c>
    </row>
    <row r="23" spans="3:8" x14ac:dyDescent="0.25">
      <c r="C23" s="123"/>
      <c r="E23" s="123">
        <v>43649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45"/>
  <sheetViews>
    <sheetView workbookViewId="0"/>
  </sheetViews>
  <sheetFormatPr baseColWidth="10" defaultRowHeight="15" x14ac:dyDescent="0.25"/>
  <cols>
    <col min="1" max="1" width="10.42578125" customWidth="1"/>
    <col min="2" max="2" width="13.85546875" customWidth="1"/>
    <col min="3" max="3" width="13.85546875" style="47" customWidth="1"/>
    <col min="4" max="4" width="33.7109375" bestFit="1" customWidth="1"/>
    <col min="5" max="5" width="40.5703125" bestFit="1" customWidth="1"/>
    <col min="6" max="6" width="34.85546875" bestFit="1" customWidth="1"/>
    <col min="7" max="7" width="33.7109375" bestFit="1" customWidth="1"/>
    <col min="8" max="8" width="149.140625" bestFit="1" customWidth="1"/>
  </cols>
  <sheetData>
    <row r="1" spans="1:9" x14ac:dyDescent="0.25">
      <c r="A1" s="46" t="s">
        <v>68</v>
      </c>
      <c r="B1" s="9" t="s">
        <v>66</v>
      </c>
      <c r="C1" s="46" t="s">
        <v>67</v>
      </c>
      <c r="D1" s="9"/>
      <c r="G1" s="8" t="s">
        <v>170</v>
      </c>
    </row>
    <row r="2" spans="1:9" x14ac:dyDescent="0.25">
      <c r="A2" s="47">
        <v>3</v>
      </c>
      <c r="B2" s="9">
        <f>($H$3+250000)*A2</f>
        <v>3234348</v>
      </c>
      <c r="C2" s="47">
        <v>80</v>
      </c>
      <c r="D2" s="9">
        <f>+C2*$H$3</f>
        <v>66249280</v>
      </c>
      <c r="F2" s="22">
        <f>+B2/D2</f>
        <v>4.8820877751426128E-2</v>
      </c>
      <c r="H2" s="46" t="s">
        <v>67</v>
      </c>
    </row>
    <row r="3" spans="1:9" x14ac:dyDescent="0.25">
      <c r="A3" s="47">
        <v>5</v>
      </c>
      <c r="B3" s="9">
        <f>($H$3+250000)*A3</f>
        <v>5390580</v>
      </c>
      <c r="C3" s="47">
        <v>150</v>
      </c>
      <c r="D3" s="9">
        <f>+C3*$H$3</f>
        <v>124217400</v>
      </c>
      <c r="F3" s="22">
        <f>+B3/D3</f>
        <v>4.3396335779045447E-2</v>
      </c>
      <c r="H3" s="9">
        <v>828116</v>
      </c>
    </row>
    <row r="4" spans="1:9" x14ac:dyDescent="0.25">
      <c r="A4" s="47">
        <v>6</v>
      </c>
      <c r="B4" s="9">
        <f>($H$3+250000)*A4</f>
        <v>6468696</v>
      </c>
      <c r="C4" s="47">
        <v>180</v>
      </c>
      <c r="D4" s="9">
        <f>+C4*$H$3</f>
        <v>149060880</v>
      </c>
      <c r="F4" s="22">
        <f>+B4/D4</f>
        <v>4.3396335779045447E-2</v>
      </c>
      <c r="H4" t="s">
        <v>169</v>
      </c>
    </row>
    <row r="6" spans="1:9" x14ac:dyDescent="0.25">
      <c r="A6" t="s">
        <v>168</v>
      </c>
      <c r="B6" t="s">
        <v>69</v>
      </c>
      <c r="C6" t="s">
        <v>71</v>
      </c>
      <c r="D6" t="s">
        <v>88</v>
      </c>
      <c r="E6" t="s">
        <v>107</v>
      </c>
      <c r="F6" t="s">
        <v>109</v>
      </c>
      <c r="G6" t="s">
        <v>128</v>
      </c>
      <c r="H6" s="49" t="s">
        <v>167</v>
      </c>
    </row>
    <row r="7" spans="1:9" x14ac:dyDescent="0.25">
      <c r="A7">
        <v>1</v>
      </c>
      <c r="B7" t="s">
        <v>70</v>
      </c>
      <c r="C7" t="s">
        <v>163</v>
      </c>
      <c r="D7" t="s">
        <v>164</v>
      </c>
      <c r="E7" t="s">
        <v>108</v>
      </c>
      <c r="F7" t="s">
        <v>165</v>
      </c>
      <c r="G7" t="s">
        <v>166</v>
      </c>
    </row>
    <row r="8" spans="1:9" x14ac:dyDescent="0.25">
      <c r="A8">
        <f t="shared" ref="A8:A25" si="0">+A7+1</f>
        <v>2</v>
      </c>
      <c r="B8" t="s">
        <v>70</v>
      </c>
      <c r="C8" t="s">
        <v>72</v>
      </c>
      <c r="D8" t="s">
        <v>89</v>
      </c>
      <c r="E8" t="s">
        <v>108</v>
      </c>
      <c r="F8" t="s">
        <v>110</v>
      </c>
      <c r="G8" t="s">
        <v>129</v>
      </c>
      <c r="H8" s="49" t="s">
        <v>145</v>
      </c>
      <c r="I8" s="48"/>
    </row>
    <row r="9" spans="1:9" x14ac:dyDescent="0.25">
      <c r="A9">
        <f t="shared" si="0"/>
        <v>3</v>
      </c>
      <c r="B9" t="s">
        <v>70</v>
      </c>
      <c r="C9" t="s">
        <v>73</v>
      </c>
      <c r="D9" t="s">
        <v>90</v>
      </c>
      <c r="E9" t="s">
        <v>108</v>
      </c>
      <c r="F9" t="s">
        <v>111</v>
      </c>
      <c r="G9" t="s">
        <v>130</v>
      </c>
      <c r="H9" s="49" t="s">
        <v>146</v>
      </c>
    </row>
    <row r="10" spans="1:9" x14ac:dyDescent="0.25">
      <c r="A10">
        <f t="shared" si="0"/>
        <v>4</v>
      </c>
      <c r="B10" t="s">
        <v>70</v>
      </c>
      <c r="C10" t="s">
        <v>74</v>
      </c>
      <c r="D10" t="s">
        <v>91</v>
      </c>
      <c r="E10" t="s">
        <v>108</v>
      </c>
      <c r="F10" t="s">
        <v>112</v>
      </c>
      <c r="G10" t="s">
        <v>131</v>
      </c>
      <c r="H10" s="49" t="s">
        <v>147</v>
      </c>
    </row>
    <row r="11" spans="1:9" x14ac:dyDescent="0.25">
      <c r="A11">
        <f t="shared" si="0"/>
        <v>5</v>
      </c>
      <c r="B11" t="s">
        <v>70</v>
      </c>
      <c r="C11" t="s">
        <v>75</v>
      </c>
      <c r="D11" t="s">
        <v>92</v>
      </c>
      <c r="E11" t="s">
        <v>108</v>
      </c>
      <c r="F11" t="s">
        <v>113</v>
      </c>
      <c r="G11" t="s">
        <v>132</v>
      </c>
      <c r="H11" s="49" t="s">
        <v>148</v>
      </c>
    </row>
    <row r="12" spans="1:9" x14ac:dyDescent="0.25">
      <c r="A12">
        <f t="shared" si="0"/>
        <v>6</v>
      </c>
      <c r="B12" t="s">
        <v>70</v>
      </c>
      <c r="C12" t="s">
        <v>76</v>
      </c>
      <c r="D12" t="s">
        <v>93</v>
      </c>
      <c r="E12" t="s">
        <v>108</v>
      </c>
      <c r="F12" t="s">
        <v>114</v>
      </c>
      <c r="G12" t="s">
        <v>133</v>
      </c>
      <c r="H12" s="49" t="s">
        <v>149</v>
      </c>
    </row>
    <row r="13" spans="1:9" x14ac:dyDescent="0.25">
      <c r="A13">
        <f t="shared" si="0"/>
        <v>7</v>
      </c>
      <c r="B13" t="s">
        <v>70</v>
      </c>
      <c r="C13" t="s">
        <v>77</v>
      </c>
      <c r="D13" t="s">
        <v>94</v>
      </c>
      <c r="E13" t="s">
        <v>108</v>
      </c>
      <c r="F13" t="s">
        <v>115</v>
      </c>
      <c r="G13" t="s">
        <v>134</v>
      </c>
      <c r="H13" t="s">
        <v>150</v>
      </c>
    </row>
    <row r="14" spans="1:9" x14ac:dyDescent="0.25">
      <c r="A14">
        <f t="shared" si="0"/>
        <v>8</v>
      </c>
      <c r="B14" t="s">
        <v>70</v>
      </c>
      <c r="C14" t="s">
        <v>78</v>
      </c>
      <c r="D14" t="s">
        <v>95</v>
      </c>
      <c r="E14" t="s">
        <v>108</v>
      </c>
      <c r="F14" t="s">
        <v>116</v>
      </c>
      <c r="G14" t="s">
        <v>135</v>
      </c>
      <c r="H14" t="s">
        <v>151</v>
      </c>
    </row>
    <row r="15" spans="1:9" x14ac:dyDescent="0.25">
      <c r="A15">
        <f t="shared" si="0"/>
        <v>9</v>
      </c>
      <c r="B15" t="s">
        <v>70</v>
      </c>
      <c r="C15" t="s">
        <v>79</v>
      </c>
      <c r="D15" t="s">
        <v>96</v>
      </c>
      <c r="E15" t="s">
        <v>108</v>
      </c>
      <c r="F15" t="s">
        <v>117</v>
      </c>
      <c r="G15" t="s">
        <v>136</v>
      </c>
      <c r="H15" t="s">
        <v>152</v>
      </c>
    </row>
    <row r="16" spans="1:9" x14ac:dyDescent="0.25">
      <c r="A16">
        <f t="shared" si="0"/>
        <v>10</v>
      </c>
      <c r="B16" t="s">
        <v>70</v>
      </c>
      <c r="C16" t="s">
        <v>80</v>
      </c>
      <c r="D16" t="s">
        <v>97</v>
      </c>
      <c r="E16" t="s">
        <v>108</v>
      </c>
      <c r="F16" t="s">
        <v>118</v>
      </c>
      <c r="G16" t="s">
        <v>137</v>
      </c>
      <c r="H16" t="s">
        <v>153</v>
      </c>
    </row>
    <row r="17" spans="1:8" x14ac:dyDescent="0.25">
      <c r="A17">
        <f t="shared" si="0"/>
        <v>11</v>
      </c>
      <c r="B17" t="s">
        <v>70</v>
      </c>
      <c r="C17" t="s">
        <v>77</v>
      </c>
      <c r="D17" t="s">
        <v>98</v>
      </c>
      <c r="E17" t="s">
        <v>108</v>
      </c>
      <c r="F17" t="s">
        <v>119</v>
      </c>
      <c r="G17" t="s">
        <v>138</v>
      </c>
      <c r="H17" t="s">
        <v>154</v>
      </c>
    </row>
    <row r="18" spans="1:8" x14ac:dyDescent="0.25">
      <c r="A18">
        <f t="shared" si="0"/>
        <v>12</v>
      </c>
      <c r="B18" t="s">
        <v>70</v>
      </c>
      <c r="C18" t="s">
        <v>75</v>
      </c>
      <c r="D18" t="s">
        <v>99</v>
      </c>
      <c r="E18" t="s">
        <v>108</v>
      </c>
      <c r="F18" t="s">
        <v>120</v>
      </c>
      <c r="G18" t="s">
        <v>139</v>
      </c>
      <c r="H18" t="s">
        <v>155</v>
      </c>
    </row>
    <row r="19" spans="1:8" x14ac:dyDescent="0.25">
      <c r="A19">
        <f t="shared" si="0"/>
        <v>13</v>
      </c>
      <c r="B19" t="s">
        <v>70</v>
      </c>
      <c r="C19" t="s">
        <v>81</v>
      </c>
      <c r="D19" t="s">
        <v>100</v>
      </c>
      <c r="E19" t="s">
        <v>108</v>
      </c>
      <c r="F19" t="s">
        <v>121</v>
      </c>
      <c r="G19" t="s">
        <v>140</v>
      </c>
      <c r="H19" t="s">
        <v>156</v>
      </c>
    </row>
    <row r="20" spans="1:8" x14ac:dyDescent="0.25">
      <c r="A20">
        <f t="shared" si="0"/>
        <v>14</v>
      </c>
      <c r="B20" t="s">
        <v>70</v>
      </c>
      <c r="C20" t="s">
        <v>82</v>
      </c>
      <c r="D20" t="s">
        <v>101</v>
      </c>
      <c r="E20" t="s">
        <v>108</v>
      </c>
      <c r="F20" t="s">
        <v>122</v>
      </c>
      <c r="G20" t="s">
        <v>141</v>
      </c>
      <c r="H20" t="s">
        <v>157</v>
      </c>
    </row>
    <row r="21" spans="1:8" x14ac:dyDescent="0.25">
      <c r="A21">
        <f t="shared" si="0"/>
        <v>15</v>
      </c>
      <c r="B21" t="s">
        <v>70</v>
      </c>
      <c r="C21" t="s">
        <v>83</v>
      </c>
      <c r="D21" t="s">
        <v>102</v>
      </c>
      <c r="E21" t="s">
        <v>108</v>
      </c>
      <c r="F21" t="s">
        <v>123</v>
      </c>
      <c r="G21" t="s">
        <v>142</v>
      </c>
      <c r="H21" t="s">
        <v>158</v>
      </c>
    </row>
    <row r="22" spans="1:8" x14ac:dyDescent="0.25">
      <c r="A22">
        <f t="shared" si="0"/>
        <v>16</v>
      </c>
      <c r="B22" t="s">
        <v>70</v>
      </c>
      <c r="C22" t="s">
        <v>84</v>
      </c>
      <c r="D22" t="s">
        <v>103</v>
      </c>
      <c r="E22" t="s">
        <v>108</v>
      </c>
      <c r="F22" t="s">
        <v>124</v>
      </c>
      <c r="G22" t="s">
        <v>84</v>
      </c>
      <c r="H22" t="s">
        <v>159</v>
      </c>
    </row>
    <row r="23" spans="1:8" x14ac:dyDescent="0.25">
      <c r="A23">
        <f t="shared" si="0"/>
        <v>17</v>
      </c>
      <c r="B23" t="s">
        <v>70</v>
      </c>
      <c r="C23" t="s">
        <v>85</v>
      </c>
      <c r="D23" t="s">
        <v>104</v>
      </c>
      <c r="E23" t="s">
        <v>108</v>
      </c>
      <c r="F23" t="s">
        <v>125</v>
      </c>
      <c r="G23" t="s">
        <v>143</v>
      </c>
      <c r="H23" t="s">
        <v>160</v>
      </c>
    </row>
    <row r="24" spans="1:8" x14ac:dyDescent="0.25">
      <c r="A24">
        <f t="shared" si="0"/>
        <v>18</v>
      </c>
      <c r="B24" t="s">
        <v>70</v>
      </c>
      <c r="C24" t="s">
        <v>86</v>
      </c>
      <c r="D24" t="s">
        <v>105</v>
      </c>
      <c r="E24" t="s">
        <v>108</v>
      </c>
      <c r="F24" t="s">
        <v>126</v>
      </c>
      <c r="G24" t="s">
        <v>144</v>
      </c>
      <c r="H24" t="s">
        <v>161</v>
      </c>
    </row>
    <row r="25" spans="1:8" x14ac:dyDescent="0.25">
      <c r="A25">
        <f t="shared" si="0"/>
        <v>19</v>
      </c>
      <c r="B25" t="s">
        <v>70</v>
      </c>
      <c r="C25" t="s">
        <v>87</v>
      </c>
      <c r="D25" t="s">
        <v>106</v>
      </c>
      <c r="E25" t="s">
        <v>108</v>
      </c>
      <c r="F25" t="s">
        <v>127</v>
      </c>
      <c r="G25">
        <v>5461500</v>
      </c>
      <c r="H25" t="s">
        <v>162</v>
      </c>
    </row>
    <row r="26" spans="1:8" x14ac:dyDescent="0.25">
      <c r="C26"/>
    </row>
    <row r="27" spans="1:8" x14ac:dyDescent="0.25">
      <c r="C27"/>
    </row>
    <row r="28" spans="1:8" x14ac:dyDescent="0.25">
      <c r="C28"/>
    </row>
    <row r="29" spans="1:8" x14ac:dyDescent="0.25">
      <c r="C29"/>
    </row>
    <row r="30" spans="1:8" x14ac:dyDescent="0.25">
      <c r="C30"/>
    </row>
    <row r="31" spans="1:8" x14ac:dyDescent="0.25">
      <c r="C31"/>
    </row>
    <row r="32" spans="1:8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</sheetData>
  <autoFilter ref="A6:H25" xr:uid="{00000000-0009-0000-0000-000026000000}"/>
  <hyperlinks>
    <hyperlink ref="G1" r:id="rId1" location="Cundinamarca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J5:AJ7"/>
  <sheetViews>
    <sheetView workbookViewId="0"/>
  </sheetViews>
  <sheetFormatPr baseColWidth="10" defaultRowHeight="15" x14ac:dyDescent="0.25"/>
  <sheetData>
    <row r="5" spans="36:36" x14ac:dyDescent="0.25">
      <c r="AJ5" t="s">
        <v>22</v>
      </c>
    </row>
    <row r="7" spans="36:36" x14ac:dyDescent="0.25">
      <c r="AJ7" s="8" t="s">
        <v>21</v>
      </c>
    </row>
  </sheetData>
  <hyperlinks>
    <hyperlink ref="AJ7" r:id="rId1" display="https://www.google.com/maps/dir/Texaco,+km+37,+Autopista+Nte.,+Tocancip%C3%A1,+Cundinamarca/Texaco/@4.9545171,-74.5076782,8.96z/data=!4m13!4m12!1m5!1m1!1s0x8e407158228ea999:0x1d86c6a065291755!2m2!1d-73.9372383!2d4.9539161!1m5!1m1!1s0x8e407158228ea999:0x1d86c6a065291755!2m2!1d-73.9372383!2d4.9539161" xr:uid="{00000000-0004-0000-2700-000000000000}"/>
  </hyperlinks>
  <pageMargins left="0.7" right="0.7" top="0.75" bottom="0.75" header="0.3" footer="0.3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C1:M34"/>
  <sheetViews>
    <sheetView workbookViewId="0"/>
  </sheetViews>
  <sheetFormatPr baseColWidth="10" defaultRowHeight="17.25" x14ac:dyDescent="0.4"/>
  <cols>
    <col min="1" max="2" width="11.42578125" style="9"/>
    <col min="3" max="3" width="21.7109375" style="16" bestFit="1" customWidth="1"/>
    <col min="4" max="4" width="21.7109375" style="9" customWidth="1"/>
    <col min="5" max="5" width="12" style="9" bestFit="1" customWidth="1"/>
    <col min="6" max="6" width="13" style="9" bestFit="1" customWidth="1"/>
    <col min="7" max="7" width="12" style="9" bestFit="1" customWidth="1"/>
    <col min="8" max="10" width="11.42578125" style="9"/>
    <col min="11" max="11" width="12.85546875" style="9" bestFit="1" customWidth="1"/>
    <col min="12" max="12" width="12" style="9" bestFit="1" customWidth="1"/>
    <col min="13" max="16384" width="11.42578125" style="9"/>
  </cols>
  <sheetData>
    <row r="1" spans="3:13" x14ac:dyDescent="0.4">
      <c r="C1" s="17" t="s">
        <v>31</v>
      </c>
      <c r="D1" s="11"/>
      <c r="E1" s="11">
        <v>2484000</v>
      </c>
      <c r="G1" s="11">
        <v>1200000</v>
      </c>
      <c r="I1" s="9">
        <v>800000</v>
      </c>
      <c r="K1" s="9" t="s">
        <v>46</v>
      </c>
      <c r="L1" s="9">
        <f>17*2400*2</f>
        <v>81600</v>
      </c>
      <c r="M1" s="9">
        <f>+L1/3</f>
        <v>27200</v>
      </c>
    </row>
    <row r="2" spans="3:13" x14ac:dyDescent="0.4">
      <c r="C2" s="17" t="s">
        <v>33</v>
      </c>
      <c r="D2" s="11"/>
      <c r="E2" s="11">
        <v>62000</v>
      </c>
      <c r="G2" s="11">
        <v>1500000</v>
      </c>
      <c r="I2" s="9">
        <v>875424</v>
      </c>
      <c r="K2" s="9" t="s">
        <v>47</v>
      </c>
      <c r="L2" s="9">
        <v>100000</v>
      </c>
      <c r="M2" s="9">
        <f>+L2/3</f>
        <v>33333.333333333336</v>
      </c>
    </row>
    <row r="3" spans="3:13" x14ac:dyDescent="0.4">
      <c r="M3" s="9">
        <f>+L3/3</f>
        <v>0</v>
      </c>
    </row>
    <row r="4" spans="3:13" x14ac:dyDescent="0.4">
      <c r="C4" s="17" t="s">
        <v>30</v>
      </c>
      <c r="D4" s="11"/>
      <c r="E4" s="11">
        <f>+E1+E2</f>
        <v>2546000</v>
      </c>
      <c r="M4" s="9">
        <f>+L4/3</f>
        <v>0</v>
      </c>
    </row>
    <row r="5" spans="3:13" ht="18" thickBot="1" x14ac:dyDescent="0.45">
      <c r="C5" s="18" t="s">
        <v>32</v>
      </c>
      <c r="D5" s="12"/>
      <c r="E5" s="13">
        <f>+SUM(E8:E1048576)</f>
        <v>1700000</v>
      </c>
    </row>
    <row r="6" spans="3:13" ht="18" thickTop="1" x14ac:dyDescent="0.4">
      <c r="C6" s="17" t="s">
        <v>29</v>
      </c>
      <c r="D6" s="11"/>
      <c r="E6" s="11">
        <f>+E4-E5</f>
        <v>846000</v>
      </c>
    </row>
    <row r="7" spans="3:13" x14ac:dyDescent="0.4">
      <c r="C7" s="17"/>
      <c r="D7" s="11"/>
      <c r="E7" s="11"/>
    </row>
    <row r="8" spans="3:13" x14ac:dyDescent="0.4">
      <c r="C8" s="16" t="s">
        <v>25</v>
      </c>
    </row>
    <row r="9" spans="3:13" ht="18" thickBot="1" x14ac:dyDescent="0.45">
      <c r="C9" s="18" t="s">
        <v>28</v>
      </c>
      <c r="D9" s="12"/>
      <c r="E9" s="13">
        <v>900000</v>
      </c>
    </row>
    <row r="10" spans="3:13" ht="18" thickTop="1" x14ac:dyDescent="0.4">
      <c r="C10" s="18"/>
      <c r="D10" s="14" t="s">
        <v>34</v>
      </c>
      <c r="E10" s="15"/>
      <c r="F10" s="9">
        <v>750000</v>
      </c>
      <c r="G10" s="9" t="s">
        <v>2</v>
      </c>
    </row>
    <row r="11" spans="3:13" x14ac:dyDescent="0.4">
      <c r="C11" s="18"/>
      <c r="D11" s="12"/>
      <c r="E11" s="15"/>
      <c r="F11" s="9">
        <f>+E9-F10</f>
        <v>150000</v>
      </c>
      <c r="G11" s="9" t="s">
        <v>35</v>
      </c>
    </row>
    <row r="12" spans="3:13" x14ac:dyDescent="0.4">
      <c r="C12" s="18"/>
      <c r="D12" s="12"/>
      <c r="E12" s="15"/>
    </row>
    <row r="13" spans="3:13" ht="18" thickBot="1" x14ac:dyDescent="0.45">
      <c r="C13" s="18" t="s">
        <v>28</v>
      </c>
      <c r="D13" s="12"/>
      <c r="E13" s="13">
        <v>500000</v>
      </c>
    </row>
    <row r="14" spans="3:13" ht="18" thickTop="1" x14ac:dyDescent="0.4">
      <c r="C14" s="18"/>
      <c r="D14" s="12"/>
      <c r="E14" s="15"/>
      <c r="F14" s="9">
        <v>220000</v>
      </c>
      <c r="G14" s="9" t="s">
        <v>24</v>
      </c>
    </row>
    <row r="15" spans="3:13" x14ac:dyDescent="0.4">
      <c r="C15" s="18"/>
      <c r="D15" s="12"/>
      <c r="E15" s="15"/>
      <c r="F15" s="11">
        <v>100000</v>
      </c>
      <c r="G15" s="11" t="s">
        <v>23</v>
      </c>
    </row>
    <row r="16" spans="3:13" x14ac:dyDescent="0.4">
      <c r="C16" s="18"/>
      <c r="D16" s="12"/>
      <c r="E16" s="15"/>
      <c r="F16" s="9">
        <f>2400*12</f>
        <v>28800</v>
      </c>
      <c r="G16" s="9" t="s">
        <v>36</v>
      </c>
    </row>
    <row r="17" spans="3:12" x14ac:dyDescent="0.4">
      <c r="C17" s="18"/>
      <c r="D17" s="15"/>
      <c r="E17" s="15"/>
      <c r="F17" s="9">
        <v>22000</v>
      </c>
      <c r="G17" s="9" t="s">
        <v>37</v>
      </c>
    </row>
    <row r="18" spans="3:12" x14ac:dyDescent="0.4">
      <c r="C18" s="18"/>
      <c r="D18" s="12"/>
      <c r="E18" s="15"/>
      <c r="F18" s="9">
        <v>5000</v>
      </c>
      <c r="G18" s="9" t="s">
        <v>38</v>
      </c>
    </row>
    <row r="19" spans="3:12" x14ac:dyDescent="0.4">
      <c r="C19" s="18"/>
      <c r="D19" s="12"/>
      <c r="E19" s="15"/>
      <c r="F19" s="9">
        <v>28000</v>
      </c>
      <c r="G19" s="9" t="s">
        <v>41</v>
      </c>
    </row>
    <row r="20" spans="3:12" x14ac:dyDescent="0.4">
      <c r="C20" s="18"/>
      <c r="D20" s="12"/>
      <c r="E20" s="15"/>
      <c r="F20" s="9">
        <v>15000</v>
      </c>
      <c r="G20" s="9" t="s">
        <v>39</v>
      </c>
    </row>
    <row r="21" spans="3:12" x14ac:dyDescent="0.4">
      <c r="C21" s="18"/>
      <c r="D21" s="12"/>
      <c r="E21" s="15"/>
      <c r="F21" s="9">
        <v>50000</v>
      </c>
      <c r="G21" s="9" t="s">
        <v>44</v>
      </c>
    </row>
    <row r="22" spans="3:12" x14ac:dyDescent="0.4">
      <c r="C22" s="18"/>
      <c r="D22" s="12"/>
      <c r="E22" s="15"/>
      <c r="F22" s="9">
        <v>20000</v>
      </c>
      <c r="G22" s="9" t="s">
        <v>45</v>
      </c>
    </row>
    <row r="23" spans="3:12" ht="18" thickBot="1" x14ac:dyDescent="0.45">
      <c r="C23" s="18" t="s">
        <v>26</v>
      </c>
      <c r="D23" s="12"/>
      <c r="E23" s="13">
        <v>300000</v>
      </c>
    </row>
    <row r="24" spans="3:12" ht="18" thickTop="1" x14ac:dyDescent="0.4">
      <c r="C24" s="18"/>
      <c r="D24" s="12"/>
      <c r="E24" s="12"/>
      <c r="F24" s="9">
        <v>5000</v>
      </c>
      <c r="G24" s="9" t="s">
        <v>27</v>
      </c>
    </row>
    <row r="25" spans="3:12" x14ac:dyDescent="0.4">
      <c r="C25" s="18"/>
      <c r="D25" s="12"/>
      <c r="E25" s="15"/>
      <c r="F25" s="9">
        <v>5000</v>
      </c>
      <c r="G25" s="9" t="s">
        <v>38</v>
      </c>
    </row>
    <row r="26" spans="3:12" x14ac:dyDescent="0.4">
      <c r="C26" s="18"/>
      <c r="D26" s="12"/>
      <c r="E26" s="15"/>
      <c r="F26" s="9">
        <v>25000</v>
      </c>
      <c r="G26" s="9" t="s">
        <v>39</v>
      </c>
    </row>
    <row r="27" spans="3:12" x14ac:dyDescent="0.4">
      <c r="C27" s="18"/>
      <c r="D27" s="12"/>
      <c r="E27" s="15"/>
      <c r="F27" s="19">
        <v>100000</v>
      </c>
      <c r="G27" s="20" t="s">
        <v>40</v>
      </c>
      <c r="H27" s="20"/>
    </row>
    <row r="28" spans="3:12" x14ac:dyDescent="0.4">
      <c r="C28" s="18"/>
      <c r="D28" s="12"/>
      <c r="E28" s="15"/>
      <c r="F28" s="9">
        <f>38000+10000</f>
        <v>48000</v>
      </c>
      <c r="G28" s="9" t="s">
        <v>43</v>
      </c>
    </row>
    <row r="29" spans="3:12" x14ac:dyDescent="0.4">
      <c r="C29" s="18"/>
      <c r="D29" s="12"/>
      <c r="E29" s="15"/>
      <c r="F29" s="17">
        <v>120000</v>
      </c>
      <c r="G29" s="17" t="s">
        <v>42</v>
      </c>
    </row>
    <row r="30" spans="3:12" ht="15" x14ac:dyDescent="0.25">
      <c r="C30" s="9"/>
    </row>
    <row r="31" spans="3:12" x14ac:dyDescent="0.4">
      <c r="K31" s="17">
        <f>$F$15</f>
        <v>100000</v>
      </c>
      <c r="L31" s="17" t="s">
        <v>23</v>
      </c>
    </row>
    <row r="32" spans="3:12" x14ac:dyDescent="0.4">
      <c r="K32" s="17">
        <f>Falabella!$G$3</f>
        <v>149896</v>
      </c>
      <c r="L32" s="17" t="s">
        <v>42</v>
      </c>
    </row>
    <row r="33" spans="11:12" x14ac:dyDescent="0.4">
      <c r="K33" s="11">
        <v>100000</v>
      </c>
      <c r="L33" s="11" t="s">
        <v>52</v>
      </c>
    </row>
    <row r="34" spans="11:12" x14ac:dyDescent="0.4">
      <c r="K34" s="11">
        <v>200000</v>
      </c>
      <c r="L34" s="11" t="s">
        <v>53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8"/>
  <sheetViews>
    <sheetView workbookViewId="0"/>
  </sheetViews>
  <sheetFormatPr baseColWidth="10" defaultRowHeight="15" x14ac:dyDescent="0.25"/>
  <cols>
    <col min="1" max="1" width="13.85546875" style="9" bestFit="1" customWidth="1"/>
    <col min="2" max="2" width="11.42578125" style="9"/>
    <col min="3" max="3" width="13" style="9" bestFit="1" customWidth="1"/>
    <col min="4" max="16384" width="11.42578125" style="9"/>
  </cols>
  <sheetData>
    <row r="1" spans="1:7" x14ac:dyDescent="0.25">
      <c r="D1" s="9" t="s">
        <v>49</v>
      </c>
    </row>
    <row r="2" spans="1:7" x14ac:dyDescent="0.25">
      <c r="A2" s="9" t="s">
        <v>48</v>
      </c>
      <c r="C2" s="9">
        <v>399900</v>
      </c>
      <c r="D2" s="9">
        <f>+C2*0.2</f>
        <v>79980</v>
      </c>
      <c r="E2" s="9">
        <f>+C2-D2</f>
        <v>319920</v>
      </c>
    </row>
    <row r="3" spans="1:7" x14ac:dyDescent="0.25">
      <c r="A3" s="9" t="s">
        <v>50</v>
      </c>
      <c r="B3" s="9">
        <v>79990</v>
      </c>
      <c r="C3" s="9">
        <v>39990</v>
      </c>
      <c r="D3" s="10">
        <f>+C3*0.2</f>
        <v>7998</v>
      </c>
      <c r="E3" s="10">
        <f>+C3-D3</f>
        <v>31992</v>
      </c>
      <c r="G3" s="9">
        <f>+SUM(E3:E7)</f>
        <v>149896</v>
      </c>
    </row>
    <row r="4" spans="1:7" x14ac:dyDescent="0.25">
      <c r="A4" s="9" t="s">
        <v>50</v>
      </c>
      <c r="B4" s="9">
        <v>79990</v>
      </c>
      <c r="C4" s="9">
        <v>29900</v>
      </c>
      <c r="D4" s="10">
        <f t="shared" ref="D4:D18" si="0">+C4*0.2</f>
        <v>5980</v>
      </c>
      <c r="E4" s="10">
        <f t="shared" ref="E4:E18" si="1">+C4-D4</f>
        <v>23920</v>
      </c>
    </row>
    <row r="5" spans="1:7" x14ac:dyDescent="0.25">
      <c r="A5" s="9" t="s">
        <v>50</v>
      </c>
      <c r="B5" s="9">
        <v>79990</v>
      </c>
      <c r="C5" s="9">
        <v>39990</v>
      </c>
      <c r="D5" s="10">
        <f>+C5*0.2</f>
        <v>7998</v>
      </c>
      <c r="E5" s="10">
        <f t="shared" si="1"/>
        <v>31992</v>
      </c>
    </row>
    <row r="6" spans="1:7" x14ac:dyDescent="0.25">
      <c r="A6" s="9" t="s">
        <v>50</v>
      </c>
      <c r="B6" s="9">
        <v>89990</v>
      </c>
      <c r="C6" s="9">
        <v>39990</v>
      </c>
      <c r="D6" s="10">
        <f>+C6*0.2</f>
        <v>7998</v>
      </c>
      <c r="E6" s="10">
        <f>+C6-D6</f>
        <v>31992</v>
      </c>
    </row>
    <row r="7" spans="1:7" x14ac:dyDescent="0.25">
      <c r="A7" s="9" t="s">
        <v>51</v>
      </c>
      <c r="D7" s="9">
        <f t="shared" si="0"/>
        <v>0</v>
      </c>
      <c r="E7" s="10">
        <v>30000</v>
      </c>
    </row>
    <row r="8" spans="1:7" x14ac:dyDescent="0.25">
      <c r="D8" s="9">
        <f t="shared" si="0"/>
        <v>0</v>
      </c>
      <c r="E8" s="9">
        <f t="shared" si="1"/>
        <v>0</v>
      </c>
    </row>
    <row r="9" spans="1:7" x14ac:dyDescent="0.25">
      <c r="D9" s="9">
        <f t="shared" si="0"/>
        <v>0</v>
      </c>
      <c r="E9" s="9">
        <f t="shared" si="1"/>
        <v>0</v>
      </c>
    </row>
    <row r="10" spans="1:7" x14ac:dyDescent="0.25">
      <c r="D10" s="9">
        <f t="shared" si="0"/>
        <v>0</v>
      </c>
      <c r="E10" s="9">
        <f t="shared" si="1"/>
        <v>0</v>
      </c>
    </row>
    <row r="11" spans="1:7" x14ac:dyDescent="0.25">
      <c r="D11" s="9">
        <f t="shared" si="0"/>
        <v>0</v>
      </c>
      <c r="E11" s="9">
        <f t="shared" si="1"/>
        <v>0</v>
      </c>
    </row>
    <row r="12" spans="1:7" x14ac:dyDescent="0.25">
      <c r="D12" s="9">
        <f t="shared" si="0"/>
        <v>0</v>
      </c>
      <c r="E12" s="9">
        <f t="shared" si="1"/>
        <v>0</v>
      </c>
    </row>
    <row r="13" spans="1:7" x14ac:dyDescent="0.25">
      <c r="D13" s="9">
        <f t="shared" si="0"/>
        <v>0</v>
      </c>
      <c r="E13" s="9">
        <f t="shared" si="1"/>
        <v>0</v>
      </c>
    </row>
    <row r="14" spans="1:7" x14ac:dyDescent="0.25">
      <c r="D14" s="9">
        <f t="shared" si="0"/>
        <v>0</v>
      </c>
      <c r="E14" s="9">
        <f t="shared" si="1"/>
        <v>0</v>
      </c>
    </row>
    <row r="15" spans="1:7" x14ac:dyDescent="0.25">
      <c r="D15" s="9">
        <f t="shared" si="0"/>
        <v>0</v>
      </c>
      <c r="E15" s="9">
        <f t="shared" si="1"/>
        <v>0</v>
      </c>
    </row>
    <row r="16" spans="1:7" x14ac:dyDescent="0.25">
      <c r="D16" s="9">
        <f t="shared" si="0"/>
        <v>0</v>
      </c>
      <c r="E16" s="9">
        <f t="shared" si="1"/>
        <v>0</v>
      </c>
    </row>
    <row r="17" spans="4:5" x14ac:dyDescent="0.25">
      <c r="D17" s="9">
        <f t="shared" si="0"/>
        <v>0</v>
      </c>
      <c r="E17" s="9">
        <f t="shared" si="1"/>
        <v>0</v>
      </c>
    </row>
    <row r="18" spans="4:5" x14ac:dyDescent="0.25">
      <c r="D18" s="9">
        <f t="shared" si="0"/>
        <v>0</v>
      </c>
      <c r="E18" s="9">
        <f t="shared" si="1"/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5:D8"/>
  <sheetViews>
    <sheetView workbookViewId="0"/>
  </sheetViews>
  <sheetFormatPr baseColWidth="10" defaultRowHeight="15" x14ac:dyDescent="0.25"/>
  <cols>
    <col min="1" max="1" width="11.42578125" style="9"/>
    <col min="2" max="2" width="15.7109375" style="9" bestFit="1" customWidth="1"/>
    <col min="3" max="3" width="14.5703125" style="9" bestFit="1" customWidth="1"/>
    <col min="4" max="16384" width="11.42578125" style="9"/>
  </cols>
  <sheetData>
    <row r="5" spans="2:4" x14ac:dyDescent="0.25">
      <c r="B5" s="9">
        <v>25158.44</v>
      </c>
      <c r="C5" s="22">
        <f>+B5/B8</f>
        <v>1.3041662105603355E-3</v>
      </c>
    </row>
    <row r="6" spans="2:4" x14ac:dyDescent="0.25">
      <c r="C6" s="9" t="s">
        <v>54</v>
      </c>
      <c r="D6" s="9" t="s">
        <v>55</v>
      </c>
    </row>
    <row r="7" spans="2:4" x14ac:dyDescent="0.25">
      <c r="C7" s="9">
        <v>9</v>
      </c>
    </row>
    <row r="8" spans="2:4" x14ac:dyDescent="0.25">
      <c r="B8" s="9">
        <v>19290823.359999999</v>
      </c>
      <c r="C8" s="9">
        <f>+B8/C7</f>
        <v>2143424.8177777776</v>
      </c>
      <c r="D8" s="9">
        <f>+C8/12</f>
        <v>178618.73481481479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9FD2FF-A9A4-4F57-A3C3-F82C9791CE78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43</vt:i4>
      </vt:variant>
    </vt:vector>
  </HeadingPairs>
  <TitlesOfParts>
    <vt:vector size="43" baseType="lpstr">
      <vt:lpstr>Scotiabank_Platino</vt:lpstr>
      <vt:lpstr>Bancolombia</vt:lpstr>
      <vt:lpstr>Inicio</vt:lpstr>
      <vt:lpstr>Inversión sociedad</vt:lpstr>
      <vt:lpstr>Flujo de caja</vt:lpstr>
      <vt:lpstr>Ventas</vt:lpstr>
      <vt:lpstr>Clientes institucionales</vt:lpstr>
      <vt:lpstr>Revenue Forecasting</vt:lpstr>
      <vt:lpstr>Clima</vt:lpstr>
      <vt:lpstr>Modelo Econométrico</vt:lpstr>
      <vt:lpstr>Bono Yery</vt:lpstr>
      <vt:lpstr>Revenue Forecasting (2)</vt:lpstr>
      <vt:lpstr>Anàlisis de ingreso</vt:lpstr>
      <vt:lpstr>Anàlisis de producto</vt:lpstr>
      <vt:lpstr>OPEX_deuda</vt:lpstr>
      <vt:lpstr>OPEX (3)</vt:lpstr>
      <vt:lpstr>OPEX</vt:lpstr>
      <vt:lpstr>Forecast Mes</vt:lpstr>
      <vt:lpstr>PE</vt:lpstr>
      <vt:lpstr>PE (2)</vt:lpstr>
      <vt:lpstr>Profitability</vt:lpstr>
      <vt:lpstr>PE (3)</vt:lpstr>
      <vt:lpstr>PE (0)</vt:lpstr>
      <vt:lpstr>No. Dias</vt:lpstr>
      <vt:lpstr>Profitability (0)</vt:lpstr>
      <vt:lpstr>Profitability (2-Mensualizado)</vt:lpstr>
      <vt:lpstr>Profitability  (2)</vt:lpstr>
      <vt:lpstr>	Profitability (3)</vt:lpstr>
      <vt:lpstr>Expetures Forecasting </vt:lpstr>
      <vt:lpstr>Análisis por producto</vt:lpstr>
      <vt:lpstr>Cámara de Comecio</vt:lpstr>
      <vt:lpstr>Agenda</vt:lpstr>
      <vt:lpstr>Pro. Financiero</vt:lpstr>
      <vt:lpstr>Prov. Domicilio</vt:lpstr>
      <vt:lpstr>Prov. pagos online</vt:lpstr>
      <vt:lpstr>SICOV</vt:lpstr>
      <vt:lpstr>RRHH</vt:lpstr>
      <vt:lpstr>Perfil de cliente</vt:lpstr>
      <vt:lpstr>Fondo-Emprender</vt:lpstr>
      <vt:lpstr>Georeferenciaciòn</vt:lpstr>
      <vt:lpstr>Finanzas personales</vt:lpstr>
      <vt:lpstr>Falabella</vt:lpstr>
      <vt:lpstr>ICETEX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Jeimmy Mayerly Muñoz</cp:lastModifiedBy>
  <dcterms:created xsi:type="dcterms:W3CDTF">2019-09-06T01:50:47Z</dcterms:created>
  <dcterms:modified xsi:type="dcterms:W3CDTF">2025-07-28T17:50:21Z</dcterms:modified>
</cp:coreProperties>
</file>