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1666" documentId="11_9248B46DC1CBB2E3ED7FF6F9903E8C1851038383" xr6:coauthVersionLast="47" xr6:coauthVersionMax="47" xr10:uidLastSave="{C1BA7A78-1B86-48C6-A0B8-4D67DEC04A71}"/>
  <bookViews>
    <workbookView xWindow="240" yWindow="105" windowWidth="14805" windowHeight="8010" firstSheet="3" activeTab="5" xr2:uid="{00000000-000D-0000-FFFF-FFFF00000000}"/>
  </bookViews>
  <sheets>
    <sheet name="1. Caracteristicas de dominio" sheetId="1" r:id="rId1"/>
    <sheet name="2. Preguntas" sheetId="2" r:id="rId2"/>
    <sheet name="3. Punto de Función" sheetId="3" r:id="rId3"/>
    <sheet name="5. Estimación del esfuerzo" sheetId="6" r:id="rId4"/>
    <sheet name="4. Base de Datos" sheetId="4" r:id="rId5"/>
    <sheet name="6. Distribución" sheetId="7" r:id="rId6"/>
    <sheet name="Lista de Materiales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8" l="1"/>
  <c r="I11" i="8" s="1"/>
  <c r="G11" i="8"/>
  <c r="F11" i="8"/>
  <c r="H6" i="8"/>
  <c r="H10" i="8"/>
  <c r="H12" i="8"/>
  <c r="G12" i="8"/>
  <c r="F12" i="8"/>
  <c r="G10" i="8"/>
  <c r="F10" i="8"/>
  <c r="F6" i="8"/>
  <c r="G6" i="8"/>
  <c r="G5" i="8"/>
  <c r="H4" i="8"/>
  <c r="G4" i="8"/>
  <c r="F5" i="8"/>
  <c r="F4" i="8"/>
  <c r="E9" i="8"/>
  <c r="E8" i="8"/>
  <c r="I12" i="8"/>
  <c r="I10" i="8"/>
  <c r="H7" i="8"/>
  <c r="G7" i="8"/>
  <c r="F7" i="8"/>
  <c r="I6" i="8"/>
  <c r="I5" i="8"/>
  <c r="I4" i="8"/>
  <c r="F39" i="7"/>
  <c r="K34" i="7"/>
  <c r="K40" i="7" s="1"/>
  <c r="M22" i="7"/>
  <c r="M21" i="7"/>
  <c r="M20" i="7"/>
  <c r="C22" i="7"/>
  <c r="C21" i="7"/>
  <c r="I37" i="6"/>
  <c r="I36" i="6"/>
  <c r="I34" i="6"/>
  <c r="I33" i="6"/>
  <c r="I35" i="6"/>
  <c r="I32" i="6"/>
  <c r="I31" i="6"/>
  <c r="I30" i="6"/>
  <c r="I28" i="6"/>
  <c r="I27" i="6"/>
  <c r="I26" i="6"/>
  <c r="I25" i="6"/>
  <c r="I24" i="6"/>
  <c r="I23" i="6"/>
  <c r="I22" i="6"/>
  <c r="I14" i="6"/>
  <c r="I13" i="6"/>
  <c r="I12" i="6"/>
  <c r="I11" i="6"/>
  <c r="I10" i="6"/>
  <c r="I29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23" i="6"/>
  <c r="J11" i="6"/>
  <c r="J12" i="6"/>
  <c r="J13" i="6"/>
  <c r="J14" i="6"/>
  <c r="J10" i="6"/>
  <c r="J22" i="6"/>
  <c r="J39" i="6" s="1"/>
  <c r="J15" i="6"/>
  <c r="E67" i="4"/>
  <c r="E63" i="4"/>
  <c r="E62" i="4"/>
  <c r="E61" i="4"/>
  <c r="E60" i="4"/>
  <c r="E59" i="4"/>
  <c r="E58" i="4"/>
  <c r="E57" i="4"/>
  <c r="E56" i="4"/>
  <c r="E55" i="4"/>
  <c r="E54" i="4"/>
  <c r="C63" i="4"/>
  <c r="C62" i="4"/>
  <c r="C61" i="4"/>
  <c r="C60" i="4"/>
  <c r="C59" i="4"/>
  <c r="C58" i="4"/>
  <c r="C57" i="4"/>
  <c r="C56" i="4"/>
  <c r="C55" i="4"/>
  <c r="C54" i="4"/>
  <c r="D50" i="4"/>
  <c r="D63" i="4" s="1"/>
  <c r="L41" i="4"/>
  <c r="D62" i="4" s="1"/>
  <c r="H41" i="4"/>
  <c r="D61" i="4" s="1"/>
  <c r="D42" i="4"/>
  <c r="D60" i="4" s="1"/>
  <c r="L32" i="4"/>
  <c r="D59" i="4" s="1"/>
  <c r="H26" i="4"/>
  <c r="D58" i="4" s="1"/>
  <c r="D26" i="4"/>
  <c r="D57" i="4" s="1"/>
  <c r="L13" i="4"/>
  <c r="D56" i="4" s="1"/>
  <c r="H16" i="4"/>
  <c r="D55" i="4" s="1"/>
  <c r="D17" i="4"/>
  <c r="D54" i="4" s="1"/>
  <c r="D8" i="3"/>
  <c r="E8" i="3"/>
  <c r="C8" i="3"/>
  <c r="C7" i="3"/>
  <c r="D7" i="3"/>
  <c r="E7" i="3"/>
  <c r="D6" i="3"/>
  <c r="E6" i="3"/>
  <c r="C6" i="3"/>
  <c r="C5" i="3"/>
  <c r="D5" i="3"/>
  <c r="E5" i="3"/>
  <c r="D4" i="3"/>
  <c r="E4" i="3"/>
  <c r="C4" i="3"/>
  <c r="E29" i="1"/>
  <c r="F29" i="1"/>
  <c r="D29" i="1"/>
  <c r="E28" i="1"/>
  <c r="F28" i="1"/>
  <c r="D28" i="1"/>
  <c r="E27" i="1"/>
  <c r="F27" i="1"/>
  <c r="D27" i="1"/>
  <c r="D26" i="1"/>
  <c r="E26" i="1"/>
  <c r="F26" i="1"/>
  <c r="F25" i="1"/>
  <c r="E25" i="1"/>
  <c r="D25" i="1"/>
  <c r="L13" i="3"/>
  <c r="C13" i="3" s="1"/>
  <c r="F5" i="3"/>
  <c r="F6" i="3"/>
  <c r="F7" i="3"/>
  <c r="F8" i="3"/>
  <c r="F4" i="3"/>
  <c r="F9" i="3"/>
  <c r="C11" i="3" s="1"/>
  <c r="L16" i="2"/>
  <c r="E14" i="3" s="1"/>
  <c r="C12" i="3" s="1"/>
  <c r="C14" i="3" s="1"/>
  <c r="C15" i="3" s="1"/>
  <c r="G54" i="4" l="1"/>
  <c r="G55" i="4"/>
  <c r="G56" i="4"/>
  <c r="G57" i="4"/>
  <c r="G58" i="4"/>
  <c r="G59" i="4"/>
  <c r="G60" i="4"/>
  <c r="G61" i="4"/>
  <c r="G62" i="4"/>
  <c r="G63" i="4"/>
  <c r="D2" i="7"/>
  <c r="C10" i="7" s="1"/>
  <c r="C10" i="6"/>
  <c r="E22" i="7"/>
  <c r="E23" i="7"/>
  <c r="E24" i="7"/>
  <c r="E21" i="7"/>
  <c r="C24" i="7"/>
  <c r="I7" i="8"/>
  <c r="H8" i="8"/>
  <c r="H13" i="8" s="1"/>
  <c r="G8" i="8"/>
  <c r="F8" i="8"/>
  <c r="G9" i="8"/>
  <c r="F9" i="8"/>
  <c r="I9" i="8" s="1"/>
  <c r="C23" i="7"/>
  <c r="E25" i="7"/>
  <c r="C25" i="7"/>
  <c r="C11" i="6"/>
  <c r="E18" i="6"/>
  <c r="G64" i="4"/>
  <c r="E66" i="4" s="1"/>
  <c r="E68" i="4" s="1"/>
  <c r="E70" i="4" s="1"/>
  <c r="I8" i="8" l="1"/>
  <c r="F13" i="8"/>
  <c r="G13" i="8"/>
  <c r="I13" i="8"/>
  <c r="I15" i="8" s="1"/>
  <c r="C12" i="6"/>
  <c r="C13" i="6"/>
  <c r="D3" i="7" l="1"/>
  <c r="C19" i="6"/>
  <c r="C20" i="6"/>
  <c r="D4" i="7" s="1"/>
  <c r="F22" i="7" l="1"/>
  <c r="F23" i="7"/>
  <c r="F24" i="7"/>
  <c r="F21" i="7"/>
  <c r="C26" i="6"/>
  <c r="C27" i="6"/>
  <c r="D5" i="7" s="1"/>
  <c r="D22" i="7"/>
  <c r="D24" i="7"/>
  <c r="G24" i="7" s="1"/>
  <c r="H24" i="7" s="1"/>
  <c r="D21" i="7"/>
  <c r="G21" i="7" s="1"/>
  <c r="H21" i="7" s="1"/>
  <c r="D23" i="7"/>
  <c r="G23" i="7" s="1"/>
  <c r="H23" i="7" s="1"/>
  <c r="D25" i="7" l="1"/>
  <c r="G22" i="7"/>
  <c r="H22" i="7" s="1"/>
  <c r="F33" i="7" s="1"/>
  <c r="F32" i="7"/>
  <c r="C32" i="7"/>
  <c r="C39" i="7"/>
  <c r="F35" i="7"/>
  <c r="C35" i="7"/>
  <c r="C42" i="7"/>
  <c r="F34" i="7"/>
  <c r="C34" i="7"/>
  <c r="C41" i="7"/>
  <c r="C33" i="7"/>
  <c r="F25" i="7"/>
  <c r="C40" i="7"/>
  <c r="C43" i="7" l="1"/>
  <c r="C36" i="7"/>
  <c r="F36" i="7"/>
  <c r="D47" i="7" l="1"/>
  <c r="E4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Ricardo Lopez Garcia</author>
  </authors>
  <commentList>
    <comment ref="B11" authorId="0" shapeId="0" xr:uid="{37E1806A-D88E-4750-A6E3-BB94FD7546B9}">
      <text>
        <r>
          <rPr>
            <sz val="11"/>
            <color theme="1"/>
            <rFont val="Calibri"/>
            <family val="2"/>
            <scheme val="minor"/>
          </rPr>
          <t xml:space="preserve">Edwin Ricardo Lopez Garcia:
Puntos de función sin ajustar (PF)
</t>
        </r>
      </text>
    </comment>
    <comment ref="B12" authorId="0" shapeId="0" xr:uid="{C15F9A43-8939-40E7-B50D-7FEAE41AD7FA}">
      <text>
        <r>
          <rPr>
            <sz val="11"/>
            <color theme="1"/>
            <rFont val="Calibri"/>
            <family val="2"/>
            <scheme val="minor"/>
          </rPr>
          <t>Edwin Ricardo Lopez Garcia:
Puntos de función ajustados
(PFA) 
PFA = PF * [0.65 + 0.01 * Sumatoria de Fi]</t>
        </r>
      </text>
    </comment>
    <comment ref="E13" authorId="0" shapeId="0" xr:uid="{271702EA-53C4-497B-B4E1-1089AF01632F}">
      <text>
        <r>
          <rPr>
            <sz val="11"/>
            <color theme="1"/>
            <rFont val="Calibri"/>
            <family val="2"/>
            <scheme val="minor"/>
          </rPr>
          <t>Edwin Ricardo Lopez Garcia:
Sumatoria de Fi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Ricardo Lopez Garcia</author>
  </authors>
  <commentList>
    <comment ref="D6" authorId="0" shapeId="0" xr:uid="{A05EDA39-1198-43C9-B826-7C1B5CD68EB9}">
      <text>
        <r>
          <rPr>
            <sz val="11"/>
            <color theme="1"/>
            <rFont val="Calibri"/>
            <family val="2"/>
            <scheme val="minor"/>
          </rPr>
          <t>Edwin Ricardo Lopez Garcia:
A es una constante, su valor siempre será ese</t>
        </r>
      </text>
    </comment>
    <comment ref="H10" authorId="0" shapeId="0" xr:uid="{77B9BEBB-9B52-4746-B8BA-EF447AC27E25}">
      <text>
        <r>
          <rPr>
            <sz val="11"/>
            <color theme="1"/>
            <rFont val="Calibri"/>
            <family val="2"/>
            <scheme val="minor"/>
          </rPr>
          <t xml:space="preserve">Edwin Ricardo Lopez Garcia:
Precedente
</t>
        </r>
      </text>
    </comment>
    <comment ref="H11" authorId="0" shapeId="0" xr:uid="{01F0D465-BF6F-46FB-A217-A80C6CDE0BDF}">
      <text>
        <r>
          <rPr>
            <sz val="11"/>
            <color theme="1"/>
            <rFont val="Calibri"/>
            <family val="2"/>
            <scheme val="minor"/>
          </rPr>
          <t>Edwin Ricardo Lopez Garcia:
Flexibilidad de desarrollo</t>
        </r>
      </text>
    </comment>
    <comment ref="H12" authorId="0" shapeId="0" xr:uid="{9B1E8CC7-3698-44E0-A314-B65B28B45335}">
      <text>
        <r>
          <rPr>
            <sz val="11"/>
            <color theme="1"/>
            <rFont val="Calibri"/>
            <family val="2"/>
            <scheme val="minor"/>
          </rPr>
          <t>Edwin Ricardo Lopez Garcia:
Resolución de Arq./Riesgo</t>
        </r>
      </text>
    </comment>
    <comment ref="H13" authorId="0" shapeId="0" xr:uid="{5F182AD2-1486-4C1C-81D9-1F7228F1A32C}">
      <text>
        <r>
          <rPr>
            <sz val="11"/>
            <color theme="1"/>
            <rFont val="Calibri"/>
            <family val="2"/>
            <scheme val="minor"/>
          </rPr>
          <t>Edwin Ricardo Lopez Garcia:
Cohesión del Equipo de trabajo</t>
        </r>
      </text>
    </comment>
    <comment ref="H14" authorId="0" shapeId="0" xr:uid="{F4DE9650-7B1F-453B-8DDE-A3D62D7664C4}">
      <text>
        <r>
          <rPr>
            <sz val="11"/>
            <color theme="1"/>
            <rFont val="Calibri"/>
            <family val="2"/>
            <scheme val="minor"/>
          </rPr>
          <t>Edwin Ricardo Lopez Garcia:
Madurez del proceso</t>
        </r>
      </text>
    </comment>
    <comment ref="H22" authorId="0" shapeId="0" xr:uid="{822AB991-FB9D-4BBF-B819-49C1FB867F9E}">
      <text>
        <r>
          <rPr>
            <sz val="11"/>
            <color theme="1"/>
            <rFont val="Calibri"/>
            <family val="2"/>
            <scheme val="minor"/>
          </rPr>
          <t xml:space="preserve">Edwin Ricardo Lopez Garcia:
Complejidad Requerida
</t>
        </r>
      </text>
    </comment>
    <comment ref="H23" authorId="0" shapeId="0" xr:uid="{313426B7-4451-404B-A615-F4E9B5037496}">
      <text>
        <r>
          <rPr>
            <sz val="11"/>
            <color theme="1"/>
            <rFont val="Calibri"/>
            <family val="2"/>
            <scheme val="minor"/>
          </rPr>
          <t xml:space="preserve">Edwin Ricardo Lopez Garcia:
Tamaño de la BD
</t>
        </r>
      </text>
    </comment>
    <comment ref="H24" authorId="0" shapeId="0" xr:uid="{FCFAA569-FCF9-4143-B5E4-C33B27EDFBAF}">
      <text>
        <r>
          <rPr>
            <sz val="11"/>
            <color theme="1"/>
            <rFont val="Calibri"/>
            <family val="2"/>
            <scheme val="minor"/>
          </rPr>
          <t>Edwin Ricardo Lopez Garcia:
Complejidad del Producto</t>
        </r>
      </text>
    </comment>
    <comment ref="H25" authorId="0" shapeId="0" xr:uid="{2469B239-1E22-4851-BE09-5D852D4366A8}">
      <text>
        <r>
          <rPr>
            <sz val="11"/>
            <color theme="1"/>
            <rFont val="Calibri"/>
            <family val="2"/>
            <scheme val="minor"/>
          </rPr>
          <t>Edwin Ricardo Lopez Garcia:
Requerimientos de reusabilidad</t>
        </r>
      </text>
    </comment>
    <comment ref="H26" authorId="0" shapeId="0" xr:uid="{8ACC0E02-1CBC-43BA-B644-D00C4DC41075}">
      <text>
        <r>
          <rPr>
            <sz val="11"/>
            <color theme="1"/>
            <rFont val="Calibri"/>
            <family val="2"/>
            <scheme val="minor"/>
          </rPr>
          <t>Edwin Ricardo Lopez Garcia:
Documentación acorde a las diferentes etapas del ciclo de vida</t>
        </r>
      </text>
    </comment>
    <comment ref="H27" authorId="0" shapeId="0" xr:uid="{4354FCCF-B1BB-4780-A11B-EC9D10C7F909}">
      <text>
        <r>
          <rPr>
            <sz val="11"/>
            <color theme="1"/>
            <rFont val="Calibri"/>
            <family val="2"/>
            <scheme val="minor"/>
          </rPr>
          <t xml:space="preserve">Edwin Ricardo Lopez Garcia:
Restricción del tiempo de ejecución
</t>
        </r>
      </text>
    </comment>
    <comment ref="H28" authorId="0" shapeId="0" xr:uid="{80FCCE05-E124-445C-AAE1-0750A4357E1D}">
      <text>
        <r>
          <rPr>
            <sz val="11"/>
            <color theme="1"/>
            <rFont val="Calibri"/>
            <family val="2"/>
            <scheme val="minor"/>
          </rPr>
          <t>Edwin Ricardo Lopez Garcia:
Restricción del Almacenamiento Principal</t>
        </r>
      </text>
    </comment>
    <comment ref="H29" authorId="0" shapeId="0" xr:uid="{6D667A19-FF14-4228-9ACD-27A59B8FC131}">
      <text>
        <r>
          <rPr>
            <sz val="11"/>
            <color theme="1"/>
            <rFont val="Calibri"/>
            <family val="2"/>
            <scheme val="minor"/>
          </rPr>
          <t>Edwin Ricardo Lopez Garcia:
Volatilidad de la plataforma</t>
        </r>
      </text>
    </comment>
    <comment ref="H30" authorId="0" shapeId="0" xr:uid="{CE25F3BB-3BF9-4A75-8E23-7EB2C7EBB0DA}">
      <text>
        <r>
          <rPr>
            <sz val="11"/>
            <color theme="1"/>
            <rFont val="Calibri"/>
            <family val="2"/>
            <scheme val="minor"/>
          </rPr>
          <t>Edwin Ricardo Lopez Garcia:
Capacidad del Analista</t>
        </r>
      </text>
    </comment>
    <comment ref="H31" authorId="0" shapeId="0" xr:uid="{ADEEBC1D-8F4C-4850-81FB-70AD9F2E18DC}">
      <text>
        <r>
          <rPr>
            <sz val="11"/>
            <color theme="1"/>
            <rFont val="Calibri"/>
            <family val="2"/>
            <scheme val="minor"/>
          </rPr>
          <t>Edwin Ricardo Lopez Garcia:
Capacidad del Programador</t>
        </r>
      </text>
    </comment>
    <comment ref="H32" authorId="0" shapeId="0" xr:uid="{BDAECBF0-9DA0-48DE-A317-CCE8AEAC15AA}">
      <text>
        <r>
          <rPr>
            <sz val="11"/>
            <color theme="1"/>
            <rFont val="Calibri"/>
            <family val="2"/>
            <scheme val="minor"/>
          </rPr>
          <t>Edwin Ricardo Lopez Garcia:
Continuidad del personal</t>
        </r>
      </text>
    </comment>
    <comment ref="H33" authorId="0" shapeId="0" xr:uid="{B33514A1-2C20-4C82-900E-921EEA78BC66}">
      <text>
        <r>
          <rPr>
            <sz val="11"/>
            <color theme="1"/>
            <rFont val="Calibri"/>
            <family val="2"/>
            <scheme val="minor"/>
          </rPr>
          <t>Edwin Ricardo Lopez Garcia:
Experiencia en la aplicación</t>
        </r>
      </text>
    </comment>
    <comment ref="H34" authorId="0" shapeId="0" xr:uid="{FB79E12C-041C-4F99-BF8D-D433738137E0}">
      <text>
        <r>
          <rPr>
            <sz val="11"/>
            <color theme="1"/>
            <rFont val="Calibri"/>
            <family val="2"/>
            <scheme val="minor"/>
          </rPr>
          <t>Edwin Ricardo Lopez Garcia:
 Experiencia en la plataforma</t>
        </r>
      </text>
    </comment>
    <comment ref="H35" authorId="0" shapeId="0" xr:uid="{1CE3A70D-B713-48B3-A1D7-DC940D4AED75}">
      <text>
        <r>
          <rPr>
            <sz val="11"/>
            <color theme="1"/>
            <rFont val="Calibri"/>
            <family val="2"/>
            <scheme val="minor"/>
          </rPr>
          <t>Edwin Ricardo Lopez Garcia:
 Experiencia en el lenguaje y las herramientas</t>
        </r>
      </text>
    </comment>
    <comment ref="H36" authorId="0" shapeId="0" xr:uid="{5537EB6E-0699-41A1-B15F-8DB0AEE82037}">
      <text>
        <r>
          <rPr>
            <sz val="11"/>
            <color theme="1"/>
            <rFont val="Calibri"/>
            <family val="2"/>
            <scheme val="minor"/>
          </rPr>
          <t>Edwin Ricardo Lopez Garcia:
Uso de Herramientas de Software</t>
        </r>
      </text>
    </comment>
    <comment ref="H37" authorId="0" shapeId="0" xr:uid="{39318309-A1BC-4183-9393-7C9E53A3452C}">
      <text>
        <r>
          <rPr>
            <sz val="11"/>
            <color theme="1"/>
            <rFont val="Calibri"/>
            <family val="2"/>
            <scheme val="minor"/>
          </rPr>
          <t>Edwin Ricardo Lopez Garcia:
 Desarrollo multitare</t>
        </r>
      </text>
    </comment>
    <comment ref="H38" authorId="0" shapeId="0" xr:uid="{FBDD1537-A775-45A0-9255-B90CBA9C0570}">
      <text>
        <r>
          <rPr>
            <sz val="11"/>
            <color theme="1"/>
            <rFont val="Calibri"/>
            <family val="2"/>
            <scheme val="minor"/>
          </rPr>
          <t>Edwin Ricardo Lopez Garcia:
Cronograma de Desarrollo Requerido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Ricardo Lopez Garcia</author>
  </authors>
  <commentList>
    <comment ref="B31" authorId="0" shapeId="0" xr:uid="{83C1C14E-A9FE-4663-B202-DB3AD359A9C9}">
      <text>
        <r>
          <rPr>
            <sz val="11"/>
            <color theme="1"/>
            <rFont val="Calibri"/>
            <family val="2"/>
            <scheme val="minor"/>
          </rPr>
          <t xml:space="preserve">Edwin Ricardo Lopez Garcia:
Cant de personal * salario * Tdes
</t>
        </r>
      </text>
    </comment>
    <comment ref="E31" authorId="0" shapeId="0" xr:uid="{78AC4FEB-5D27-4ABB-A9C5-EC602BE741A2}">
      <text>
        <r>
          <rPr>
            <sz val="11"/>
            <color theme="1"/>
            <rFont val="Calibri"/>
            <family val="2"/>
            <scheme val="minor"/>
          </rPr>
          <t xml:space="preserve">Edwin Ricardo Lopez Garcia:
Tdes * CH real * total KW
</t>
        </r>
      </text>
    </comment>
    <comment ref="B38" authorId="0" shapeId="0" xr:uid="{68DFE805-3831-4BB6-9B8F-4F7F0362D739}">
      <text>
        <r>
          <rPr>
            <sz val="11"/>
            <color theme="1"/>
            <rFont val="Calibri"/>
            <family val="2"/>
            <scheme val="minor"/>
          </rPr>
          <t xml:space="preserve">Edwin Ricardo Lopez Garcia:
Cant Materiales * tiempo de desarrollo
</t>
        </r>
      </text>
    </comment>
  </commentList>
</comments>
</file>

<file path=xl/sharedStrings.xml><?xml version="1.0" encoding="utf-8"?>
<sst xmlns="http://schemas.openxmlformats.org/spreadsheetml/2006/main" count="514" uniqueCount="263">
  <si>
    <t>Entradas</t>
  </si>
  <si>
    <t>Salidas</t>
  </si>
  <si>
    <t>Consultas</t>
  </si>
  <si>
    <t>Archivos Internos</t>
  </si>
  <si>
    <t>Archivos Externos</t>
  </si>
  <si>
    <t>ítem</t>
  </si>
  <si>
    <t>Complejidad</t>
  </si>
  <si>
    <t>Inicio de Sesión</t>
  </si>
  <si>
    <t>Medio</t>
  </si>
  <si>
    <t>Ver datos de clientes</t>
  </si>
  <si>
    <t>Bajo</t>
  </si>
  <si>
    <t>Buscar Cliente</t>
  </si>
  <si>
    <t>Cliente</t>
  </si>
  <si>
    <t>Logo de la empresa</t>
  </si>
  <si>
    <t>Registrar  Clientes</t>
  </si>
  <si>
    <t>Ver datos de Mecánico</t>
  </si>
  <si>
    <t>Buscar Mécanico</t>
  </si>
  <si>
    <t>Vehículo</t>
  </si>
  <si>
    <t>Modificar Clientes</t>
  </si>
  <si>
    <t>Ver datos de Vehículo</t>
  </si>
  <si>
    <t>Buscar Servicio</t>
  </si>
  <si>
    <t>Mantenimiento</t>
  </si>
  <si>
    <t>Registrar Mecánico</t>
  </si>
  <si>
    <t>Ver datos de Servicio</t>
  </si>
  <si>
    <t>Buscar Repuesto</t>
  </si>
  <si>
    <t>Detalle_Mantenimiento</t>
  </si>
  <si>
    <t>Modificar Mecánico</t>
  </si>
  <si>
    <t>Ver datos de Repuesto</t>
  </si>
  <si>
    <t>Buscar Historial Mantenimiento</t>
  </si>
  <si>
    <t>Mecánico</t>
  </si>
  <si>
    <t>Registrar  Vehículo</t>
  </si>
  <si>
    <t>Ver datos de Mantenimiento</t>
  </si>
  <si>
    <t>Repuesto</t>
  </si>
  <si>
    <t>Modificar Vehículo</t>
  </si>
  <si>
    <t>Ver datos de Usuario</t>
  </si>
  <si>
    <t>Detalle_Repuesto</t>
  </si>
  <si>
    <t>Registrar  Servicio</t>
  </si>
  <si>
    <t>Servicio</t>
  </si>
  <si>
    <t>Modificar Servicio</t>
  </si>
  <si>
    <t>Usuario</t>
  </si>
  <si>
    <t>Registrar Repuesto</t>
  </si>
  <si>
    <t>Colaborador</t>
  </si>
  <si>
    <t>Modificar Repuesto</t>
  </si>
  <si>
    <t>Registrar Mantenimiento</t>
  </si>
  <si>
    <t>Tabla Resumen</t>
  </si>
  <si>
    <t>Alto</t>
  </si>
  <si>
    <t>Archivos internos</t>
  </si>
  <si>
    <t>Preguntas</t>
  </si>
  <si>
    <t>Valor ( 0 - 5)</t>
  </si>
  <si>
    <t>1. ¿Requiere el sistema copias de seguridad y de recuperación fiables?</t>
  </si>
  <si>
    <t>2. ¿Se requiere comunicaciòn de datos ?</t>
  </si>
  <si>
    <t>3. ¿Existen funciones de procesamiento distribuído?</t>
  </si>
  <si>
    <t>4. ¿Es crítico el rendimiento?</t>
  </si>
  <si>
    <t>5. ¿Se ejecutará el sistema en un entorno operativo existente y fuertemente utilizado?</t>
  </si>
  <si>
    <t>6. ¿Requiere le sistema entrada de datos interactiva?</t>
  </si>
  <si>
    <t>7. ¿Requiere la entrada de datos interactiva que las transacciones de entrada se lleven a cabo sobre múltiples pantallas u operaciones?</t>
  </si>
  <si>
    <t>8. ¿Se actualizan los archivos maestros de forma interactiva?</t>
  </si>
  <si>
    <t>9. ¿Son complejas las entradas, las salidas, los archivos o las peticiones?</t>
  </si>
  <si>
    <t>10. ¿Es complejo el procesamiento interno?</t>
  </si>
  <si>
    <t>11. ¿Se ha diseñado el código para que sea reutilizable?</t>
  </si>
  <si>
    <t>12. ¿Están incluidas en el diseño la conversión y la instalación?</t>
  </si>
  <si>
    <t>13. ¿Se ha diseñado el sistema para soportar múltiples instalaciones en diferentes organizaciones?</t>
  </si>
  <si>
    <t>14. ¿Se ha diseñado la aplicación para facilitar los cambios y para ser fácilmente utilizada por el usuario?</t>
  </si>
  <si>
    <t>Total</t>
  </si>
  <si>
    <t>Cuenta Total</t>
  </si>
  <si>
    <t>Tipo de función</t>
  </si>
  <si>
    <t>Peso del factor complejidad</t>
  </si>
  <si>
    <t>Promedio</t>
  </si>
  <si>
    <t>Arch.Internos</t>
  </si>
  <si>
    <t>Arch.Externos</t>
  </si>
  <si>
    <t>PF</t>
  </si>
  <si>
    <t>Lenguajes a usar</t>
  </si>
  <si>
    <t>LDC</t>
  </si>
  <si>
    <t>PFA</t>
  </si>
  <si>
    <t>C#</t>
  </si>
  <si>
    <t>Prom. LC</t>
  </si>
  <si>
    <t>TLDC</t>
  </si>
  <si>
    <t>MF</t>
  </si>
  <si>
    <t>A</t>
  </si>
  <si>
    <t>Factor de los indicadores de escala</t>
  </si>
  <si>
    <t>Factores de escala</t>
  </si>
  <si>
    <t>V.Cualitativo</t>
  </si>
  <si>
    <t>V.Cuantitativo</t>
  </si>
  <si>
    <t>Fact. de escala</t>
  </si>
  <si>
    <t>Muy bajo</t>
  </si>
  <si>
    <t>Nominal</t>
  </si>
  <si>
    <t>Muy Alto</t>
  </si>
  <si>
    <t>Ext. Alto</t>
  </si>
  <si>
    <t>PREC</t>
  </si>
  <si>
    <t>B</t>
  </si>
  <si>
    <t>FLEX</t>
  </si>
  <si>
    <t>Esfuerzo</t>
  </si>
  <si>
    <t>Hombres / Mes</t>
  </si>
  <si>
    <t>RESL</t>
  </si>
  <si>
    <t>Esfuerzo Redondeado</t>
  </si>
  <si>
    <t>TEAM</t>
  </si>
  <si>
    <t>PMAT</t>
  </si>
  <si>
    <t>Exponente del esfuerzo</t>
  </si>
  <si>
    <t>Tdes</t>
  </si>
  <si>
    <t>Meses</t>
  </si>
  <si>
    <t>Tdes Redondeado</t>
  </si>
  <si>
    <t>Factor de Esfuerzo Compuesto</t>
  </si>
  <si>
    <t>Factor esfuerzo compuesto</t>
  </si>
  <si>
    <t>Indice</t>
  </si>
  <si>
    <t>Producto</t>
  </si>
  <si>
    <t>RELY</t>
  </si>
  <si>
    <t>DATA</t>
  </si>
  <si>
    <t>CPLX</t>
  </si>
  <si>
    <t>Personal Requerido</t>
  </si>
  <si>
    <t>RUSE</t>
  </si>
  <si>
    <t>CH</t>
  </si>
  <si>
    <t>Hombres</t>
  </si>
  <si>
    <t>DOCU</t>
  </si>
  <si>
    <t>CH Redondeado</t>
  </si>
  <si>
    <t>Plataforma</t>
  </si>
  <si>
    <t>TIME</t>
  </si>
  <si>
    <t>STOR</t>
  </si>
  <si>
    <t>PVOL</t>
  </si>
  <si>
    <t>Personal</t>
  </si>
  <si>
    <t>ACAP</t>
  </si>
  <si>
    <t>PCAP</t>
  </si>
  <si>
    <t>PCON</t>
  </si>
  <si>
    <t>AEXP</t>
  </si>
  <si>
    <t>PEXP</t>
  </si>
  <si>
    <t>LTEX</t>
  </si>
  <si>
    <t>Proyecto</t>
  </si>
  <si>
    <t>TOOL</t>
  </si>
  <si>
    <t>SITE</t>
  </si>
  <si>
    <t>SCED</t>
  </si>
  <si>
    <t>Kb</t>
  </si>
  <si>
    <t>Base de Datos SQL Vacía</t>
  </si>
  <si>
    <t>Nombre del Campo</t>
  </si>
  <si>
    <t>Tipo de dato</t>
  </si>
  <si>
    <t>Tamaño de bytes</t>
  </si>
  <si>
    <t>IdCliente</t>
  </si>
  <si>
    <t>INT</t>
  </si>
  <si>
    <t>IdColaborador</t>
  </si>
  <si>
    <t>IdUsuario</t>
  </si>
  <si>
    <t>Primer Nombre</t>
  </si>
  <si>
    <t>VARCHAR(30)</t>
  </si>
  <si>
    <t>VARCHAR(50)</t>
  </si>
  <si>
    <t>Segundo Nombre</t>
  </si>
  <si>
    <t>Contrasenia</t>
  </si>
  <si>
    <t>Primer Apellido</t>
  </si>
  <si>
    <t>Rol</t>
  </si>
  <si>
    <t>Segundo Apellido</t>
  </si>
  <si>
    <t>Estado</t>
  </si>
  <si>
    <t>VARCHAR(60)</t>
  </si>
  <si>
    <t>Telefono</t>
  </si>
  <si>
    <t>VARCHAR(40)</t>
  </si>
  <si>
    <t>Correo</t>
  </si>
  <si>
    <t>Direccion</t>
  </si>
  <si>
    <t>IdMantenimiento</t>
  </si>
  <si>
    <t>IdDetalle_Mantenimiento</t>
  </si>
  <si>
    <t>IdMecánico</t>
  </si>
  <si>
    <t>IdVehículo</t>
  </si>
  <si>
    <t>Fecha_Ingreso</t>
  </si>
  <si>
    <t>DATE</t>
  </si>
  <si>
    <t>IdMecanico</t>
  </si>
  <si>
    <t>Fecha_Salida</t>
  </si>
  <si>
    <t>IdServicio</t>
  </si>
  <si>
    <t>Precio</t>
  </si>
  <si>
    <t>FLOAT</t>
  </si>
  <si>
    <t>Especialidad</t>
  </si>
  <si>
    <t>Salario</t>
  </si>
  <si>
    <t>MONEY</t>
  </si>
  <si>
    <t>IdRepuesto</t>
  </si>
  <si>
    <t>Marca</t>
  </si>
  <si>
    <t>Modelo</t>
  </si>
  <si>
    <t>Descripcion</t>
  </si>
  <si>
    <t>Cantidad</t>
  </si>
  <si>
    <t>Autorizacion</t>
  </si>
  <si>
    <t>CHAR(2)</t>
  </si>
  <si>
    <t>Año</t>
  </si>
  <si>
    <t>Tipo_Mantenimiento</t>
  </si>
  <si>
    <t>N°</t>
  </si>
  <si>
    <t>Nombre de Tabla</t>
  </si>
  <si>
    <t>Tamaño de los campos en bytes</t>
  </si>
  <si>
    <t>Cantidad de Campos</t>
  </si>
  <si>
    <t>Cantidad de Registros</t>
  </si>
  <si>
    <t>Tamaño de Tabla (Bytes)</t>
  </si>
  <si>
    <t>Tamaño BD</t>
  </si>
  <si>
    <t>Total Kb Resumen</t>
  </si>
  <si>
    <t>Total Kb Base</t>
  </si>
  <si>
    <t>Total de la Base</t>
  </si>
  <si>
    <t>Total Data</t>
  </si>
  <si>
    <t xml:space="preserve">INDICADOR/MODO </t>
  </si>
  <si>
    <t>FASES</t>
  </si>
  <si>
    <t>PEQUEÑO 2 mf</t>
  </si>
  <si>
    <t>INTERMEDIO8 mf</t>
  </si>
  <si>
    <t>MEDIO 32 mf</t>
  </si>
  <si>
    <t>GRANDE 128 mf</t>
  </si>
  <si>
    <t>MUY GRANDE 512 mf</t>
  </si>
  <si>
    <t>ESFUERZO</t>
  </si>
  <si>
    <t>porcentajes</t>
  </si>
  <si>
    <t>Estudio Preliminar</t>
  </si>
  <si>
    <t>Análisis</t>
  </si>
  <si>
    <t>Diseño y desarrollo</t>
  </si>
  <si>
    <t>Diseño</t>
  </si>
  <si>
    <t>Desarrollo</t>
  </si>
  <si>
    <t>Prueba e implantación</t>
  </si>
  <si>
    <t>TIEMPO DE DESARROLLO</t>
  </si>
  <si>
    <t>Prueba e implant</t>
  </si>
  <si>
    <t>Distribución</t>
  </si>
  <si>
    <t>Salarios ($)</t>
  </si>
  <si>
    <t>Etapas</t>
  </si>
  <si>
    <t>%Esf</t>
  </si>
  <si>
    <t>Esf</t>
  </si>
  <si>
    <t>%Tdes</t>
  </si>
  <si>
    <t>CH real</t>
  </si>
  <si>
    <t>Jefe de Proyecto</t>
  </si>
  <si>
    <t>Analista Programador</t>
  </si>
  <si>
    <t>Programador</t>
  </si>
  <si>
    <t>Est. Preliminar</t>
  </si>
  <si>
    <t>Diseño y Desarrollo</t>
  </si>
  <si>
    <t>Prueba e Implant</t>
  </si>
  <si>
    <t>Costo Total del Proyecto = CD + CI</t>
  </si>
  <si>
    <t>CD = Costos de fuerza de trabajo + costo de uso de medios tecnico + costo de materiales + otros gastos</t>
  </si>
  <si>
    <t>CFT = Sumatoria de los costos en las etapas</t>
  </si>
  <si>
    <t>Fuerza de Trabajo</t>
  </si>
  <si>
    <t>Costo de uso de medios tecnicos</t>
  </si>
  <si>
    <t>Consumo de Computadora</t>
  </si>
  <si>
    <t>CFT1</t>
  </si>
  <si>
    <t>CUMT1</t>
  </si>
  <si>
    <t>h</t>
  </si>
  <si>
    <t>KW</t>
  </si>
  <si>
    <t>CFT2</t>
  </si>
  <si>
    <t>CUMT2</t>
  </si>
  <si>
    <t>CFT3</t>
  </si>
  <si>
    <t>CUMT3</t>
  </si>
  <si>
    <t>CFT4</t>
  </si>
  <si>
    <t>CUMT4</t>
  </si>
  <si>
    <t>Cobro de UNIOFENOSA</t>
  </si>
  <si>
    <t>kw</t>
  </si>
  <si>
    <t>Costo de Materiales</t>
  </si>
  <si>
    <t>Otros Gatos</t>
  </si>
  <si>
    <t>CM1</t>
  </si>
  <si>
    <t>CM2</t>
  </si>
  <si>
    <t>Total KW</t>
  </si>
  <si>
    <t>CM3</t>
  </si>
  <si>
    <t>CM4</t>
  </si>
  <si>
    <t>TIPO DE CAMBIO</t>
  </si>
  <si>
    <t>Dolares</t>
  </si>
  <si>
    <t>Cordobas</t>
  </si>
  <si>
    <t>Costo Total del Proyecto</t>
  </si>
  <si>
    <t>Material</t>
  </si>
  <si>
    <t>Proyección Mensual</t>
  </si>
  <si>
    <t>Gomper</t>
  </si>
  <si>
    <t>Jardin</t>
  </si>
  <si>
    <t>Hispamer</t>
  </si>
  <si>
    <t>Precio Favorable</t>
  </si>
  <si>
    <t>Hojas Blancas</t>
  </si>
  <si>
    <t>Lápiz Grafito</t>
  </si>
  <si>
    <t>Lapicero</t>
  </si>
  <si>
    <t>Cambio a Dolar</t>
  </si>
  <si>
    <t>Folder</t>
  </si>
  <si>
    <t>Engrapadora</t>
  </si>
  <si>
    <t>Grapas</t>
  </si>
  <si>
    <t>Resaltador</t>
  </si>
  <si>
    <t>Saca Puntas</t>
  </si>
  <si>
    <t>Borradores</t>
  </si>
  <si>
    <t>TOTAL</t>
  </si>
  <si>
    <t>Total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</si>
</sst>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C$&quot;* #,##0.00_-;\-&quot;C$&quot;* #,##0.00_-;_-&quot;C$&quot;* &quot;-&quot;??_-;_-@_-"/>
    <numFmt numFmtId="165" formatCode="0.00000000"/>
    <numFmt numFmtId="166" formatCode="_-[$$-409]* #,##0.00_ ;_-[$$-409]* \-#,##0.00\ ;_-[$$-409]* &quot;-&quot;??_ ;_-@_ 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2"/>
      <color rgb="FF002060"/>
      <name val="Arial"/>
      <family val="2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CAD8DB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3" borderId="1" xfId="0" applyFill="1" applyBorder="1"/>
    <xf numFmtId="0" fontId="0" fillId="0" borderId="7" xfId="0" applyBorder="1" applyAlignment="1">
      <alignment horizontal="center"/>
    </xf>
    <xf numFmtId="0" fontId="0" fillId="3" borderId="7" xfId="0" applyFill="1" applyBorder="1"/>
    <xf numFmtId="0" fontId="1" fillId="8" borderId="7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4" borderId="7" xfId="0" applyFill="1" applyBorder="1"/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vertical="center"/>
    </xf>
    <xf numFmtId="10" fontId="7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6" fontId="0" fillId="0" borderId="1" xfId="0" applyNumberFormat="1" applyBorder="1"/>
    <xf numFmtId="166" fontId="0" fillId="0" borderId="0" xfId="0" applyNumberFormat="1"/>
    <xf numFmtId="0" fontId="0" fillId="11" borderId="1" xfId="0" applyFill="1" applyBorder="1"/>
    <xf numFmtId="166" fontId="0" fillId="3" borderId="1" xfId="0" applyNumberFormat="1" applyFill="1" applyBorder="1"/>
    <xf numFmtId="0" fontId="0" fillId="3" borderId="5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12" borderId="1" xfId="0" applyNumberFormat="1" applyFill="1" applyBorder="1"/>
    <xf numFmtId="16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5" borderId="17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66" fontId="0" fillId="5" borderId="19" xfId="0" applyNumberFormat="1" applyFill="1" applyBorder="1"/>
    <xf numFmtId="0" fontId="2" fillId="5" borderId="18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2" fillId="5" borderId="20" xfId="0" applyFont="1" applyFill="1" applyBorder="1"/>
    <xf numFmtId="0" fontId="2" fillId="5" borderId="22" xfId="0" applyFont="1" applyFill="1" applyBorder="1"/>
    <xf numFmtId="0" fontId="2" fillId="5" borderId="24" xfId="0" applyFont="1" applyFill="1" applyBorder="1"/>
    <xf numFmtId="0" fontId="2" fillId="5" borderId="26" xfId="0" applyFont="1" applyFill="1" applyBorder="1"/>
    <xf numFmtId="0" fontId="2" fillId="0" borderId="1" xfId="0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0</xdr:row>
      <xdr:rowOff>104775</xdr:rowOff>
    </xdr:from>
    <xdr:to>
      <xdr:col>20</xdr:col>
      <xdr:colOff>38100</xdr:colOff>
      <xdr:row>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1A4E59-D6CD-4DC8-869C-75D01C777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104775"/>
          <a:ext cx="4572000" cy="1314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0</xdr:row>
      <xdr:rowOff>180975</xdr:rowOff>
    </xdr:from>
    <xdr:to>
      <xdr:col>19</xdr:col>
      <xdr:colOff>371475</xdr:colOff>
      <xdr:row>8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F1FFB7-45F2-9F62-BE86-7FC55ED5A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180975"/>
          <a:ext cx="4143375" cy="1485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19</xdr:row>
      <xdr:rowOff>0</xdr:rowOff>
    </xdr:from>
    <xdr:to>
      <xdr:col>7</xdr:col>
      <xdr:colOff>320805</xdr:colOff>
      <xdr:row>19</xdr:row>
      <xdr:rowOff>172227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DDAD2B0E-85E2-4E95-BB1C-D4E28C6DDAF1}"/>
                </a:ext>
                <a:ext uri="{147F2762-F138-4A5C-976F-8EAC2B608ADB}">
                  <a16:predDERef xmlns:a16="http://schemas.microsoft.com/office/drawing/2014/main" pred="{4A638A3C-2CEE-F874-8D2A-BEC135327769}"/>
                </a:ext>
              </a:extLst>
            </xdr:cNvPr>
            <xdr:cNvSpPr txBox="1"/>
          </xdr:nvSpPr>
          <xdr:spPr>
            <a:xfrm>
              <a:off x="4305300" y="3619500"/>
              <a:ext cx="2827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4">
              <a:extLst>
                <a:ext uri="{FF2B5EF4-FFF2-40B4-BE49-F238E27FC236}">
                  <a16:creationId xmlns:a16="http://schemas.microsoft.com/office/drawing/2014/main" id="{B62D4979-6C86-491A-93AA-B62DA4F81C35}"/>
                </a:ext>
                <a:ext uri="{147F2762-F138-4A5C-976F-8EAC2B608ADB}">
                  <a16:predDERef xmlns:a16="http://schemas.microsoft.com/office/drawing/2014/main" pred="{62457CA6-898E-E7F8-7B8D-29A9A0A6D266}"/>
                </a:ext>
              </a:extLst>
            </xdr:cNvPr>
            <xdr:cNvSpPr txBox="1"/>
          </xdr:nvSpPr>
          <xdr:spPr>
            <a:xfrm>
              <a:off x="0" y="0"/>
              <a:ext cx="2827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𝐸𝑀_𝑖</a:t>
              </a:r>
              <a:endParaRPr lang="es-NI" sz="1100"/>
            </a:p>
          </xdr:txBody>
        </xdr:sp>
      </mc:Fallback>
    </mc:AlternateContent>
    <xdr:clientData/>
  </xdr:twoCellAnchor>
  <xdr:twoCellAnchor>
    <xdr:from>
      <xdr:col>7</xdr:col>
      <xdr:colOff>28575</xdr:colOff>
      <xdr:row>7</xdr:row>
      <xdr:rowOff>0</xdr:rowOff>
    </xdr:from>
    <xdr:to>
      <xdr:col>7</xdr:col>
      <xdr:colOff>254021</xdr:colOff>
      <xdr:row>7</xdr:row>
      <xdr:rowOff>172227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A5E5D39-EFBF-4653-834D-635020FEA079}"/>
                </a:ext>
                <a:ext uri="{147F2762-F138-4A5C-976F-8EAC2B608ADB}">
                  <a16:predDERef xmlns:a16="http://schemas.microsoft.com/office/drawing/2014/main" pred="{DDAD2B0E-85E2-4E95-BB1C-D4E28C6DDAF1}"/>
                </a:ext>
              </a:extLst>
            </xdr:cNvPr>
            <xdr:cNvSpPr txBox="1"/>
          </xdr:nvSpPr>
          <xdr:spPr>
            <a:xfrm>
              <a:off x="4448175" y="1333500"/>
              <a:ext cx="225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BA5E5D39-EFBF-4653-834D-635020FEA079}"/>
                </a:ext>
              </a:extLst>
            </xdr:cNvPr>
            <xdr:cNvSpPr txBox="1"/>
          </xdr:nvSpPr>
          <xdr:spPr>
            <a:xfrm>
              <a:off x="0" y="0"/>
              <a:ext cx="225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𝑆𝐹_𝑖</a:t>
              </a:r>
              <a:endParaRPr lang="es-NI" sz="1100"/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7</xdr:row>
      <xdr:rowOff>0</xdr:rowOff>
    </xdr:from>
    <xdr:to>
      <xdr:col>27</xdr:col>
      <xdr:colOff>247650</xdr:colOff>
      <xdr:row>14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08EDCEF-7CC6-47BE-A8C3-44C1367DBA29}"/>
            </a:ext>
            <a:ext uri="{147F2762-F138-4A5C-976F-8EAC2B608ADB}">
              <a16:predDERef xmlns:a16="http://schemas.microsoft.com/office/drawing/2014/main" pred="{BA5E5D39-EFBF-4653-834D-635020FEA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1625" y="1333500"/>
          <a:ext cx="4514850" cy="1457325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4</xdr:row>
      <xdr:rowOff>28575</xdr:rowOff>
    </xdr:from>
    <xdr:to>
      <xdr:col>5</xdr:col>
      <xdr:colOff>427409</xdr:colOff>
      <xdr:row>5</xdr:row>
      <xdr:rowOff>13508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56DF80E-FF5D-4920-B97A-31769A9B977A}"/>
                </a:ext>
                <a:ext uri="{147F2762-F138-4A5C-976F-8EAC2B608ADB}">
                  <a16:predDERef xmlns:a16="http://schemas.microsoft.com/office/drawing/2014/main" pred="{B08EDCEF-7CC6-47BE-A8C3-44C1367DBA29}"/>
                </a:ext>
              </a:extLst>
            </xdr:cNvPr>
            <xdr:cNvSpPr txBox="1"/>
          </xdr:nvSpPr>
          <xdr:spPr>
            <a:xfrm>
              <a:off x="200025" y="790575"/>
              <a:ext cx="3275384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𝐸𝑠𝑓𝑢𝑒𝑟𝑧𝑜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𝑃𝑒𝑟𝑠𝑜𝑛𝑎𝑠𝑀𝑒𝑠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𝑇𝑎𝑚𝑎</m:t>
                            </m:r>
                            <m:r>
                              <a:rPr lang="es-419" sz="1100" b="0" i="1"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419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9" name="CuadroTexto 1">
              <a:extLst>
                <a:ext uri="{FF2B5EF4-FFF2-40B4-BE49-F238E27FC236}">
                  <a16:creationId xmlns:a16="http://schemas.microsoft.com/office/drawing/2014/main" id="{E56DF80E-FF5D-4920-B97A-31769A9B977A}"/>
                </a:ext>
              </a:extLst>
            </xdr:cNvPr>
            <xdr:cNvSpPr txBox="1"/>
          </xdr:nvSpPr>
          <xdr:spPr>
            <a:xfrm>
              <a:off x="0" y="0"/>
              <a:ext cx="3275384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𝐸𝑠𝑓𝑢𝑒𝑟𝑧𝑜(𝑃𝑒𝑟𝑠𝑜𝑛𝑎𝑠𝑀𝑒𝑠)=𝐴∗(𝑇𝑎𝑚𝑎</a:t>
              </a:r>
              <a:r>
                <a:rPr lang="es-419" sz="1100" b="0" i="0">
                  <a:latin typeface="Cambria Math" panose="02040503050406030204" pitchFamily="18" charset="0"/>
                </a:rPr>
                <a:t>ñ𝑜)</a:t>
              </a:r>
              <a:r>
                <a:rPr lang="en-US" sz="1100" b="0" i="0">
                  <a:latin typeface="Cambria Math" panose="02040503050406030204" pitchFamily="18" charset="0"/>
                </a:rPr>
                <a:t>^𝐵∗ℿ𝐸𝑀_𝑖</a:t>
              </a:r>
              <a:endParaRPr lang="es-NI" sz="1100"/>
            </a:p>
          </xdr:txBody>
        </xdr:sp>
      </mc:Fallback>
    </mc:AlternateContent>
    <xdr:clientData/>
  </xdr:twoCellAnchor>
  <xdr:twoCellAnchor>
    <xdr:from>
      <xdr:col>0</xdr:col>
      <xdr:colOff>266700</xdr:colOff>
      <xdr:row>6</xdr:row>
      <xdr:rowOff>47625</xdr:rowOff>
    </xdr:from>
    <xdr:to>
      <xdr:col>2</xdr:col>
      <xdr:colOff>589011</xdr:colOff>
      <xdr:row>8</xdr:row>
      <xdr:rowOff>76545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10FC2DD-11D3-4F4C-9876-2F5A8ED7AC97}"/>
                </a:ext>
                <a:ext uri="{147F2762-F138-4A5C-976F-8EAC2B608ADB}">
                  <a16:predDERef xmlns:a16="http://schemas.microsoft.com/office/drawing/2014/main" pred="{E56DF80E-FF5D-4920-B97A-31769A9B977A}"/>
                </a:ext>
              </a:extLst>
            </xdr:cNvPr>
            <xdr:cNvSpPr txBox="1"/>
          </xdr:nvSpPr>
          <xdr:spPr>
            <a:xfrm>
              <a:off x="266700" y="1190625"/>
              <a:ext cx="1541511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=1.01+0.01∗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10" name="CuadroTexto 2">
              <a:extLst>
                <a:ext uri="{FF2B5EF4-FFF2-40B4-BE49-F238E27FC236}">
                  <a16:creationId xmlns:a16="http://schemas.microsoft.com/office/drawing/2014/main" id="{D10FC2DD-11D3-4F4C-9876-2F5A8ED7AC97}"/>
                </a:ext>
              </a:extLst>
            </xdr:cNvPr>
            <xdr:cNvSpPr txBox="1"/>
          </xdr:nvSpPr>
          <xdr:spPr>
            <a:xfrm>
              <a:off x="0" y="0"/>
              <a:ext cx="1541511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𝐵=1.01+0.01∗∑▒〖𝑆𝐹_𝑖 〗</a:t>
              </a:r>
              <a:endParaRPr lang="es-NI" sz="1100"/>
            </a:p>
          </xdr:txBody>
        </xdr:sp>
      </mc:Fallback>
    </mc:AlternateContent>
    <xdr:clientData/>
  </xdr:twoCellAnchor>
  <xdr:twoCellAnchor>
    <xdr:from>
      <xdr:col>0</xdr:col>
      <xdr:colOff>333375</xdr:colOff>
      <xdr:row>15</xdr:row>
      <xdr:rowOff>28575</xdr:rowOff>
    </xdr:from>
    <xdr:to>
      <xdr:col>4</xdr:col>
      <xdr:colOff>168418</xdr:colOff>
      <xdr:row>16</xdr:row>
      <xdr:rowOff>24344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CF21117-7A1F-43B4-8F7A-327B2F83E214}"/>
                </a:ext>
                <a:ext uri="{147F2762-F138-4A5C-976F-8EAC2B608ADB}">
                  <a16:predDERef xmlns:a16="http://schemas.microsoft.com/office/drawing/2014/main" pred="{D10FC2DD-11D3-4F4C-9876-2F5A8ED7AC97}"/>
                </a:ext>
              </a:extLst>
            </xdr:cNvPr>
            <xdr:cNvSpPr txBox="1"/>
          </xdr:nvSpPr>
          <xdr:spPr>
            <a:xfrm>
              <a:off x="333375" y="2505075"/>
              <a:ext cx="2273443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419" sz="1100" b="0" i="1">
                        <a:latin typeface="Cambria Math" panose="02040503050406030204" pitchFamily="18" charset="0"/>
                      </a:rPr>
                      <m:t>𝑇𝑑𝑒𝑠</m:t>
                    </m:r>
                    <m:r>
                      <a:rPr lang="es-419" sz="1100" b="0" i="1">
                        <a:latin typeface="Cambria Math" panose="02040503050406030204" pitchFamily="18" charset="0"/>
                      </a:rPr>
                      <m:t>=2.4∗</m:t>
                    </m:r>
                    <m:r>
                      <a:rPr lang="es-419" sz="1100" b="0" i="1">
                        <a:latin typeface="Cambria Math" panose="02040503050406030204" pitchFamily="18" charset="0"/>
                      </a:rPr>
                      <m:t>𝐸𝑠𝑓𝑢𝑒𝑟𝑧</m:t>
                    </m:r>
                    <m:sSup>
                      <m:sSupPr>
                        <m:ctrlPr>
                          <a:rPr lang="es-419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0.28+0.002∗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sup>
                    </m:sSup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6">
              <a:extLst>
                <a:ext uri="{FF2B5EF4-FFF2-40B4-BE49-F238E27FC236}">
                  <a16:creationId xmlns:a16="http://schemas.microsoft.com/office/drawing/2014/main" id="{DCF21117-7A1F-43B4-8F7A-327B2F83E214}"/>
                </a:ext>
              </a:extLst>
            </xdr:cNvPr>
            <xdr:cNvSpPr txBox="1"/>
          </xdr:nvSpPr>
          <xdr:spPr>
            <a:xfrm>
              <a:off x="0" y="0"/>
              <a:ext cx="2273443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419" sz="1100" b="0" i="0">
                  <a:latin typeface="Cambria Math" panose="02040503050406030204" pitchFamily="18" charset="0"/>
                </a:rPr>
                <a:t>𝑇𝑑𝑒𝑠=2.4∗𝐸𝑠𝑓𝑢𝑒𝑟𝑧𝑜^(0.28+0.002∗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∑▒〖𝑆𝐹_𝑖 〗</a:t>
              </a:r>
              <a:r>
                <a:rPr lang="es-419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NI" sz="1100"/>
            </a:p>
          </xdr:txBody>
        </xdr:sp>
      </mc:Fallback>
    </mc:AlternateContent>
    <xdr:clientData/>
  </xdr:twoCellAnchor>
  <xdr:twoCellAnchor>
    <xdr:from>
      <xdr:col>0</xdr:col>
      <xdr:colOff>390525</xdr:colOff>
      <xdr:row>22</xdr:row>
      <xdr:rowOff>9525</xdr:rowOff>
    </xdr:from>
    <xdr:to>
      <xdr:col>2</xdr:col>
      <xdr:colOff>148836</xdr:colOff>
      <xdr:row>23</xdr:row>
      <xdr:rowOff>140908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8F8A1FE-9386-43A7-BCBD-302C8A113517}"/>
                </a:ext>
                <a:ext uri="{147F2762-F138-4A5C-976F-8EAC2B608ADB}">
                  <a16:predDERef xmlns:a16="http://schemas.microsoft.com/office/drawing/2014/main" pred="{DCF21117-7A1F-43B4-8F7A-327B2F83E214}"/>
                </a:ext>
              </a:extLst>
            </xdr:cNvPr>
            <xdr:cNvSpPr txBox="1"/>
          </xdr:nvSpPr>
          <xdr:spPr>
            <a:xfrm>
              <a:off x="390525" y="3438525"/>
              <a:ext cx="9775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419" sz="11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s-419" sz="1100" b="0" i="0">
                        <a:latin typeface="Cambria Math" panose="02040503050406030204" pitchFamily="18" charset="0"/>
                      </a:rPr>
                      <m:t>#</m:t>
                    </m:r>
                    <m:r>
                      <a:rPr lang="es-419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419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𝐸𝑠𝑓𝑢𝑒𝑟𝑧𝑜</m:t>
                        </m:r>
                      </m:num>
                      <m:den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𝑇𝑑𝑒𝑠</m:t>
                        </m:r>
                      </m:den>
                    </m:f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4" name="CuadroTexto 7">
              <a:extLst>
                <a:ext uri="{FF2B5EF4-FFF2-40B4-BE49-F238E27FC236}">
                  <a16:creationId xmlns:a16="http://schemas.microsoft.com/office/drawing/2014/main" id="{98F8A1FE-9386-43A7-BCBD-302C8A113517}"/>
                </a:ext>
              </a:extLst>
            </xdr:cNvPr>
            <xdr:cNvSpPr txBox="1"/>
          </xdr:nvSpPr>
          <xdr:spPr>
            <a:xfrm>
              <a:off x="0" y="0"/>
              <a:ext cx="9775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419" sz="1100" b="0" i="0">
                  <a:latin typeface="Cambria Math" panose="02040503050406030204" pitchFamily="18" charset="0"/>
                </a:rPr>
                <a:t>C#=𝐸𝑠𝑓𝑢𝑒𝑟𝑧𝑜/𝑇𝑑𝑒𝑠</a:t>
              </a:r>
              <a:endParaRPr lang="es-NI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5</xdr:row>
      <xdr:rowOff>142875</xdr:rowOff>
    </xdr:from>
    <xdr:to>
      <xdr:col>4</xdr:col>
      <xdr:colOff>409575</xdr:colOff>
      <xdr:row>7</xdr:row>
      <xdr:rowOff>97155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5D71C4-7BDF-42BA-939B-9FC3927E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95375"/>
          <a:ext cx="354330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8</xdr:row>
      <xdr:rowOff>161925</xdr:rowOff>
    </xdr:from>
    <xdr:to>
      <xdr:col>1</xdr:col>
      <xdr:colOff>413456</xdr:colOff>
      <xdr:row>10</xdr:row>
      <xdr:rowOff>131476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519DFA-BC42-4346-A3DC-E49C2C6E393D}"/>
            </a:ext>
            <a:ext uri="{147F2762-F138-4A5C-976F-8EAC2B608ADB}">
              <a16:predDERef xmlns:a16="http://schemas.microsoft.com/office/drawing/2014/main" pred="{6D5D71C4-7BDF-42BA-939B-9FC3927ED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1685925"/>
          <a:ext cx="784931" cy="350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29"/>
  <sheetViews>
    <sheetView showGridLines="0" topLeftCell="A13" workbookViewId="0">
      <selection activeCell="F35" sqref="F35"/>
    </sheetView>
  </sheetViews>
  <sheetFormatPr defaultRowHeight="15"/>
  <cols>
    <col min="3" max="3" width="21.5703125" customWidth="1"/>
    <col min="4" max="4" width="13.140625" customWidth="1"/>
    <col min="6" max="6" width="25.7109375" customWidth="1"/>
    <col min="7" max="7" width="12.140625" customWidth="1"/>
    <col min="9" max="9" width="28" customWidth="1"/>
    <col min="10" max="10" width="13.140625" customWidth="1"/>
    <col min="12" max="12" width="22.140625" customWidth="1"/>
    <col min="13" max="13" width="11.85546875" customWidth="1"/>
    <col min="15" max="15" width="17.5703125" customWidth="1"/>
    <col min="16" max="16" width="12.28515625" customWidth="1"/>
  </cols>
  <sheetData>
    <row r="3" spans="3:16">
      <c r="C3" s="69" t="s">
        <v>0</v>
      </c>
      <c r="D3" s="69"/>
      <c r="E3" s="3"/>
      <c r="F3" s="70" t="s">
        <v>1</v>
      </c>
      <c r="G3" s="70"/>
      <c r="H3" s="3"/>
      <c r="I3" s="70" t="s">
        <v>2</v>
      </c>
      <c r="J3" s="70"/>
      <c r="K3" s="3"/>
      <c r="L3" s="70" t="s">
        <v>3</v>
      </c>
      <c r="M3" s="70"/>
      <c r="N3" s="3"/>
      <c r="O3" s="66" t="s">
        <v>4</v>
      </c>
      <c r="P3" s="67"/>
    </row>
    <row r="4" spans="3:16">
      <c r="C4" s="5" t="s">
        <v>5</v>
      </c>
      <c r="D4" s="5" t="s">
        <v>6</v>
      </c>
      <c r="E4" s="3"/>
      <c r="F4" s="5" t="s">
        <v>5</v>
      </c>
      <c r="G4" s="5" t="s">
        <v>6</v>
      </c>
      <c r="H4" s="3"/>
      <c r="I4" s="5" t="s">
        <v>5</v>
      </c>
      <c r="J4" s="5" t="s">
        <v>6</v>
      </c>
      <c r="K4" s="3"/>
      <c r="L4" s="16" t="s">
        <v>5</v>
      </c>
      <c r="M4" s="16" t="s">
        <v>6</v>
      </c>
      <c r="N4" s="3"/>
      <c r="O4" s="5" t="s">
        <v>5</v>
      </c>
      <c r="P4" s="5" t="s">
        <v>6</v>
      </c>
    </row>
    <row r="5" spans="3:16">
      <c r="C5" s="8" t="s">
        <v>7</v>
      </c>
      <c r="D5" s="4" t="s">
        <v>8</v>
      </c>
      <c r="E5" s="3"/>
      <c r="F5" s="17" t="s">
        <v>9</v>
      </c>
      <c r="G5" s="4" t="s">
        <v>10</v>
      </c>
      <c r="H5" s="3"/>
      <c r="I5" s="17" t="s">
        <v>11</v>
      </c>
      <c r="J5" s="4" t="s">
        <v>10</v>
      </c>
      <c r="K5" s="3"/>
      <c r="L5" s="17" t="s">
        <v>12</v>
      </c>
      <c r="M5" s="4" t="s">
        <v>10</v>
      </c>
      <c r="N5" s="3"/>
      <c r="O5" s="4" t="s">
        <v>13</v>
      </c>
      <c r="P5" s="4" t="s">
        <v>10</v>
      </c>
    </row>
    <row r="6" spans="3:16">
      <c r="C6" s="8" t="s">
        <v>14</v>
      </c>
      <c r="D6" s="4" t="s">
        <v>10</v>
      </c>
      <c r="E6" s="3"/>
      <c r="F6" s="17" t="s">
        <v>15</v>
      </c>
      <c r="G6" s="4" t="s">
        <v>10</v>
      </c>
      <c r="H6" s="3"/>
      <c r="I6" s="17" t="s">
        <v>16</v>
      </c>
      <c r="J6" s="4" t="s">
        <v>10</v>
      </c>
      <c r="K6" s="3"/>
      <c r="L6" s="18" t="s">
        <v>17</v>
      </c>
      <c r="M6" s="4" t="s">
        <v>10</v>
      </c>
      <c r="N6" s="3"/>
      <c r="O6" s="4"/>
      <c r="P6" s="4"/>
    </row>
    <row r="7" spans="3:16">
      <c r="C7" s="8" t="s">
        <v>18</v>
      </c>
      <c r="D7" s="4" t="s">
        <v>10</v>
      </c>
      <c r="E7" s="3"/>
      <c r="F7" s="17" t="s">
        <v>19</v>
      </c>
      <c r="G7" s="4" t="s">
        <v>10</v>
      </c>
      <c r="H7" s="3"/>
      <c r="I7" s="17" t="s">
        <v>20</v>
      </c>
      <c r="J7" s="4" t="s">
        <v>10</v>
      </c>
      <c r="K7" s="3"/>
      <c r="L7" s="17" t="s">
        <v>21</v>
      </c>
      <c r="M7" s="4" t="s">
        <v>10</v>
      </c>
      <c r="N7" s="3"/>
      <c r="O7" s="4"/>
      <c r="P7" s="4"/>
    </row>
    <row r="8" spans="3:16">
      <c r="C8" s="8" t="s">
        <v>22</v>
      </c>
      <c r="D8" s="4" t="s">
        <v>10</v>
      </c>
      <c r="E8" s="3"/>
      <c r="F8" s="17" t="s">
        <v>23</v>
      </c>
      <c r="G8" s="4" t="s">
        <v>10</v>
      </c>
      <c r="H8" s="3"/>
      <c r="I8" s="17" t="s">
        <v>24</v>
      </c>
      <c r="J8" s="4" t="s">
        <v>10</v>
      </c>
      <c r="K8" s="3"/>
      <c r="L8" s="18" t="s">
        <v>25</v>
      </c>
      <c r="M8" s="4" t="s">
        <v>8</v>
      </c>
      <c r="N8" s="3"/>
      <c r="O8" s="4"/>
      <c r="P8" s="4"/>
    </row>
    <row r="9" spans="3:16">
      <c r="C9" s="8" t="s">
        <v>26</v>
      </c>
      <c r="D9" s="4" t="s">
        <v>10</v>
      </c>
      <c r="F9" s="17" t="s">
        <v>27</v>
      </c>
      <c r="G9" s="4" t="s">
        <v>10</v>
      </c>
      <c r="I9" s="17" t="s">
        <v>28</v>
      </c>
      <c r="J9" s="4" t="s">
        <v>8</v>
      </c>
      <c r="L9" s="17" t="s">
        <v>29</v>
      </c>
      <c r="M9" s="4" t="s">
        <v>10</v>
      </c>
    </row>
    <row r="10" spans="3:16">
      <c r="C10" s="8" t="s">
        <v>30</v>
      </c>
      <c r="D10" s="4" t="s">
        <v>10</v>
      </c>
      <c r="F10" s="17" t="s">
        <v>31</v>
      </c>
      <c r="G10" s="4" t="s">
        <v>10</v>
      </c>
      <c r="L10" s="18" t="s">
        <v>32</v>
      </c>
      <c r="M10" s="4" t="s">
        <v>10</v>
      </c>
    </row>
    <row r="11" spans="3:16">
      <c r="C11" s="8" t="s">
        <v>33</v>
      </c>
      <c r="D11" s="4" t="s">
        <v>10</v>
      </c>
      <c r="F11" s="17" t="s">
        <v>34</v>
      </c>
      <c r="G11" s="4" t="s">
        <v>10</v>
      </c>
      <c r="L11" s="18" t="s">
        <v>35</v>
      </c>
      <c r="M11" s="4" t="s">
        <v>10</v>
      </c>
    </row>
    <row r="12" spans="3:16">
      <c r="C12" s="8" t="s">
        <v>36</v>
      </c>
      <c r="D12" s="4" t="s">
        <v>10</v>
      </c>
      <c r="L12" s="18" t="s">
        <v>37</v>
      </c>
      <c r="M12" s="4" t="s">
        <v>10</v>
      </c>
    </row>
    <row r="13" spans="3:16">
      <c r="C13" s="8" t="s">
        <v>38</v>
      </c>
      <c r="D13" s="4" t="s">
        <v>10</v>
      </c>
      <c r="L13" s="18" t="s">
        <v>39</v>
      </c>
      <c r="M13" s="4" t="s">
        <v>10</v>
      </c>
    </row>
    <row r="14" spans="3:16">
      <c r="C14" s="8" t="s">
        <v>40</v>
      </c>
      <c r="D14" s="4" t="s">
        <v>10</v>
      </c>
      <c r="L14" s="17" t="s">
        <v>41</v>
      </c>
      <c r="M14" s="4" t="s">
        <v>10</v>
      </c>
    </row>
    <row r="15" spans="3:16">
      <c r="C15" s="8" t="s">
        <v>42</v>
      </c>
      <c r="D15" s="4" t="s">
        <v>10</v>
      </c>
    </row>
    <row r="16" spans="3:16">
      <c r="C16" s="8" t="s">
        <v>43</v>
      </c>
      <c r="D16" s="4" t="s">
        <v>8</v>
      </c>
    </row>
    <row r="23" spans="3:6">
      <c r="C23" s="66" t="s">
        <v>44</v>
      </c>
      <c r="D23" s="68"/>
      <c r="E23" s="68"/>
      <c r="F23" s="67"/>
    </row>
    <row r="24" spans="3:6">
      <c r="C24" s="5"/>
      <c r="D24" s="5" t="s">
        <v>10</v>
      </c>
      <c r="E24" s="5" t="s">
        <v>8</v>
      </c>
      <c r="F24" s="5" t="s">
        <v>45</v>
      </c>
    </row>
    <row r="25" spans="3:6">
      <c r="C25" s="5" t="s">
        <v>0</v>
      </c>
      <c r="D25" s="4">
        <f>COUNTIF($D$5:$D$16,D24)</f>
        <v>10</v>
      </c>
      <c r="E25" s="4">
        <f t="shared" ref="E25:F25" si="0">COUNTIF($D$5:$D$16,E24)</f>
        <v>2</v>
      </c>
      <c r="F25" s="4">
        <f t="shared" si="0"/>
        <v>0</v>
      </c>
    </row>
    <row r="26" spans="3:6">
      <c r="C26" s="5" t="s">
        <v>1</v>
      </c>
      <c r="D26" s="4">
        <f>COUNTIF($G$5:$G$11,D24)</f>
        <v>7</v>
      </c>
      <c r="E26" s="4">
        <f t="shared" ref="E26:F26" si="1">COUNTIF($G$5:$G$11,E24)</f>
        <v>0</v>
      </c>
      <c r="F26" s="4">
        <f t="shared" si="1"/>
        <v>0</v>
      </c>
    </row>
    <row r="27" spans="3:6">
      <c r="C27" s="5" t="s">
        <v>2</v>
      </c>
      <c r="D27" s="4">
        <f>COUNTIF($J$5:$J$9,D24)</f>
        <v>4</v>
      </c>
      <c r="E27" s="4">
        <f t="shared" ref="E27:F27" si="2">COUNTIF($J$5:$J$9,E24)</f>
        <v>1</v>
      </c>
      <c r="F27" s="4">
        <f t="shared" si="2"/>
        <v>0</v>
      </c>
    </row>
    <row r="28" spans="3:6">
      <c r="C28" s="5" t="s">
        <v>46</v>
      </c>
      <c r="D28" s="4">
        <f>COUNTIF($M$5:$M$14,D24)</f>
        <v>9</v>
      </c>
      <c r="E28" s="4">
        <f t="shared" ref="E28:F28" si="3">COUNTIF($M$5:$M$14,E24)</f>
        <v>1</v>
      </c>
      <c r="F28" s="4">
        <f t="shared" si="3"/>
        <v>0</v>
      </c>
    </row>
    <row r="29" spans="3:6">
      <c r="C29" s="5" t="s">
        <v>4</v>
      </c>
      <c r="D29" s="4">
        <f>COUNTIF($P$5:$P$8,D24)</f>
        <v>1</v>
      </c>
      <c r="E29" s="4">
        <f t="shared" ref="E29:F29" si="4">COUNTIF($P$5:$P$8,E24)</f>
        <v>0</v>
      </c>
      <c r="F29" s="4">
        <f t="shared" si="4"/>
        <v>0</v>
      </c>
    </row>
  </sheetData>
  <mergeCells count="6">
    <mergeCell ref="O3:P3"/>
    <mergeCell ref="C23:F23"/>
    <mergeCell ref="C3:D3"/>
    <mergeCell ref="F3:G3"/>
    <mergeCell ref="I3:J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6CEF-BB74-4BD5-9FDD-D3E9312D779D}">
  <dimension ref="A1:L17"/>
  <sheetViews>
    <sheetView showGridLines="0" showRowColHeaders="0" topLeftCell="K1" workbookViewId="0">
      <selection activeCell="N16" sqref="N16"/>
    </sheetView>
  </sheetViews>
  <sheetFormatPr defaultColWidth="9.140625" defaultRowHeight="15"/>
  <cols>
    <col min="1" max="1" width="13" customWidth="1"/>
    <col min="9" max="9" width="13.5703125" customWidth="1"/>
    <col min="11" max="11" width="15.7109375" customWidth="1"/>
    <col min="12" max="12" width="13.85546875" customWidth="1"/>
  </cols>
  <sheetData>
    <row r="1" spans="1:12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5" t="s">
        <v>48</v>
      </c>
    </row>
    <row r="2" spans="1:12">
      <c r="A2" s="71" t="s">
        <v>49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4">
        <v>4</v>
      </c>
    </row>
    <row r="3" spans="1:12">
      <c r="A3" s="71" t="s">
        <v>50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4">
        <v>2</v>
      </c>
    </row>
    <row r="4" spans="1:12">
      <c r="A4" s="71" t="s">
        <v>51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4">
        <v>0</v>
      </c>
    </row>
    <row r="5" spans="1:12">
      <c r="A5" s="71" t="s">
        <v>52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4">
        <v>2</v>
      </c>
    </row>
    <row r="6" spans="1:12" ht="15" customHeight="1">
      <c r="A6" s="71" t="s">
        <v>53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4">
        <v>3</v>
      </c>
    </row>
    <row r="7" spans="1:12" ht="15" customHeight="1">
      <c r="A7" s="71" t="s">
        <v>54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4">
        <v>3</v>
      </c>
    </row>
    <row r="8" spans="1:12" ht="15" customHeight="1">
      <c r="A8" s="71" t="s">
        <v>55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4">
        <v>0</v>
      </c>
    </row>
    <row r="9" spans="1:12" ht="15" customHeight="1">
      <c r="A9" s="71" t="s">
        <v>56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4">
        <v>2</v>
      </c>
    </row>
    <row r="10" spans="1:12" ht="15" customHeight="1">
      <c r="A10" s="71" t="s">
        <v>57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4">
        <v>2</v>
      </c>
    </row>
    <row r="11" spans="1:12" ht="15" customHeight="1">
      <c r="A11" s="71" t="s">
        <v>58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4">
        <v>2</v>
      </c>
    </row>
    <row r="12" spans="1:12" ht="15" customHeight="1">
      <c r="A12" s="71" t="s">
        <v>59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4">
        <v>3</v>
      </c>
    </row>
    <row r="13" spans="1:12" ht="15" customHeight="1">
      <c r="A13" s="71" t="s">
        <v>60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4">
        <v>0</v>
      </c>
    </row>
    <row r="14" spans="1:12" ht="15" customHeight="1">
      <c r="A14" s="71" t="s">
        <v>61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4">
        <v>0</v>
      </c>
    </row>
    <row r="15" spans="1:12" ht="15" customHeight="1">
      <c r="A15" s="71" t="s">
        <v>62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4">
        <v>4</v>
      </c>
    </row>
    <row r="16" spans="1:12" ht="15" customHeight="1">
      <c r="A16" s="3"/>
      <c r="B16" s="3"/>
      <c r="C16" s="3"/>
      <c r="D16" s="3"/>
      <c r="E16" s="3"/>
      <c r="F16" s="3"/>
      <c r="G16" s="3"/>
      <c r="K16" s="9" t="s">
        <v>63</v>
      </c>
      <c r="L16" s="9">
        <f>SUM(L2:L15)</f>
        <v>27</v>
      </c>
    </row>
    <row r="17" ht="15" customHeight="1"/>
  </sheetData>
  <mergeCells count="15">
    <mergeCell ref="A15:K15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0:K10"/>
    <mergeCell ref="A11:K11"/>
    <mergeCell ref="A12:K12"/>
    <mergeCell ref="A13:K13"/>
    <mergeCell ref="A14:K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D524-5D23-451C-BB90-41066D27103C}">
  <dimension ref="B2:L15"/>
  <sheetViews>
    <sheetView showGridLines="0" topLeftCell="I1" workbookViewId="0">
      <selection activeCell="N18" sqref="N18"/>
    </sheetView>
  </sheetViews>
  <sheetFormatPr defaultRowHeight="15"/>
  <cols>
    <col min="2" max="3" width="13.28515625" customWidth="1"/>
    <col min="9" max="9" width="15.42578125" customWidth="1"/>
  </cols>
  <sheetData>
    <row r="2" spans="2:12">
      <c r="B2" s="72" t="s">
        <v>64</v>
      </c>
      <c r="C2" s="73"/>
      <c r="D2" s="73"/>
      <c r="E2" s="74"/>
      <c r="I2" s="70" t="s">
        <v>65</v>
      </c>
      <c r="J2" s="70" t="s">
        <v>66</v>
      </c>
      <c r="K2" s="70"/>
      <c r="L2" s="70"/>
    </row>
    <row r="3" spans="2:12">
      <c r="B3" s="6"/>
      <c r="C3" s="7" t="s">
        <v>10</v>
      </c>
      <c r="D3" s="7" t="s">
        <v>67</v>
      </c>
      <c r="E3" s="11" t="s">
        <v>45</v>
      </c>
      <c r="F3" s="12" t="s">
        <v>63</v>
      </c>
      <c r="I3" s="70"/>
      <c r="J3" s="13" t="s">
        <v>10</v>
      </c>
      <c r="K3" s="13" t="s">
        <v>67</v>
      </c>
      <c r="L3" s="13" t="s">
        <v>45</v>
      </c>
    </row>
    <row r="4" spans="2:12">
      <c r="B4" s="7" t="s">
        <v>0</v>
      </c>
      <c r="C4" s="1">
        <f>'1. Caracteristicas de dominio'!D25</f>
        <v>10</v>
      </c>
      <c r="D4" s="1">
        <f>'1. Caracteristicas de dominio'!E25</f>
        <v>2</v>
      </c>
      <c r="E4" s="1">
        <f>'1. Caracteristicas de dominio'!F25</f>
        <v>0</v>
      </c>
      <c r="F4" s="10">
        <f>(C4*J4)+(D4*K4)+(E4*L4)</f>
        <v>38</v>
      </c>
      <c r="I4" s="13" t="s">
        <v>0</v>
      </c>
      <c r="J4" s="2">
        <v>3</v>
      </c>
      <c r="K4" s="2">
        <v>4</v>
      </c>
      <c r="L4" s="2">
        <v>6</v>
      </c>
    </row>
    <row r="5" spans="2:12">
      <c r="B5" s="7" t="s">
        <v>1</v>
      </c>
      <c r="C5" s="1">
        <f>'1. Caracteristicas de dominio'!D26</f>
        <v>7</v>
      </c>
      <c r="D5" s="1">
        <f>'1. Caracteristicas de dominio'!E26</f>
        <v>0</v>
      </c>
      <c r="E5" s="1">
        <f>'1. Caracteristicas de dominio'!F26</f>
        <v>0</v>
      </c>
      <c r="F5" s="10">
        <f t="shared" ref="F5:F8" si="0">(C5*J5)+(D5*K5)+(E5*L5)</f>
        <v>28</v>
      </c>
      <c r="I5" s="13" t="s">
        <v>1</v>
      </c>
      <c r="J5" s="2">
        <v>4</v>
      </c>
      <c r="K5" s="2">
        <v>5</v>
      </c>
      <c r="L5" s="2">
        <v>7</v>
      </c>
    </row>
    <row r="6" spans="2:12">
      <c r="B6" s="7" t="s">
        <v>68</v>
      </c>
      <c r="C6" s="1">
        <f>'1. Caracteristicas de dominio'!D28</f>
        <v>9</v>
      </c>
      <c r="D6" s="1">
        <f>'1. Caracteristicas de dominio'!E28</f>
        <v>1</v>
      </c>
      <c r="E6" s="1">
        <f>'1. Caracteristicas de dominio'!F28</f>
        <v>0</v>
      </c>
      <c r="F6" s="10">
        <f t="shared" si="0"/>
        <v>73</v>
      </c>
      <c r="I6" s="13" t="s">
        <v>68</v>
      </c>
      <c r="J6" s="2">
        <v>7</v>
      </c>
      <c r="K6" s="2">
        <v>10</v>
      </c>
      <c r="L6" s="2">
        <v>15</v>
      </c>
    </row>
    <row r="7" spans="2:12">
      <c r="B7" s="7" t="s">
        <v>69</v>
      </c>
      <c r="C7" s="1">
        <f>'1. Caracteristicas de dominio'!D29</f>
        <v>1</v>
      </c>
      <c r="D7" s="1">
        <f>'1. Caracteristicas de dominio'!E29</f>
        <v>0</v>
      </c>
      <c r="E7" s="1">
        <f>'1. Caracteristicas de dominio'!F29</f>
        <v>0</v>
      </c>
      <c r="F7" s="10">
        <f t="shared" si="0"/>
        <v>5</v>
      </c>
      <c r="I7" s="13" t="s">
        <v>69</v>
      </c>
      <c r="J7" s="2">
        <v>5</v>
      </c>
      <c r="K7" s="2">
        <v>7</v>
      </c>
      <c r="L7" s="2">
        <v>10</v>
      </c>
    </row>
    <row r="8" spans="2:12">
      <c r="B8" s="7" t="s">
        <v>2</v>
      </c>
      <c r="C8" s="1">
        <f>'1. Caracteristicas de dominio'!D27</f>
        <v>4</v>
      </c>
      <c r="D8" s="1">
        <f>'1. Caracteristicas de dominio'!E27</f>
        <v>1</v>
      </c>
      <c r="E8" s="1">
        <f>'1. Caracteristicas de dominio'!F27</f>
        <v>0</v>
      </c>
      <c r="F8" s="10">
        <f t="shared" si="0"/>
        <v>16</v>
      </c>
      <c r="I8" s="13" t="s">
        <v>2</v>
      </c>
      <c r="J8" s="2">
        <v>3</v>
      </c>
      <c r="K8" s="2">
        <v>4</v>
      </c>
      <c r="L8" s="2">
        <v>6</v>
      </c>
    </row>
    <row r="9" spans="2:12">
      <c r="F9" s="1">
        <f>SUM(F4:F8)</f>
        <v>160</v>
      </c>
    </row>
    <row r="11" spans="2:12">
      <c r="B11" s="15" t="s">
        <v>70</v>
      </c>
      <c r="C11" s="1">
        <f>F9</f>
        <v>160</v>
      </c>
      <c r="K11" s="14" t="s">
        <v>71</v>
      </c>
      <c r="L11" s="14" t="s">
        <v>72</v>
      </c>
    </row>
    <row r="12" spans="2:12">
      <c r="B12" s="15" t="s">
        <v>73</v>
      </c>
      <c r="C12" s="1">
        <f>C11*(0.65+0.01*E14)</f>
        <v>147.20000000000002</v>
      </c>
      <c r="K12" s="29" t="s">
        <v>74</v>
      </c>
      <c r="L12" s="21">
        <v>30</v>
      </c>
    </row>
    <row r="13" spans="2:12">
      <c r="B13" s="15" t="s">
        <v>75</v>
      </c>
      <c r="C13" s="1">
        <f>L13</f>
        <v>30</v>
      </c>
      <c r="E13" s="15" t="s">
        <v>47</v>
      </c>
      <c r="K13" s="1" t="s">
        <v>67</v>
      </c>
      <c r="L13" s="1">
        <f>AVERAGE(L12)</f>
        <v>30</v>
      </c>
    </row>
    <row r="14" spans="2:12">
      <c r="B14" s="15" t="s">
        <v>76</v>
      </c>
      <c r="C14" s="1">
        <f>C12*C13</f>
        <v>4416.0000000000009</v>
      </c>
      <c r="E14" s="15">
        <f>'2. Preguntas'!L16</f>
        <v>27</v>
      </c>
    </row>
    <row r="15" spans="2:12">
      <c r="B15" s="15" t="s">
        <v>77</v>
      </c>
      <c r="C15" s="1">
        <f>C14/1000</f>
        <v>4.4160000000000013</v>
      </c>
    </row>
  </sheetData>
  <mergeCells count="3">
    <mergeCell ref="B2:E2"/>
    <mergeCell ref="I2:I3"/>
    <mergeCell ref="J2:L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15F1-A543-4175-84BC-644A70B5CFDE}">
  <dimension ref="A6:S39"/>
  <sheetViews>
    <sheetView showGridLines="0" showRowColHeaders="0" topLeftCell="H1" workbookViewId="0">
      <selection activeCell="B33" sqref="B33"/>
    </sheetView>
  </sheetViews>
  <sheetFormatPr defaultRowHeight="15"/>
  <cols>
    <col min="2" max="2" width="10" customWidth="1"/>
    <col min="7" max="7" width="11.42578125" customWidth="1"/>
    <col min="8" max="8" width="11.140625" customWidth="1"/>
    <col min="9" max="9" width="11.28515625" customWidth="1"/>
    <col min="10" max="10" width="14.85546875" customWidth="1"/>
    <col min="13" max="13" width="13.28515625" customWidth="1"/>
  </cols>
  <sheetData>
    <row r="6" spans="1:19">
      <c r="D6" s="19" t="s">
        <v>78</v>
      </c>
      <c r="E6" s="19">
        <v>2.94</v>
      </c>
    </row>
    <row r="8" spans="1:19">
      <c r="H8" s="86" t="s">
        <v>79</v>
      </c>
      <c r="I8" s="86"/>
      <c r="J8" s="86"/>
      <c r="M8" s="83" t="s">
        <v>80</v>
      </c>
      <c r="N8" s="84"/>
      <c r="O8" s="84"/>
      <c r="P8" s="84"/>
      <c r="Q8" s="84"/>
      <c r="R8" s="84"/>
      <c r="S8" s="85"/>
    </row>
    <row r="9" spans="1:19">
      <c r="H9" s="22"/>
      <c r="I9" s="22" t="s">
        <v>81</v>
      </c>
      <c r="J9" s="22" t="s">
        <v>82</v>
      </c>
      <c r="M9" s="30" t="s">
        <v>83</v>
      </c>
      <c r="N9" s="30" t="s">
        <v>84</v>
      </c>
      <c r="O9" s="30" t="s">
        <v>10</v>
      </c>
      <c r="P9" s="30" t="s">
        <v>85</v>
      </c>
      <c r="Q9" s="30" t="s">
        <v>45</v>
      </c>
      <c r="R9" s="30" t="s">
        <v>86</v>
      </c>
      <c r="S9" s="30" t="s">
        <v>87</v>
      </c>
    </row>
    <row r="10" spans="1:19">
      <c r="B10" s="1" t="s">
        <v>77</v>
      </c>
      <c r="C10" s="1">
        <f>'3. Punto de Función'!C15</f>
        <v>4.4160000000000013</v>
      </c>
      <c r="H10" s="22" t="s">
        <v>88</v>
      </c>
      <c r="I10" s="4" t="str">
        <f>R9</f>
        <v>Muy Alto</v>
      </c>
      <c r="J10" s="4">
        <f>IF(EXACT(I10,$N$9),N10,IF(EXACT(I10,$O$9),O10,IF(EXACT(I10,$P$9),P10,IF(EXACT(I10,$Q$9),Q10,IF(EXACT(I10,$R$9),R10,0)))))</f>
        <v>1.24</v>
      </c>
      <c r="M10" s="30" t="s">
        <v>88</v>
      </c>
      <c r="N10" s="35">
        <v>6.2</v>
      </c>
      <c r="O10" s="35">
        <v>4.96</v>
      </c>
      <c r="P10" s="35">
        <v>3.72</v>
      </c>
      <c r="Q10" s="35">
        <v>2.48</v>
      </c>
      <c r="R10" s="35">
        <v>1.24</v>
      </c>
      <c r="S10" s="35">
        <v>0</v>
      </c>
    </row>
    <row r="11" spans="1:19">
      <c r="B11" s="1" t="s">
        <v>89</v>
      </c>
      <c r="C11" s="1">
        <f>1.01+(0.01*J15)</f>
        <v>1.1795</v>
      </c>
      <c r="H11" s="22" t="s">
        <v>90</v>
      </c>
      <c r="I11" s="4" t="str">
        <f>P9</f>
        <v>Nominal</v>
      </c>
      <c r="J11" s="4">
        <f t="shared" ref="J11:J14" si="0">IF(EXACT(I11,$N$9),N11,IF(EXACT(I11,$O$9),O11,IF(EXACT(I11,$P$9),P11,IF(EXACT(I11,$Q$9),Q11,IF(EXACT(I11,$R$9),R11,0)))))</f>
        <v>3.04</v>
      </c>
      <c r="M11" s="30" t="s">
        <v>90</v>
      </c>
      <c r="N11" s="35">
        <v>5.07</v>
      </c>
      <c r="O11" s="35">
        <v>4.05</v>
      </c>
      <c r="P11" s="35">
        <v>3.04</v>
      </c>
      <c r="Q11" s="35">
        <v>2.0299999999999998</v>
      </c>
      <c r="R11" s="35">
        <v>1.01</v>
      </c>
      <c r="S11" s="35">
        <v>0</v>
      </c>
    </row>
    <row r="12" spans="1:19">
      <c r="B12" s="21" t="s">
        <v>91</v>
      </c>
      <c r="C12" s="21">
        <f>$E$6*(C10^C11)*J39</f>
        <v>9.7597730365419828</v>
      </c>
      <c r="D12" s="89" t="s">
        <v>92</v>
      </c>
      <c r="E12" s="90"/>
      <c r="H12" s="22" t="s">
        <v>93</v>
      </c>
      <c r="I12" s="4" t="str">
        <f>P9</f>
        <v>Nominal</v>
      </c>
      <c r="J12" s="4">
        <f t="shared" si="0"/>
        <v>4.24</v>
      </c>
      <c r="M12" s="30" t="s">
        <v>93</v>
      </c>
      <c r="N12" s="35">
        <v>7.07</v>
      </c>
      <c r="O12" s="35">
        <v>5.65</v>
      </c>
      <c r="P12" s="35">
        <v>4.24</v>
      </c>
      <c r="Q12" s="35">
        <v>2.83</v>
      </c>
      <c r="R12" s="35">
        <v>1.41</v>
      </c>
      <c r="S12" s="35">
        <v>0</v>
      </c>
    </row>
    <row r="13" spans="1:19">
      <c r="A13" s="91" t="s">
        <v>94</v>
      </c>
      <c r="B13" s="91"/>
      <c r="C13" s="37">
        <f>ROUNDUP($E$6*(C10^C11)*J39,0)</f>
        <v>10</v>
      </c>
      <c r="D13" s="90" t="s">
        <v>92</v>
      </c>
      <c r="E13" s="90"/>
      <c r="H13" s="22" t="s">
        <v>95</v>
      </c>
      <c r="I13" s="4" t="str">
        <f>Q9</f>
        <v>Alto</v>
      </c>
      <c r="J13" s="4">
        <f t="shared" si="0"/>
        <v>2.19</v>
      </c>
      <c r="M13" s="30" t="s">
        <v>95</v>
      </c>
      <c r="N13" s="35">
        <v>5.48</v>
      </c>
      <c r="O13" s="35">
        <v>4.38</v>
      </c>
      <c r="P13" s="35">
        <v>3.29</v>
      </c>
      <c r="Q13" s="35">
        <v>2.19</v>
      </c>
      <c r="R13" s="35">
        <v>1.1000000000000001</v>
      </c>
      <c r="S13" s="35">
        <v>0</v>
      </c>
    </row>
    <row r="14" spans="1:19">
      <c r="H14" s="22" t="s">
        <v>96</v>
      </c>
      <c r="I14" s="34" t="str">
        <f>O9</f>
        <v>Bajo</v>
      </c>
      <c r="J14" s="4">
        <f t="shared" si="0"/>
        <v>6.24</v>
      </c>
      <c r="M14" s="30" t="s">
        <v>96</v>
      </c>
      <c r="N14" s="35">
        <v>7.8</v>
      </c>
      <c r="O14" s="35">
        <v>6.24</v>
      </c>
      <c r="P14" s="35">
        <v>4.68</v>
      </c>
      <c r="Q14" s="35">
        <v>3.12</v>
      </c>
      <c r="R14" s="35">
        <v>1.56</v>
      </c>
      <c r="S14" s="35">
        <v>0</v>
      </c>
    </row>
    <row r="15" spans="1:19">
      <c r="I15" s="32" t="s">
        <v>63</v>
      </c>
      <c r="J15" s="32">
        <f>SUM(J10:J14)</f>
        <v>16.95</v>
      </c>
    </row>
    <row r="18" spans="1:19">
      <c r="B18" s="36" t="s">
        <v>97</v>
      </c>
      <c r="C18" s="36"/>
      <c r="D18" s="36"/>
      <c r="E18">
        <f>0.28+(0.002*J15)</f>
        <v>0.31390000000000001</v>
      </c>
    </row>
    <row r="19" spans="1:19">
      <c r="B19" s="21" t="s">
        <v>98</v>
      </c>
      <c r="C19" s="21">
        <f>2.4*(C12^E18)</f>
        <v>4.9067775465997414</v>
      </c>
      <c r="D19" t="s">
        <v>99</v>
      </c>
    </row>
    <row r="20" spans="1:19">
      <c r="A20" s="76" t="s">
        <v>100</v>
      </c>
      <c r="B20" s="78"/>
      <c r="C20" s="37">
        <f>ROUNDUP(2.4*(C12^E18),0)</f>
        <v>5</v>
      </c>
      <c r="D20" t="s">
        <v>99</v>
      </c>
      <c r="H20" s="87" t="s">
        <v>101</v>
      </c>
      <c r="I20" s="87"/>
      <c r="J20" s="87"/>
      <c r="M20" s="83" t="s">
        <v>102</v>
      </c>
      <c r="N20" s="84"/>
      <c r="O20" s="84"/>
      <c r="P20" s="84"/>
      <c r="Q20" s="84"/>
      <c r="R20" s="84"/>
      <c r="S20" s="85"/>
    </row>
    <row r="21" spans="1:19">
      <c r="H21" s="22"/>
      <c r="I21" s="22" t="s">
        <v>81</v>
      </c>
      <c r="J21" s="22" t="s">
        <v>82</v>
      </c>
      <c r="M21" s="30" t="s">
        <v>103</v>
      </c>
      <c r="N21" s="30" t="s">
        <v>84</v>
      </c>
      <c r="O21" s="30" t="s">
        <v>10</v>
      </c>
      <c r="P21" s="30" t="s">
        <v>85</v>
      </c>
      <c r="Q21" s="30" t="s">
        <v>45</v>
      </c>
      <c r="R21" s="30" t="s">
        <v>86</v>
      </c>
      <c r="S21" s="30" t="s">
        <v>87</v>
      </c>
    </row>
    <row r="22" spans="1:19">
      <c r="G22" s="88" t="s">
        <v>104</v>
      </c>
      <c r="H22" s="31" t="s">
        <v>105</v>
      </c>
      <c r="I22" s="4" t="str">
        <f>P21</f>
        <v>Nominal</v>
      </c>
      <c r="J22" s="4">
        <f>IF(EXACT(I22,$N$21),N22,IF(EXACT(I22,$O$21),O22,IF(EXACT(I22,$P$21),P22,IF(EXACT(I22,$Q$21),Q22,IF(EXACT(I22,$R$21),R22,S22)))))</f>
        <v>1</v>
      </c>
      <c r="M22" s="30" t="s">
        <v>105</v>
      </c>
      <c r="N22" s="30">
        <v>0.75</v>
      </c>
      <c r="O22" s="30">
        <v>0.88</v>
      </c>
      <c r="P22" s="30">
        <v>1</v>
      </c>
      <c r="Q22" s="30">
        <v>1.1499999999999999</v>
      </c>
      <c r="R22" s="30">
        <v>1.39</v>
      </c>
      <c r="S22" s="30"/>
    </row>
    <row r="23" spans="1:19">
      <c r="G23" s="88"/>
      <c r="H23" s="31" t="s">
        <v>106</v>
      </c>
      <c r="I23" s="4" t="str">
        <f>R21</f>
        <v>Muy Alto</v>
      </c>
      <c r="J23" s="4">
        <f t="shared" ref="J23:J38" si="1">IF(EXACT(I23,$N$21),N23,IF(EXACT(I23,$O$21),O23,IF(EXACT(I23,$P$21),P23,IF(EXACT(I23,$Q$21),Q23,IF(EXACT(I23,$R$21),R23,S23)))))</f>
        <v>1.19</v>
      </c>
      <c r="M23" s="30" t="s">
        <v>106</v>
      </c>
      <c r="N23" s="30"/>
      <c r="O23" s="30">
        <v>0.93</v>
      </c>
      <c r="P23" s="30">
        <v>1</v>
      </c>
      <c r="Q23" s="30">
        <v>1.0900000000000001</v>
      </c>
      <c r="R23" s="30">
        <v>1.19</v>
      </c>
      <c r="S23" s="30"/>
    </row>
    <row r="24" spans="1:19">
      <c r="G24" s="88"/>
      <c r="H24" s="31" t="s">
        <v>107</v>
      </c>
      <c r="I24" s="4" t="str">
        <f>P21</f>
        <v>Nominal</v>
      </c>
      <c r="J24" s="4">
        <f t="shared" si="1"/>
        <v>1</v>
      </c>
      <c r="M24" s="30" t="s">
        <v>107</v>
      </c>
      <c r="N24" s="30">
        <v>0.75</v>
      </c>
      <c r="O24" s="30">
        <v>0.88</v>
      </c>
      <c r="P24" s="30">
        <v>1</v>
      </c>
      <c r="Q24" s="30">
        <v>1.1499999999999999</v>
      </c>
      <c r="R24" s="30">
        <v>1.3</v>
      </c>
      <c r="S24" s="30">
        <v>1.66</v>
      </c>
    </row>
    <row r="25" spans="1:19">
      <c r="B25" t="s">
        <v>108</v>
      </c>
      <c r="G25" s="88"/>
      <c r="H25" s="31" t="s">
        <v>109</v>
      </c>
      <c r="I25" s="4" t="str">
        <f>P21</f>
        <v>Nominal</v>
      </c>
      <c r="J25" s="4">
        <f t="shared" si="1"/>
        <v>1</v>
      </c>
      <c r="M25" s="30" t="s">
        <v>109</v>
      </c>
      <c r="N25" s="30"/>
      <c r="O25" s="30">
        <v>0.91</v>
      </c>
      <c r="P25" s="30">
        <v>1</v>
      </c>
      <c r="Q25" s="30">
        <v>1.1399999999999999</v>
      </c>
      <c r="R25" s="30">
        <v>1.29</v>
      </c>
      <c r="S25" s="30">
        <v>1.49</v>
      </c>
    </row>
    <row r="26" spans="1:19">
      <c r="B26" s="21" t="s">
        <v>110</v>
      </c>
      <c r="C26" s="21">
        <f>C12/C19</f>
        <v>1.9890392307075813</v>
      </c>
      <c r="D26" t="s">
        <v>111</v>
      </c>
      <c r="G26" s="88"/>
      <c r="H26" s="31" t="s">
        <v>112</v>
      </c>
      <c r="I26" s="4" t="str">
        <f>P21</f>
        <v>Nominal</v>
      </c>
      <c r="J26" s="4">
        <f t="shared" si="1"/>
        <v>1</v>
      </c>
      <c r="M26" s="30" t="s">
        <v>112</v>
      </c>
      <c r="N26" s="30">
        <v>0.89</v>
      </c>
      <c r="O26" s="30">
        <v>0.95</v>
      </c>
      <c r="P26" s="30">
        <v>1</v>
      </c>
      <c r="Q26" s="30">
        <v>1.06</v>
      </c>
      <c r="R26" s="30">
        <v>1.1299999999999999</v>
      </c>
      <c r="S26" s="30"/>
    </row>
    <row r="27" spans="1:19">
      <c r="A27" s="75" t="s">
        <v>113</v>
      </c>
      <c r="B27" s="75"/>
      <c r="C27" s="37">
        <f>ROUNDUP(C12/C19,0)</f>
        <v>2</v>
      </c>
      <c r="D27" t="s">
        <v>111</v>
      </c>
      <c r="G27" s="82" t="s">
        <v>114</v>
      </c>
      <c r="H27" s="31" t="s">
        <v>115</v>
      </c>
      <c r="I27" s="4" t="str">
        <f>P21</f>
        <v>Nominal</v>
      </c>
      <c r="J27" s="4">
        <f t="shared" si="1"/>
        <v>1</v>
      </c>
      <c r="M27" s="30" t="s">
        <v>115</v>
      </c>
      <c r="N27" s="30"/>
      <c r="O27" s="30"/>
      <c r="P27" s="30">
        <v>1</v>
      </c>
      <c r="Q27" s="30">
        <v>1.1100000000000001</v>
      </c>
      <c r="R27" s="30">
        <v>1.31</v>
      </c>
      <c r="S27" s="30">
        <v>1.67</v>
      </c>
    </row>
    <row r="28" spans="1:19">
      <c r="G28" s="82"/>
      <c r="H28" s="31" t="s">
        <v>116</v>
      </c>
      <c r="I28" s="4" t="str">
        <f>P21</f>
        <v>Nominal</v>
      </c>
      <c r="J28" s="4">
        <f t="shared" si="1"/>
        <v>1</v>
      </c>
      <c r="M28" s="30" t="s">
        <v>116</v>
      </c>
      <c r="N28" s="30"/>
      <c r="O28" s="30"/>
      <c r="P28" s="30">
        <v>1</v>
      </c>
      <c r="Q28" s="30">
        <v>1.06</v>
      </c>
      <c r="R28" s="30">
        <v>1.21</v>
      </c>
      <c r="S28" s="30">
        <v>1.57</v>
      </c>
    </row>
    <row r="29" spans="1:19">
      <c r="G29" s="82"/>
      <c r="H29" s="31" t="s">
        <v>117</v>
      </c>
      <c r="I29" s="4" t="str">
        <f>O21</f>
        <v>Bajo</v>
      </c>
      <c r="J29" s="4">
        <f t="shared" si="1"/>
        <v>0.87</v>
      </c>
      <c r="M29" s="30" t="s">
        <v>117</v>
      </c>
      <c r="N29" s="30"/>
      <c r="O29" s="30">
        <v>0.87</v>
      </c>
      <c r="P29" s="30">
        <v>1</v>
      </c>
      <c r="Q29" s="30">
        <v>1.1499999999999999</v>
      </c>
      <c r="R29" s="30">
        <v>1.3</v>
      </c>
      <c r="S29" s="30"/>
    </row>
    <row r="30" spans="1:19">
      <c r="G30" s="82" t="s">
        <v>118</v>
      </c>
      <c r="H30" s="31" t="s">
        <v>119</v>
      </c>
      <c r="I30" s="4" t="str">
        <f>Q21</f>
        <v>Alto</v>
      </c>
      <c r="J30" s="4">
        <f t="shared" si="1"/>
        <v>0.83</v>
      </c>
      <c r="M30" s="30" t="s">
        <v>119</v>
      </c>
      <c r="N30" s="30">
        <v>1.5</v>
      </c>
      <c r="O30" s="30">
        <v>1.22</v>
      </c>
      <c r="P30" s="30">
        <v>1</v>
      </c>
      <c r="Q30" s="30">
        <v>0.83</v>
      </c>
      <c r="R30" s="30">
        <v>0.67</v>
      </c>
      <c r="S30" s="30"/>
    </row>
    <row r="31" spans="1:19">
      <c r="G31" s="82"/>
      <c r="H31" s="31" t="s">
        <v>120</v>
      </c>
      <c r="I31" s="4" t="str">
        <f>Q21</f>
        <v>Alto</v>
      </c>
      <c r="J31" s="4">
        <f t="shared" si="1"/>
        <v>0.87</v>
      </c>
      <c r="M31" s="30" t="s">
        <v>120</v>
      </c>
      <c r="N31" s="30">
        <v>1.37</v>
      </c>
      <c r="O31" s="30">
        <v>1.1599999999999999</v>
      </c>
      <c r="P31" s="30">
        <v>1</v>
      </c>
      <c r="Q31" s="30">
        <v>0.87</v>
      </c>
      <c r="R31" s="30">
        <v>0.74</v>
      </c>
      <c r="S31" s="30"/>
    </row>
    <row r="32" spans="1:19">
      <c r="G32" s="82"/>
      <c r="H32" s="31" t="s">
        <v>121</v>
      </c>
      <c r="I32" s="4" t="str">
        <f>Q21</f>
        <v>Alto</v>
      </c>
      <c r="J32" s="4">
        <f t="shared" si="1"/>
        <v>0.92</v>
      </c>
      <c r="M32" s="30" t="s">
        <v>121</v>
      </c>
      <c r="N32" s="30">
        <v>1.24</v>
      </c>
      <c r="O32" s="30">
        <v>1.1000000000000001</v>
      </c>
      <c r="P32" s="30">
        <v>1</v>
      </c>
      <c r="Q32" s="30">
        <v>0.92</v>
      </c>
      <c r="R32" s="30">
        <v>0.84</v>
      </c>
      <c r="S32" s="30"/>
    </row>
    <row r="33" spans="7:19">
      <c r="G33" s="82"/>
      <c r="H33" s="31" t="s">
        <v>122</v>
      </c>
      <c r="I33" s="4" t="str">
        <f>P21</f>
        <v>Nominal</v>
      </c>
      <c r="J33" s="4">
        <f t="shared" si="1"/>
        <v>1</v>
      </c>
      <c r="M33" s="30" t="s">
        <v>122</v>
      </c>
      <c r="N33" s="30">
        <v>1.22</v>
      </c>
      <c r="O33" s="30">
        <v>1.1000000000000001</v>
      </c>
      <c r="P33" s="30">
        <v>1</v>
      </c>
      <c r="Q33" s="30">
        <v>0.89</v>
      </c>
      <c r="R33" s="30">
        <v>0.81</v>
      </c>
      <c r="S33" s="30"/>
    </row>
    <row r="34" spans="7:19">
      <c r="G34" s="82"/>
      <c r="H34" s="31" t="s">
        <v>123</v>
      </c>
      <c r="I34" s="4" t="str">
        <f>P21</f>
        <v>Nominal</v>
      </c>
      <c r="J34" s="4">
        <f t="shared" si="1"/>
        <v>1</v>
      </c>
      <c r="M34" s="30" t="s">
        <v>123</v>
      </c>
      <c r="N34" s="30">
        <v>1.25</v>
      </c>
      <c r="O34" s="30">
        <v>1.1200000000000001</v>
      </c>
      <c r="P34" s="30">
        <v>1</v>
      </c>
      <c r="Q34" s="30">
        <v>0.88</v>
      </c>
      <c r="R34" s="30">
        <v>0.81</v>
      </c>
      <c r="S34" s="30"/>
    </row>
    <row r="35" spans="7:19">
      <c r="G35" s="82"/>
      <c r="H35" s="31" t="s">
        <v>124</v>
      </c>
      <c r="I35" s="4" t="str">
        <f>Q21</f>
        <v>Alto</v>
      </c>
      <c r="J35" s="4">
        <f t="shared" si="1"/>
        <v>0.91</v>
      </c>
      <c r="M35" s="30" t="s">
        <v>124</v>
      </c>
      <c r="N35" s="30">
        <v>1.22</v>
      </c>
      <c r="O35" s="30">
        <v>1.1000000000000001</v>
      </c>
      <c r="P35" s="30">
        <v>1</v>
      </c>
      <c r="Q35" s="30">
        <v>0.91</v>
      </c>
      <c r="R35" s="30">
        <v>0.84</v>
      </c>
      <c r="S35" s="30"/>
    </row>
    <row r="36" spans="7:19">
      <c r="G36" s="82" t="s">
        <v>125</v>
      </c>
      <c r="H36" s="31" t="s">
        <v>126</v>
      </c>
      <c r="I36" s="4" t="str">
        <f>P21</f>
        <v>Nominal</v>
      </c>
      <c r="J36" s="4">
        <f t="shared" si="1"/>
        <v>1</v>
      </c>
      <c r="M36" s="30" t="s">
        <v>126</v>
      </c>
      <c r="N36" s="30">
        <v>1.24</v>
      </c>
      <c r="O36" s="30">
        <v>1.1200000000000001</v>
      </c>
      <c r="P36" s="30">
        <v>1</v>
      </c>
      <c r="Q36" s="30">
        <v>0.86</v>
      </c>
      <c r="R36" s="30">
        <v>0.72</v>
      </c>
      <c r="S36" s="30"/>
    </row>
    <row r="37" spans="7:19">
      <c r="G37" s="82"/>
      <c r="H37" s="31" t="s">
        <v>127</v>
      </c>
      <c r="I37" s="4" t="str">
        <f>Q21</f>
        <v>Alto</v>
      </c>
      <c r="J37" s="4">
        <f t="shared" si="1"/>
        <v>0.92</v>
      </c>
      <c r="M37" s="30" t="s">
        <v>127</v>
      </c>
      <c r="N37" s="30">
        <v>1.25</v>
      </c>
      <c r="O37" s="30">
        <v>1.1000000000000001</v>
      </c>
      <c r="P37" s="30">
        <v>1</v>
      </c>
      <c r="Q37" s="30">
        <v>0.92</v>
      </c>
      <c r="R37" s="30">
        <v>0.84</v>
      </c>
      <c r="S37" s="30">
        <v>0.78</v>
      </c>
    </row>
    <row r="38" spans="7:19">
      <c r="G38" s="82"/>
      <c r="H38" s="31" t="s">
        <v>128</v>
      </c>
      <c r="I38" s="4" t="s">
        <v>85</v>
      </c>
      <c r="J38" s="4">
        <f t="shared" si="1"/>
        <v>1</v>
      </c>
      <c r="M38" s="30" t="s">
        <v>128</v>
      </c>
      <c r="N38" s="30">
        <v>1.29</v>
      </c>
      <c r="O38" s="30">
        <v>1.1000000000000001</v>
      </c>
      <c r="P38" s="30">
        <v>1</v>
      </c>
      <c r="Q38" s="30">
        <v>1</v>
      </c>
      <c r="R38" s="30">
        <v>1</v>
      </c>
      <c r="S38" s="30"/>
    </row>
    <row r="39" spans="7:19">
      <c r="I39" s="33" t="s">
        <v>63</v>
      </c>
      <c r="J39" s="33">
        <f>PRODUCT(J22:J26,J27:J29,J30:J35,J36:J38)</f>
        <v>0.57581186028912001</v>
      </c>
    </row>
  </sheetData>
  <mergeCells count="13">
    <mergeCell ref="D12:E12"/>
    <mergeCell ref="D13:E13"/>
    <mergeCell ref="A13:B13"/>
    <mergeCell ref="A27:B27"/>
    <mergeCell ref="A20:B20"/>
    <mergeCell ref="G30:G35"/>
    <mergeCell ref="G36:G38"/>
    <mergeCell ref="M20:S20"/>
    <mergeCell ref="M8:S8"/>
    <mergeCell ref="H8:J8"/>
    <mergeCell ref="H20:J20"/>
    <mergeCell ref="G22:G26"/>
    <mergeCell ref="G27:G29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B2F4-BBEA-4302-8519-C97ECAD554DF}">
  <dimension ref="B1:L70"/>
  <sheetViews>
    <sheetView showGridLines="0" topLeftCell="A50" workbookViewId="0">
      <selection activeCell="I66" sqref="I66"/>
    </sheetView>
  </sheetViews>
  <sheetFormatPr defaultRowHeight="15"/>
  <cols>
    <col min="2" max="2" width="4.140625" customWidth="1"/>
    <col min="3" max="3" width="25.140625" customWidth="1"/>
    <col min="4" max="4" width="17" customWidth="1"/>
    <col min="5" max="5" width="14.7109375" customWidth="1"/>
    <col min="6" max="6" width="22.85546875" customWidth="1"/>
    <col min="7" max="7" width="25" customWidth="1"/>
    <col min="8" max="8" width="15.5703125" customWidth="1"/>
    <col min="9" max="9" width="12.85546875" customWidth="1"/>
    <col min="10" max="10" width="17.85546875" customWidth="1"/>
    <col min="11" max="11" width="13.28515625" customWidth="1"/>
    <col min="12" max="12" width="15.28515625" customWidth="1"/>
  </cols>
  <sheetData>
    <row r="1" spans="2:12">
      <c r="B1" s="96"/>
      <c r="C1" s="97" t="s">
        <v>129</v>
      </c>
    </row>
    <row r="2" spans="2:12">
      <c r="B2" s="98" t="s">
        <v>130</v>
      </c>
      <c r="C2" s="99">
        <v>8192</v>
      </c>
    </row>
    <row r="6" spans="2:12">
      <c r="B6" s="75" t="s">
        <v>12</v>
      </c>
      <c r="C6" s="75"/>
      <c r="D6" s="75"/>
      <c r="F6" s="76" t="s">
        <v>41</v>
      </c>
      <c r="G6" s="77"/>
      <c r="H6" s="78"/>
      <c r="J6" s="76" t="s">
        <v>39</v>
      </c>
      <c r="K6" s="77"/>
      <c r="L6" s="78"/>
    </row>
    <row r="7" spans="2:12">
      <c r="B7" s="22" t="s">
        <v>131</v>
      </c>
      <c r="C7" s="22" t="s">
        <v>132</v>
      </c>
      <c r="D7" s="22" t="s">
        <v>133</v>
      </c>
      <c r="F7" s="22" t="s">
        <v>131</v>
      </c>
      <c r="G7" s="22" t="s">
        <v>132</v>
      </c>
      <c r="H7" s="22" t="s">
        <v>133</v>
      </c>
      <c r="J7" s="24" t="s">
        <v>131</v>
      </c>
      <c r="K7" s="24" t="s">
        <v>132</v>
      </c>
      <c r="L7" s="24" t="s">
        <v>133</v>
      </c>
    </row>
    <row r="8" spans="2:12">
      <c r="B8" s="1" t="s">
        <v>134</v>
      </c>
      <c r="C8" s="20" t="s">
        <v>135</v>
      </c>
      <c r="D8" s="20">
        <v>4</v>
      </c>
      <c r="F8" s="1" t="s">
        <v>136</v>
      </c>
      <c r="G8" s="1" t="s">
        <v>135</v>
      </c>
      <c r="H8" s="20">
        <v>4</v>
      </c>
      <c r="J8" s="1" t="s">
        <v>137</v>
      </c>
      <c r="K8" s="1" t="s">
        <v>135</v>
      </c>
      <c r="L8" s="20">
        <v>4</v>
      </c>
    </row>
    <row r="9" spans="2:12">
      <c r="B9" s="1" t="s">
        <v>138</v>
      </c>
      <c r="C9" s="1" t="s">
        <v>139</v>
      </c>
      <c r="D9" s="20">
        <v>30</v>
      </c>
      <c r="F9" s="1" t="s">
        <v>137</v>
      </c>
      <c r="G9" s="1" t="s">
        <v>135</v>
      </c>
      <c r="H9" s="20">
        <v>4</v>
      </c>
      <c r="J9" s="1" t="s">
        <v>39</v>
      </c>
      <c r="K9" s="1" t="s">
        <v>140</v>
      </c>
      <c r="L9" s="20">
        <v>50</v>
      </c>
    </row>
    <row r="10" spans="2:12">
      <c r="B10" s="1" t="s">
        <v>141</v>
      </c>
      <c r="C10" s="1" t="s">
        <v>139</v>
      </c>
      <c r="D10" s="20">
        <v>30</v>
      </c>
      <c r="F10" s="1" t="s">
        <v>138</v>
      </c>
      <c r="G10" s="1" t="s">
        <v>139</v>
      </c>
      <c r="H10" s="20">
        <v>30</v>
      </c>
      <c r="J10" s="1" t="s">
        <v>142</v>
      </c>
      <c r="K10" s="1" t="s">
        <v>140</v>
      </c>
      <c r="L10" s="20">
        <v>50</v>
      </c>
    </row>
    <row r="11" spans="2:12">
      <c r="B11" s="1" t="s">
        <v>143</v>
      </c>
      <c r="C11" s="1" t="s">
        <v>139</v>
      </c>
      <c r="D11" s="20">
        <v>30</v>
      </c>
      <c r="F11" s="1" t="s">
        <v>141</v>
      </c>
      <c r="G11" s="1" t="s">
        <v>139</v>
      </c>
      <c r="H11" s="20">
        <v>30</v>
      </c>
      <c r="J11" s="1" t="s">
        <v>144</v>
      </c>
      <c r="K11" s="1" t="s">
        <v>140</v>
      </c>
      <c r="L11" s="20">
        <v>50</v>
      </c>
    </row>
    <row r="12" spans="2:12">
      <c r="B12" s="1" t="s">
        <v>145</v>
      </c>
      <c r="C12" s="1" t="s">
        <v>139</v>
      </c>
      <c r="D12" s="20">
        <v>30</v>
      </c>
      <c r="F12" s="1" t="s">
        <v>143</v>
      </c>
      <c r="G12" s="1" t="s">
        <v>139</v>
      </c>
      <c r="H12" s="20">
        <v>30</v>
      </c>
      <c r="J12" s="1" t="s">
        <v>146</v>
      </c>
      <c r="K12" s="21" t="s">
        <v>147</v>
      </c>
      <c r="L12" s="23">
        <v>60</v>
      </c>
    </row>
    <row r="13" spans="2:12">
      <c r="B13" s="1" t="s">
        <v>148</v>
      </c>
      <c r="C13" s="1" t="s">
        <v>149</v>
      </c>
      <c r="D13" s="20">
        <v>40</v>
      </c>
      <c r="F13" s="1" t="s">
        <v>145</v>
      </c>
      <c r="G13" s="1" t="s">
        <v>139</v>
      </c>
      <c r="H13" s="20">
        <v>30</v>
      </c>
      <c r="K13" s="22" t="s">
        <v>63</v>
      </c>
      <c r="L13" s="20">
        <f>SUM(L8:L12)</f>
        <v>214</v>
      </c>
    </row>
    <row r="14" spans="2:12">
      <c r="B14" s="1" t="s">
        <v>150</v>
      </c>
      <c r="C14" s="1" t="s">
        <v>147</v>
      </c>
      <c r="D14" s="20">
        <v>60</v>
      </c>
      <c r="F14" s="1" t="s">
        <v>151</v>
      </c>
      <c r="G14" s="1" t="s">
        <v>147</v>
      </c>
      <c r="H14" s="20">
        <v>31</v>
      </c>
    </row>
    <row r="15" spans="2:12">
      <c r="B15" s="1" t="s">
        <v>151</v>
      </c>
      <c r="C15" s="1" t="s">
        <v>147</v>
      </c>
      <c r="D15" s="20">
        <v>60</v>
      </c>
      <c r="F15" s="1" t="s">
        <v>148</v>
      </c>
      <c r="G15" s="21" t="s">
        <v>139</v>
      </c>
      <c r="H15" s="23">
        <v>32</v>
      </c>
    </row>
    <row r="16" spans="2:12">
      <c r="B16" s="1" t="s">
        <v>146</v>
      </c>
      <c r="C16" s="21" t="s">
        <v>147</v>
      </c>
      <c r="D16" s="23">
        <v>60</v>
      </c>
      <c r="G16" s="22" t="s">
        <v>63</v>
      </c>
      <c r="H16" s="1">
        <f>SUM(H8:H15)</f>
        <v>191</v>
      </c>
    </row>
    <row r="17" spans="2:12">
      <c r="C17" s="22" t="s">
        <v>63</v>
      </c>
      <c r="D17" s="20">
        <f>SUM(D8:D16)</f>
        <v>344</v>
      </c>
    </row>
    <row r="19" spans="2:12">
      <c r="B19" s="75" t="s">
        <v>21</v>
      </c>
      <c r="C19" s="75"/>
      <c r="D19" s="75"/>
      <c r="F19" s="79" t="s">
        <v>25</v>
      </c>
      <c r="G19" s="80"/>
      <c r="H19" s="81"/>
      <c r="J19" s="79" t="s">
        <v>29</v>
      </c>
      <c r="K19" s="80"/>
      <c r="L19" s="81"/>
    </row>
    <row r="20" spans="2:12">
      <c r="B20" s="24" t="s">
        <v>131</v>
      </c>
      <c r="C20" s="24" t="s">
        <v>132</v>
      </c>
      <c r="D20" s="24" t="s">
        <v>133</v>
      </c>
      <c r="F20" s="25" t="s">
        <v>131</v>
      </c>
      <c r="G20" s="25" t="s">
        <v>132</v>
      </c>
      <c r="H20" s="25" t="s">
        <v>133</v>
      </c>
      <c r="J20" s="25" t="s">
        <v>131</v>
      </c>
      <c r="K20" s="25" t="s">
        <v>132</v>
      </c>
      <c r="L20" s="25" t="s">
        <v>133</v>
      </c>
    </row>
    <row r="21" spans="2:12">
      <c r="B21" s="1" t="s">
        <v>152</v>
      </c>
      <c r="C21" s="1" t="s">
        <v>135</v>
      </c>
      <c r="D21" s="20">
        <v>4</v>
      </c>
      <c r="F21" s="1" t="s">
        <v>153</v>
      </c>
      <c r="G21" s="1" t="s">
        <v>135</v>
      </c>
      <c r="H21" s="20">
        <v>4</v>
      </c>
      <c r="J21" s="1" t="s">
        <v>154</v>
      </c>
      <c r="K21" s="1" t="s">
        <v>135</v>
      </c>
      <c r="L21" s="20">
        <v>4</v>
      </c>
    </row>
    <row r="22" spans="2:12">
      <c r="B22" s="1" t="s">
        <v>155</v>
      </c>
      <c r="C22" s="1" t="s">
        <v>135</v>
      </c>
      <c r="D22" s="20">
        <v>4</v>
      </c>
      <c r="F22" s="1" t="s">
        <v>152</v>
      </c>
      <c r="G22" s="1" t="s">
        <v>135</v>
      </c>
      <c r="H22" s="20">
        <v>4</v>
      </c>
      <c r="J22" s="1" t="s">
        <v>138</v>
      </c>
      <c r="K22" s="1" t="s">
        <v>139</v>
      </c>
      <c r="L22" s="20">
        <v>30</v>
      </c>
    </row>
    <row r="23" spans="2:12">
      <c r="B23" s="1" t="s">
        <v>156</v>
      </c>
      <c r="C23" s="1" t="s">
        <v>157</v>
      </c>
      <c r="D23" s="20">
        <v>8</v>
      </c>
      <c r="F23" s="1" t="s">
        <v>158</v>
      </c>
      <c r="G23" s="1" t="s">
        <v>135</v>
      </c>
      <c r="H23" s="20">
        <v>5</v>
      </c>
      <c r="J23" s="1" t="s">
        <v>141</v>
      </c>
      <c r="K23" s="1" t="s">
        <v>139</v>
      </c>
      <c r="L23" s="20">
        <v>30</v>
      </c>
    </row>
    <row r="24" spans="2:12">
      <c r="B24" s="1" t="s">
        <v>159</v>
      </c>
      <c r="C24" s="1" t="s">
        <v>157</v>
      </c>
      <c r="D24" s="20">
        <v>8</v>
      </c>
      <c r="F24" s="1" t="s">
        <v>160</v>
      </c>
      <c r="G24" s="1" t="s">
        <v>135</v>
      </c>
      <c r="H24" s="20">
        <v>6</v>
      </c>
      <c r="J24" s="1" t="s">
        <v>143</v>
      </c>
      <c r="K24" s="1" t="s">
        <v>139</v>
      </c>
      <c r="L24" s="20">
        <v>30</v>
      </c>
    </row>
    <row r="25" spans="2:12">
      <c r="B25" s="1" t="s">
        <v>146</v>
      </c>
      <c r="C25" s="21" t="s">
        <v>147</v>
      </c>
      <c r="D25" s="23">
        <v>60</v>
      </c>
      <c r="F25" s="1" t="s">
        <v>161</v>
      </c>
      <c r="G25" s="21" t="s">
        <v>162</v>
      </c>
      <c r="H25" s="23">
        <v>4</v>
      </c>
      <c r="J25" s="1" t="s">
        <v>145</v>
      </c>
      <c r="K25" s="1" t="s">
        <v>139</v>
      </c>
      <c r="L25" s="20">
        <v>30</v>
      </c>
    </row>
    <row r="26" spans="2:12">
      <c r="C26" s="22" t="s">
        <v>63</v>
      </c>
      <c r="D26" s="20">
        <f>SUM(D21:D25)</f>
        <v>84</v>
      </c>
      <c r="G26" s="22" t="s">
        <v>63</v>
      </c>
      <c r="H26" s="20">
        <f>SUM(H21:H25)</f>
        <v>23</v>
      </c>
      <c r="J26" s="1" t="s">
        <v>163</v>
      </c>
      <c r="K26" s="1" t="s">
        <v>140</v>
      </c>
      <c r="L26" s="20">
        <v>50</v>
      </c>
    </row>
    <row r="27" spans="2:12">
      <c r="J27" s="1" t="s">
        <v>148</v>
      </c>
      <c r="K27" s="1" t="s">
        <v>140</v>
      </c>
      <c r="L27" s="20">
        <v>50</v>
      </c>
    </row>
    <row r="28" spans="2:12">
      <c r="J28" s="1" t="s">
        <v>150</v>
      </c>
      <c r="K28" s="1" t="s">
        <v>140</v>
      </c>
      <c r="L28" s="20">
        <v>50</v>
      </c>
    </row>
    <row r="29" spans="2:12">
      <c r="J29" s="1" t="s">
        <v>164</v>
      </c>
      <c r="K29" s="1" t="s">
        <v>165</v>
      </c>
      <c r="L29" s="20">
        <v>8</v>
      </c>
    </row>
    <row r="30" spans="2:12">
      <c r="J30" s="1" t="s">
        <v>151</v>
      </c>
      <c r="K30" s="1" t="s">
        <v>147</v>
      </c>
      <c r="L30" s="20">
        <v>60</v>
      </c>
    </row>
    <row r="31" spans="2:12">
      <c r="J31" s="1" t="s">
        <v>146</v>
      </c>
      <c r="K31" s="21" t="s">
        <v>147</v>
      </c>
      <c r="L31" s="23">
        <v>60</v>
      </c>
    </row>
    <row r="32" spans="2:12">
      <c r="K32" s="22" t="s">
        <v>63</v>
      </c>
      <c r="L32" s="20">
        <f>SUM(L21:L31)</f>
        <v>402</v>
      </c>
    </row>
    <row r="34" spans="2:12">
      <c r="B34" s="75" t="s">
        <v>32</v>
      </c>
      <c r="C34" s="75"/>
      <c r="D34" s="75"/>
      <c r="F34" s="75" t="s">
        <v>35</v>
      </c>
      <c r="G34" s="75"/>
      <c r="H34" s="75"/>
      <c r="J34" s="75" t="s">
        <v>17</v>
      </c>
      <c r="K34" s="75"/>
      <c r="L34" s="75"/>
    </row>
    <row r="35" spans="2:12">
      <c r="B35" s="24" t="s">
        <v>131</v>
      </c>
      <c r="C35" s="24" t="s">
        <v>132</v>
      </c>
      <c r="D35" s="24" t="s">
        <v>133</v>
      </c>
      <c r="F35" s="24" t="s">
        <v>131</v>
      </c>
      <c r="G35" s="24" t="s">
        <v>132</v>
      </c>
      <c r="H35" s="24" t="s">
        <v>133</v>
      </c>
      <c r="J35" s="24" t="s">
        <v>131</v>
      </c>
      <c r="K35" s="24" t="s">
        <v>132</v>
      </c>
      <c r="L35" s="24" t="s">
        <v>133</v>
      </c>
    </row>
    <row r="36" spans="2:12">
      <c r="B36" s="1" t="s">
        <v>166</v>
      </c>
      <c r="C36" s="1" t="s">
        <v>135</v>
      </c>
      <c r="D36" s="20">
        <v>4</v>
      </c>
      <c r="F36" s="1" t="s">
        <v>166</v>
      </c>
      <c r="G36" s="1" t="s">
        <v>135</v>
      </c>
      <c r="H36" s="20">
        <v>4</v>
      </c>
      <c r="J36" s="1" t="s">
        <v>155</v>
      </c>
      <c r="K36" s="1" t="s">
        <v>135</v>
      </c>
      <c r="L36" s="20">
        <v>4</v>
      </c>
    </row>
    <row r="37" spans="2:12">
      <c r="B37" s="1" t="s">
        <v>167</v>
      </c>
      <c r="C37" s="1" t="s">
        <v>140</v>
      </c>
      <c r="D37" s="20">
        <v>50</v>
      </c>
      <c r="F37" s="1" t="s">
        <v>153</v>
      </c>
      <c r="G37" s="1" t="s">
        <v>135</v>
      </c>
      <c r="H37" s="20">
        <v>4</v>
      </c>
      <c r="J37" s="1" t="s">
        <v>134</v>
      </c>
      <c r="K37" s="1" t="s">
        <v>135</v>
      </c>
      <c r="L37" s="20">
        <v>4</v>
      </c>
    </row>
    <row r="38" spans="2:12">
      <c r="B38" s="1" t="s">
        <v>168</v>
      </c>
      <c r="C38" s="1" t="s">
        <v>140</v>
      </c>
      <c r="D38" s="20">
        <v>50</v>
      </c>
      <c r="F38" s="1" t="s">
        <v>166</v>
      </c>
      <c r="G38" s="1" t="s">
        <v>135</v>
      </c>
      <c r="H38" s="20">
        <v>4</v>
      </c>
      <c r="J38" s="1" t="s">
        <v>167</v>
      </c>
      <c r="K38" s="1" t="s">
        <v>140</v>
      </c>
      <c r="L38" s="20">
        <v>50</v>
      </c>
    </row>
    <row r="39" spans="2:12">
      <c r="B39" s="1" t="s">
        <v>169</v>
      </c>
      <c r="C39" s="1" t="s">
        <v>147</v>
      </c>
      <c r="D39" s="20">
        <v>60</v>
      </c>
      <c r="F39" s="1" t="s">
        <v>170</v>
      </c>
      <c r="G39" s="1" t="s">
        <v>135</v>
      </c>
      <c r="H39" s="20">
        <v>4</v>
      </c>
      <c r="J39" s="1" t="s">
        <v>168</v>
      </c>
      <c r="K39" s="1" t="s">
        <v>140</v>
      </c>
      <c r="L39" s="20">
        <v>50</v>
      </c>
    </row>
    <row r="40" spans="2:12">
      <c r="B40" s="1" t="s">
        <v>170</v>
      </c>
      <c r="C40" s="1" t="s">
        <v>135</v>
      </c>
      <c r="D40" s="20">
        <v>4</v>
      </c>
      <c r="F40" s="1" t="s">
        <v>171</v>
      </c>
      <c r="G40" s="21" t="s">
        <v>172</v>
      </c>
      <c r="H40" s="23">
        <v>2</v>
      </c>
      <c r="J40" s="1" t="s">
        <v>173</v>
      </c>
      <c r="K40" s="21" t="s">
        <v>135</v>
      </c>
      <c r="L40" s="23">
        <v>4</v>
      </c>
    </row>
    <row r="41" spans="2:12">
      <c r="B41" s="1" t="s">
        <v>161</v>
      </c>
      <c r="C41" s="21" t="s">
        <v>162</v>
      </c>
      <c r="D41" s="23">
        <v>4</v>
      </c>
      <c r="G41" s="22" t="s">
        <v>63</v>
      </c>
      <c r="H41" s="20">
        <f>SUM(H36:H40)</f>
        <v>18</v>
      </c>
      <c r="K41" s="22" t="s">
        <v>63</v>
      </c>
      <c r="L41" s="20">
        <f>SUM(L36:L40)</f>
        <v>112</v>
      </c>
    </row>
    <row r="42" spans="2:12">
      <c r="C42" s="22" t="s">
        <v>63</v>
      </c>
      <c r="D42" s="20">
        <f>SUM(D36:D41)</f>
        <v>172</v>
      </c>
    </row>
    <row r="44" spans="2:12">
      <c r="B44" s="75" t="s">
        <v>37</v>
      </c>
      <c r="C44" s="75"/>
      <c r="D44" s="75"/>
    </row>
    <row r="45" spans="2:12">
      <c r="B45" s="24" t="s">
        <v>131</v>
      </c>
      <c r="C45" s="24" t="s">
        <v>132</v>
      </c>
      <c r="D45" s="24" t="s">
        <v>133</v>
      </c>
    </row>
    <row r="46" spans="2:12">
      <c r="B46" s="1" t="s">
        <v>160</v>
      </c>
      <c r="C46" s="1" t="s">
        <v>135</v>
      </c>
      <c r="D46" s="20">
        <v>4</v>
      </c>
    </row>
    <row r="47" spans="2:12">
      <c r="B47" s="1" t="s">
        <v>169</v>
      </c>
      <c r="C47" s="1" t="s">
        <v>140</v>
      </c>
      <c r="D47" s="20">
        <v>50</v>
      </c>
    </row>
    <row r="48" spans="2:12">
      <c r="B48" s="1" t="s">
        <v>161</v>
      </c>
      <c r="C48" s="1" t="s">
        <v>162</v>
      </c>
      <c r="D48" s="20">
        <v>4</v>
      </c>
    </row>
    <row r="49" spans="2:7">
      <c r="B49" s="1" t="s">
        <v>174</v>
      </c>
      <c r="C49" s="21" t="s">
        <v>140</v>
      </c>
      <c r="D49" s="23">
        <v>50</v>
      </c>
    </row>
    <row r="50" spans="2:7">
      <c r="C50" s="22" t="s">
        <v>63</v>
      </c>
      <c r="D50" s="20">
        <f>SUM(D46:D49)</f>
        <v>108</v>
      </c>
    </row>
    <row r="52" spans="2:7">
      <c r="B52" s="100" t="s">
        <v>44</v>
      </c>
      <c r="C52" s="101"/>
      <c r="D52" s="101"/>
      <c r="E52" s="101"/>
      <c r="F52" s="101"/>
      <c r="G52" s="102"/>
    </row>
    <row r="53" spans="2:7" ht="30.75">
      <c r="B53" s="26" t="s">
        <v>175</v>
      </c>
      <c r="C53" s="26" t="s">
        <v>176</v>
      </c>
      <c r="D53" s="27" t="s">
        <v>177</v>
      </c>
      <c r="E53" s="27" t="s">
        <v>178</v>
      </c>
      <c r="F53" s="27" t="s">
        <v>179</v>
      </c>
      <c r="G53" s="26" t="s">
        <v>180</v>
      </c>
    </row>
    <row r="54" spans="2:7">
      <c r="B54" s="1">
        <v>1</v>
      </c>
      <c r="C54" s="1" t="str">
        <f>B6</f>
        <v>Cliente</v>
      </c>
      <c r="D54" s="20">
        <f>D17</f>
        <v>344</v>
      </c>
      <c r="E54" s="20">
        <f>COUNTA(B8:B16)</f>
        <v>9</v>
      </c>
      <c r="F54" s="20">
        <v>7</v>
      </c>
      <c r="G54" s="20">
        <f>E54+(D54*F54)</f>
        <v>2417</v>
      </c>
    </row>
    <row r="55" spans="2:7">
      <c r="B55" s="1">
        <v>2</v>
      </c>
      <c r="C55" s="1" t="str">
        <f>F6</f>
        <v>Colaborador</v>
      </c>
      <c r="D55" s="20">
        <f>H16</f>
        <v>191</v>
      </c>
      <c r="E55" s="20">
        <f>COUNTA(F8:F15)</f>
        <v>8</v>
      </c>
      <c r="F55" s="20">
        <v>3</v>
      </c>
      <c r="G55" s="20">
        <f t="shared" ref="G55:G63" si="0">E55+(D55*F55)</f>
        <v>581</v>
      </c>
    </row>
    <row r="56" spans="2:7">
      <c r="B56" s="1">
        <v>3</v>
      </c>
      <c r="C56" s="1" t="str">
        <f>J6</f>
        <v>Usuario</v>
      </c>
      <c r="D56" s="20">
        <f>L13</f>
        <v>214</v>
      </c>
      <c r="E56" s="20">
        <f>COUNTA(J8:J12)</f>
        <v>5</v>
      </c>
      <c r="F56" s="20">
        <v>3</v>
      </c>
      <c r="G56" s="20">
        <f t="shared" si="0"/>
        <v>647</v>
      </c>
    </row>
    <row r="57" spans="2:7">
      <c r="B57" s="1">
        <v>4</v>
      </c>
      <c r="C57" s="1" t="str">
        <f>B19</f>
        <v>Mantenimiento</v>
      </c>
      <c r="D57" s="20">
        <f>D26</f>
        <v>84</v>
      </c>
      <c r="E57" s="20">
        <f>COUNTA(B21:B25)</f>
        <v>5</v>
      </c>
      <c r="F57" s="20">
        <v>13</v>
      </c>
      <c r="G57" s="20">
        <f t="shared" si="0"/>
        <v>1097</v>
      </c>
    </row>
    <row r="58" spans="2:7">
      <c r="B58" s="1">
        <v>5</v>
      </c>
      <c r="C58" s="1" t="str">
        <f>F19</f>
        <v>Detalle_Mantenimiento</v>
      </c>
      <c r="D58" s="20">
        <f>H26</f>
        <v>23</v>
      </c>
      <c r="E58" s="20">
        <f>COUNTA(F21:F25)</f>
        <v>5</v>
      </c>
      <c r="F58" s="20">
        <v>8</v>
      </c>
      <c r="G58" s="20">
        <f t="shared" si="0"/>
        <v>189</v>
      </c>
    </row>
    <row r="59" spans="2:7">
      <c r="B59" s="1">
        <v>6</v>
      </c>
      <c r="C59" s="1" t="str">
        <f>J19</f>
        <v>Mecánico</v>
      </c>
      <c r="D59" s="20">
        <f>L32</f>
        <v>402</v>
      </c>
      <c r="E59" s="20">
        <f>COUNTA(J21:J31)</f>
        <v>11</v>
      </c>
      <c r="F59" s="20">
        <v>5</v>
      </c>
      <c r="G59" s="20">
        <f t="shared" si="0"/>
        <v>2021</v>
      </c>
    </row>
    <row r="60" spans="2:7">
      <c r="B60" s="1">
        <v>7</v>
      </c>
      <c r="C60" s="1" t="str">
        <f>B34</f>
        <v>Repuesto</v>
      </c>
      <c r="D60" s="20">
        <f>D42</f>
        <v>172</v>
      </c>
      <c r="E60" s="20">
        <f>COUNTA(B36:B41)</f>
        <v>6</v>
      </c>
      <c r="F60" s="20">
        <v>6</v>
      </c>
      <c r="G60" s="20">
        <f t="shared" si="0"/>
        <v>1038</v>
      </c>
    </row>
    <row r="61" spans="2:7">
      <c r="B61" s="1">
        <v>8</v>
      </c>
      <c r="C61" s="1" t="str">
        <f>F34</f>
        <v>Detalle_Repuesto</v>
      </c>
      <c r="D61" s="20">
        <f>H41</f>
        <v>18</v>
      </c>
      <c r="E61" s="20">
        <f>COUNTA(F36:F40)</f>
        <v>5</v>
      </c>
      <c r="F61" s="20">
        <v>7</v>
      </c>
      <c r="G61" s="20">
        <f t="shared" si="0"/>
        <v>131</v>
      </c>
    </row>
    <row r="62" spans="2:7">
      <c r="B62" s="1">
        <v>9</v>
      </c>
      <c r="C62" s="1" t="str">
        <f>J34</f>
        <v>Vehículo</v>
      </c>
      <c r="D62" s="20">
        <f>L41</f>
        <v>112</v>
      </c>
      <c r="E62" s="20">
        <f>COUNTA(J36:J40)</f>
        <v>5</v>
      </c>
      <c r="F62" s="20">
        <v>10</v>
      </c>
      <c r="G62" s="20">
        <f t="shared" si="0"/>
        <v>1125</v>
      </c>
    </row>
    <row r="63" spans="2:7">
      <c r="B63" s="1">
        <v>10</v>
      </c>
      <c r="C63" s="1" t="str">
        <f>B44</f>
        <v>Servicio</v>
      </c>
      <c r="D63" s="20">
        <f>D50</f>
        <v>108</v>
      </c>
      <c r="E63" s="20">
        <f>COUNTA(B46:B49)</f>
        <v>4</v>
      </c>
      <c r="F63" s="23">
        <v>8</v>
      </c>
      <c r="G63" s="23">
        <f t="shared" si="0"/>
        <v>868</v>
      </c>
    </row>
    <row r="64" spans="2:7">
      <c r="F64" s="22" t="s">
        <v>181</v>
      </c>
      <c r="G64" s="20">
        <f>SUM(G54:G63)</f>
        <v>10114</v>
      </c>
    </row>
    <row r="66" spans="4:5">
      <c r="D66" s="28" t="s">
        <v>182</v>
      </c>
      <c r="E66" s="1">
        <f>G64/1024</f>
        <v>9.876953125</v>
      </c>
    </row>
    <row r="67" spans="4:5">
      <c r="D67" s="28" t="s">
        <v>183</v>
      </c>
      <c r="E67" s="1">
        <f>C2</f>
        <v>8192</v>
      </c>
    </row>
    <row r="68" spans="4:5">
      <c r="D68" s="28" t="s">
        <v>184</v>
      </c>
      <c r="E68" s="1">
        <f>SUM(E66:E67)</f>
        <v>8201.876953125</v>
      </c>
    </row>
    <row r="70" spans="4:5">
      <c r="D70" s="28" t="s">
        <v>185</v>
      </c>
      <c r="E70" s="1">
        <f>E68/'3. Punto de Función'!C15</f>
        <v>1857.3090926460593</v>
      </c>
    </row>
  </sheetData>
  <mergeCells count="11">
    <mergeCell ref="B52:G52"/>
    <mergeCell ref="B34:D34"/>
    <mergeCell ref="F34:H34"/>
    <mergeCell ref="J34:L34"/>
    <mergeCell ref="B44:D44"/>
    <mergeCell ref="B6:D6"/>
    <mergeCell ref="F6:H6"/>
    <mergeCell ref="J6:L6"/>
    <mergeCell ref="B19:D19"/>
    <mergeCell ref="F19:H19"/>
    <mergeCell ref="J19:L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9764-0860-447D-8AD9-09541C337398}">
  <dimension ref="B2:R53"/>
  <sheetViews>
    <sheetView showGridLines="0" showRowColHeaders="0" tabSelected="1" topLeftCell="A37" workbookViewId="0">
      <selection activeCell="B47" sqref="B47:C47"/>
    </sheetView>
  </sheetViews>
  <sheetFormatPr defaultRowHeight="15"/>
  <cols>
    <col min="2" max="2" width="18.140625" customWidth="1"/>
    <col min="3" max="3" width="10.28515625" customWidth="1"/>
    <col min="4" max="5" width="14" customWidth="1"/>
    <col min="6" max="6" width="15.85546875" customWidth="1"/>
    <col min="9" max="9" width="14.7109375" customWidth="1"/>
    <col min="10" max="10" width="19.5703125" customWidth="1"/>
    <col min="11" max="11" width="13.5703125" customWidth="1"/>
    <col min="12" max="12" width="20.7109375" customWidth="1"/>
    <col min="13" max="13" width="23.85546875" customWidth="1"/>
    <col min="14" max="14" width="20.7109375" customWidth="1"/>
    <col min="15" max="15" width="21.140625" customWidth="1"/>
    <col min="16" max="16" width="16.5703125" customWidth="1"/>
    <col min="17" max="17" width="19.85546875" customWidth="1"/>
    <col min="18" max="18" width="23.42578125" customWidth="1"/>
  </cols>
  <sheetData>
    <row r="2" spans="3:18">
      <c r="C2" s="110" t="s">
        <v>77</v>
      </c>
      <c r="D2" s="106">
        <f>'3. Punto de Función'!C15</f>
        <v>4.4160000000000013</v>
      </c>
    </row>
    <row r="3" spans="3:18">
      <c r="C3" s="111" t="s">
        <v>91</v>
      </c>
      <c r="D3" s="107">
        <f>'5. Estimación del esfuerzo'!C12</f>
        <v>9.7597730365419828</v>
      </c>
    </row>
    <row r="4" spans="3:18">
      <c r="C4" s="112" t="s">
        <v>98</v>
      </c>
      <c r="D4" s="108">
        <f>'5. Estimación del esfuerzo'!C20</f>
        <v>5</v>
      </c>
    </row>
    <row r="5" spans="3:18">
      <c r="C5" s="113" t="s">
        <v>110</v>
      </c>
      <c r="D5" s="109">
        <f>'5. Estimación del esfuerzo'!C27</f>
        <v>2</v>
      </c>
      <c r="L5" s="38" t="s">
        <v>186</v>
      </c>
      <c r="M5" s="38" t="s">
        <v>187</v>
      </c>
      <c r="N5" s="38" t="s">
        <v>188</v>
      </c>
      <c r="O5" s="38" t="s">
        <v>189</v>
      </c>
      <c r="P5" s="38" t="s">
        <v>190</v>
      </c>
      <c r="Q5" s="38" t="s">
        <v>191</v>
      </c>
      <c r="R5" s="38" t="s">
        <v>192</v>
      </c>
    </row>
    <row r="6" spans="3:18">
      <c r="L6" s="38" t="s">
        <v>193</v>
      </c>
      <c r="M6" s="39"/>
      <c r="N6" s="40">
        <v>2</v>
      </c>
      <c r="O6" s="40">
        <v>8</v>
      </c>
      <c r="P6" s="41">
        <v>32</v>
      </c>
      <c r="Q6" s="41">
        <v>128</v>
      </c>
      <c r="R6" s="41">
        <v>512</v>
      </c>
    </row>
    <row r="7" spans="3:18">
      <c r="L7" s="92" t="s">
        <v>194</v>
      </c>
      <c r="M7" s="39" t="s">
        <v>195</v>
      </c>
      <c r="N7" s="42">
        <v>7.0000000000000007E-2</v>
      </c>
      <c r="O7" s="42">
        <v>7.0000000000000007E-2</v>
      </c>
      <c r="P7" s="43">
        <v>7.0000000000000007E-2</v>
      </c>
      <c r="Q7" s="43">
        <v>7.0000000000000007E-2</v>
      </c>
      <c r="R7" s="43">
        <v>7.0000000000000007E-2</v>
      </c>
    </row>
    <row r="8" spans="3:18">
      <c r="L8" s="92"/>
      <c r="M8" s="39" t="s">
        <v>196</v>
      </c>
      <c r="N8" s="42">
        <v>0.17</v>
      </c>
      <c r="O8" s="42">
        <v>0.17</v>
      </c>
      <c r="P8" s="43">
        <v>0.17</v>
      </c>
      <c r="Q8" s="43">
        <v>0.17</v>
      </c>
      <c r="R8" s="43">
        <v>0.17</v>
      </c>
    </row>
    <row r="9" spans="3:18">
      <c r="L9" s="92"/>
      <c r="M9" s="39" t="s">
        <v>197</v>
      </c>
      <c r="N9" s="42">
        <v>0.64</v>
      </c>
      <c r="O9" s="42">
        <v>0.61</v>
      </c>
      <c r="P9" s="43">
        <v>0.57999999999999996</v>
      </c>
      <c r="Q9" s="43">
        <v>0.55000000000000004</v>
      </c>
      <c r="R9" s="43">
        <v>0.52</v>
      </c>
    </row>
    <row r="10" spans="3:18">
      <c r="C10" s="19">
        <f>(D2-N6)/(O6-N6)</f>
        <v>0.40266666666666689</v>
      </c>
      <c r="L10" s="92"/>
      <c r="M10" s="39" t="s">
        <v>198</v>
      </c>
      <c r="N10" s="44">
        <v>0.27</v>
      </c>
      <c r="O10" s="42">
        <v>0.26</v>
      </c>
      <c r="P10" s="43">
        <v>0.25</v>
      </c>
      <c r="Q10" s="43">
        <v>0.24</v>
      </c>
      <c r="R10" s="43">
        <v>0.23</v>
      </c>
    </row>
    <row r="11" spans="3:18">
      <c r="L11" s="92"/>
      <c r="M11" s="39" t="s">
        <v>199</v>
      </c>
      <c r="N11" s="42">
        <v>0.37</v>
      </c>
      <c r="O11" s="42">
        <v>0.35</v>
      </c>
      <c r="P11" s="43">
        <v>0.33</v>
      </c>
      <c r="Q11" s="43">
        <v>0.31</v>
      </c>
      <c r="R11" s="43">
        <v>0.28999999999999998</v>
      </c>
    </row>
    <row r="12" spans="3:18">
      <c r="L12" s="92"/>
      <c r="M12" s="39" t="s">
        <v>200</v>
      </c>
      <c r="N12" s="42">
        <v>0.19</v>
      </c>
      <c r="O12" s="42">
        <v>0.22</v>
      </c>
      <c r="P12" s="43">
        <v>0.25</v>
      </c>
      <c r="Q12" s="45">
        <v>0.28000000000000003</v>
      </c>
      <c r="R12" s="43">
        <v>0.31</v>
      </c>
    </row>
    <row r="13" spans="3:18" ht="25.5" customHeight="1">
      <c r="L13" s="46" t="s">
        <v>201</v>
      </c>
      <c r="M13" s="39"/>
      <c r="N13" s="42"/>
      <c r="O13" s="42"/>
      <c r="P13" s="43"/>
      <c r="Q13" s="43"/>
      <c r="R13" s="43"/>
    </row>
    <row r="14" spans="3:18">
      <c r="L14" s="92" t="s">
        <v>194</v>
      </c>
      <c r="M14" s="39" t="s">
        <v>195</v>
      </c>
      <c r="N14" s="42">
        <v>0.16</v>
      </c>
      <c r="O14" s="42">
        <v>0.18</v>
      </c>
      <c r="P14" s="43">
        <v>0.2</v>
      </c>
      <c r="Q14" s="43">
        <v>0.22</v>
      </c>
      <c r="R14" s="43">
        <v>0.24</v>
      </c>
    </row>
    <row r="15" spans="3:18">
      <c r="L15" s="92"/>
      <c r="M15" s="39" t="s">
        <v>196</v>
      </c>
      <c r="N15" s="42">
        <v>0.24</v>
      </c>
      <c r="O15" s="42">
        <v>0.25</v>
      </c>
      <c r="P15" s="43">
        <v>0.26</v>
      </c>
      <c r="Q15" s="43">
        <v>0.27</v>
      </c>
      <c r="R15" s="43">
        <v>0.28000000000000003</v>
      </c>
    </row>
    <row r="16" spans="3:18">
      <c r="L16" s="92"/>
      <c r="M16" s="39" t="s">
        <v>197</v>
      </c>
      <c r="N16" s="42">
        <v>0.56000000000000005</v>
      </c>
      <c r="O16" s="42">
        <v>0.52</v>
      </c>
      <c r="P16" s="43">
        <v>0.48</v>
      </c>
      <c r="Q16" s="43">
        <v>0.44</v>
      </c>
      <c r="R16" s="43">
        <v>0.4</v>
      </c>
    </row>
    <row r="17" spans="2:18">
      <c r="L17" s="92"/>
      <c r="M17" s="39" t="s">
        <v>202</v>
      </c>
      <c r="N17" s="43">
        <v>0.2</v>
      </c>
      <c r="O17" s="43">
        <v>0.23</v>
      </c>
      <c r="P17" s="43">
        <v>0.26</v>
      </c>
      <c r="Q17" s="43">
        <v>0.28999999999999998</v>
      </c>
      <c r="R17" s="43">
        <v>0.32</v>
      </c>
    </row>
    <row r="19" spans="2:18">
      <c r="I19" s="87" t="s">
        <v>203</v>
      </c>
      <c r="J19" s="87"/>
      <c r="K19" s="87"/>
      <c r="M19" s="94" t="s">
        <v>204</v>
      </c>
      <c r="N19" s="94"/>
    </row>
    <row r="20" spans="2:18">
      <c r="B20" s="26" t="s">
        <v>205</v>
      </c>
      <c r="C20" s="26" t="s">
        <v>206</v>
      </c>
      <c r="D20" s="26" t="s">
        <v>207</v>
      </c>
      <c r="E20" s="26" t="s">
        <v>208</v>
      </c>
      <c r="F20" s="26" t="s">
        <v>98</v>
      </c>
      <c r="G20" s="26" t="s">
        <v>110</v>
      </c>
      <c r="H20" s="26" t="s">
        <v>209</v>
      </c>
      <c r="I20" s="51" t="s">
        <v>210</v>
      </c>
      <c r="J20" s="51" t="s">
        <v>211</v>
      </c>
      <c r="K20" s="51" t="s">
        <v>212</v>
      </c>
      <c r="M20" s="1" t="str">
        <f>I20</f>
        <v>Jefe de Proyecto</v>
      </c>
      <c r="N20" s="47">
        <v>700</v>
      </c>
    </row>
    <row r="21" spans="2:18">
      <c r="B21" s="26" t="s">
        <v>213</v>
      </c>
      <c r="C21" s="52">
        <f>N7</f>
        <v>7.0000000000000007E-2</v>
      </c>
      <c r="D21" s="4">
        <f>$D$3*C21</f>
        <v>0.68318411255793887</v>
      </c>
      <c r="E21" s="52">
        <f>N14+$C$10*(O14-N14)</f>
        <v>0.16805333333333333</v>
      </c>
      <c r="F21" s="4">
        <f>$D$4*E21</f>
        <v>0.84026666666666672</v>
      </c>
      <c r="G21" s="4">
        <f>D21/F21</f>
        <v>0.81305630659862604</v>
      </c>
      <c r="H21" s="4">
        <f>ROUND(G21,0)</f>
        <v>1</v>
      </c>
      <c r="I21" s="4">
        <v>1</v>
      </c>
      <c r="J21" s="4">
        <v>0</v>
      </c>
      <c r="K21" s="4">
        <v>0</v>
      </c>
      <c r="M21" s="1" t="str">
        <f>J20</f>
        <v>Analista Programador</v>
      </c>
      <c r="N21" s="47">
        <v>540</v>
      </c>
    </row>
    <row r="22" spans="2:18">
      <c r="B22" s="26" t="s">
        <v>196</v>
      </c>
      <c r="C22" s="52">
        <f>N8</f>
        <v>0.17</v>
      </c>
      <c r="D22" s="4">
        <f t="shared" ref="D22:D24" si="0">$D$3*C22</f>
        <v>1.6591614162121371</v>
      </c>
      <c r="E22" s="52">
        <f t="shared" ref="E22:E24" si="1">N15+$C$10*(O15-N15)</f>
        <v>0.24402666666666667</v>
      </c>
      <c r="F22" s="4">
        <f t="shared" ref="F22:F24" si="2">$D$4*E22</f>
        <v>1.2201333333333333</v>
      </c>
      <c r="G22" s="4">
        <f>D22/F22</f>
        <v>1.3598197597629798</v>
      </c>
      <c r="H22" s="4">
        <f t="shared" ref="H22:H24" si="3">ROUND(G22,0)</f>
        <v>1</v>
      </c>
      <c r="I22" s="4">
        <v>1</v>
      </c>
      <c r="J22" s="4">
        <v>0</v>
      </c>
      <c r="K22" s="4">
        <v>0</v>
      </c>
      <c r="M22" s="1" t="str">
        <f>K20</f>
        <v>Programador</v>
      </c>
      <c r="N22" s="47">
        <v>250</v>
      </c>
    </row>
    <row r="23" spans="2:18">
      <c r="B23" s="26" t="s">
        <v>214</v>
      </c>
      <c r="C23" s="52">
        <f>N9+$C$10*(O9-N9)</f>
        <v>0.62792000000000003</v>
      </c>
      <c r="D23" s="4">
        <f t="shared" si="0"/>
        <v>6.1283566851054418</v>
      </c>
      <c r="E23" s="52">
        <f t="shared" si="1"/>
        <v>0.54389333333333334</v>
      </c>
      <c r="F23" s="4">
        <f t="shared" si="2"/>
        <v>2.7194666666666665</v>
      </c>
      <c r="G23" s="4">
        <f>D23/F23</f>
        <v>2.2535141762252802</v>
      </c>
      <c r="H23" s="4">
        <f t="shared" si="3"/>
        <v>2</v>
      </c>
      <c r="I23" s="4">
        <v>1</v>
      </c>
      <c r="J23" s="4">
        <v>0</v>
      </c>
      <c r="K23" s="4">
        <v>1</v>
      </c>
    </row>
    <row r="24" spans="2:18">
      <c r="B24" s="26" t="s">
        <v>215</v>
      </c>
      <c r="C24" s="52">
        <f>N12+$C$10*(O12-N12)</f>
        <v>0.20208000000000001</v>
      </c>
      <c r="D24" s="4">
        <f t="shared" si="0"/>
        <v>1.9722549352244039</v>
      </c>
      <c r="E24" s="52">
        <f t="shared" si="1"/>
        <v>0.21208000000000002</v>
      </c>
      <c r="F24" s="4">
        <f t="shared" si="2"/>
        <v>1.0604</v>
      </c>
      <c r="G24" s="4">
        <f>D24/F24</f>
        <v>1.859916008321769</v>
      </c>
      <c r="H24" s="4">
        <f t="shared" si="3"/>
        <v>2</v>
      </c>
      <c r="I24" s="4">
        <v>1</v>
      </c>
      <c r="J24" s="4">
        <v>0</v>
      </c>
      <c r="K24" s="4">
        <v>1</v>
      </c>
    </row>
    <row r="25" spans="2:18">
      <c r="C25" s="53">
        <f>SUM(C22:C24)</f>
        <v>1</v>
      </c>
      <c r="D25" s="54">
        <f t="shared" ref="D25:E25" si="4">SUM(D22:D24)</f>
        <v>9.7597730365419828</v>
      </c>
      <c r="E25" s="53">
        <f t="shared" si="4"/>
        <v>1</v>
      </c>
      <c r="F25" s="55">
        <f>SUM(F22:F24)</f>
        <v>5</v>
      </c>
    </row>
    <row r="27" spans="2:18">
      <c r="B27" s="90" t="s">
        <v>216</v>
      </c>
      <c r="C27" s="90"/>
      <c r="D27" s="90"/>
    </row>
    <row r="28" spans="2:18">
      <c r="B28" s="90" t="s">
        <v>217</v>
      </c>
      <c r="C28" s="90"/>
      <c r="D28" s="90"/>
      <c r="E28" s="90"/>
      <c r="F28" s="90"/>
      <c r="G28" s="90"/>
      <c r="H28" s="90"/>
      <c r="I28" s="90"/>
    </row>
    <row r="29" spans="2:18">
      <c r="B29" s="90" t="s">
        <v>218</v>
      </c>
      <c r="C29" s="90"/>
      <c r="D29" s="90"/>
    </row>
    <row r="31" spans="2:18">
      <c r="B31" s="93" t="s">
        <v>219</v>
      </c>
      <c r="C31" s="93"/>
      <c r="E31" s="93" t="s">
        <v>220</v>
      </c>
      <c r="F31" s="93"/>
      <c r="J31" s="95" t="s">
        <v>221</v>
      </c>
      <c r="K31" s="95"/>
    </row>
    <row r="32" spans="2:18">
      <c r="B32" s="49" t="s">
        <v>222</v>
      </c>
      <c r="C32" s="47">
        <f>(F21*I21*$N$20)+(F21*J21*$N$21)+(F21*K21*$N$22)</f>
        <v>588.18666666666672</v>
      </c>
      <c r="E32" s="49" t="s">
        <v>223</v>
      </c>
      <c r="F32" s="47">
        <f>F21*H21*$K$40</f>
        <v>10.042447066666668</v>
      </c>
      <c r="J32" s="1" t="s">
        <v>224</v>
      </c>
      <c r="K32" s="1" t="s">
        <v>225</v>
      </c>
    </row>
    <row r="33" spans="2:11">
      <c r="B33" s="49" t="s">
        <v>226</v>
      </c>
      <c r="C33" s="47">
        <f t="shared" ref="C33:C35" si="5">(F22*I22*$N$20)+(F22*J22*$N$21)+(F22*K22*$N$22)</f>
        <v>854.09333333333325</v>
      </c>
      <c r="E33" s="49" t="s">
        <v>227</v>
      </c>
      <c r="F33" s="47">
        <f t="shared" ref="F33:F35" si="6">F22*H22*$K$40</f>
        <v>14.582423533333333</v>
      </c>
      <c r="J33" s="1">
        <v>8</v>
      </c>
      <c r="K33" s="1">
        <v>2.2000000000000002</v>
      </c>
    </row>
    <row r="34" spans="2:11">
      <c r="B34" s="49" t="s">
        <v>228</v>
      </c>
      <c r="C34" s="47">
        <f t="shared" si="5"/>
        <v>2583.4933333333333</v>
      </c>
      <c r="E34" s="49" t="s">
        <v>229</v>
      </c>
      <c r="F34" s="47">
        <f t="shared" si="6"/>
        <v>65.003411733333337</v>
      </c>
      <c r="J34" s="1">
        <v>205</v>
      </c>
      <c r="K34" s="1">
        <f>(J34*K33)/J33</f>
        <v>56.375000000000007</v>
      </c>
    </row>
    <row r="35" spans="2:11">
      <c r="B35" s="49" t="s">
        <v>230</v>
      </c>
      <c r="C35" s="47">
        <f t="shared" si="5"/>
        <v>1007.38</v>
      </c>
      <c r="E35" s="49" t="s">
        <v>231</v>
      </c>
      <c r="F35" s="47">
        <f t="shared" si="6"/>
        <v>25.346741200000004</v>
      </c>
    </row>
    <row r="36" spans="2:11">
      <c r="B36" s="49" t="s">
        <v>63</v>
      </c>
      <c r="C36" s="50">
        <f>SUM(C32:C35)</f>
        <v>5033.1533333333336</v>
      </c>
      <c r="E36" s="49" t="s">
        <v>63</v>
      </c>
      <c r="F36" s="50">
        <f>SUM(F32:F35)</f>
        <v>114.97502353333334</v>
      </c>
      <c r="J36" s="95" t="s">
        <v>232</v>
      </c>
      <c r="K36" s="95"/>
    </row>
    <row r="37" spans="2:11">
      <c r="J37" s="10" t="s">
        <v>224</v>
      </c>
      <c r="K37" s="10" t="s">
        <v>233</v>
      </c>
    </row>
    <row r="38" spans="2:11">
      <c r="B38" s="93" t="s">
        <v>234</v>
      </c>
      <c r="C38" s="93"/>
      <c r="E38" s="93" t="s">
        <v>235</v>
      </c>
      <c r="F38" s="93"/>
      <c r="J38" s="1">
        <v>1</v>
      </c>
      <c r="K38" s="1">
        <v>0.21199999999999999</v>
      </c>
    </row>
    <row r="39" spans="2:11">
      <c r="B39" s="49" t="s">
        <v>236</v>
      </c>
      <c r="C39" s="47">
        <f>F21*'Lista de Materiales'!$I$15</f>
        <v>2.3075142190735694</v>
      </c>
      <c r="E39" s="49" t="s">
        <v>63</v>
      </c>
      <c r="F39" s="50">
        <f>SUM(N20:N22)</f>
        <v>1490</v>
      </c>
    </row>
    <row r="40" spans="2:11">
      <c r="B40" s="49" t="s">
        <v>237</v>
      </c>
      <c r="C40" s="47">
        <f>F22*'Lista de Materiales'!$I$15</f>
        <v>3.3506922594005446</v>
      </c>
      <c r="J40" s="1" t="s">
        <v>238</v>
      </c>
      <c r="K40" s="1">
        <f>K38*K34</f>
        <v>11.951500000000001</v>
      </c>
    </row>
    <row r="41" spans="2:11">
      <c r="B41" s="49" t="s">
        <v>239</v>
      </c>
      <c r="C41" s="47">
        <f>F23*'Lista de Materiales'!$I$15</f>
        <v>7.4681148861035407</v>
      </c>
    </row>
    <row r="42" spans="2:11">
      <c r="B42" s="49" t="s">
        <v>240</v>
      </c>
      <c r="C42" s="47">
        <f>F24*'Lista de Materiales'!$I$15</f>
        <v>2.9120375411444139</v>
      </c>
    </row>
    <row r="43" spans="2:11">
      <c r="B43" s="49" t="s">
        <v>63</v>
      </c>
      <c r="C43" s="50">
        <f>SUM(C39:C42)</f>
        <v>16.038358905722067</v>
      </c>
      <c r="F43" s="104" t="s">
        <v>241</v>
      </c>
    </row>
    <row r="44" spans="2:11">
      <c r="F44" s="103">
        <v>36.700000000000003</v>
      </c>
    </row>
    <row r="46" spans="2:11">
      <c r="D46" s="105" t="s">
        <v>242</v>
      </c>
      <c r="E46" s="105" t="s">
        <v>243</v>
      </c>
    </row>
    <row r="47" spans="2:11">
      <c r="B47" s="117" t="s">
        <v>244</v>
      </c>
      <c r="C47" s="118"/>
      <c r="D47" s="65">
        <f>C36+F36+F39+C43</f>
        <v>6654.1667157723887</v>
      </c>
      <c r="E47" s="58">
        <f>D47*F44</f>
        <v>244207.91846884668</v>
      </c>
    </row>
    <row r="49" spans="5:9">
      <c r="I49" s="56"/>
    </row>
    <row r="51" spans="5:9">
      <c r="E51" s="57"/>
      <c r="F51" s="57"/>
    </row>
    <row r="52" spans="5:9">
      <c r="E52" s="48"/>
    </row>
    <row r="53" spans="5:9">
      <c r="E53" s="57"/>
    </row>
  </sheetData>
  <mergeCells count="14">
    <mergeCell ref="M19:N19"/>
    <mergeCell ref="B28:I28"/>
    <mergeCell ref="B27:D27"/>
    <mergeCell ref="B47:C47"/>
    <mergeCell ref="J31:K31"/>
    <mergeCell ref="J36:K36"/>
    <mergeCell ref="L7:L12"/>
    <mergeCell ref="L14:L17"/>
    <mergeCell ref="I19:K19"/>
    <mergeCell ref="B38:C38"/>
    <mergeCell ref="E38:F38"/>
    <mergeCell ref="B29:D29"/>
    <mergeCell ref="B31:C31"/>
    <mergeCell ref="E31:F31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EF37-A762-4572-B2BA-6C4407517BE9}">
  <dimension ref="D3:M15"/>
  <sheetViews>
    <sheetView showGridLines="0" workbookViewId="0">
      <selection activeCell="I19" sqref="I19"/>
    </sheetView>
  </sheetViews>
  <sheetFormatPr defaultRowHeight="15"/>
  <cols>
    <col min="4" max="4" width="14.7109375" customWidth="1"/>
    <col min="5" max="5" width="18.7109375" customWidth="1"/>
    <col min="6" max="6" width="11" customWidth="1"/>
    <col min="7" max="7" width="12.28515625" customWidth="1"/>
    <col min="8" max="8" width="10.42578125" customWidth="1"/>
    <col min="9" max="9" width="16.5703125" customWidth="1"/>
  </cols>
  <sheetData>
    <row r="3" spans="4:13">
      <c r="D3" s="105" t="s">
        <v>245</v>
      </c>
      <c r="E3" s="105" t="s">
        <v>246</v>
      </c>
      <c r="F3" s="105" t="s">
        <v>247</v>
      </c>
      <c r="G3" s="105" t="s">
        <v>248</v>
      </c>
      <c r="H3" s="105" t="s">
        <v>249</v>
      </c>
      <c r="I3" s="105" t="s">
        <v>250</v>
      </c>
    </row>
    <row r="4" spans="4:13">
      <c r="D4" s="4" t="s">
        <v>251</v>
      </c>
      <c r="E4" s="4">
        <v>10</v>
      </c>
      <c r="F4" s="58">
        <f>2*E4</f>
        <v>20</v>
      </c>
      <c r="G4" s="58">
        <f>1*E4</f>
        <v>10</v>
      </c>
      <c r="H4" s="58">
        <f>1.5*E4</f>
        <v>15</v>
      </c>
      <c r="I4" s="58">
        <f>SMALL(F4:H4,1)</f>
        <v>10</v>
      </c>
    </row>
    <row r="5" spans="4:13">
      <c r="D5" s="4" t="s">
        <v>252</v>
      </c>
      <c r="E5" s="4">
        <v>2</v>
      </c>
      <c r="F5" s="58">
        <f>6.52*E5</f>
        <v>13.04</v>
      </c>
      <c r="G5" s="58">
        <f>7.71*E5</f>
        <v>15.42</v>
      </c>
      <c r="H5" s="58"/>
      <c r="I5" s="58">
        <f>SMALL(F5:H5,1)</f>
        <v>13.04</v>
      </c>
    </row>
    <row r="6" spans="4:13">
      <c r="D6" s="4" t="s">
        <v>253</v>
      </c>
      <c r="E6" s="4">
        <v>3</v>
      </c>
      <c r="F6" s="58">
        <f>(53.17/12)*E6</f>
        <v>13.2925</v>
      </c>
      <c r="G6" s="58">
        <f>5.49*E6</f>
        <v>16.47</v>
      </c>
      <c r="H6" s="58">
        <f>(0.4*M7)*E6</f>
        <v>44.040000000000006</v>
      </c>
      <c r="I6" s="58">
        <f t="shared" ref="I6:I12" si="0">SMALL(F6:H6,1)</f>
        <v>13.2925</v>
      </c>
      <c r="M6" s="3" t="s">
        <v>254</v>
      </c>
    </row>
    <row r="7" spans="4:13">
      <c r="D7" s="4" t="s">
        <v>255</v>
      </c>
      <c r="E7" s="4">
        <v>1</v>
      </c>
      <c r="F7" s="58">
        <f>281.29/100</f>
        <v>2.8129000000000004</v>
      </c>
      <c r="G7" s="58">
        <f>48.09/10</f>
        <v>4.8090000000000002</v>
      </c>
      <c r="H7" s="58">
        <f>319.98/12</f>
        <v>26.665000000000003</v>
      </c>
      <c r="I7" s="58">
        <f t="shared" si="0"/>
        <v>2.8129000000000004</v>
      </c>
      <c r="M7" s="63">
        <v>36.700000000000003</v>
      </c>
    </row>
    <row r="8" spans="4:13">
      <c r="D8" s="4" t="s">
        <v>256</v>
      </c>
      <c r="E8" s="59">
        <f>1/6</f>
        <v>0.16666666666666666</v>
      </c>
      <c r="F8" s="58">
        <f>49.04*E8</f>
        <v>8.173333333333332</v>
      </c>
      <c r="G8" s="58">
        <f>59.51*E8</f>
        <v>9.918333333333333</v>
      </c>
      <c r="H8" s="58">
        <f>(4.13*M7)*E8</f>
        <v>25.261833333333332</v>
      </c>
      <c r="I8" s="58">
        <f t="shared" si="0"/>
        <v>8.173333333333332</v>
      </c>
    </row>
    <row r="9" spans="4:13">
      <c r="D9" s="4" t="s">
        <v>257</v>
      </c>
      <c r="E9" s="59">
        <f>1/6</f>
        <v>0.16666666666666666</v>
      </c>
      <c r="F9" s="58">
        <f>30.13*E9</f>
        <v>5.0216666666666665</v>
      </c>
      <c r="G9" s="58">
        <f>37.03*E9</f>
        <v>6.1716666666666669</v>
      </c>
      <c r="H9" s="58"/>
      <c r="I9" s="58">
        <f t="shared" si="0"/>
        <v>5.0216666666666665</v>
      </c>
    </row>
    <row r="10" spans="4:13">
      <c r="D10" s="4" t="s">
        <v>258</v>
      </c>
      <c r="E10" s="4">
        <v>2</v>
      </c>
      <c r="F10" s="58">
        <f>23.16*E10</f>
        <v>46.32</v>
      </c>
      <c r="G10" s="58">
        <f>12.28*E10</f>
        <v>24.56</v>
      </c>
      <c r="H10" s="58">
        <f>(0.3*M7)*E10</f>
        <v>22.02</v>
      </c>
      <c r="I10" s="58">
        <f t="shared" si="0"/>
        <v>22.02</v>
      </c>
    </row>
    <row r="11" spans="4:13">
      <c r="D11" s="34" t="s">
        <v>259</v>
      </c>
      <c r="E11" s="34">
        <v>2</v>
      </c>
      <c r="F11" s="60">
        <f>8.86*E11</f>
        <v>17.72</v>
      </c>
      <c r="G11" s="60">
        <f>10.48*E11</f>
        <v>20.96</v>
      </c>
      <c r="H11" s="60">
        <f>0.24*M7*E11</f>
        <v>17.616</v>
      </c>
      <c r="I11" s="58">
        <f t="shared" si="0"/>
        <v>17.616</v>
      </c>
    </row>
    <row r="12" spans="4:13">
      <c r="D12" s="34" t="s">
        <v>260</v>
      </c>
      <c r="E12" s="34">
        <v>2</v>
      </c>
      <c r="F12" s="60">
        <f>5.97*E12</f>
        <v>11.94</v>
      </c>
      <c r="G12" s="60">
        <f>7.87*E12</f>
        <v>15.74</v>
      </c>
      <c r="H12" s="60">
        <f>0.12*M7*E12</f>
        <v>8.8079999999999998</v>
      </c>
      <c r="I12" s="60">
        <f t="shared" si="0"/>
        <v>8.8079999999999998</v>
      </c>
    </row>
    <row r="13" spans="4:13">
      <c r="D13" s="115" t="s">
        <v>261</v>
      </c>
      <c r="E13" s="116"/>
      <c r="F13" s="61">
        <f>SUM(F4:F12)</f>
        <v>138.32040000000001</v>
      </c>
      <c r="G13" s="61">
        <f t="shared" ref="G13:H13" si="1">SUM(G4:G12)</f>
        <v>124.04899999999999</v>
      </c>
      <c r="H13" s="61">
        <f t="shared" si="1"/>
        <v>159.41083333333336</v>
      </c>
      <c r="I13" s="62">
        <f>SUM(I4:I12)</f>
        <v>100.78440000000001</v>
      </c>
    </row>
    <row r="15" spans="4:13">
      <c r="G15" s="114" t="s">
        <v>262</v>
      </c>
      <c r="H15" s="114"/>
      <c r="I15" s="64">
        <f>I13/M7</f>
        <v>2.7461689373297</v>
      </c>
    </row>
  </sheetData>
  <mergeCells count="2">
    <mergeCell ref="G15:H15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Maynor Antonio Cruz Paramo</cp:lastModifiedBy>
  <cp:revision/>
  <dcterms:created xsi:type="dcterms:W3CDTF">2023-01-24T02:45:11Z</dcterms:created>
  <dcterms:modified xsi:type="dcterms:W3CDTF">2023-02-01T19:58:25Z</dcterms:modified>
  <cp:category/>
  <cp:contentStatus/>
</cp:coreProperties>
</file>