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29"/>
  <workbookPr defaultThemeVersion="166925"/>
  <xr:revisionPtr revIDLastSave="531" documentId="11_9248B46DC1CBB2E3ED7FF6F9903E8C1851038383" xr6:coauthVersionLast="47" xr6:coauthVersionMax="47" xr10:uidLastSave="{6A037100-E422-44BD-95DF-91221EC9980A}"/>
  <bookViews>
    <workbookView xWindow="240" yWindow="105" windowWidth="14805" windowHeight="8010" activeTab="1" xr2:uid="{00000000-000D-0000-FFFF-FFFF00000000}"/>
  </bookViews>
  <sheets>
    <sheet name="Sin Apalancamiento" sheetId="4" r:id="rId1"/>
    <sheet name="Con Apalancamiento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4" l="1"/>
  <c r="F16" i="4"/>
  <c r="M15" i="4"/>
  <c r="M16" i="4" s="1"/>
  <c r="D12" i="4"/>
  <c r="F11" i="4"/>
  <c r="F10" i="4"/>
  <c r="F12" i="4" s="1"/>
  <c r="N8" i="4"/>
  <c r="N6" i="4"/>
  <c r="I6" i="4"/>
  <c r="N5" i="4"/>
  <c r="I5" i="4"/>
  <c r="H4" i="4"/>
  <c r="I6" i="2"/>
  <c r="I5" i="2"/>
  <c r="H4" i="2"/>
  <c r="N8" i="2"/>
  <c r="N5" i="2"/>
  <c r="M15" i="2"/>
  <c r="M16" i="2"/>
  <c r="F16" i="2"/>
  <c r="N6" i="2"/>
  <c r="O6" i="2" s="1"/>
  <c r="P6" i="2" s="1"/>
  <c r="N7" i="2"/>
  <c r="O8" i="2"/>
  <c r="P8" i="2" s="1"/>
  <c r="O5" i="2"/>
  <c r="F10" i="2"/>
  <c r="F11" i="2"/>
  <c r="D12" i="2"/>
  <c r="F12" i="2"/>
  <c r="N7" i="4" l="1"/>
  <c r="O5" i="4"/>
  <c r="O6" i="4"/>
  <c r="P6" i="4" s="1"/>
  <c r="O8" i="4"/>
  <c r="P8" i="4" s="1"/>
  <c r="C19" i="4"/>
  <c r="C18" i="4"/>
  <c r="D17" i="4"/>
  <c r="N9" i="4" s="1"/>
  <c r="C17" i="4"/>
  <c r="E17" i="4" s="1"/>
  <c r="P5" i="2"/>
  <c r="P7" i="2" s="1"/>
  <c r="O7" i="2"/>
  <c r="D17" i="2"/>
  <c r="N9" i="2" s="1"/>
  <c r="N10" i="2" s="1"/>
  <c r="C18" i="2"/>
  <c r="C19" i="2"/>
  <c r="C17" i="2"/>
  <c r="E17" i="2" s="1"/>
  <c r="N13" i="4" l="1"/>
  <c r="F17" i="4"/>
  <c r="O7" i="4"/>
  <c r="P5" i="4"/>
  <c r="P7" i="4" s="1"/>
  <c r="N10" i="4"/>
  <c r="N13" i="2"/>
  <c r="F17" i="2"/>
  <c r="N11" i="2"/>
  <c r="N12" i="2"/>
  <c r="N16" i="2" s="1"/>
  <c r="N17" i="2" s="1"/>
  <c r="N18" i="2" s="1"/>
  <c r="N11" i="4" l="1"/>
  <c r="N12" i="4" s="1"/>
  <c r="N16" i="4" s="1"/>
  <c r="N17" i="4" s="1"/>
  <c r="D18" i="4"/>
  <c r="D18" i="2"/>
  <c r="O9" i="4" l="1"/>
  <c r="O10" i="4" s="1"/>
  <c r="E18" i="4"/>
  <c r="N18" i="4"/>
  <c r="O9" i="2"/>
  <c r="O10" i="2" s="1"/>
  <c r="E18" i="2"/>
  <c r="O13" i="4" l="1"/>
  <c r="F18" i="4"/>
  <c r="O11" i="4"/>
  <c r="O12" i="4" s="1"/>
  <c r="O16" i="4" s="1"/>
  <c r="O13" i="2"/>
  <c r="F18" i="2"/>
  <c r="O11" i="2"/>
  <c r="O12" i="2"/>
  <c r="O16" i="2" s="1"/>
  <c r="O17" i="4" l="1"/>
  <c r="O18" i="4" s="1"/>
  <c r="D19" i="4"/>
  <c r="O17" i="2"/>
  <c r="O18" i="2" s="1"/>
  <c r="D19" i="2"/>
  <c r="P9" i="4" l="1"/>
  <c r="P10" i="4" s="1"/>
  <c r="E19" i="4"/>
  <c r="P9" i="2"/>
  <c r="P10" i="2" s="1"/>
  <c r="E19" i="2"/>
  <c r="P13" i="4" l="1"/>
  <c r="F19" i="4"/>
  <c r="P11" i="4"/>
  <c r="P12" i="4" s="1"/>
  <c r="P16" i="4" s="1"/>
  <c r="P13" i="2"/>
  <c r="F19" i="2"/>
  <c r="P11" i="2"/>
  <c r="P12" i="2"/>
  <c r="P16" i="2" s="1"/>
  <c r="P17" i="4" l="1"/>
  <c r="P18" i="4" s="1"/>
  <c r="M22" i="4"/>
  <c r="M24" i="4" s="1"/>
  <c r="M23" i="4"/>
  <c r="M22" i="2"/>
  <c r="M24" i="2" s="1"/>
  <c r="M23" i="2"/>
  <c r="P17" i="2"/>
  <c r="P18" i="2" s="1"/>
</calcChain>
</file>

<file path=xl/sharedStrings.xml><?xml version="1.0" encoding="utf-8"?>
<sst xmlns="http://schemas.openxmlformats.org/spreadsheetml/2006/main" count="128" uniqueCount="42">
  <si>
    <t>Anual</t>
  </si>
  <si>
    <t>Crecimiento</t>
  </si>
  <si>
    <t>Descrecimiento</t>
  </si>
  <si>
    <t>Pronóstico de Presupuesto de Capital</t>
  </si>
  <si>
    <t>Ingresos Totales</t>
  </si>
  <si>
    <t>Año</t>
  </si>
  <si>
    <t>Costos</t>
  </si>
  <si>
    <t>Ingresos</t>
  </si>
  <si>
    <t> </t>
  </si>
  <si>
    <t>Gastos</t>
  </si>
  <si>
    <t>Tabla 1</t>
  </si>
  <si>
    <t>U Bruta</t>
  </si>
  <si>
    <t>Calculo de TMAR mixta</t>
  </si>
  <si>
    <t>Monto C$</t>
  </si>
  <si>
    <t>Peso (W)</t>
  </si>
  <si>
    <t>TMAR mixta</t>
  </si>
  <si>
    <t>Intereses</t>
  </si>
  <si>
    <t>Rendi. Inversor</t>
  </si>
  <si>
    <t>UAI</t>
  </si>
  <si>
    <t>Interes Bco</t>
  </si>
  <si>
    <t>Ir</t>
  </si>
  <si>
    <t>Total</t>
  </si>
  <si>
    <t>UDI</t>
  </si>
  <si>
    <t>Abono</t>
  </si>
  <si>
    <t>Amortización de prestamo por el Método Francés</t>
  </si>
  <si>
    <t>Inversión</t>
  </si>
  <si>
    <t>Término Amortizativo</t>
  </si>
  <si>
    <t>Capital Pendiente</t>
  </si>
  <si>
    <t xml:space="preserve"> + Prestamo</t>
  </si>
  <si>
    <t>FNE</t>
  </si>
  <si>
    <t>FNE Descontados</t>
  </si>
  <si>
    <t>Suma FNE D</t>
  </si>
  <si>
    <t>Tabla 1.4</t>
  </si>
  <si>
    <t>Tabla 1.2</t>
  </si>
  <si>
    <t>Indicadores financieros</t>
  </si>
  <si>
    <t>VPN</t>
  </si>
  <si>
    <t>TIR</t>
  </si>
  <si>
    <t>Indic Rentab</t>
  </si>
  <si>
    <t>PR</t>
  </si>
  <si>
    <t>Poco más de un año</t>
  </si>
  <si>
    <t>Tabla 1.5</t>
  </si>
  <si>
    <t>En menos de un Año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</si>
</sst>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C$&quot;* #,##0.00_-;\-&quot;C$&quot;* #,##0.00_-;_-&quot;C$&quot;* &quot;-&quot;??_-;_-@_-"/>
    <numFmt numFmtId="164" formatCode="_-[$C$-4C0A]* #,##0.00_-;\-[$C$-4C0A]* #,##0.00_-;_-[$C$-4C0A]* &quot;-&quot;??_-;_-@_-"/>
  </numFmts>
  <fonts count="8">
    <font>
      <sz val="11"/>
      <color theme="1"/>
      <name val="Calibri"/>
      <family val="2"/>
      <scheme val="minor"/>
    </font>
    <font>
      <b/>
      <sz val="12"/>
      <color rgb="FF000000"/>
      <name val="Calibri"/>
    </font>
    <font>
      <sz val="11"/>
      <color rgb="FF000000"/>
      <name val="Calibri"/>
    </font>
    <font>
      <b/>
      <sz val="11"/>
      <color rgb="FF000000"/>
      <name val="Calibri"/>
    </font>
    <font>
      <b/>
      <sz val="12"/>
      <color theme="1"/>
      <name val="Calibri"/>
      <family val="2"/>
      <scheme val="minor"/>
    </font>
    <font>
      <b/>
      <sz val="12"/>
      <color rgb="FF000000"/>
      <name val="Arial"/>
    </font>
    <font>
      <sz val="12"/>
      <color rgb="FF000000"/>
      <name val="Arial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DE5757"/>
        <bgColor indexed="64"/>
      </patternFill>
    </fill>
  </fills>
  <borders count="69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ck">
        <color indexed="64"/>
      </right>
      <top/>
      <bottom style="hair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dashed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dashed">
        <color rgb="FF000000"/>
      </bottom>
      <diagonal/>
    </border>
    <border>
      <left style="medium">
        <color rgb="FF000000"/>
      </left>
      <right style="thin">
        <color rgb="FF000000"/>
      </right>
      <top style="dashed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dashed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dashed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dashed">
        <color rgb="FF000000"/>
      </bottom>
      <diagonal/>
    </border>
    <border>
      <left style="thin">
        <color rgb="FF000000"/>
      </left>
      <right style="thin">
        <color rgb="FF000000"/>
      </right>
      <top/>
      <bottom style="dashed">
        <color rgb="FF000000"/>
      </bottom>
      <diagonal/>
    </border>
    <border>
      <left style="thin">
        <color rgb="FF000000"/>
      </left>
      <right style="medium">
        <color rgb="FF000000"/>
      </right>
      <top/>
      <bottom style="dashed">
        <color rgb="FF000000"/>
      </bottom>
      <diagonal/>
    </border>
    <border>
      <left style="medium">
        <color rgb="FF000000"/>
      </left>
      <right style="thin">
        <color rgb="FF000000"/>
      </right>
      <top style="dashed">
        <color rgb="FF000000"/>
      </top>
      <bottom style="dashed">
        <color rgb="FF000000"/>
      </bottom>
      <diagonal/>
    </border>
    <border>
      <left style="thin">
        <color rgb="FF000000"/>
      </left>
      <right style="thin">
        <color rgb="FF000000"/>
      </right>
      <top style="dashed">
        <color rgb="FF000000"/>
      </top>
      <bottom style="dashed">
        <color rgb="FF000000"/>
      </bottom>
      <diagonal/>
    </border>
    <border>
      <left style="thin">
        <color rgb="FF000000"/>
      </left>
      <right style="medium">
        <color rgb="FF000000"/>
      </right>
      <top style="dashed">
        <color rgb="FF000000"/>
      </top>
      <bottom style="dashed">
        <color rgb="FF000000"/>
      </bottom>
      <diagonal/>
    </border>
    <border>
      <left style="medium">
        <color rgb="FF000000"/>
      </left>
      <right style="thin">
        <color rgb="FF000000"/>
      </right>
      <top style="dashed">
        <color rgb="FF000000"/>
      </top>
      <bottom/>
      <diagonal/>
    </border>
    <border>
      <left style="thin">
        <color rgb="FF000000"/>
      </left>
      <right style="thin">
        <color rgb="FF000000"/>
      </right>
      <top style="dashed">
        <color rgb="FF000000"/>
      </top>
      <bottom/>
      <diagonal/>
    </border>
    <border>
      <left style="thin">
        <color rgb="FF000000"/>
      </left>
      <right style="medium">
        <color rgb="FF000000"/>
      </right>
      <top style="dashed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dashed">
        <color rgb="FF000000"/>
      </right>
      <top style="medium">
        <color rgb="FF000000"/>
      </top>
      <bottom style="dashed">
        <color rgb="FF000000"/>
      </bottom>
      <diagonal/>
    </border>
    <border>
      <left style="dashed">
        <color rgb="FF000000"/>
      </left>
      <right style="dashed">
        <color rgb="FF000000"/>
      </right>
      <top style="medium">
        <color rgb="FF000000"/>
      </top>
      <bottom style="dashed">
        <color rgb="FF000000"/>
      </bottom>
      <diagonal/>
    </border>
    <border>
      <left style="dashed">
        <color rgb="FF000000"/>
      </left>
      <right style="medium">
        <color rgb="FF000000"/>
      </right>
      <top style="medium">
        <color rgb="FF000000"/>
      </top>
      <bottom style="dashed">
        <color rgb="FF000000"/>
      </bottom>
      <diagonal/>
    </border>
    <border>
      <left style="medium">
        <color rgb="FF000000"/>
      </left>
      <right style="dashed">
        <color rgb="FF000000"/>
      </right>
      <top style="dashed">
        <color rgb="FF000000"/>
      </top>
      <bottom style="dashed">
        <color rgb="FF000000"/>
      </bottom>
      <diagonal/>
    </border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  <diagonal/>
    </border>
    <border>
      <left style="dashed">
        <color rgb="FF000000"/>
      </left>
      <right style="medium">
        <color rgb="FF000000"/>
      </right>
      <top style="dashed">
        <color rgb="FF000000"/>
      </top>
      <bottom style="dashed">
        <color rgb="FF000000"/>
      </bottom>
      <diagonal/>
    </border>
    <border>
      <left style="medium">
        <color rgb="FF000000"/>
      </left>
      <right style="dashed">
        <color rgb="FF000000"/>
      </right>
      <top style="dashed">
        <color rgb="FF000000"/>
      </top>
      <bottom style="medium">
        <color rgb="FF000000"/>
      </bottom>
      <diagonal/>
    </border>
    <border>
      <left style="dashed">
        <color rgb="FF000000"/>
      </left>
      <right style="dashed">
        <color rgb="FF000000"/>
      </right>
      <top style="dashed">
        <color rgb="FF000000"/>
      </top>
      <bottom style="medium">
        <color rgb="FF000000"/>
      </bottom>
      <diagonal/>
    </border>
    <border>
      <left style="dashed">
        <color rgb="FF000000"/>
      </left>
      <right style="medium">
        <color rgb="FF000000"/>
      </right>
      <top style="dashed">
        <color rgb="FF000000"/>
      </top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dashed">
        <color rgb="FF000000"/>
      </left>
      <right style="dashed">
        <color rgb="FF000000"/>
      </right>
      <top style="dashed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89">
    <xf numFmtId="0" fontId="0" fillId="0" borderId="0" xfId="0"/>
    <xf numFmtId="0" fontId="3" fillId="0" borderId="4" xfId="0" applyFont="1" applyBorder="1"/>
    <xf numFmtId="0" fontId="3" fillId="0" borderId="7" xfId="0" applyFont="1" applyBorder="1"/>
    <xf numFmtId="0" fontId="2" fillId="0" borderId="9" xfId="0" applyFont="1" applyBorder="1"/>
    <xf numFmtId="44" fontId="0" fillId="0" borderId="0" xfId="0" applyNumberFormat="1"/>
    <xf numFmtId="164" fontId="0" fillId="0" borderId="0" xfId="0" applyNumberFormat="1"/>
    <xf numFmtId="164" fontId="6" fillId="0" borderId="17" xfId="0" applyNumberFormat="1" applyFont="1" applyBorder="1"/>
    <xf numFmtId="164" fontId="6" fillId="0" borderId="19" xfId="0" applyNumberFormat="1" applyFont="1" applyBorder="1"/>
    <xf numFmtId="164" fontId="6" fillId="0" borderId="22" xfId="0" applyNumberFormat="1" applyFont="1" applyBorder="1"/>
    <xf numFmtId="164" fontId="6" fillId="0" borderId="23" xfId="0" applyNumberFormat="1" applyFont="1" applyBorder="1"/>
    <xf numFmtId="164" fontId="6" fillId="0" borderId="25" xfId="0" applyNumberFormat="1" applyFont="1" applyBorder="1"/>
    <xf numFmtId="164" fontId="6" fillId="0" borderId="20" xfId="0" applyNumberFormat="1" applyFont="1" applyBorder="1"/>
    <xf numFmtId="164" fontId="6" fillId="0" borderId="26" xfId="0" applyNumberFormat="1" applyFont="1" applyBorder="1"/>
    <xf numFmtId="164" fontId="6" fillId="0" borderId="28" xfId="0" applyNumberFormat="1" applyFont="1" applyBorder="1"/>
    <xf numFmtId="164" fontId="6" fillId="0" borderId="29" xfId="0" applyNumberFormat="1" applyFont="1" applyBorder="1"/>
    <xf numFmtId="164" fontId="6" fillId="0" borderId="14" xfId="0" applyNumberFormat="1" applyFont="1" applyBorder="1"/>
    <xf numFmtId="164" fontId="6" fillId="0" borderId="15" xfId="0" applyNumberFormat="1" applyFont="1" applyBorder="1"/>
    <xf numFmtId="0" fontId="6" fillId="0" borderId="31" xfId="0" applyFont="1" applyBorder="1"/>
    <xf numFmtId="164" fontId="6" fillId="0" borderId="31" xfId="0" applyNumberFormat="1" applyFont="1" applyBorder="1"/>
    <xf numFmtId="164" fontId="6" fillId="0" borderId="32" xfId="0" applyNumberFormat="1" applyFont="1" applyBorder="1"/>
    <xf numFmtId="0" fontId="0" fillId="0" borderId="36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164" fontId="6" fillId="0" borderId="48" xfId="0" applyNumberFormat="1" applyFont="1" applyBorder="1"/>
    <xf numFmtId="2" fontId="6" fillId="0" borderId="48" xfId="0" applyNumberFormat="1" applyFont="1" applyBorder="1"/>
    <xf numFmtId="0" fontId="6" fillId="0" borderId="50" xfId="0" applyFont="1" applyBorder="1"/>
    <xf numFmtId="164" fontId="0" fillId="0" borderId="37" xfId="0" applyNumberFormat="1" applyBorder="1" applyAlignment="1">
      <alignment vertical="center"/>
    </xf>
    <xf numFmtId="164" fontId="0" fillId="0" borderId="38" xfId="0" applyNumberFormat="1" applyBorder="1" applyAlignment="1">
      <alignment vertical="center"/>
    </xf>
    <xf numFmtId="164" fontId="0" fillId="0" borderId="40" xfId="0" applyNumberFormat="1" applyBorder="1" applyAlignment="1">
      <alignment vertical="center"/>
    </xf>
    <xf numFmtId="164" fontId="0" fillId="0" borderId="41" xfId="0" applyNumberFormat="1" applyBorder="1" applyAlignment="1">
      <alignment vertical="center"/>
    </xf>
    <xf numFmtId="164" fontId="0" fillId="0" borderId="43" xfId="0" applyNumberFormat="1" applyBorder="1" applyAlignment="1">
      <alignment vertical="center"/>
    </xf>
    <xf numFmtId="164" fontId="0" fillId="0" borderId="44" xfId="0" applyNumberFormat="1" applyBorder="1" applyAlignment="1">
      <alignment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6" fillId="2" borderId="47" xfId="0" applyFont="1" applyFill="1" applyBorder="1" applyAlignment="1">
      <alignment horizontal="center"/>
    </xf>
    <xf numFmtId="0" fontId="6" fillId="2" borderId="49" xfId="0" applyFont="1" applyFill="1" applyBorder="1" applyAlignment="1">
      <alignment horizontal="center"/>
    </xf>
    <xf numFmtId="0" fontId="6" fillId="4" borderId="16" xfId="0" applyFont="1" applyFill="1" applyBorder="1" applyAlignment="1">
      <alignment horizontal="left" vertical="center"/>
    </xf>
    <xf numFmtId="0" fontId="6" fillId="4" borderId="18" xfId="0" applyFont="1" applyFill="1" applyBorder="1" applyAlignment="1">
      <alignment horizontal="left" vertical="center"/>
    </xf>
    <xf numFmtId="0" fontId="6" fillId="4" borderId="21" xfId="0" applyFont="1" applyFill="1" applyBorder="1" applyAlignment="1">
      <alignment horizontal="left" vertical="center"/>
    </xf>
    <xf numFmtId="0" fontId="6" fillId="4" borderId="24" xfId="0" applyFont="1" applyFill="1" applyBorder="1" applyAlignment="1">
      <alignment horizontal="left" vertical="center"/>
    </xf>
    <xf numFmtId="0" fontId="6" fillId="4" borderId="27" xfId="0" applyFont="1" applyFill="1" applyBorder="1" applyAlignment="1">
      <alignment horizontal="left" vertical="center"/>
    </xf>
    <xf numFmtId="0" fontId="6" fillId="4" borderId="13" xfId="0" applyFont="1" applyFill="1" applyBorder="1" applyAlignment="1">
      <alignment horizontal="left" vertical="center"/>
    </xf>
    <xf numFmtId="0" fontId="6" fillId="4" borderId="30" xfId="0" applyFont="1" applyFill="1" applyBorder="1" applyAlignment="1">
      <alignment horizontal="left" vertical="center"/>
    </xf>
    <xf numFmtId="0" fontId="5" fillId="4" borderId="13" xfId="0" applyFont="1" applyFill="1" applyBorder="1" applyAlignment="1">
      <alignment horizontal="center" vertical="center"/>
    </xf>
    <xf numFmtId="0" fontId="6" fillId="4" borderId="14" xfId="0" applyFont="1" applyFill="1" applyBorder="1" applyAlignment="1">
      <alignment horizontal="center" vertical="center"/>
    </xf>
    <xf numFmtId="0" fontId="6" fillId="4" borderId="15" xfId="0" applyFont="1" applyFill="1" applyBorder="1" applyAlignment="1">
      <alignment horizontal="center" vertical="center"/>
    </xf>
    <xf numFmtId="0" fontId="0" fillId="4" borderId="54" xfId="0" applyFill="1" applyBorder="1" applyAlignment="1">
      <alignment horizontal="center" vertical="center"/>
    </xf>
    <xf numFmtId="44" fontId="0" fillId="0" borderId="55" xfId="0" applyNumberFormat="1" applyBorder="1"/>
    <xf numFmtId="44" fontId="0" fillId="0" borderId="56" xfId="0" applyNumberFormat="1" applyBorder="1"/>
    <xf numFmtId="0" fontId="0" fillId="4" borderId="57" xfId="0" applyFill="1" applyBorder="1" applyAlignment="1">
      <alignment horizontal="center" vertical="center"/>
    </xf>
    <xf numFmtId="44" fontId="0" fillId="0" borderId="58" xfId="0" applyNumberFormat="1" applyBorder="1"/>
    <xf numFmtId="0" fontId="0" fillId="4" borderId="59" xfId="0" applyFill="1" applyBorder="1" applyAlignment="1">
      <alignment horizontal="center" vertical="center"/>
    </xf>
    <xf numFmtId="44" fontId="0" fillId="0" borderId="60" xfId="0" applyNumberFormat="1" applyBorder="1"/>
    <xf numFmtId="44" fontId="0" fillId="0" borderId="61" xfId="0" applyNumberFormat="1" applyBorder="1"/>
    <xf numFmtId="0" fontId="0" fillId="4" borderId="62" xfId="0" applyFill="1" applyBorder="1" applyAlignment="1">
      <alignment horizontal="center" vertical="center"/>
    </xf>
    <xf numFmtId="0" fontId="0" fillId="4" borderId="63" xfId="0" applyFill="1" applyBorder="1" applyAlignment="1">
      <alignment horizontal="center" vertical="center"/>
    </xf>
    <xf numFmtId="10" fontId="0" fillId="0" borderId="64" xfId="0" applyNumberFormat="1" applyBorder="1" applyAlignment="1">
      <alignment horizontal="center" vertical="center"/>
    </xf>
    <xf numFmtId="0" fontId="0" fillId="0" borderId="65" xfId="0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10" fontId="0" fillId="0" borderId="65" xfId="0" applyNumberFormat="1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10" fontId="0" fillId="0" borderId="53" xfId="0" applyNumberFormat="1" applyBorder="1" applyAlignment="1">
      <alignment horizontal="center" vertical="center"/>
    </xf>
    <xf numFmtId="0" fontId="7" fillId="5" borderId="54" xfId="0" applyFont="1" applyFill="1" applyBorder="1"/>
    <xf numFmtId="0" fontId="7" fillId="6" borderId="51" xfId="0" applyFont="1" applyFill="1" applyBorder="1"/>
    <xf numFmtId="0" fontId="6" fillId="0" borderId="50" xfId="0" applyFont="1" applyBorder="1" applyAlignment="1">
      <alignment vertical="center"/>
    </xf>
    <xf numFmtId="0" fontId="0" fillId="4" borderId="10" xfId="0" applyFill="1" applyBorder="1" applyAlignment="1">
      <alignment horizontal="center"/>
    </xf>
    <xf numFmtId="0" fontId="0" fillId="4" borderId="51" xfId="0" applyFill="1" applyBorder="1" applyAlignment="1">
      <alignment horizontal="center"/>
    </xf>
    <xf numFmtId="0" fontId="4" fillId="4" borderId="10" xfId="0" applyFon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4" fillId="4" borderId="12" xfId="0" applyFont="1" applyFill="1" applyBorder="1" applyAlignment="1">
      <alignment horizontal="center" vertical="center"/>
    </xf>
    <xf numFmtId="0" fontId="7" fillId="2" borderId="33" xfId="0" applyFont="1" applyFill="1" applyBorder="1" applyAlignment="1">
      <alignment horizontal="center"/>
    </xf>
    <xf numFmtId="0" fontId="7" fillId="2" borderId="34" xfId="0" applyFont="1" applyFill="1" applyBorder="1" applyAlignment="1">
      <alignment horizontal="center"/>
    </xf>
    <xf numFmtId="0" fontId="7" fillId="2" borderId="35" xfId="0" applyFont="1" applyFill="1" applyBorder="1" applyAlignment="1">
      <alignment horizontal="center"/>
    </xf>
    <xf numFmtId="0" fontId="6" fillId="2" borderId="45" xfId="0" applyFont="1" applyFill="1" applyBorder="1" applyAlignment="1">
      <alignment horizontal="center"/>
    </xf>
    <xf numFmtId="0" fontId="6" fillId="2" borderId="46" xfId="0" applyFont="1" applyFill="1" applyBorder="1" applyAlignment="1">
      <alignment horizontal="center"/>
    </xf>
    <xf numFmtId="0" fontId="3" fillId="0" borderId="66" xfId="0" applyFont="1" applyBorder="1" applyAlignment="1">
      <alignment horizontal="center" vertical="center"/>
    </xf>
    <xf numFmtId="164" fontId="0" fillId="0" borderId="67" xfId="0" applyNumberFormat="1" applyBorder="1" applyAlignment="1">
      <alignment vertical="center"/>
    </xf>
    <xf numFmtId="164" fontId="0" fillId="0" borderId="68" xfId="0" applyNumberFormat="1" applyBorder="1" applyAlignment="1">
      <alignment vertical="center"/>
    </xf>
    <xf numFmtId="164" fontId="7" fillId="0" borderId="68" xfId="0" applyNumberFormat="1" applyFont="1" applyBorder="1" applyAlignment="1">
      <alignment vertical="center"/>
    </xf>
    <xf numFmtId="0" fontId="1" fillId="2" borderId="1" xfId="0" applyFont="1" applyFill="1" applyBorder="1" applyAlignment="1"/>
    <xf numFmtId="0" fontId="1" fillId="2" borderId="2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C57D7-4AD3-4DB7-81E4-52B90A7388B1}">
  <dimension ref="B2:P26"/>
  <sheetViews>
    <sheetView showGridLines="0" topLeftCell="A7" workbookViewId="0">
      <selection activeCell="E20" sqref="E20"/>
    </sheetView>
  </sheetViews>
  <sheetFormatPr defaultRowHeight="15"/>
  <cols>
    <col min="2" max="2" width="15.140625" customWidth="1"/>
    <col min="3" max="3" width="18.85546875" customWidth="1"/>
    <col min="4" max="4" width="22.5703125" bestFit="1" customWidth="1"/>
    <col min="5" max="5" width="16.85546875" customWidth="1"/>
    <col min="6" max="6" width="18" customWidth="1"/>
    <col min="8" max="8" width="13.5703125" customWidth="1"/>
    <col min="9" max="9" width="14.42578125" customWidth="1"/>
    <col min="10" max="10" width="9.28515625" bestFit="1" customWidth="1"/>
    <col min="12" max="12" width="20.7109375" customWidth="1"/>
    <col min="13" max="13" width="23.85546875" customWidth="1"/>
    <col min="14" max="14" width="20.140625" customWidth="1"/>
    <col min="15" max="15" width="21.85546875" customWidth="1"/>
    <col min="16" max="16" width="34.5703125" customWidth="1"/>
  </cols>
  <sheetData>
    <row r="2" spans="2:16">
      <c r="E2" s="73" t="s">
        <v>0</v>
      </c>
      <c r="F2" s="74"/>
    </row>
    <row r="3" spans="2:16" ht="15.75">
      <c r="E3" s="62">
        <v>2021</v>
      </c>
      <c r="F3" s="63">
        <v>2022</v>
      </c>
      <c r="H3" s="70" t="s">
        <v>1</v>
      </c>
      <c r="I3" s="71" t="s">
        <v>2</v>
      </c>
      <c r="L3" s="75" t="s">
        <v>3</v>
      </c>
      <c r="M3" s="76"/>
      <c r="N3" s="76"/>
      <c r="O3" s="76"/>
      <c r="P3" s="77"/>
    </row>
    <row r="4" spans="2:16" ht="15.75">
      <c r="D4" s="54" t="s">
        <v>4</v>
      </c>
      <c r="E4" s="55">
        <v>1081560</v>
      </c>
      <c r="F4" s="56">
        <v>1086890</v>
      </c>
      <c r="H4" s="64">
        <f>(F4-E4)/F4</f>
        <v>4.9039001186872632E-3</v>
      </c>
      <c r="I4" s="65"/>
      <c r="L4" s="51" t="s">
        <v>5</v>
      </c>
      <c r="M4" s="52">
        <v>0</v>
      </c>
      <c r="N4" s="52">
        <v>1</v>
      </c>
      <c r="O4" s="52">
        <v>2</v>
      </c>
      <c r="P4" s="53">
        <v>3</v>
      </c>
    </row>
    <row r="5" spans="2:16" ht="15.75">
      <c r="D5" s="57" t="s">
        <v>6</v>
      </c>
      <c r="E5" s="4">
        <v>619120</v>
      </c>
      <c r="F5" s="58">
        <v>611450</v>
      </c>
      <c r="H5" s="66"/>
      <c r="I5" s="67">
        <f>(F5-E5)/F5</f>
        <v>-1.2543952898847003E-2</v>
      </c>
      <c r="L5" s="44" t="s">
        <v>7</v>
      </c>
      <c r="M5" s="6" t="s">
        <v>8</v>
      </c>
      <c r="N5" s="6">
        <f>F4</f>
        <v>1086890</v>
      </c>
      <c r="O5" s="6">
        <f>N5+(N5*$H$4)</f>
        <v>1092220</v>
      </c>
      <c r="P5" s="6">
        <f>O5+(O5*$H$4)</f>
        <v>1097576.1377876326</v>
      </c>
    </row>
    <row r="6" spans="2:16" ht="15.75">
      <c r="D6" s="59" t="s">
        <v>9</v>
      </c>
      <c r="E6" s="60">
        <v>233864</v>
      </c>
      <c r="F6" s="61">
        <v>229876</v>
      </c>
      <c r="H6" s="68"/>
      <c r="I6" s="69">
        <f>(F6-E6)/F6</f>
        <v>-1.7348483530251091E-2</v>
      </c>
      <c r="L6" s="45" t="s">
        <v>6</v>
      </c>
      <c r="M6" s="7" t="s">
        <v>8</v>
      </c>
      <c r="N6" s="7">
        <f>F5</f>
        <v>611450</v>
      </c>
      <c r="O6" s="7">
        <f>N6+(N6*$I$5)</f>
        <v>603780</v>
      </c>
      <c r="P6" s="7">
        <f>O6+(O6*$I$5)</f>
        <v>596206.21211873414</v>
      </c>
    </row>
    <row r="7" spans="2:16" ht="15.75">
      <c r="D7" t="s">
        <v>10</v>
      </c>
      <c r="I7" s="4"/>
      <c r="L7" s="46" t="s">
        <v>11</v>
      </c>
      <c r="M7" s="8" t="s">
        <v>8</v>
      </c>
      <c r="N7" s="8">
        <f>N5-N6</f>
        <v>475440</v>
      </c>
      <c r="O7" s="8">
        <f>O5-O6</f>
        <v>488440</v>
      </c>
      <c r="P7" s="9">
        <f>P5-P6</f>
        <v>501369.9256688985</v>
      </c>
    </row>
    <row r="8" spans="2:16" ht="15.75">
      <c r="I8" s="4"/>
      <c r="L8" s="47" t="s">
        <v>9</v>
      </c>
      <c r="M8" s="10" t="s">
        <v>8</v>
      </c>
      <c r="N8" s="10">
        <f>F6</f>
        <v>229876</v>
      </c>
      <c r="O8" s="10">
        <f>N8+(N8*$I$6)</f>
        <v>225888</v>
      </c>
      <c r="P8" s="10">
        <f>O8+(O8*$I$6)</f>
        <v>221969.18575231865</v>
      </c>
    </row>
    <row r="9" spans="2:16" ht="15.75">
      <c r="B9" s="87" t="s">
        <v>12</v>
      </c>
      <c r="C9" s="88"/>
      <c r="D9" s="35" t="s">
        <v>13</v>
      </c>
      <c r="E9" s="35" t="s">
        <v>14</v>
      </c>
      <c r="F9" s="36" t="s">
        <v>15</v>
      </c>
      <c r="I9" s="4"/>
      <c r="L9" s="45" t="s">
        <v>16</v>
      </c>
      <c r="M9" s="7" t="s">
        <v>8</v>
      </c>
      <c r="N9" s="7">
        <f>D17</f>
        <v>0</v>
      </c>
      <c r="O9" s="7">
        <f>D18</f>
        <v>0</v>
      </c>
      <c r="P9" s="11">
        <f>D19</f>
        <v>0</v>
      </c>
    </row>
    <row r="10" spans="2:16" ht="15.75">
      <c r="B10" s="1" t="s">
        <v>17</v>
      </c>
      <c r="C10" s="38">
        <v>0.14000000000000001</v>
      </c>
      <c r="D10" s="31">
        <f>61051.98+183155.94</f>
        <v>244207.92</v>
      </c>
      <c r="E10" s="38">
        <v>1</v>
      </c>
      <c r="F10" s="39">
        <f>C10*E10</f>
        <v>0.14000000000000001</v>
      </c>
      <c r="H10" s="5"/>
      <c r="I10" s="5"/>
      <c r="L10" s="46" t="s">
        <v>18</v>
      </c>
      <c r="M10" s="8" t="s">
        <v>8</v>
      </c>
      <c r="N10" s="8">
        <f>N7-N8-N9</f>
        <v>245564</v>
      </c>
      <c r="O10" s="8">
        <f>O7-O8-O9</f>
        <v>262552</v>
      </c>
      <c r="P10" s="9">
        <f>P7-P8-P9</f>
        <v>279400.73991657986</v>
      </c>
    </row>
    <row r="11" spans="2:16" ht="15.75">
      <c r="B11" s="2" t="s">
        <v>19</v>
      </c>
      <c r="C11" s="40">
        <v>0</v>
      </c>
      <c r="D11" s="84">
        <v>0</v>
      </c>
      <c r="E11" s="40">
        <v>0</v>
      </c>
      <c r="F11" s="39">
        <f>C11*E11</f>
        <v>0</v>
      </c>
      <c r="H11" s="5"/>
      <c r="L11" s="47" t="s">
        <v>20</v>
      </c>
      <c r="M11" s="10" t="s">
        <v>8</v>
      </c>
      <c r="N11" s="10">
        <f>N10*0.3</f>
        <v>73669.2</v>
      </c>
      <c r="O11" s="10">
        <f>O10*0.3</f>
        <v>78765.599999999991</v>
      </c>
      <c r="P11" s="12">
        <f>P10*0.3</f>
        <v>83820.22197497396</v>
      </c>
    </row>
    <row r="12" spans="2:16" ht="15.75">
      <c r="B12" s="3" t="s">
        <v>8</v>
      </c>
      <c r="C12" s="83" t="s">
        <v>21</v>
      </c>
      <c r="D12" s="86">
        <f>SUM(D10:D11)</f>
        <v>244207.92</v>
      </c>
      <c r="E12" s="37" t="s">
        <v>15</v>
      </c>
      <c r="F12" s="41">
        <f>SUM(F10:F11)</f>
        <v>0.14000000000000001</v>
      </c>
      <c r="L12" s="47" t="s">
        <v>22</v>
      </c>
      <c r="M12" s="10" t="s">
        <v>8</v>
      </c>
      <c r="N12" s="10">
        <f>N10-N11</f>
        <v>171894.8</v>
      </c>
      <c r="O12" s="10">
        <f>O10-O11</f>
        <v>183786.40000000002</v>
      </c>
      <c r="P12" s="12">
        <f>P10-P11</f>
        <v>195580.51794160588</v>
      </c>
    </row>
    <row r="13" spans="2:16" ht="15.75">
      <c r="L13" s="47" t="s">
        <v>23</v>
      </c>
      <c r="M13" s="10" t="s">
        <v>8</v>
      </c>
      <c r="N13" s="10">
        <f>E17</f>
        <v>0</v>
      </c>
      <c r="O13" s="10">
        <f>E18</f>
        <v>0</v>
      </c>
      <c r="P13" s="12">
        <f>E19</f>
        <v>0</v>
      </c>
    </row>
    <row r="14" spans="2:16" ht="15.75">
      <c r="B14" s="78" t="s">
        <v>24</v>
      </c>
      <c r="C14" s="79"/>
      <c r="D14" s="79"/>
      <c r="E14" s="79"/>
      <c r="F14" s="80"/>
      <c r="L14" s="47" t="s">
        <v>25</v>
      </c>
      <c r="M14" s="10">
        <v>-244207.92</v>
      </c>
      <c r="N14" s="10" t="s">
        <v>8</v>
      </c>
      <c r="O14" s="10" t="s">
        <v>8</v>
      </c>
      <c r="P14" s="12" t="s">
        <v>8</v>
      </c>
    </row>
    <row r="15" spans="2:16" ht="15.75">
      <c r="B15" s="23" t="s">
        <v>5</v>
      </c>
      <c r="C15" s="24" t="s">
        <v>26</v>
      </c>
      <c r="D15" s="24" t="s">
        <v>16</v>
      </c>
      <c r="E15" s="24" t="s">
        <v>23</v>
      </c>
      <c r="F15" s="25" t="s">
        <v>27</v>
      </c>
      <c r="L15" s="48" t="s">
        <v>28</v>
      </c>
      <c r="M15" s="13">
        <f>M14*-$E$11</f>
        <v>0</v>
      </c>
      <c r="N15" s="13" t="s">
        <v>8</v>
      </c>
      <c r="O15" s="13" t="s">
        <v>8</v>
      </c>
      <c r="P15" s="14" t="s">
        <v>8</v>
      </c>
    </row>
    <row r="16" spans="2:16" ht="15.75">
      <c r="B16" s="20">
        <v>0</v>
      </c>
      <c r="C16" s="29"/>
      <c r="D16" s="29"/>
      <c r="E16" s="29"/>
      <c r="F16" s="30">
        <f>D11</f>
        <v>0</v>
      </c>
      <c r="L16" s="49" t="s">
        <v>29</v>
      </c>
      <c r="M16" s="15">
        <f>SUM(M14:M15)</f>
        <v>-244207.92</v>
      </c>
      <c r="N16" s="15">
        <f>N12-N13</f>
        <v>171894.8</v>
      </c>
      <c r="O16" s="15">
        <f>O12-O13</f>
        <v>183786.40000000002</v>
      </c>
      <c r="P16" s="16">
        <f>P12-P13</f>
        <v>195580.51794160588</v>
      </c>
    </row>
    <row r="17" spans="2:16" ht="15.75">
      <c r="B17" s="21">
        <v>1</v>
      </c>
      <c r="C17" s="31">
        <f>PMT($C$11,$P$4,-$F$16)</f>
        <v>0</v>
      </c>
      <c r="D17" s="31">
        <f>F16*$C$11</f>
        <v>0</v>
      </c>
      <c r="E17" s="31">
        <f>C17-D17</f>
        <v>0</v>
      </c>
      <c r="F17" s="32">
        <f>F16-E17</f>
        <v>0</v>
      </c>
      <c r="L17" s="50" t="s">
        <v>30</v>
      </c>
      <c r="M17" s="17" t="s">
        <v>8</v>
      </c>
      <c r="N17" s="18">
        <f>(N16)/(1+$F$12)^N4</f>
        <v>150784.91228070174</v>
      </c>
      <c r="O17" s="18">
        <f>(O16)/(1+$F$12)^O4</f>
        <v>141417.66697445366</v>
      </c>
      <c r="P17" s="19">
        <f>(P16)/(1+$F$12)^P4</f>
        <v>132011.27873462133</v>
      </c>
    </row>
    <row r="18" spans="2:16" ht="15.75">
      <c r="B18" s="21">
        <v>2</v>
      </c>
      <c r="C18" s="31">
        <f>PMT($C$11,$P$4,-$F$16)</f>
        <v>0</v>
      </c>
      <c r="D18" s="31">
        <f>F17*$C$11</f>
        <v>0</v>
      </c>
      <c r="E18" s="31">
        <f>C18-D18</f>
        <v>0</v>
      </c>
      <c r="F18" s="32">
        <f>F17-E18</f>
        <v>0</v>
      </c>
      <c r="L18" s="45" t="s">
        <v>31</v>
      </c>
      <c r="M18" s="7" t="s">
        <v>8</v>
      </c>
      <c r="N18" s="7">
        <f>N17</f>
        <v>150784.91228070174</v>
      </c>
      <c r="O18" s="7">
        <f>O17+N18</f>
        <v>292202.5792551554</v>
      </c>
      <c r="P18" s="11">
        <f>P17+O18</f>
        <v>424213.85798977676</v>
      </c>
    </row>
    <row r="19" spans="2:16">
      <c r="B19" s="22">
        <v>3</v>
      </c>
      <c r="C19" s="33">
        <f>PMT($C$11,$P$4,-$F$16)</f>
        <v>0</v>
      </c>
      <c r="D19" s="33">
        <f>F18*$C$11</f>
        <v>0</v>
      </c>
      <c r="E19" s="33">
        <f>C19-D19</f>
        <v>0</v>
      </c>
      <c r="F19" s="34">
        <f>F18-E19</f>
        <v>0</v>
      </c>
      <c r="L19" t="s">
        <v>32</v>
      </c>
      <c r="N19" s="5"/>
    </row>
    <row r="20" spans="2:16">
      <c r="B20" t="s">
        <v>33</v>
      </c>
      <c r="N20" s="5"/>
    </row>
    <row r="21" spans="2:16" ht="15.75">
      <c r="L21" s="81" t="s">
        <v>34</v>
      </c>
      <c r="M21" s="82"/>
      <c r="O21" s="5"/>
    </row>
    <row r="22" spans="2:16" ht="15.75">
      <c r="L22" s="42" t="s">
        <v>35</v>
      </c>
      <c r="M22" s="26">
        <f>NPV(F12,N16:P16)+M16</f>
        <v>180005.93798977669</v>
      </c>
    </row>
    <row r="23" spans="2:16" ht="15.75">
      <c r="L23" s="42" t="s">
        <v>36</v>
      </c>
      <c r="M23" s="27">
        <f>IRR(M16:P16)</f>
        <v>0.53447047844546169</v>
      </c>
    </row>
    <row r="24" spans="2:16" ht="15.75">
      <c r="L24" s="42" t="s">
        <v>37</v>
      </c>
      <c r="M24" s="27">
        <f>M22/(M16*-1)</f>
        <v>0.73710114721003595</v>
      </c>
    </row>
    <row r="25" spans="2:16" ht="15.75">
      <c r="L25" s="43" t="s">
        <v>38</v>
      </c>
      <c r="M25" s="72" t="s">
        <v>39</v>
      </c>
    </row>
    <row r="26" spans="2:16">
      <c r="L26" t="s">
        <v>40</v>
      </c>
    </row>
  </sheetData>
  <mergeCells count="5">
    <mergeCell ref="E2:F2"/>
    <mergeCell ref="L3:P3"/>
    <mergeCell ref="B9:C9"/>
    <mergeCell ref="B14:F14"/>
    <mergeCell ref="L21:M2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675EDF-B818-423F-B97C-499286804CF7}">
  <dimension ref="B2:P26"/>
  <sheetViews>
    <sheetView showGridLines="0" tabSelected="1" workbookViewId="0">
      <selection activeCell="I18" sqref="I18"/>
    </sheetView>
  </sheetViews>
  <sheetFormatPr defaultRowHeight="15"/>
  <cols>
    <col min="2" max="2" width="15.140625" customWidth="1"/>
    <col min="3" max="3" width="18.85546875" customWidth="1"/>
    <col min="4" max="4" width="14.85546875" customWidth="1"/>
    <col min="5" max="5" width="16.85546875" customWidth="1"/>
    <col min="6" max="6" width="18" customWidth="1"/>
    <col min="8" max="8" width="13.5703125" customWidth="1"/>
    <col min="9" max="9" width="14.42578125" customWidth="1"/>
    <col min="10" max="10" width="9.28515625" bestFit="1" customWidth="1"/>
    <col min="12" max="12" width="20.7109375" customWidth="1"/>
    <col min="13" max="13" width="23.85546875" customWidth="1"/>
    <col min="14" max="14" width="20.140625" customWidth="1"/>
    <col min="15" max="15" width="21.85546875" customWidth="1"/>
    <col min="16" max="16" width="34.5703125" customWidth="1"/>
  </cols>
  <sheetData>
    <row r="2" spans="2:16">
      <c r="E2" s="73" t="s">
        <v>0</v>
      </c>
      <c r="F2" s="74"/>
    </row>
    <row r="3" spans="2:16" ht="15.75">
      <c r="E3" s="62">
        <v>2021</v>
      </c>
      <c r="F3" s="63">
        <v>2022</v>
      </c>
      <c r="H3" s="70" t="s">
        <v>1</v>
      </c>
      <c r="I3" s="71" t="s">
        <v>2</v>
      </c>
      <c r="L3" s="75" t="s">
        <v>3</v>
      </c>
      <c r="M3" s="76"/>
      <c r="N3" s="76"/>
      <c r="O3" s="76"/>
      <c r="P3" s="77"/>
    </row>
    <row r="4" spans="2:16" ht="15.75">
      <c r="D4" s="54" t="s">
        <v>4</v>
      </c>
      <c r="E4" s="55">
        <v>1081560</v>
      </c>
      <c r="F4" s="56">
        <v>1086890</v>
      </c>
      <c r="H4" s="64">
        <f>(F4-E4)/F4</f>
        <v>4.9039001186872632E-3</v>
      </c>
      <c r="I4" s="65"/>
      <c r="L4" s="51" t="s">
        <v>5</v>
      </c>
      <c r="M4" s="52">
        <v>0</v>
      </c>
      <c r="N4" s="52">
        <v>1</v>
      </c>
      <c r="O4" s="52">
        <v>2</v>
      </c>
      <c r="P4" s="53">
        <v>3</v>
      </c>
    </row>
    <row r="5" spans="2:16" ht="15.75">
      <c r="D5" s="57" t="s">
        <v>6</v>
      </c>
      <c r="E5" s="4">
        <v>619120</v>
      </c>
      <c r="F5" s="58">
        <v>611450</v>
      </c>
      <c r="H5" s="66"/>
      <c r="I5" s="67">
        <f>(F5-E5)/F5</f>
        <v>-1.2543952898847003E-2</v>
      </c>
      <c r="L5" s="44" t="s">
        <v>7</v>
      </c>
      <c r="M5" s="6" t="s">
        <v>8</v>
      </c>
      <c r="N5" s="6">
        <f>F4</f>
        <v>1086890</v>
      </c>
      <c r="O5" s="6">
        <f>N5+(N5*$H$4)</f>
        <v>1092220</v>
      </c>
      <c r="P5" s="6">
        <f>O5+(O5*$H$4)</f>
        <v>1097576.1377876326</v>
      </c>
    </row>
    <row r="6" spans="2:16" ht="15.75">
      <c r="D6" s="59" t="s">
        <v>9</v>
      </c>
      <c r="E6" s="60">
        <v>233864</v>
      </c>
      <c r="F6" s="61">
        <v>229876</v>
      </c>
      <c r="H6" s="68"/>
      <c r="I6" s="69">
        <f>(F6-E6)/F6</f>
        <v>-1.7348483530251091E-2</v>
      </c>
      <c r="L6" s="45" t="s">
        <v>6</v>
      </c>
      <c r="M6" s="7" t="s">
        <v>8</v>
      </c>
      <c r="N6" s="7">
        <f>F5</f>
        <v>611450</v>
      </c>
      <c r="O6" s="7">
        <f>N6+(N6*$I$5)</f>
        <v>603780</v>
      </c>
      <c r="P6" s="7">
        <f>O6+(O6*$I$5)</f>
        <v>596206.21211873414</v>
      </c>
    </row>
    <row r="7" spans="2:16" ht="15.75">
      <c r="D7" t="s">
        <v>10</v>
      </c>
      <c r="I7" s="4"/>
      <c r="L7" s="46" t="s">
        <v>11</v>
      </c>
      <c r="M7" s="8" t="s">
        <v>8</v>
      </c>
      <c r="N7" s="8">
        <f>N5-N6</f>
        <v>475440</v>
      </c>
      <c r="O7" s="8">
        <f>O5-O6</f>
        <v>488440</v>
      </c>
      <c r="P7" s="9">
        <f>P5-P6</f>
        <v>501369.9256688985</v>
      </c>
    </row>
    <row r="8" spans="2:16" ht="15.75">
      <c r="I8" s="4"/>
      <c r="L8" s="47" t="s">
        <v>9</v>
      </c>
      <c r="M8" s="10" t="s">
        <v>8</v>
      </c>
      <c r="N8" s="10">
        <f>F6</f>
        <v>229876</v>
      </c>
      <c r="O8" s="10">
        <f>N8+(N8*$I$6)</f>
        <v>225888</v>
      </c>
      <c r="P8" s="10">
        <f>O8+(O8*$I$6)</f>
        <v>221969.18575231865</v>
      </c>
    </row>
    <row r="9" spans="2:16" ht="15.75">
      <c r="B9" s="87" t="s">
        <v>12</v>
      </c>
      <c r="C9" s="88"/>
      <c r="D9" s="35" t="s">
        <v>13</v>
      </c>
      <c r="E9" s="35" t="s">
        <v>14</v>
      </c>
      <c r="F9" s="36" t="s">
        <v>15</v>
      </c>
      <c r="I9" s="4"/>
      <c r="L9" s="45" t="s">
        <v>16</v>
      </c>
      <c r="M9" s="7" t="s">
        <v>8</v>
      </c>
      <c r="N9" s="7">
        <f>D17</f>
        <v>32968.069199999998</v>
      </c>
      <c r="O9" s="7">
        <f>D18</f>
        <v>23739.519989385288</v>
      </c>
      <c r="P9" s="11">
        <f>D19</f>
        <v>12849.831920859928</v>
      </c>
    </row>
    <row r="10" spans="2:16" ht="15.75">
      <c r="B10" s="1" t="s">
        <v>17</v>
      </c>
      <c r="C10" s="38">
        <v>0.14000000000000001</v>
      </c>
      <c r="D10" s="31">
        <v>61051.98</v>
      </c>
      <c r="E10" s="38">
        <v>0.25</v>
      </c>
      <c r="F10" s="39">
        <f>C10*E10</f>
        <v>3.5000000000000003E-2</v>
      </c>
      <c r="H10" s="5"/>
      <c r="I10" s="5"/>
      <c r="L10" s="46" t="s">
        <v>18</v>
      </c>
      <c r="M10" s="8" t="s">
        <v>8</v>
      </c>
      <c r="N10" s="8">
        <f>N7-N8-N9</f>
        <v>212595.9308</v>
      </c>
      <c r="O10" s="8">
        <f>O7-O8-O9</f>
        <v>238812.4800106147</v>
      </c>
      <c r="P10" s="9">
        <f>P7-P8-P9</f>
        <v>266550.90799571993</v>
      </c>
    </row>
    <row r="11" spans="2:16" ht="15.75">
      <c r="B11" s="2" t="s">
        <v>19</v>
      </c>
      <c r="C11" s="40">
        <v>0.18</v>
      </c>
      <c r="D11" s="84">
        <v>183155.94</v>
      </c>
      <c r="E11" s="40">
        <v>0.75</v>
      </c>
      <c r="F11" s="39">
        <f>C11*E11</f>
        <v>0.13500000000000001</v>
      </c>
      <c r="H11" s="5"/>
      <c r="L11" s="47" t="s">
        <v>20</v>
      </c>
      <c r="M11" s="10" t="s">
        <v>8</v>
      </c>
      <c r="N11" s="10">
        <f>N10*0.3</f>
        <v>63778.779239999996</v>
      </c>
      <c r="O11" s="10">
        <f>O10*0.3</f>
        <v>71643.744003184402</v>
      </c>
      <c r="P11" s="12">
        <f>P10*0.3</f>
        <v>79965.27239871597</v>
      </c>
    </row>
    <row r="12" spans="2:16" ht="15.75">
      <c r="B12" s="3" t="s">
        <v>8</v>
      </c>
      <c r="C12" s="83" t="s">
        <v>21</v>
      </c>
      <c r="D12" s="85">
        <f>SUM(D10:D11)</f>
        <v>244207.92</v>
      </c>
      <c r="E12" s="37" t="s">
        <v>15</v>
      </c>
      <c r="F12" s="41">
        <f>SUM(F10:F11)</f>
        <v>0.17</v>
      </c>
      <c r="L12" s="47" t="s">
        <v>22</v>
      </c>
      <c r="M12" s="10" t="s">
        <v>8</v>
      </c>
      <c r="N12" s="10">
        <f>N10-N11</f>
        <v>148817.15156</v>
      </c>
      <c r="O12" s="10">
        <f>O10-O11</f>
        <v>167168.7360074303</v>
      </c>
      <c r="P12" s="12">
        <f>P10-P11</f>
        <v>186585.63559700397</v>
      </c>
    </row>
    <row r="13" spans="2:16" ht="15.75">
      <c r="L13" s="47" t="s">
        <v>23</v>
      </c>
      <c r="M13" s="10" t="s">
        <v>8</v>
      </c>
      <c r="N13" s="10">
        <f>E17</f>
        <v>51269.717836748401</v>
      </c>
      <c r="O13" s="10">
        <f>E18</f>
        <v>60498.267047363115</v>
      </c>
      <c r="P13" s="12">
        <f>E19</f>
        <v>71387.955115888471</v>
      </c>
    </row>
    <row r="14" spans="2:16" ht="15.75">
      <c r="B14" s="78" t="s">
        <v>24</v>
      </c>
      <c r="C14" s="79"/>
      <c r="D14" s="79"/>
      <c r="E14" s="79"/>
      <c r="F14" s="80"/>
      <c r="L14" s="47" t="s">
        <v>25</v>
      </c>
      <c r="M14" s="10">
        <v>-244207.92</v>
      </c>
      <c r="N14" s="10" t="s">
        <v>8</v>
      </c>
      <c r="O14" s="10" t="s">
        <v>8</v>
      </c>
      <c r="P14" s="12" t="s">
        <v>8</v>
      </c>
    </row>
    <row r="15" spans="2:16" ht="15.75">
      <c r="B15" s="23" t="s">
        <v>5</v>
      </c>
      <c r="C15" s="24" t="s">
        <v>26</v>
      </c>
      <c r="D15" s="24" t="s">
        <v>16</v>
      </c>
      <c r="E15" s="24" t="s">
        <v>23</v>
      </c>
      <c r="F15" s="25" t="s">
        <v>27</v>
      </c>
      <c r="L15" s="48" t="s">
        <v>28</v>
      </c>
      <c r="M15" s="13">
        <f>M14*-$E$11</f>
        <v>183155.94</v>
      </c>
      <c r="N15" s="13" t="s">
        <v>8</v>
      </c>
      <c r="O15" s="13" t="s">
        <v>8</v>
      </c>
      <c r="P15" s="14" t="s">
        <v>8</v>
      </c>
    </row>
    <row r="16" spans="2:16" ht="15.75">
      <c r="B16" s="20">
        <v>0</v>
      </c>
      <c r="C16" s="29"/>
      <c r="D16" s="29"/>
      <c r="E16" s="29"/>
      <c r="F16" s="30">
        <f>D11</f>
        <v>183155.94</v>
      </c>
      <c r="L16" s="49" t="s">
        <v>29</v>
      </c>
      <c r="M16" s="15">
        <f>SUM(M14:M15)</f>
        <v>-61051.98000000001</v>
      </c>
      <c r="N16" s="15">
        <f>N12-N13</f>
        <v>97547.433723251597</v>
      </c>
      <c r="O16" s="15">
        <f>O12-O13</f>
        <v>106670.46896006718</v>
      </c>
      <c r="P16" s="16">
        <f>P12-P13</f>
        <v>115197.6804811155</v>
      </c>
    </row>
    <row r="17" spans="2:16" ht="15.75">
      <c r="B17" s="21">
        <v>1</v>
      </c>
      <c r="C17" s="31">
        <f>PMT($C$11,$P$4,-$F$16)</f>
        <v>84237.787036748399</v>
      </c>
      <c r="D17" s="31">
        <f>F16*$C$11</f>
        <v>32968.069199999998</v>
      </c>
      <c r="E17" s="31">
        <f>C17-D17</f>
        <v>51269.717836748401</v>
      </c>
      <c r="F17" s="32">
        <f>F16-E17</f>
        <v>131886.2221632516</v>
      </c>
      <c r="L17" s="50" t="s">
        <v>30</v>
      </c>
      <c r="M17" s="17" t="s">
        <v>8</v>
      </c>
      <c r="N17" s="18">
        <f>(N16)/(1+$F$12)^N4</f>
        <v>83373.874977138126</v>
      </c>
      <c r="O17" s="18">
        <f>(O16)/(1+$F$12)^O4</f>
        <v>77924.22306966703</v>
      </c>
      <c r="P17" s="19">
        <f>(P16)/(1+$F$12)^P4</f>
        <v>71926.039861761557</v>
      </c>
    </row>
    <row r="18" spans="2:16" ht="15.75">
      <c r="B18" s="21">
        <v>2</v>
      </c>
      <c r="C18" s="31">
        <f>PMT($C$11,$P$4,-$F$16)</f>
        <v>84237.787036748399</v>
      </c>
      <c r="D18" s="31">
        <f>F17*$C$11</f>
        <v>23739.519989385288</v>
      </c>
      <c r="E18" s="31">
        <f>C18-D18</f>
        <v>60498.267047363115</v>
      </c>
      <c r="F18" s="32">
        <f>F17-E18</f>
        <v>71387.955115888486</v>
      </c>
      <c r="L18" s="45" t="s">
        <v>31</v>
      </c>
      <c r="M18" s="7" t="s">
        <v>8</v>
      </c>
      <c r="N18" s="7">
        <f>N17</f>
        <v>83373.874977138126</v>
      </c>
      <c r="O18" s="7">
        <f>O17+N18</f>
        <v>161298.09804680516</v>
      </c>
      <c r="P18" s="11">
        <f>P17+O18</f>
        <v>233224.13790856671</v>
      </c>
    </row>
    <row r="19" spans="2:16">
      <c r="B19" s="22">
        <v>3</v>
      </c>
      <c r="C19" s="33">
        <f>PMT($C$11,$P$4,-$F$16)</f>
        <v>84237.787036748399</v>
      </c>
      <c r="D19" s="33">
        <f>F18*$C$11</f>
        <v>12849.831920859928</v>
      </c>
      <c r="E19" s="33">
        <f>C19-D19</f>
        <v>71387.955115888471</v>
      </c>
      <c r="F19" s="34">
        <f>F18-E19</f>
        <v>0</v>
      </c>
      <c r="L19" t="s">
        <v>32</v>
      </c>
    </row>
    <row r="20" spans="2:16">
      <c r="B20" t="s">
        <v>33</v>
      </c>
      <c r="N20" s="5"/>
    </row>
    <row r="21" spans="2:16" ht="15.75">
      <c r="L21" s="81" t="s">
        <v>34</v>
      </c>
      <c r="M21" s="82"/>
    </row>
    <row r="22" spans="2:16" ht="15.75">
      <c r="L22" s="42" t="s">
        <v>35</v>
      </c>
      <c r="M22" s="26">
        <f>NPV(F12,N16:P16)+M16</f>
        <v>172172.1579085667</v>
      </c>
    </row>
    <row r="23" spans="2:16" ht="15.75">
      <c r="L23" s="42" t="s">
        <v>36</v>
      </c>
      <c r="M23" s="27">
        <f>IRR(M16:P16)</f>
        <v>1.5654987433260508</v>
      </c>
    </row>
    <row r="24" spans="2:16" ht="15.75">
      <c r="L24" s="42" t="s">
        <v>37</v>
      </c>
      <c r="M24" s="27">
        <f>M22/(M16*-1)</f>
        <v>2.8200913043044089</v>
      </c>
    </row>
    <row r="25" spans="2:16" ht="15.75">
      <c r="L25" s="43" t="s">
        <v>38</v>
      </c>
      <c r="M25" s="28" t="s">
        <v>41</v>
      </c>
    </row>
    <row r="26" spans="2:16">
      <c r="L26" t="s">
        <v>40</v>
      </c>
    </row>
  </sheetData>
  <mergeCells count="5">
    <mergeCell ref="B9:C9"/>
    <mergeCell ref="E2:F2"/>
    <mergeCell ref="L3:P3"/>
    <mergeCell ref="B14:F14"/>
    <mergeCell ref="L21:M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Edwin Ricardo Lopez Garcia</cp:lastModifiedBy>
  <cp:revision/>
  <dcterms:created xsi:type="dcterms:W3CDTF">2023-02-01T02:07:25Z</dcterms:created>
  <dcterms:modified xsi:type="dcterms:W3CDTF">2023-02-02T05:09:58Z</dcterms:modified>
  <cp:category/>
  <cp:contentStatus/>
</cp:coreProperties>
</file>