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kentry " sheetId="1" r:id="rId3"/>
    <sheet state="visible" name="Analysis_Final" sheetId="2" r:id="rId4"/>
    <sheet state="visible" name="Analysis" sheetId="3" r:id="rId5"/>
    <sheet state="visible" name="CO-PO" sheetId="4" r:id="rId6"/>
    <sheet state="visible" name="CLF  TES  CES" sheetId="5" r:id="rId7"/>
  </sheets>
  <definedNames/>
  <calcPr/>
</workbook>
</file>

<file path=xl/sharedStrings.xml><?xml version="1.0" encoding="utf-8"?>
<sst xmlns="http://schemas.openxmlformats.org/spreadsheetml/2006/main" count="283" uniqueCount="124">
  <si>
    <t>MULTIMEDIA TECHNIQUES</t>
  </si>
  <si>
    <t>course outcome attainment</t>
  </si>
  <si>
    <t>Analysis</t>
  </si>
  <si>
    <t>A</t>
  </si>
  <si>
    <t>CO1</t>
  </si>
  <si>
    <t xml:space="preserve">Total No of students </t>
  </si>
  <si>
    <t>Course Outcome Evaluation</t>
  </si>
  <si>
    <t>SEMESTER: VIII</t>
  </si>
  <si>
    <t xml:space="preserve">Ability to understand the multimedia concepts and its different representations.  </t>
  </si>
  <si>
    <t>Branch: CSE</t>
  </si>
  <si>
    <t>Course Outcome</t>
  </si>
  <si>
    <t>Outcome Calculation for a Subject / Lab</t>
  </si>
  <si>
    <t>CO2</t>
  </si>
  <si>
    <t>B</t>
  </si>
  <si>
    <t>Students will be able to apply compression algorithms for Image, Video and Audio</t>
  </si>
  <si>
    <t>Score Obtained(out of 3)</t>
  </si>
  <si>
    <t>Standard</t>
  </si>
  <si>
    <t>CO3</t>
  </si>
  <si>
    <t xml:space="preserve">Students will be able to understand different storage and databases for multimedia applications. </t>
  </si>
  <si>
    <t>No of students Absent</t>
  </si>
  <si>
    <t>C</t>
  </si>
  <si>
    <t>CO4</t>
  </si>
  <si>
    <t>The program gives the technological knowledge necessary for creating multimedia content.</t>
  </si>
  <si>
    <t>No of students Appeared</t>
  </si>
  <si>
    <t>CO5</t>
  </si>
  <si>
    <t>Students  can  apply  the  knowledge,  techniques,  skills  and  modern  tools  to become successful multimedia professionals</t>
  </si>
  <si>
    <t>D</t>
  </si>
  <si>
    <t>No of students passed</t>
  </si>
  <si>
    <t>AVERAGE</t>
  </si>
  <si>
    <t>CO6</t>
  </si>
  <si>
    <t>E</t>
  </si>
  <si>
    <t>No of students failed</t>
  </si>
  <si>
    <t>Evaluattion Formula</t>
  </si>
  <si>
    <t>OUTCOME FROM UNIVERSITY EXAM (3)</t>
  </si>
  <si>
    <t>N- Number of Students</t>
  </si>
  <si>
    <t>PO1</t>
  </si>
  <si>
    <t>percentage of Pass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</si>
  <si>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</si>
  <si>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</si>
  <si>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</si>
  <si>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</si>
  <si>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</si>
  <si>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</si>
  <si>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</si>
  <si>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</si>
  <si>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</si>
  <si>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</si>
  <si>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</si>
  <si>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</si>
  <si>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</si>
  <si>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OVERALL OUTCOME</t>
  </si>
  <si>
    <t>Class Average</t>
  </si>
  <si>
    <t>COURSE EXIT SURVEY (3)</t>
  </si>
  <si>
    <t>University AVG</t>
  </si>
  <si>
    <t>OUTCOME OF A SUBJECT</t>
  </si>
  <si>
    <t>Below 50%</t>
  </si>
  <si>
    <t>std</t>
  </si>
  <si>
    <t>CO</t>
  </si>
  <si>
    <t>Between 50 to 60%</t>
  </si>
  <si>
    <t>Between 60 and 75%</t>
  </si>
  <si>
    <t>75% and above</t>
  </si>
  <si>
    <t>Course outcome</t>
  </si>
  <si>
    <t>MAX MARK</t>
  </si>
  <si>
    <t>Roll No</t>
  </si>
  <si>
    <t>Student Name/Qno</t>
  </si>
  <si>
    <t>Out of 66</t>
  </si>
  <si>
    <t>Roll NO</t>
  </si>
  <si>
    <t>Marks</t>
  </si>
  <si>
    <t>AISWARYA VARMA</t>
  </si>
  <si>
    <t>AJAY KRISHNA</t>
  </si>
  <si>
    <t>ALEX JOSEPH</t>
  </si>
  <si>
    <t>AMRUTHA B R</t>
  </si>
  <si>
    <t>ANNAPRIYA JOSE</t>
  </si>
  <si>
    <t>ARAVIND PRAKASH MENON</t>
  </si>
  <si>
    <t>ARJUN ANILKUMAR</t>
  </si>
  <si>
    <t>BINSHA SHAMSUDHEEN</t>
  </si>
  <si>
    <t>BIMBLE JOSE</t>
  </si>
  <si>
    <t>GOUTHAM SUBRAMANYAMN</t>
  </si>
  <si>
    <t>HARISH JOSEY</t>
  </si>
  <si>
    <t>INDU PRASAD</t>
  </si>
  <si>
    <t>JOPAUL JOHN</t>
  </si>
  <si>
    <t>KARUN KRISHNADAS</t>
  </si>
  <si>
    <t>MIHIR MODHA</t>
  </si>
  <si>
    <t>-</t>
  </si>
  <si>
    <t>MOHAMMED SINWAN BACKER ISMAIL</t>
  </si>
  <si>
    <t>NEETHU JOHNY</t>
  </si>
  <si>
    <t>RAMASESHAN N P</t>
  </si>
  <si>
    <t>REJOY PAUL</t>
  </si>
  <si>
    <t>REVATHY PRAKASH</t>
  </si>
  <si>
    <t>RICHARD M JOY</t>
  </si>
  <si>
    <t>SACHIN SREEKUMAR</t>
  </si>
  <si>
    <t>SOORAJ K S</t>
  </si>
  <si>
    <t>SREESH S MALLYA</t>
  </si>
  <si>
    <t>STEFYMOL P</t>
  </si>
  <si>
    <t>Max Marks</t>
  </si>
  <si>
    <t>t- Scale ( we assume t = 5)</t>
  </si>
  <si>
    <t>CO attainment through University Exam</t>
  </si>
  <si>
    <r>
      <rPr/>
      <t>C</t>
    </r>
    <r>
      <rPr>
        <rFont val="Times New Roman"/>
        <sz val="11.0"/>
      </rPr>
      <t>1</t>
    </r>
    <r>
      <rPr>
        <rFont val="Times New Roman"/>
        <sz val="11.0"/>
      </rPr>
      <t xml:space="preserve"> – No of students obtained marks&gt;= 90%</t>
    </r>
  </si>
  <si>
    <t>Score</t>
  </si>
  <si>
    <t>Target Achieved(Yes/ NO</t>
  </si>
  <si>
    <r>
      <rPr/>
      <t>C</t>
    </r>
    <r>
      <rPr>
        <rFont val="Times New Roman"/>
        <sz val="11.0"/>
      </rPr>
      <t>2</t>
    </r>
    <r>
      <rPr>
        <rFont val="Times New Roman"/>
        <sz val="11.0"/>
      </rPr>
      <t xml:space="preserve"> – No of students obtained marks&gt;= 80% &amp;  &lt;90%</t>
    </r>
  </si>
  <si>
    <r>
      <rPr/>
      <t>C</t>
    </r>
    <r>
      <rPr>
        <rFont val="Times New Roman"/>
        <sz val="11.0"/>
      </rPr>
      <t>3</t>
    </r>
    <r>
      <rPr>
        <rFont val="Times New Roman"/>
        <sz val="11.0"/>
      </rPr>
      <t xml:space="preserve"> – No of students obtained marks&gt;= 70% &amp;  &lt;80%</t>
    </r>
  </si>
  <si>
    <r>
      <rPr/>
      <t>C</t>
    </r>
    <r>
      <rPr>
        <rFont val="Times New Roman"/>
        <sz val="11.0"/>
      </rPr>
      <t>4</t>
    </r>
    <r>
      <rPr>
        <rFont val="Times New Roman"/>
        <sz val="11.0"/>
      </rPr>
      <t xml:space="preserve"> – No of students obtained marks&gt;= 60% &amp;  &lt;70%</t>
    </r>
  </si>
  <si>
    <r>
      <rPr/>
      <t>C</t>
    </r>
    <r>
      <rPr>
        <rFont val="Times New Roman"/>
        <sz val="11.0"/>
      </rPr>
      <t>5</t>
    </r>
    <r>
      <rPr>
        <rFont val="Times New Roman"/>
        <sz val="11.0"/>
      </rPr>
      <t xml:space="preserve"> – No of students obtained marks&gt;= 40% &amp;  60%</t>
    </r>
  </si>
  <si>
    <r>
      <rPr/>
      <t>The Score S</t>
    </r>
    <r>
      <rPr>
        <rFont val="Times New Roman"/>
        <sz val="11.0"/>
      </rPr>
      <t xml:space="preserve">=                                                       The Score S, lies in the interval [0 5], </t>
    </r>
  </si>
  <si>
    <t>%</t>
  </si>
  <si>
    <t>Feedback</t>
  </si>
  <si>
    <t>Confidence Level Feedback</t>
  </si>
  <si>
    <t>Teaching Effectiveness Survey</t>
  </si>
  <si>
    <t>Course Exit Survey</t>
  </si>
  <si>
    <t>&gt;=90</t>
  </si>
  <si>
    <t>&gt;=Avg+2*sig</t>
  </si>
  <si>
    <t>&gt;=80</t>
  </si>
  <si>
    <t>&gt;=Avg+sig</t>
  </si>
  <si>
    <t>&gt;=70%</t>
  </si>
  <si>
    <t>&gt;=Avg</t>
  </si>
  <si>
    <t>&gt;=60%</t>
  </si>
  <si>
    <t>&gt;=Avg-sig</t>
  </si>
  <si>
    <t>&gt;=40%</t>
  </si>
  <si>
    <t>&gt;=Avg-2*sig</t>
  </si>
  <si>
    <r>
      <rPr/>
      <t>S</t>
    </r>
    <r>
      <rPr>
        <rFont val="Arial"/>
        <sz val="10.0"/>
      </rPr>
      <t>SCORE</t>
    </r>
  </si>
  <si>
    <r>
      <rPr/>
      <t>S</t>
    </r>
    <r>
      <rPr>
        <rFont val="Arial"/>
        <sz val="10.0"/>
      </rPr>
      <t>SCORE</t>
    </r>
  </si>
  <si>
    <r>
      <rPr/>
      <t>S</t>
    </r>
    <r>
      <rPr>
        <rFont val="Arial"/>
        <sz val="10.0"/>
      </rPr>
      <t>SCORE</t>
    </r>
  </si>
  <si>
    <r>
      <rPr/>
      <t>S</t>
    </r>
    <r>
      <rPr>
        <rFont val="Arial"/>
        <sz val="10.0"/>
      </rPr>
      <t>SCORE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</si>
</sst>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9">
    <font>
      <sz val="10.0"/>
      <color rgb="FF000000"/>
      <name val="Arial"/>
    </font>
    <font>
      <b/>
      <name val="Arial"/>
    </font>
    <font>
      <sz val="10.0"/>
      <name val="Arial"/>
    </font>
    <font/>
    <font>
      <name val="Arial"/>
    </font>
    <font>
      <b/>
      <sz val="10.0"/>
      <name val="Arial"/>
    </font>
    <font>
      <b/>
      <sz val="16.0"/>
      <name val="Arial"/>
    </font>
    <font>
      <sz val="11.0"/>
      <color rgb="FF000000"/>
      <name val="Calibri"/>
    </font>
    <font>
      <b/>
      <sz val="10.0"/>
      <color rgb="FFFF0000"/>
      <name val="Arial"/>
    </font>
    <font>
      <sz val="10.0"/>
      <color rgb="FFFFC000"/>
      <name val="Arial"/>
    </font>
    <font>
      <b/>
      <sz val="11.0"/>
      <color rgb="FF000000"/>
      <name val="Calibri"/>
    </font>
    <font>
      <sz val="12.0"/>
      <name val="&quot;Times New Roman&quot;"/>
    </font>
    <font>
      <b/>
      <sz val="10.0"/>
      <color rgb="FF1F497D"/>
      <name val="Arial"/>
    </font>
    <font>
      <b/>
      <sz val="14.0"/>
      <color rgb="FF000000"/>
      <name val="Calibri"/>
    </font>
    <font>
      <sz val="10.0"/>
      <color rgb="FFFFFFFF"/>
      <name val="Arial"/>
    </font>
    <font>
      <sz val="10.0"/>
      <color rgb="FFFF0000"/>
      <name val="Arial"/>
    </font>
    <font>
      <sz val="8.0"/>
      <name val="Arial"/>
    </font>
    <font>
      <sz val="11.0"/>
      <name val="Times New Roman"/>
    </font>
    <font>
      <b/>
      <sz val="11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BD4B4"/>
        <bgColor rgb="FFFBD4B4"/>
      </patternFill>
    </fill>
    <fill>
      <patternFill patternType="solid">
        <fgColor rgb="FFDAEEF3"/>
        <bgColor rgb="FFDAEEF3"/>
      </patternFill>
    </fill>
    <fill>
      <patternFill patternType="solid">
        <fgColor rgb="FFBFBFBF"/>
        <bgColor rgb="FFBFBFBF"/>
      </patternFill>
    </fill>
    <fill>
      <patternFill patternType="solid">
        <fgColor rgb="FFDBE5F1"/>
        <bgColor rgb="FFDBE5F1"/>
      </patternFill>
    </fill>
  </fills>
  <borders count="59">
    <border/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/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/>
    </border>
    <border>
      <left style="thin">
        <color rgb="FF000000"/>
      </left>
      <right style="medium">
        <color rgb="FF000000"/>
      </right>
    </border>
    <border>
      <left/>
      <right/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shrinkToFit="0" wrapText="1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0"/>
    </xf>
    <xf borderId="0" fillId="2" fontId="2" numFmtId="0" xfId="0" applyAlignment="1" applyFill="1" applyFont="1">
      <alignment shrinkToFit="0" wrapText="0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5" fillId="0" fontId="2" numFmtId="0" xfId="0" applyAlignment="1" applyBorder="1" applyFont="1">
      <alignment horizontal="center" shrinkToFit="0" textRotation="180" vertical="center" wrapText="0"/>
    </xf>
    <xf borderId="6" fillId="0" fontId="2" numFmtId="2" xfId="0" applyAlignment="1" applyBorder="1" applyFont="1" applyNumberFormat="1">
      <alignment horizontal="center" shrinkToFit="0" textRotation="180" vertical="center" wrapText="0"/>
    </xf>
    <xf borderId="6" fillId="0" fontId="2" numFmtId="0" xfId="0" applyAlignment="1" applyBorder="1" applyFont="1">
      <alignment horizontal="center" shrinkToFit="0" textRotation="180" vertical="center" wrapText="0"/>
    </xf>
    <xf borderId="5" fillId="0" fontId="2" numFmtId="0" xfId="0" applyAlignment="1" applyBorder="1" applyFont="1">
      <alignment shrinkToFit="0" wrapText="0"/>
    </xf>
    <xf borderId="7" fillId="0" fontId="2" numFmtId="2" xfId="0" applyAlignment="1" applyBorder="1" applyFont="1" applyNumberFormat="1">
      <alignment horizontal="right" shrinkToFit="0" wrapText="0"/>
    </xf>
    <xf borderId="8" fillId="0" fontId="2" numFmtId="0" xfId="0" applyAlignment="1" applyBorder="1" applyFont="1">
      <alignment shrinkToFit="0" wrapText="0"/>
    </xf>
    <xf borderId="9" fillId="0" fontId="2" numFmtId="0" xfId="0" applyAlignment="1" applyBorder="1" applyFont="1">
      <alignment shrinkToFit="0" wrapText="0"/>
    </xf>
    <xf borderId="10" fillId="0" fontId="2" numFmtId="2" xfId="0" applyAlignment="1" applyBorder="1" applyFont="1" applyNumberFormat="1">
      <alignment horizontal="center" readingOrder="0" shrinkToFit="0" vertical="center" wrapText="0"/>
    </xf>
    <xf borderId="11" fillId="0" fontId="2" numFmtId="0" xfId="0" applyAlignment="1" applyBorder="1" applyFont="1">
      <alignment horizontal="left" shrinkToFit="0" vertical="center" wrapText="0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0" fillId="0" fontId="2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center" shrinkToFit="0" vertical="center" wrapText="0"/>
    </xf>
    <xf borderId="16" fillId="0" fontId="3" numFmtId="0" xfId="0" applyBorder="1" applyFont="1"/>
    <xf borderId="17" fillId="2" fontId="2" numFmtId="0" xfId="0" applyAlignment="1" applyBorder="1" applyFont="1">
      <alignment shrinkToFit="0" wrapText="0"/>
    </xf>
    <xf borderId="0" fillId="0" fontId="2" numFmtId="0" xfId="0" applyAlignment="1" applyFont="1">
      <alignment horizontal="left" shrinkToFit="0" wrapText="0"/>
    </xf>
    <xf borderId="0" fillId="0" fontId="5" numFmtId="0" xfId="0" applyAlignment="1" applyFont="1">
      <alignment shrinkToFit="0" wrapText="0"/>
    </xf>
    <xf borderId="12" fillId="0" fontId="4" numFmtId="0" xfId="0" applyAlignment="1" applyBorder="1" applyFont="1">
      <alignment vertical="bottom"/>
    </xf>
    <xf borderId="0" fillId="0" fontId="6" numFmtId="0" xfId="0" applyAlignment="1" applyFont="1">
      <alignment horizontal="center" shrinkToFit="0" wrapText="0"/>
    </xf>
    <xf borderId="9" fillId="0" fontId="4" numFmtId="0" xfId="0" applyAlignment="1" applyBorder="1" applyFont="1">
      <alignment vertical="bottom"/>
    </xf>
    <xf borderId="0" fillId="0" fontId="5" numFmtId="0" xfId="0" applyAlignment="1" applyFont="1">
      <alignment horizontal="center" readingOrder="0" shrinkToFit="0" wrapText="0"/>
    </xf>
    <xf borderId="2" fillId="0" fontId="4" numFmtId="0" xfId="0" applyAlignment="1" applyBorder="1" applyFont="1">
      <alignment readingOrder="0" shrinkToFit="0" vertical="bottom" wrapText="1"/>
    </xf>
    <xf borderId="5" fillId="0" fontId="3" numFmtId="0" xfId="0" applyBorder="1" applyFont="1"/>
    <xf borderId="18" fillId="0" fontId="4" numFmtId="0" xfId="0" applyAlignment="1" applyBorder="1" applyFont="1">
      <alignment vertical="bottom"/>
    </xf>
    <xf borderId="19" fillId="0" fontId="3" numFmtId="0" xfId="0" applyBorder="1" applyFont="1"/>
    <xf borderId="12" fillId="2" fontId="7" numFmtId="0" xfId="0" applyAlignment="1" applyBorder="1" applyFont="1">
      <alignment horizontal="center" vertical="bottom"/>
    </xf>
    <xf borderId="2" fillId="0" fontId="5" numFmtId="0" xfId="0" applyAlignment="1" applyBorder="1" applyFont="1">
      <alignment horizontal="center" shrinkToFit="0" vertical="center" wrapText="0"/>
    </xf>
    <xf borderId="13" fillId="2" fontId="4" numFmtId="0" xfId="0" applyAlignment="1" applyBorder="1" applyFont="1">
      <alignment vertical="bottom"/>
    </xf>
    <xf borderId="20" fillId="0" fontId="5" numFmtId="0" xfId="0" applyAlignment="1" applyBorder="1" applyFont="1">
      <alignment shrinkToFit="0" wrapText="1"/>
    </xf>
    <xf borderId="13" fillId="0" fontId="4" numFmtId="2" xfId="0" applyAlignment="1" applyBorder="1" applyFont="1" applyNumberFormat="1">
      <alignment vertical="bottom"/>
    </xf>
    <xf borderId="2" fillId="0" fontId="8" numFmtId="0" xfId="0" applyAlignment="1" applyBorder="1" applyFont="1">
      <alignment horizontal="center" shrinkToFit="0" vertical="center" wrapText="0"/>
    </xf>
    <xf borderId="21" fillId="0" fontId="2" numFmtId="0" xfId="0" applyAlignment="1" applyBorder="1" applyFont="1">
      <alignment shrinkToFit="0" wrapText="0"/>
    </xf>
    <xf borderId="20" fillId="0" fontId="2" numFmtId="0" xfId="0" applyAlignment="1" applyBorder="1" applyFont="1">
      <alignment shrinkToFit="0" vertical="center" wrapText="0"/>
    </xf>
    <xf borderId="20" fillId="0" fontId="2" numFmtId="0" xfId="0" applyAlignment="1" applyBorder="1" applyFont="1">
      <alignment horizontal="left" shrinkToFit="0" wrapText="1"/>
    </xf>
    <xf borderId="13" fillId="2" fontId="7" numFmtId="0" xfId="0" applyAlignment="1" applyBorder="1" applyFont="1">
      <alignment vertical="bottom"/>
    </xf>
    <xf borderId="20" fillId="0" fontId="2" numFmtId="0" xfId="0" applyAlignment="1" applyBorder="1" applyFont="1">
      <alignment shrinkToFit="0" wrapText="0"/>
    </xf>
    <xf borderId="22" fillId="0" fontId="2" numFmtId="2" xfId="0" applyAlignment="1" applyBorder="1" applyFont="1" applyNumberFormat="1">
      <alignment horizontal="center" readingOrder="0" shrinkToFit="0" vertical="center" wrapText="0"/>
    </xf>
    <xf borderId="23" fillId="0" fontId="2" numFmtId="0" xfId="0" applyAlignment="1" applyBorder="1" applyFont="1">
      <alignment horizontal="left" shrinkToFit="0" vertical="center" wrapText="0"/>
    </xf>
    <xf borderId="22" fillId="0" fontId="9" numFmtId="0" xfId="0" applyAlignment="1" applyBorder="1" applyFont="1">
      <alignment horizontal="center" shrinkToFit="0" vertical="center" wrapText="0"/>
    </xf>
    <xf borderId="24" fillId="2" fontId="2" numFmtId="0" xfId="0" applyAlignment="1" applyBorder="1" applyFont="1">
      <alignment shrinkToFit="0" wrapText="0"/>
    </xf>
    <xf borderId="13" fillId="0" fontId="7" numFmtId="2" xfId="0" applyAlignment="1" applyBorder="1" applyFont="1" applyNumberFormat="1">
      <alignment horizontal="center" vertical="bottom"/>
    </xf>
    <xf borderId="20" fillId="0" fontId="2" numFmtId="2" xfId="0" applyAlignment="1" applyBorder="1" applyFont="1" applyNumberFormat="1">
      <alignment horizontal="center" shrinkToFit="0" wrapText="0"/>
    </xf>
    <xf borderId="13" fillId="2" fontId="10" numFmtId="0" xfId="0" applyAlignment="1" applyBorder="1" applyFont="1">
      <alignment horizontal="center" vertical="bottom"/>
    </xf>
    <xf borderId="20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horizontal="center" shrinkToFit="0" vertical="center" wrapText="0"/>
    </xf>
    <xf borderId="13" fillId="2" fontId="4" numFmtId="0" xfId="0" applyAlignment="1" applyBorder="1" applyFont="1">
      <alignment horizontal="right" vertical="bottom"/>
    </xf>
    <xf borderId="13" fillId="2" fontId="7" numFmtId="0" xfId="0" applyAlignment="1" applyBorder="1" applyFont="1">
      <alignment horizontal="center" vertical="bottom"/>
    </xf>
    <xf borderId="20" fillId="0" fontId="2" numFmtId="2" xfId="0" applyAlignment="1" applyBorder="1" applyFont="1" applyNumberFormat="1">
      <alignment shrinkToFit="0" wrapText="0"/>
    </xf>
    <xf borderId="25" fillId="2" fontId="2" numFmtId="0" xfId="0" applyAlignment="1" applyBorder="1" applyFont="1">
      <alignment shrinkToFit="0" wrapText="0"/>
    </xf>
    <xf borderId="9" fillId="0" fontId="5" numFmtId="0" xfId="0" applyAlignment="1" applyBorder="1" applyFont="1">
      <alignment horizontal="center" shrinkToFit="0" wrapText="1"/>
    </xf>
    <xf borderId="26" fillId="0" fontId="2" numFmtId="0" xfId="0" applyAlignment="1" applyBorder="1" applyFont="1">
      <alignment shrinkToFit="0" wrapText="0"/>
    </xf>
    <xf borderId="13" fillId="2" fontId="4" numFmtId="2" xfId="0" applyAlignment="1" applyBorder="1" applyFont="1" applyNumberFormat="1">
      <alignment vertical="bottom"/>
    </xf>
    <xf borderId="27" fillId="0" fontId="2" numFmtId="0" xfId="0" applyAlignment="1" applyBorder="1" applyFont="1">
      <alignment shrinkToFit="0" wrapText="0"/>
    </xf>
    <xf borderId="28" fillId="0" fontId="2" numFmtId="2" xfId="0" applyAlignment="1" applyBorder="1" applyFont="1" applyNumberFormat="1">
      <alignment horizontal="center" shrinkToFit="0" vertical="center" wrapText="0"/>
    </xf>
    <xf borderId="13" fillId="0" fontId="4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vertical="center" wrapText="0"/>
    </xf>
    <xf borderId="20" fillId="0" fontId="11" numFmtId="0" xfId="0" applyAlignment="1" applyBorder="1" applyFont="1">
      <alignment readingOrder="0" vertical="top"/>
    </xf>
    <xf borderId="20" fillId="0" fontId="11" numFmtId="0" xfId="0" applyAlignment="1" applyBorder="1" applyFont="1">
      <alignment vertical="top"/>
    </xf>
    <xf borderId="22" fillId="0" fontId="2" numFmtId="2" xfId="0" applyAlignment="1" applyBorder="1" applyFont="1" applyNumberFormat="1">
      <alignment horizontal="center" shrinkToFit="0" vertical="center" wrapText="0"/>
    </xf>
    <xf borderId="13" fillId="2" fontId="7" numFmtId="164" xfId="0" applyAlignment="1" applyBorder="1" applyFont="1" applyNumberFormat="1">
      <alignment horizontal="right" vertical="bottom"/>
    </xf>
    <xf borderId="13" fillId="0" fontId="11" numFmtId="0" xfId="0" applyAlignment="1" applyBorder="1" applyFont="1">
      <alignment readingOrder="0" vertical="top"/>
    </xf>
    <xf borderId="0" fillId="0" fontId="12" numFmtId="0" xfId="0" applyAlignment="1" applyFont="1">
      <alignment horizontal="center" shrinkToFit="0" vertical="center" wrapText="0"/>
    </xf>
    <xf borderId="13" fillId="0" fontId="11" numFmtId="0" xfId="0" applyAlignment="1" applyBorder="1" applyFont="1">
      <alignment vertical="top"/>
    </xf>
    <xf borderId="0" fillId="0" fontId="12" numFmtId="0" xfId="0" applyAlignment="1" applyFont="1">
      <alignment shrinkToFit="0" wrapText="0"/>
    </xf>
    <xf borderId="13" fillId="2" fontId="4" numFmtId="0" xfId="0" applyAlignment="1" applyBorder="1" applyFont="1">
      <alignment horizontal="right" readingOrder="0" vertical="bottom"/>
    </xf>
    <xf borderId="20" fillId="0" fontId="2" numFmtId="2" xfId="0" applyAlignment="1" applyBorder="1" applyFont="1" applyNumberFormat="1">
      <alignment horizontal="right" shrinkToFit="0" wrapText="0"/>
    </xf>
    <xf borderId="13" fillId="2" fontId="7" numFmtId="2" xfId="0" applyAlignment="1" applyBorder="1" applyFont="1" applyNumberFormat="1">
      <alignment horizontal="right" vertical="bottom"/>
    </xf>
    <xf borderId="13" fillId="3" fontId="7" numFmtId="0" xfId="0" applyAlignment="1" applyBorder="1" applyFill="1" applyFont="1">
      <alignment horizontal="right" vertical="bottom"/>
    </xf>
    <xf borderId="7" fillId="0" fontId="2" numFmtId="0" xfId="0" applyAlignment="1" applyBorder="1" applyFont="1">
      <alignment shrinkToFit="0" wrapText="0"/>
    </xf>
    <xf borderId="11" fillId="0" fontId="2" numFmtId="0" xfId="0" applyAlignment="1" applyBorder="1" applyFont="1">
      <alignment shrinkToFit="0" wrapText="0"/>
    </xf>
    <xf borderId="12" fillId="0" fontId="2" numFmtId="0" xfId="0" applyAlignment="1" applyBorder="1" applyFont="1">
      <alignment shrinkToFit="0" wrapText="0"/>
    </xf>
    <xf borderId="12" fillId="0" fontId="2" numFmtId="0" xfId="0" applyAlignment="1" applyBorder="1" applyFont="1">
      <alignment horizontal="center" shrinkToFit="0" vertical="center" wrapText="0"/>
    </xf>
    <xf borderId="29" fillId="0" fontId="2" numFmtId="0" xfId="0" applyAlignment="1" applyBorder="1" applyFont="1">
      <alignment horizontal="center" shrinkToFit="0" vertical="center" wrapText="0"/>
    </xf>
    <xf borderId="30" fillId="0" fontId="3" numFmtId="0" xfId="0" applyBorder="1" applyFont="1"/>
    <xf borderId="31" fillId="0" fontId="3" numFmtId="0" xfId="0" applyBorder="1" applyFont="1"/>
    <xf borderId="28" fillId="0" fontId="2" numFmtId="0" xfId="0" applyAlignment="1" applyBorder="1" applyFont="1">
      <alignment horizontal="center" shrinkToFit="0" vertical="center" wrapText="0"/>
    </xf>
    <xf borderId="32" fillId="2" fontId="2" numFmtId="0" xfId="0" applyAlignment="1" applyBorder="1" applyFont="1">
      <alignment shrinkToFit="0" wrapText="0"/>
    </xf>
    <xf borderId="33" fillId="0" fontId="2" numFmtId="0" xfId="0" applyAlignment="1" applyBorder="1" applyFont="1">
      <alignment shrinkToFit="0" wrapText="0"/>
    </xf>
    <xf borderId="11" fillId="0" fontId="3" numFmtId="0" xfId="0" applyBorder="1" applyFont="1"/>
    <xf borderId="9" fillId="0" fontId="3" numFmtId="0" xfId="0" applyBorder="1" applyFont="1"/>
    <xf borderId="34" fillId="4" fontId="2" numFmtId="0" xfId="0" applyAlignment="1" applyBorder="1" applyFill="1" applyFont="1">
      <alignment horizontal="center" shrinkToFit="0" wrapText="1"/>
    </xf>
    <xf borderId="35" fillId="4" fontId="2" numFmtId="0" xfId="0" applyAlignment="1" applyBorder="1" applyFont="1">
      <alignment horizontal="center" shrinkToFit="0" wrapText="1"/>
    </xf>
    <xf borderId="36" fillId="5" fontId="0" numFmtId="0" xfId="0" applyAlignment="1" applyBorder="1" applyFill="1" applyFont="1">
      <alignment horizontal="center" shrinkToFit="0" vertical="center" wrapText="0"/>
    </xf>
    <xf borderId="37" fillId="5" fontId="0" numFmtId="0" xfId="0" applyAlignment="1" applyBorder="1" applyFont="1">
      <alignment horizontal="center" shrinkToFit="0" vertical="center" wrapText="0"/>
    </xf>
    <xf borderId="35" fillId="4" fontId="2" numFmtId="0" xfId="0" applyAlignment="1" applyBorder="1" applyFont="1">
      <alignment horizontal="center" shrinkToFit="0" vertical="center" wrapText="0"/>
    </xf>
    <xf borderId="38" fillId="2" fontId="2" numFmtId="0" xfId="0" applyAlignment="1" applyBorder="1" applyFont="1">
      <alignment horizontal="center" shrinkToFit="0" wrapText="0"/>
    </xf>
    <xf borderId="37" fillId="5" fontId="2" numFmtId="0" xfId="0" applyAlignment="1" applyBorder="1" applyFont="1">
      <alignment shrinkToFit="0" wrapText="0"/>
    </xf>
    <xf borderId="39" fillId="4" fontId="2" numFmtId="0" xfId="0" applyAlignment="1" applyBorder="1" applyFont="1">
      <alignment horizontal="center" shrinkToFit="0" wrapText="0"/>
    </xf>
    <xf borderId="40" fillId="2" fontId="2" numFmtId="0" xfId="0" applyAlignment="1" applyBorder="1" applyFont="1">
      <alignment horizontal="center" shrinkToFit="0" wrapText="0"/>
    </xf>
    <xf borderId="36" fillId="5" fontId="2" numFmtId="2" xfId="0" applyAlignment="1" applyBorder="1" applyFont="1" applyNumberFormat="1">
      <alignment shrinkToFit="0" wrapText="0"/>
    </xf>
    <xf borderId="36" fillId="5" fontId="2" numFmtId="0" xfId="0" applyAlignment="1" applyBorder="1" applyFont="1">
      <alignment shrinkToFit="0" wrapText="0"/>
    </xf>
    <xf borderId="41" fillId="0" fontId="2" numFmtId="0" xfId="0" applyAlignment="1" applyBorder="1" applyFont="1">
      <alignment shrinkToFit="0" wrapText="0"/>
    </xf>
    <xf borderId="42" fillId="0" fontId="2" numFmtId="0" xfId="0" applyAlignment="1" applyBorder="1" applyFont="1">
      <alignment shrinkToFit="0" wrapText="0"/>
    </xf>
    <xf borderId="43" fillId="0" fontId="2" numFmtId="2" xfId="0" applyAlignment="1" applyBorder="1" applyFont="1" applyNumberFormat="1">
      <alignment horizontal="right" shrinkToFit="0" wrapText="0"/>
    </xf>
    <xf borderId="44" fillId="0" fontId="3" numFmtId="0" xfId="0" applyBorder="1" applyFont="1"/>
    <xf borderId="20" fillId="0" fontId="13" numFmtId="0" xfId="0" applyAlignment="1" applyBorder="1" applyFont="1">
      <alignment horizontal="center" shrinkToFit="0" vertical="center" wrapText="0"/>
    </xf>
    <xf borderId="45" fillId="0" fontId="3" numFmtId="0" xfId="0" applyBorder="1" applyFont="1"/>
    <xf borderId="20" fillId="0" fontId="13" numFmtId="0" xfId="0" applyAlignment="1" applyBorder="1" applyFont="1">
      <alignment horizontal="center" shrinkToFit="0" wrapText="0"/>
    </xf>
    <xf borderId="46" fillId="0" fontId="3" numFmtId="0" xfId="0" applyBorder="1" applyFont="1"/>
    <xf borderId="47" fillId="0" fontId="3" numFmtId="0" xfId="0" applyBorder="1" applyFont="1"/>
    <xf borderId="20" fillId="2" fontId="13" numFmtId="2" xfId="0" applyAlignment="1" applyBorder="1" applyFont="1" applyNumberFormat="1">
      <alignment horizontal="center" shrinkToFit="0" wrapText="0"/>
    </xf>
    <xf borderId="20" fillId="2" fontId="13" numFmtId="0" xfId="0" applyAlignment="1" applyBorder="1" applyFont="1">
      <alignment horizontal="center" shrinkToFit="0" wrapText="0"/>
    </xf>
    <xf borderId="48" fillId="2" fontId="14" numFmtId="0" xfId="0" applyAlignment="1" applyBorder="1" applyFont="1">
      <alignment shrinkToFit="0" wrapText="0"/>
    </xf>
    <xf borderId="21" fillId="2" fontId="14" numFmtId="0" xfId="0" applyAlignment="1" applyBorder="1" applyFont="1">
      <alignment shrinkToFit="0" wrapText="0"/>
    </xf>
    <xf borderId="22" fillId="2" fontId="14" numFmtId="2" xfId="0" applyAlignment="1" applyBorder="1" applyFont="1" applyNumberFormat="1">
      <alignment horizontal="right" shrinkToFit="0" wrapText="0"/>
    </xf>
    <xf borderId="49" fillId="2" fontId="14" numFmtId="0" xfId="0" applyAlignment="1" applyBorder="1" applyFont="1">
      <alignment shrinkToFit="0" wrapText="0"/>
    </xf>
    <xf borderId="3" fillId="0" fontId="2" numFmtId="0" xfId="0" applyAlignment="1" applyBorder="1" applyFont="1">
      <alignment shrinkToFit="0" wrapText="0"/>
    </xf>
    <xf borderId="22" fillId="0" fontId="2" numFmtId="2" xfId="0" applyAlignment="1" applyBorder="1" applyFont="1" applyNumberFormat="1">
      <alignment horizontal="right" shrinkToFit="0" wrapText="0"/>
    </xf>
    <xf borderId="8" fillId="0" fontId="3" numFmtId="0" xfId="0" applyBorder="1" applyFont="1"/>
    <xf borderId="50" fillId="0" fontId="3" numFmtId="0" xfId="0" applyBorder="1" applyFont="1"/>
    <xf borderId="10" fillId="0" fontId="3" numFmtId="0" xfId="0" applyBorder="1" applyFont="1"/>
    <xf borderId="51" fillId="0" fontId="3" numFmtId="0" xfId="0" applyBorder="1" applyFont="1"/>
    <xf borderId="20" fillId="0" fontId="13" numFmtId="2" xfId="0" applyAlignment="1" applyBorder="1" applyFont="1" applyNumberFormat="1">
      <alignment horizontal="center" shrinkToFit="0" wrapText="0"/>
    </xf>
    <xf borderId="21" fillId="6" fontId="2" numFmtId="0" xfId="0" applyAlignment="1" applyBorder="1" applyFill="1" applyFont="1">
      <alignment horizontal="center" shrinkToFit="0" wrapText="0"/>
    </xf>
    <xf borderId="20" fillId="6" fontId="2" numFmtId="0" xfId="0" applyAlignment="1" applyBorder="1" applyFont="1">
      <alignment horizontal="center" shrinkToFit="0" wrapText="0"/>
    </xf>
    <xf borderId="20" fillId="6" fontId="2" numFmtId="0" xfId="0" applyAlignment="1" applyBorder="1" applyFont="1">
      <alignment horizontal="center" shrinkToFit="0" vertical="center" wrapText="0"/>
    </xf>
    <xf borderId="52" fillId="2" fontId="2" numFmtId="0" xfId="0" applyAlignment="1" applyBorder="1" applyFont="1">
      <alignment horizontal="center" shrinkToFit="0" wrapText="0"/>
    </xf>
    <xf borderId="22" fillId="6" fontId="2" numFmtId="0" xfId="0" applyAlignment="1" applyBorder="1" applyFont="1">
      <alignment horizontal="center" shrinkToFit="0" wrapText="0"/>
    </xf>
    <xf borderId="20" fillId="6" fontId="2" numFmtId="1" xfId="0" applyAlignment="1" applyBorder="1" applyFont="1" applyNumberFormat="1">
      <alignment shrinkToFit="0" wrapText="0"/>
    </xf>
    <xf borderId="21" fillId="4" fontId="2" numFmtId="0" xfId="0" applyAlignment="1" applyBorder="1" applyFont="1">
      <alignment shrinkToFit="0" wrapText="1"/>
    </xf>
    <xf borderId="20" fillId="4" fontId="2" numFmtId="0" xfId="0" applyAlignment="1" applyBorder="1" applyFont="1">
      <alignment shrinkToFit="0" wrapText="1"/>
    </xf>
    <xf borderId="20" fillId="7" fontId="2" numFmtId="0" xfId="0" applyAlignment="1" applyBorder="1" applyFill="1" applyFont="1">
      <alignment horizontal="center" shrinkToFit="0" vertical="center" wrapText="0"/>
    </xf>
    <xf borderId="20" fillId="4" fontId="2" numFmtId="0" xfId="0" applyAlignment="1" applyBorder="1" applyFont="1">
      <alignment horizontal="center" shrinkToFit="0" vertical="center" wrapText="1"/>
    </xf>
    <xf borderId="52" fillId="2" fontId="2" numFmtId="0" xfId="0" applyAlignment="1" applyBorder="1" applyFont="1">
      <alignment shrinkToFit="0" wrapText="1"/>
    </xf>
    <xf borderId="20" fillId="7" fontId="2" numFmtId="0" xfId="0" applyAlignment="1" applyBorder="1" applyFont="1">
      <alignment horizontal="center" shrinkToFit="0" wrapText="0"/>
    </xf>
    <xf borderId="22" fillId="4" fontId="2" numFmtId="0" xfId="0" applyAlignment="1" applyBorder="1" applyFont="1">
      <alignment shrinkToFit="0" wrapText="1"/>
    </xf>
    <xf borderId="20" fillId="0" fontId="2" numFmtId="1" xfId="0" applyAlignment="1" applyBorder="1" applyFont="1" applyNumberFormat="1">
      <alignment shrinkToFit="0" wrapText="0"/>
    </xf>
    <xf borderId="21" fillId="7" fontId="2" numFmtId="0" xfId="0" applyAlignment="1" applyBorder="1" applyFont="1">
      <alignment horizontal="center" shrinkToFit="0" wrapText="0"/>
    </xf>
    <xf borderId="20" fillId="7" fontId="2" numFmtId="0" xfId="0" applyAlignment="1" applyBorder="1" applyFont="1">
      <alignment horizontal="left" shrinkToFit="0" wrapText="0"/>
    </xf>
    <xf borderId="53" fillId="0" fontId="2" numFmtId="0" xfId="0" applyAlignment="1" applyBorder="1" applyFont="1">
      <alignment horizontal="center" shrinkToFit="0" vertical="center" wrapText="0"/>
    </xf>
    <xf borderId="54" fillId="8" fontId="2" numFmtId="0" xfId="0" applyAlignment="1" applyBorder="1" applyFill="1" applyFont="1">
      <alignment horizontal="center" shrinkToFit="0" vertical="center" wrapText="0"/>
    </xf>
    <xf borderId="20" fillId="4" fontId="2" numFmtId="0" xfId="0" applyAlignment="1" applyBorder="1" applyFont="1">
      <alignment horizontal="center" shrinkToFit="0" vertical="center" wrapText="0"/>
    </xf>
    <xf borderId="52" fillId="2" fontId="15" numFmtId="0" xfId="0" applyAlignment="1" applyBorder="1" applyFont="1">
      <alignment horizontal="center" shrinkToFit="0" wrapText="0"/>
    </xf>
    <xf borderId="22" fillId="4" fontId="0" numFmtId="0" xfId="0" applyAlignment="1" applyBorder="1" applyFont="1">
      <alignment horizontal="center" shrinkToFit="0" wrapText="0"/>
    </xf>
    <xf borderId="4" fillId="0" fontId="2" numFmtId="0" xfId="0" applyAlignment="1" applyBorder="1" applyFont="1">
      <alignment horizontal="center" shrinkToFit="0" vertical="center" wrapText="0"/>
    </xf>
    <xf borderId="55" fillId="8" fontId="2" numFmtId="0" xfId="0" applyAlignment="1" applyBorder="1" applyFont="1">
      <alignment horizontal="center" shrinkToFit="0" vertical="center" wrapText="0"/>
    </xf>
    <xf borderId="55" fillId="4" fontId="2" numFmtId="0" xfId="0" applyAlignment="1" applyBorder="1" applyFont="1">
      <alignment horizontal="center" shrinkToFit="0" vertical="center" wrapText="0"/>
    </xf>
    <xf borderId="21" fillId="7" fontId="15" numFmtId="0" xfId="0" applyAlignment="1" applyBorder="1" applyFont="1">
      <alignment horizontal="center" shrinkToFit="0" wrapText="0"/>
    </xf>
    <xf borderId="20" fillId="7" fontId="15" numFmtId="0" xfId="0" applyAlignment="1" applyBorder="1" applyFont="1">
      <alignment horizontal="left" shrinkToFit="0" wrapText="0"/>
    </xf>
    <xf borderId="4" fillId="0" fontId="15" numFmtId="0" xfId="0" applyAlignment="1" applyBorder="1" applyFont="1">
      <alignment horizontal="center" shrinkToFit="0" vertical="center" wrapText="0"/>
    </xf>
    <xf borderId="55" fillId="8" fontId="15" numFmtId="0" xfId="0" applyAlignment="1" applyBorder="1" applyFont="1">
      <alignment horizontal="center" shrinkToFit="0" vertical="center" wrapText="0"/>
    </xf>
    <xf borderId="22" fillId="4" fontId="15" numFmtId="0" xfId="0" applyAlignment="1" applyBorder="1" applyFont="1">
      <alignment horizontal="center" shrinkToFit="0" wrapText="0"/>
    </xf>
    <xf borderId="20" fillId="0" fontId="2" numFmtId="0" xfId="0" applyAlignment="1" applyBorder="1" applyFont="1">
      <alignment horizontal="center" shrinkToFit="0" vertical="center" wrapText="0"/>
    </xf>
    <xf borderId="20" fillId="8" fontId="2" numFmtId="0" xfId="0" applyAlignment="1" applyBorder="1" applyFont="1">
      <alignment horizontal="center" shrinkToFit="0" vertical="center" wrapText="0"/>
    </xf>
    <xf borderId="53" fillId="0" fontId="15" numFmtId="0" xfId="0" applyAlignment="1" applyBorder="1" applyFont="1">
      <alignment horizontal="center" shrinkToFit="0" vertical="center" wrapText="0"/>
    </xf>
    <xf borderId="54" fillId="8" fontId="15" numFmtId="0" xfId="0" applyAlignment="1" applyBorder="1" applyFont="1">
      <alignment horizontal="center" shrinkToFit="0" vertical="center" wrapText="0"/>
    </xf>
    <xf borderId="20" fillId="7" fontId="2" numFmtId="0" xfId="0" applyAlignment="1" applyBorder="1" applyFont="1">
      <alignment horizontal="left" shrinkToFit="0" wrapText="1"/>
    </xf>
    <xf borderId="21" fillId="7" fontId="2" numFmtId="0" xfId="0" applyAlignment="1" applyBorder="1" applyFont="1">
      <alignment shrinkToFit="0" wrapText="0"/>
    </xf>
    <xf borderId="20" fillId="7" fontId="2" numFmtId="0" xfId="0" applyAlignment="1" applyBorder="1" applyFont="1">
      <alignment shrinkToFit="0" wrapText="0"/>
    </xf>
    <xf borderId="20" fillId="7" fontId="16" numFmtId="1" xfId="0" applyAlignment="1" applyBorder="1" applyFont="1" applyNumberFormat="1">
      <alignment horizontal="center" shrinkToFit="0" vertical="center" wrapText="0"/>
    </xf>
    <xf borderId="2" fillId="7" fontId="16" numFmtId="1" xfId="0" applyAlignment="1" applyBorder="1" applyFont="1" applyNumberFormat="1">
      <alignment horizontal="center" shrinkToFit="0" vertical="center" wrapText="0"/>
    </xf>
    <xf borderId="20" fillId="4" fontId="5" numFmtId="0" xfId="0" applyAlignment="1" applyBorder="1" applyFont="1">
      <alignment horizontal="center" shrinkToFit="0" vertical="center" wrapText="0"/>
    </xf>
    <xf borderId="52" fillId="2" fontId="5" numFmtId="0" xfId="0" applyAlignment="1" applyBorder="1" applyFont="1">
      <alignment shrinkToFit="0" wrapText="0"/>
    </xf>
    <xf borderId="20" fillId="7" fontId="16" numFmtId="1" xfId="0" applyAlignment="1" applyBorder="1" applyFont="1" applyNumberFormat="1">
      <alignment shrinkToFit="0" wrapText="0"/>
    </xf>
    <xf borderId="2" fillId="7" fontId="2" numFmtId="0" xfId="0" applyAlignment="1" applyBorder="1" applyFont="1">
      <alignment horizontal="center" shrinkToFit="0" wrapText="0"/>
    </xf>
    <xf borderId="22" fillId="4" fontId="5" numFmtId="0" xfId="0" applyAlignment="1" applyBorder="1" applyFont="1">
      <alignment shrinkToFit="0" wrapText="0"/>
    </xf>
    <xf borderId="3" fillId="0" fontId="5" numFmtId="0" xfId="0" applyAlignment="1" applyBorder="1" applyFont="1">
      <alignment shrinkToFit="0" wrapText="0"/>
    </xf>
    <xf borderId="21" fillId="9" fontId="2" numFmtId="0" xfId="0" applyAlignment="1" applyBorder="1" applyFill="1" applyFont="1">
      <alignment shrinkToFit="0" wrapText="0"/>
    </xf>
    <xf borderId="20" fillId="7" fontId="16" numFmtId="2" xfId="0" applyAlignment="1" applyBorder="1" applyFont="1" applyNumberFormat="1">
      <alignment shrinkToFit="0" wrapText="0"/>
    </xf>
    <xf borderId="22" fillId="9" fontId="5" numFmtId="2" xfId="0" applyAlignment="1" applyBorder="1" applyFont="1" applyNumberFormat="1">
      <alignment horizontal="right" shrinkToFit="0" wrapText="0"/>
    </xf>
    <xf borderId="2" fillId="7" fontId="2" numFmtId="0" xfId="0" applyAlignment="1" applyBorder="1" applyFont="1">
      <alignment horizontal="center" shrinkToFit="0" vertical="center" wrapText="0"/>
    </xf>
    <xf borderId="20" fillId="0" fontId="17" numFmtId="0" xfId="0" applyAlignment="1" applyBorder="1" applyFont="1">
      <alignment shrinkToFit="0" wrapText="0"/>
    </xf>
    <xf borderId="2" fillId="0" fontId="18" numFmtId="0" xfId="0" applyAlignment="1" applyBorder="1" applyFont="1">
      <alignment horizontal="center" shrinkToFit="0" wrapText="0"/>
    </xf>
    <xf borderId="2" fillId="0" fontId="2" numFmtId="0" xfId="0" applyAlignment="1" applyBorder="1" applyFont="1">
      <alignment horizontal="center" shrinkToFit="0" wrapText="0"/>
    </xf>
    <xf borderId="4" fillId="0" fontId="2" numFmtId="0" xfId="0" applyAlignment="1" applyBorder="1" applyFont="1">
      <alignment horizontal="center" shrinkToFit="0" wrapText="0"/>
    </xf>
    <xf borderId="3" fillId="0" fontId="2" numFmtId="0" xfId="0" applyAlignment="1" applyBorder="1" applyFont="1">
      <alignment horizontal="center" shrinkToFit="0" wrapText="0"/>
    </xf>
    <xf borderId="2" fillId="0" fontId="2" numFmtId="2" xfId="0" applyAlignment="1" applyBorder="1" applyFont="1" applyNumberFormat="1">
      <alignment horizontal="center" shrinkToFit="0" wrapText="0"/>
    </xf>
    <xf borderId="0" fillId="0" fontId="17" numFmtId="0" xfId="0" applyAlignment="1" applyFont="1">
      <alignment shrinkToFit="0" wrapText="0"/>
    </xf>
    <xf borderId="0" fillId="0" fontId="17" numFmtId="0" xfId="0" applyAlignment="1" applyFont="1">
      <alignment horizontal="left" shrinkToFit="0" vertical="center" wrapText="0"/>
    </xf>
    <xf borderId="20" fillId="0" fontId="4" numFmtId="0" xfId="0" applyAlignment="1" applyBorder="1" applyFont="1">
      <alignment vertical="bottom"/>
    </xf>
    <xf borderId="2" fillId="0" fontId="4" numFmtId="0" xfId="0" applyAlignment="1" applyBorder="1" applyFont="1">
      <alignment readingOrder="0" shrinkToFit="0" vertical="bottom" wrapText="0"/>
    </xf>
    <xf borderId="13" fillId="3" fontId="7" numFmtId="2" xfId="0" applyAlignment="1" applyBorder="1" applyFont="1" applyNumberFormat="1">
      <alignment horizontal="right" vertical="bottom"/>
    </xf>
    <xf borderId="13" fillId="3" fontId="7" numFmtId="2" xfId="0" applyAlignment="1" applyBorder="1" applyFont="1" applyNumberFormat="1">
      <alignment horizontal="right" readingOrder="0" vertical="bottom"/>
    </xf>
    <xf borderId="0" fillId="0" fontId="4" numFmtId="2" xfId="0" applyAlignment="1" applyFont="1" applyNumberFormat="1">
      <alignment vertical="bottom"/>
    </xf>
    <xf borderId="20" fillId="7" fontId="2" numFmtId="2" xfId="0" applyAlignment="1" applyBorder="1" applyFont="1" applyNumberFormat="1">
      <alignment shrinkToFit="0" wrapText="0"/>
    </xf>
    <xf borderId="9" fillId="0" fontId="1" numFmtId="0" xfId="0" applyAlignment="1" applyBorder="1" applyFont="1">
      <alignment horizontal="center" vertical="bottom"/>
    </xf>
    <xf borderId="13" fillId="0" fontId="1" numFmtId="0" xfId="0" applyAlignment="1" applyBorder="1" applyFont="1">
      <alignment horizontal="center" vertical="bottom"/>
    </xf>
    <xf borderId="9" fillId="0" fontId="1" numFmtId="0" xfId="0" applyAlignment="1" applyBorder="1" applyFont="1">
      <alignment vertical="bottom"/>
    </xf>
    <xf borderId="13" fillId="0" fontId="1" numFmtId="0" xfId="0" applyAlignment="1" applyBorder="1" applyFont="1">
      <alignment horizontal="right" readingOrder="0" vertical="bottom"/>
    </xf>
    <xf borderId="52" fillId="2" fontId="2" numFmtId="0" xfId="0" applyAlignment="1" applyBorder="1" applyFont="1">
      <alignment shrinkToFit="0" wrapText="0"/>
    </xf>
    <xf borderId="0" fillId="0" fontId="3" numFmtId="2" xfId="0" applyFont="1" applyNumberFormat="1"/>
    <xf borderId="22" fillId="4" fontId="2" numFmtId="0" xfId="0" applyAlignment="1" applyBorder="1" applyFont="1">
      <alignment shrinkToFit="0" wrapText="0"/>
    </xf>
    <xf borderId="22" fillId="9" fontId="2" numFmtId="2" xfId="0" applyAlignment="1" applyBorder="1" applyFont="1" applyNumberFormat="1">
      <alignment horizontal="right" shrinkToFit="0" wrapText="0"/>
    </xf>
    <xf borderId="22" fillId="0" fontId="2" numFmtId="0" xfId="0" applyAlignment="1" applyBorder="1" applyFont="1">
      <alignment shrinkToFit="0" wrapText="0"/>
    </xf>
    <xf borderId="20" fillId="0" fontId="2" numFmtId="0" xfId="0" applyAlignment="1" applyBorder="1" applyFont="1">
      <alignment horizontal="center" shrinkToFit="0" wrapText="0"/>
    </xf>
    <xf borderId="56" fillId="0" fontId="2" numFmtId="0" xfId="0" applyAlignment="1" applyBorder="1" applyFont="1">
      <alignment shrinkToFit="0" wrapText="0"/>
    </xf>
    <xf borderId="26" fillId="0" fontId="14" numFmtId="0" xfId="0" applyAlignment="1" applyBorder="1" applyFont="1">
      <alignment shrinkToFit="0" wrapText="0"/>
    </xf>
    <xf borderId="27" fillId="0" fontId="14" numFmtId="0" xfId="0" applyAlignment="1" applyBorder="1" applyFont="1">
      <alignment shrinkToFit="0" wrapText="0"/>
    </xf>
    <xf borderId="27" fillId="0" fontId="2" numFmtId="0" xfId="0" applyAlignment="1" applyBorder="1" applyFont="1">
      <alignment horizontal="center" shrinkToFit="0" vertical="center" wrapText="0"/>
    </xf>
    <xf borderId="57" fillId="0" fontId="2" numFmtId="0" xfId="0" applyAlignment="1" applyBorder="1" applyFont="1">
      <alignment horizontal="center" shrinkToFit="0" vertical="center" wrapText="0"/>
    </xf>
    <xf borderId="58" fillId="2" fontId="2" numFmtId="0" xfId="0" applyAlignment="1" applyBorder="1" applyFont="1">
      <alignment shrinkToFit="0" wrapText="0"/>
    </xf>
    <xf borderId="30" fillId="0" fontId="2" numFmtId="0" xfId="0" applyAlignment="1" applyBorder="1" applyFont="1">
      <alignment shrinkToFit="0" wrapText="0"/>
    </xf>
    <xf borderId="27" fillId="0" fontId="2" numFmtId="2" xfId="0" applyAlignment="1" applyBorder="1" applyFont="1" applyNumberFormat="1">
      <alignment shrinkToFit="0" wrapText="0"/>
    </xf>
    <xf borderId="28" fillId="0" fontId="2" numFmtId="2" xfId="0" applyAlignment="1" applyBorder="1" applyFont="1" applyNumberFormat="1">
      <alignment horizontal="right" shrinkToFit="0" wrapText="0"/>
    </xf>
    <xf borderId="28" fillId="0" fontId="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center" shrinkToFit="0" vertical="center" wrapText="0"/>
    </xf>
    <xf borderId="49" fillId="2" fontId="0" numFmtId="0" xfId="0" applyAlignment="1" applyBorder="1" applyFon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2" xfId="0" applyAlignment="1" applyFont="1" applyNumberFormat="1">
      <alignment horizontal="right" shrinkToFit="0" wrapText="0"/>
    </xf>
    <xf borderId="49" fillId="2" fontId="0" numFmtId="0" xfId="0" applyAlignment="1" applyBorder="1" applyFont="1">
      <alignment horizontal="center" shrinkToFit="0" vertical="center" wrapText="0"/>
    </xf>
    <xf borderId="24" fillId="2" fontId="0" numFmtId="0" xfId="0" applyAlignment="1" applyBorder="1" applyFont="1">
      <alignment horizontal="center" shrinkToFit="0" vertical="center" wrapText="0"/>
    </xf>
    <xf borderId="25" fillId="0" fontId="3" numFmtId="0" xfId="0" applyBorder="1" applyFont="1"/>
    <xf borderId="49" fillId="2" fontId="0" numFmtId="0" xfId="0" applyAlignment="1" applyBorder="1" applyFont="1">
      <alignment horizontal="center" shrinkToFit="0" wrapText="0"/>
    </xf>
    <xf borderId="24" fillId="2" fontId="0" numFmtId="0" xfId="0" applyAlignment="1" applyBorder="1" applyFont="1">
      <alignment horizontal="center" shrinkToFit="0" wrapText="0"/>
    </xf>
    <xf borderId="49" fillId="2" fontId="0" numFmtId="2" xfId="0" applyAlignment="1" applyBorder="1" applyFont="1" applyNumberFormat="1">
      <alignment horizontal="center" shrinkToFit="0" wrapText="0"/>
    </xf>
    <xf borderId="49" fillId="2" fontId="2" numFmtId="0" xfId="0" applyAlignment="1" applyBorder="1" applyFont="1">
      <alignment shrinkToFit="0" wrapText="0"/>
    </xf>
    <xf borderId="49" fillId="2" fontId="2" numFmtId="2" xfId="0" applyAlignment="1" applyBorder="1" applyFont="1" applyNumberFormat="1">
      <alignment horizontal="right" shrinkToFit="0" wrapText="0"/>
    </xf>
    <xf borderId="49" fillId="2" fontId="0" numFmtId="1" xfId="0" applyAlignment="1" applyBorder="1" applyFont="1" applyNumberFormat="1">
      <alignment horizontal="center" shrinkToFit="0" wrapText="0"/>
    </xf>
    <xf borderId="49" fillId="2" fontId="0" numFmtId="2" xfId="0" applyAlignment="1" applyBorder="1" applyFont="1" applyNumberFormat="1">
      <alignment horizontal="right" shrinkToFit="0" wrapText="0"/>
    </xf>
    <xf borderId="49" fillId="2" fontId="0" numFmtId="2" xfId="0" applyAlignment="1" applyBorder="1" applyFont="1" applyNumberFormat="1">
      <alignment shrinkToFit="0" wrapText="0"/>
    </xf>
    <xf borderId="49" fillId="2" fontId="0" numFmtId="2" xfId="0" applyAlignment="1" applyBorder="1" applyFont="1" applyNumberFormat="1">
      <alignment horizontal="center" shrinkToFit="0" vertical="center" wrapText="0"/>
    </xf>
    <xf borderId="0" fillId="0" fontId="14" numFmtId="0" xfId="0" applyAlignment="1" applyFont="1">
      <alignment shrinkToFit="0" wrapText="0"/>
    </xf>
    <xf borderId="0" fillId="0" fontId="0" numFmtId="2" xfId="0" applyAlignment="1" applyFont="1" applyNumberFormat="1">
      <alignment horizontal="right" shrinkToFit="0" wrapText="0"/>
    </xf>
    <xf borderId="0" fillId="0" fontId="2" numFmtId="2" xfId="0" applyAlignment="1" applyFont="1" applyNumberFormat="1">
      <alignment horizontal="center" shrinkToFit="0" vertical="center" wrapText="0"/>
    </xf>
    <xf borderId="0" fillId="0" fontId="2" numFmtId="2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142875</xdr:colOff>
      <xdr:row>7</xdr:row>
      <xdr:rowOff>200025</xdr:rowOff>
    </xdr:from>
    <xdr:to>
      <xdr:col>8</xdr:col>
      <xdr:colOff>238125</xdr:colOff>
      <xdr:row>8</xdr:row>
      <xdr:rowOff>85725</xdr:rowOff>
    </xdr:to>
    <xdr:sp>
      <xdr:nvSpPr>
        <xdr:cNvPr id="3" name="Shape 3"/>
        <xdr:cNvSpPr/>
      </xdr:nvSpPr>
      <xdr:spPr>
        <a:xfrm>
          <a:off x="1450275" y="3760950"/>
          <a:ext cx="7791450" cy="381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twoCellAnchor>
  <xdr:twoCellAnchor>
    <xdr:from>
      <xdr:col>0</xdr:col>
      <xdr:colOff>295275</xdr:colOff>
      <xdr:row>7</xdr:row>
      <xdr:rowOff>352425</xdr:rowOff>
    </xdr:from>
    <xdr:to>
      <xdr:col>8</xdr:col>
      <xdr:colOff>438150</xdr:colOff>
      <xdr:row>9</xdr:row>
      <xdr:rowOff>76200</xdr:rowOff>
    </xdr:to>
    <xdr:sp>
      <xdr:nvSpPr>
        <xdr:cNvPr id="4" name="Shape 4"/>
        <xdr:cNvSpPr/>
      </xdr:nvSpPr>
      <xdr:spPr>
        <a:xfrm>
          <a:off x="1431225" y="3760950"/>
          <a:ext cx="7829550" cy="381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twoCellAnchor>
  <xdr:twoCellAnchor>
    <xdr:from>
      <xdr:col>2</xdr:col>
      <xdr:colOff>952500</xdr:colOff>
      <xdr:row>20</xdr:row>
      <xdr:rowOff>57150</xdr:rowOff>
    </xdr:from>
    <xdr:to>
      <xdr:col>2</xdr:col>
      <xdr:colOff>2714625</xdr:colOff>
      <xdr:row>20</xdr:row>
      <xdr:rowOff>266700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762125" cy="209550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71"/>
    <col customWidth="1" min="2" max="2" width="36.29"/>
    <col customWidth="1" min="3" max="20" width="6.71"/>
    <col customWidth="1" min="21" max="21" width="2.29"/>
    <col customWidth="1" min="22" max="22" width="9.29"/>
    <col customWidth="1" min="23" max="23" width="28.14"/>
    <col customWidth="1" min="24" max="40" width="6.71"/>
    <col customWidth="1" min="41" max="41" width="7.43"/>
    <col customWidth="1" min="42" max="42" width="7.57"/>
    <col customWidth="1" min="43" max="43" width="17.86"/>
    <col customWidth="1" min="44" max="44" width="6.57"/>
    <col customWidth="1" min="45" max="45" width="6.71"/>
    <col customWidth="1" min="46" max="46" width="5.14"/>
    <col customWidth="1" min="47" max="47" width="5.29"/>
    <col customWidth="1" min="48" max="48" width="11.86"/>
    <col customWidth="1" min="49" max="49" width="14.43"/>
    <col customWidth="1" min="50" max="50" width="10.86"/>
    <col customWidth="1" min="51" max="61" width="14.43"/>
  </cols>
  <sheetData>
    <row r="1" ht="39.75" customHeight="1">
      <c r="A1" s="2" t="s">
        <v>1</v>
      </c>
      <c r="B1" s="3"/>
      <c r="C1" s="4"/>
      <c r="D1" s="5"/>
      <c r="E1" s="6" t="s">
        <v>2</v>
      </c>
      <c r="F1" s="3"/>
      <c r="G1" s="3"/>
      <c r="H1" s="3"/>
      <c r="I1" s="3"/>
      <c r="J1" s="4"/>
      <c r="K1" s="7"/>
      <c r="L1" s="7"/>
      <c r="M1" s="7"/>
      <c r="N1" s="7"/>
      <c r="O1" s="7"/>
      <c r="P1" s="5"/>
      <c r="T1" s="7"/>
      <c r="U1" s="8"/>
      <c r="V1" s="9"/>
      <c r="Y1" s="10"/>
      <c r="Z1" s="5"/>
      <c r="AH1" s="11"/>
      <c r="AI1" s="11"/>
      <c r="AJ1" s="11"/>
      <c r="AK1" s="11"/>
      <c r="AL1" s="11"/>
      <c r="AM1" s="11"/>
      <c r="AN1" s="5"/>
      <c r="AO1" s="11"/>
      <c r="AP1" s="11"/>
      <c r="AQ1" s="12"/>
      <c r="AR1" s="13"/>
      <c r="AS1" s="13"/>
      <c r="AT1" s="14"/>
      <c r="AU1" s="14"/>
      <c r="AV1" s="11"/>
      <c r="AW1" s="15"/>
      <c r="AX1" s="16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</row>
    <row r="2" ht="15.75" customHeight="1">
      <c r="A2" s="17" t="s">
        <v>3</v>
      </c>
      <c r="B2" s="18" t="s">
        <v>4</v>
      </c>
      <c r="C2" s="19">
        <v>1.27</v>
      </c>
      <c r="D2" s="7"/>
      <c r="E2" s="20" t="s">
        <v>5</v>
      </c>
      <c r="F2" s="21"/>
      <c r="G2" s="21"/>
      <c r="H2" s="21"/>
      <c r="I2" s="22"/>
      <c r="J2" s="25">
        <f>COUNT(A20:A44)</f>
        <v>25</v>
      </c>
      <c r="K2" s="7"/>
      <c r="L2" s="7"/>
      <c r="M2" s="7"/>
      <c r="N2" s="7"/>
      <c r="O2" s="7"/>
      <c r="P2" s="27"/>
      <c r="Q2" s="27"/>
      <c r="R2" s="27"/>
      <c r="S2" s="27"/>
      <c r="T2" s="7"/>
      <c r="U2" s="29"/>
      <c r="V2" s="11"/>
      <c r="W2" s="11"/>
      <c r="X2" s="11"/>
      <c r="Y2" s="11"/>
      <c r="Z2" s="30"/>
      <c r="AE2" s="30"/>
      <c r="AF2" s="30"/>
      <c r="AG2" s="11"/>
      <c r="AH2" s="11"/>
      <c r="AI2" s="11"/>
      <c r="AJ2" s="11"/>
      <c r="AK2" s="11"/>
      <c r="AL2" s="11"/>
      <c r="AM2" s="11"/>
      <c r="AN2" s="31"/>
      <c r="AO2" s="11"/>
      <c r="AP2" s="11"/>
      <c r="AQ2" s="37"/>
      <c r="AR2" s="39"/>
      <c r="AS2" s="39"/>
      <c r="AT2" s="39"/>
      <c r="AU2" s="39"/>
      <c r="AV2" s="11"/>
      <c r="AW2" s="15"/>
      <c r="AX2" s="16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</row>
    <row r="3" ht="15.75" customHeight="1">
      <c r="A3" s="46" t="s">
        <v>13</v>
      </c>
      <c r="B3" s="50" t="s">
        <v>12</v>
      </c>
      <c r="C3" s="51">
        <v>1.19</v>
      </c>
      <c r="D3" s="7"/>
      <c r="E3" s="52" t="s">
        <v>19</v>
      </c>
      <c r="F3" s="3"/>
      <c r="G3" s="3"/>
      <c r="H3" s="3"/>
      <c r="I3" s="4"/>
      <c r="J3" s="53">
        <f>COUNTIF(T20:T44,"a")</f>
        <v>8</v>
      </c>
      <c r="K3" s="7"/>
      <c r="L3" s="7"/>
      <c r="M3" s="7"/>
      <c r="N3" s="7"/>
      <c r="O3" s="7"/>
      <c r="P3" s="27"/>
      <c r="Q3" s="27"/>
      <c r="R3" s="27"/>
      <c r="S3" s="27"/>
      <c r="T3" s="7"/>
      <c r="U3" s="54"/>
      <c r="V3" s="11"/>
      <c r="W3" s="11"/>
      <c r="X3" s="11"/>
      <c r="Y3" s="11"/>
      <c r="Z3" s="30"/>
      <c r="AE3" s="30"/>
      <c r="AF3" s="30"/>
      <c r="AG3" s="11"/>
      <c r="AH3" s="11"/>
      <c r="AI3" s="11"/>
      <c r="AJ3" s="11"/>
      <c r="AK3" s="11"/>
      <c r="AL3" s="11"/>
      <c r="AM3" s="11"/>
      <c r="AN3" s="31"/>
      <c r="AO3" s="11"/>
      <c r="AP3" s="11"/>
      <c r="AQ3" s="37"/>
      <c r="AR3" s="39"/>
      <c r="AS3" s="39"/>
      <c r="AT3" s="39"/>
      <c r="AU3" s="39"/>
      <c r="AV3" s="11"/>
      <c r="AW3" s="15"/>
      <c r="AX3" s="16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</row>
    <row r="4" ht="15.75" customHeight="1">
      <c r="A4" s="46" t="s">
        <v>20</v>
      </c>
      <c r="B4" s="50" t="s">
        <v>17</v>
      </c>
      <c r="C4" s="51">
        <v>0.76</v>
      </c>
      <c r="D4" s="7"/>
      <c r="E4" s="52" t="s">
        <v>23</v>
      </c>
      <c r="F4" s="3"/>
      <c r="G4" s="3"/>
      <c r="H4" s="3"/>
      <c r="I4" s="4"/>
      <c r="J4" s="59">
        <f>J2-J3</f>
        <v>17</v>
      </c>
      <c r="K4" s="7"/>
      <c r="L4" s="7"/>
      <c r="M4" s="7"/>
      <c r="N4" s="7"/>
      <c r="O4" s="7"/>
      <c r="P4" s="27"/>
      <c r="Q4" s="27"/>
      <c r="R4" s="27"/>
      <c r="S4" s="27"/>
      <c r="T4" s="7"/>
      <c r="U4" s="54"/>
      <c r="V4" s="11"/>
      <c r="W4" s="11"/>
      <c r="X4" s="10"/>
      <c r="Y4" s="11"/>
      <c r="Z4" s="30"/>
      <c r="AE4" s="30"/>
      <c r="AF4" s="30"/>
      <c r="AG4" s="11"/>
      <c r="AH4" s="11"/>
      <c r="AI4" s="11"/>
      <c r="AJ4" s="11"/>
      <c r="AK4" s="11"/>
      <c r="AL4" s="11"/>
      <c r="AM4" s="11"/>
      <c r="AN4" s="31"/>
      <c r="AO4" s="11"/>
      <c r="AP4" s="11"/>
      <c r="AQ4" s="37"/>
      <c r="AR4" s="39"/>
      <c r="AS4" s="39"/>
      <c r="AT4" s="39"/>
      <c r="AU4" s="39"/>
      <c r="AV4" s="11"/>
      <c r="AW4" s="15"/>
      <c r="AX4" s="16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</row>
    <row r="5" ht="15.75" customHeight="1">
      <c r="A5" s="46" t="s">
        <v>26</v>
      </c>
      <c r="B5" s="50" t="s">
        <v>21</v>
      </c>
      <c r="C5" s="51">
        <v>0.83</v>
      </c>
      <c r="D5" s="7"/>
      <c r="E5" s="52" t="s">
        <v>27</v>
      </c>
      <c r="F5" s="3"/>
      <c r="G5" s="3"/>
      <c r="H5" s="3"/>
      <c r="I5" s="4"/>
      <c r="J5" s="59">
        <f>COUNTIF(T20:T44,"&gt;=33")</f>
        <v>16</v>
      </c>
      <c r="K5" s="7"/>
      <c r="L5" s="7"/>
      <c r="M5" s="7"/>
      <c r="N5" s="7"/>
      <c r="O5" s="7"/>
      <c r="P5" s="27"/>
      <c r="Q5" s="27"/>
      <c r="R5" s="27"/>
      <c r="S5" s="27"/>
      <c r="T5" s="7"/>
      <c r="U5" s="54"/>
      <c r="V5" s="11"/>
      <c r="W5" s="11"/>
      <c r="X5" s="10"/>
      <c r="Y5" s="11"/>
      <c r="Z5" s="30"/>
      <c r="AE5" s="30"/>
      <c r="AF5" s="30"/>
      <c r="AG5" s="11"/>
      <c r="AH5" s="11"/>
      <c r="AI5" s="11"/>
      <c r="AJ5" s="11"/>
      <c r="AK5" s="11"/>
      <c r="AL5" s="11"/>
      <c r="AM5" s="11"/>
      <c r="AN5" s="31"/>
      <c r="AO5" s="11"/>
      <c r="AP5" s="11"/>
      <c r="AQ5" s="37"/>
      <c r="AR5" s="39"/>
      <c r="AS5" s="39"/>
      <c r="AT5" s="39"/>
      <c r="AU5" s="39"/>
      <c r="AV5" s="11"/>
      <c r="AW5" s="15"/>
      <c r="AX5" s="16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</row>
    <row r="6" ht="15.75" customHeight="1">
      <c r="A6" s="46" t="s">
        <v>30</v>
      </c>
      <c r="B6" s="50" t="s">
        <v>24</v>
      </c>
      <c r="C6" s="51">
        <v>0.5</v>
      </c>
      <c r="D6" s="7"/>
      <c r="E6" s="52" t="s">
        <v>31</v>
      </c>
      <c r="F6" s="3"/>
      <c r="G6" s="3"/>
      <c r="H6" s="3"/>
      <c r="I6" s="4"/>
      <c r="J6" s="53">
        <f>J4-J5</f>
        <v>1</v>
      </c>
      <c r="K6" s="7"/>
      <c r="L6" s="7"/>
      <c r="M6" s="7"/>
      <c r="N6" s="7"/>
      <c r="O6" s="7"/>
      <c r="P6" s="27"/>
      <c r="Q6" s="27"/>
      <c r="R6" s="27"/>
      <c r="S6" s="27"/>
      <c r="T6" s="7"/>
      <c r="U6" s="63"/>
      <c r="V6" s="11"/>
      <c r="W6" s="11"/>
      <c r="X6" s="10"/>
      <c r="Y6" s="11"/>
      <c r="Z6" s="30"/>
      <c r="AE6" s="30"/>
      <c r="AF6" s="30"/>
      <c r="AG6" s="11"/>
      <c r="AH6" s="11"/>
      <c r="AI6" s="11"/>
      <c r="AJ6" s="11"/>
      <c r="AK6" s="11"/>
      <c r="AL6" s="11"/>
      <c r="AM6" s="11"/>
      <c r="AN6" s="31"/>
      <c r="AO6" s="11"/>
      <c r="AP6" s="11"/>
      <c r="AQ6" s="37"/>
      <c r="AR6" s="39"/>
      <c r="AS6" s="39"/>
      <c r="AT6" s="39"/>
      <c r="AU6" s="39"/>
      <c r="AV6" s="11"/>
      <c r="AW6" s="15"/>
      <c r="AX6" s="16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</row>
    <row r="7" ht="15.75" customHeight="1">
      <c r="A7" s="65"/>
      <c r="B7" s="67"/>
      <c r="C7" s="68"/>
      <c r="D7" s="7"/>
      <c r="E7" s="70" t="s">
        <v>36</v>
      </c>
      <c r="F7" s="3"/>
      <c r="G7" s="3"/>
      <c r="H7" s="3"/>
      <c r="I7" s="4"/>
      <c r="J7" s="73">
        <f>J5/J4*100</f>
        <v>94.11764706</v>
      </c>
      <c r="K7" s="7"/>
      <c r="L7" s="7"/>
      <c r="M7" s="7"/>
      <c r="N7" s="7"/>
      <c r="O7" s="7"/>
      <c r="P7" s="7"/>
      <c r="Q7" s="7"/>
      <c r="R7" s="7"/>
      <c r="S7" s="7"/>
      <c r="T7" s="7"/>
      <c r="U7" s="63"/>
      <c r="V7" s="11"/>
      <c r="W7" s="11"/>
      <c r="X7" s="10"/>
      <c r="Y7" s="11"/>
      <c r="Z7" s="30"/>
      <c r="AE7" s="30"/>
      <c r="AF7" s="30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37"/>
      <c r="AR7" s="39"/>
      <c r="AS7" s="39"/>
      <c r="AT7" s="39"/>
      <c r="AU7" s="39"/>
      <c r="AV7" s="11"/>
      <c r="AW7" s="15"/>
      <c r="AX7" s="16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</row>
    <row r="8" ht="15.75" customHeight="1">
      <c r="A8" s="15"/>
      <c r="B8" s="11"/>
      <c r="C8" s="7"/>
      <c r="D8" s="7"/>
      <c r="E8" s="70" t="s">
        <v>51</v>
      </c>
      <c r="F8" s="3"/>
      <c r="G8" s="3"/>
      <c r="H8" s="3"/>
      <c r="I8" s="4"/>
      <c r="J8" s="73">
        <f>SUM($T20:$T44)/COUNTIF($T20:$T44,"&gt;0")</f>
        <v>46.35294118</v>
      </c>
      <c r="K8" s="7"/>
      <c r="L8" s="7"/>
      <c r="M8" s="7"/>
      <c r="N8" s="76"/>
      <c r="O8" s="7"/>
      <c r="P8" s="7"/>
      <c r="Q8" s="7"/>
      <c r="R8" s="7"/>
      <c r="S8" s="7"/>
      <c r="T8" s="7"/>
      <c r="U8" s="63"/>
      <c r="V8" s="11"/>
      <c r="W8" s="11"/>
      <c r="X8" s="11"/>
      <c r="Y8" s="11"/>
      <c r="Z8" s="30"/>
      <c r="AE8" s="30"/>
      <c r="AF8" s="30"/>
      <c r="AG8" s="11"/>
      <c r="AH8" s="11"/>
      <c r="AI8" s="11"/>
      <c r="AJ8" s="11"/>
      <c r="AK8" s="11"/>
      <c r="AL8" s="78"/>
      <c r="AM8" s="11"/>
      <c r="AN8" s="11"/>
      <c r="AO8" s="11"/>
      <c r="AP8" s="11"/>
      <c r="AQ8" s="37"/>
      <c r="AR8" s="39"/>
      <c r="AS8" s="39"/>
      <c r="AT8" s="39"/>
      <c r="AU8" s="39"/>
      <c r="AV8" s="11"/>
      <c r="AW8" s="50" t="s">
        <v>53</v>
      </c>
      <c r="AX8" s="80">
        <v>50.0</v>
      </c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</row>
    <row r="9" ht="15.75" customHeight="1">
      <c r="A9" s="15"/>
      <c r="B9" s="11"/>
      <c r="C9" s="7"/>
      <c r="D9" s="7"/>
      <c r="E9" s="70" t="s">
        <v>55</v>
      </c>
      <c r="F9" s="3"/>
      <c r="G9" s="3"/>
      <c r="H9" s="3"/>
      <c r="I9" s="4"/>
      <c r="J9" s="59">
        <f>J6</f>
        <v>1</v>
      </c>
      <c r="K9" s="7"/>
      <c r="L9" s="7"/>
      <c r="M9" s="7"/>
      <c r="N9" s="76"/>
      <c r="O9" s="7"/>
      <c r="P9" s="7"/>
      <c r="Q9" s="7"/>
      <c r="R9" s="7"/>
      <c r="S9" s="7"/>
      <c r="T9" s="7"/>
      <c r="U9" s="63"/>
      <c r="V9" s="11"/>
      <c r="W9" s="11"/>
      <c r="X9" s="11"/>
      <c r="Y9" s="11"/>
      <c r="Z9" s="30"/>
      <c r="AE9" s="30"/>
      <c r="AF9" s="30"/>
      <c r="AG9" s="11"/>
      <c r="AH9" s="11"/>
      <c r="AI9" s="11"/>
      <c r="AJ9" s="11"/>
      <c r="AK9" s="11"/>
      <c r="AL9" s="78"/>
      <c r="AM9" s="11"/>
      <c r="AN9" s="11"/>
      <c r="AO9" s="11"/>
      <c r="AP9" s="11"/>
      <c r="AQ9" s="37"/>
      <c r="AR9" s="39"/>
      <c r="AS9" s="39"/>
      <c r="AT9" s="39"/>
      <c r="AU9" s="39"/>
      <c r="AV9" s="11"/>
      <c r="AW9" s="50" t="s">
        <v>56</v>
      </c>
      <c r="AX9" s="80">
        <f>STDEV(AX20:AX44)</f>
        <v>14.42775104</v>
      </c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</row>
    <row r="10" ht="15.75" customHeight="1">
      <c r="A10" s="15"/>
      <c r="B10" s="11"/>
      <c r="C10" s="7"/>
      <c r="D10" s="7"/>
      <c r="E10" s="70" t="s">
        <v>58</v>
      </c>
      <c r="F10" s="3"/>
      <c r="G10" s="3"/>
      <c r="H10" s="3"/>
      <c r="I10" s="4"/>
      <c r="J10" s="59">
        <f>COUNTIF(T20:T44,"&gt;=33")-COUNTIF(T20:T44,"&gt;=40")</f>
        <v>2</v>
      </c>
      <c r="K10" s="7"/>
      <c r="L10" s="7"/>
      <c r="M10" s="7"/>
      <c r="N10" s="76"/>
      <c r="O10" s="7"/>
      <c r="P10" s="7"/>
      <c r="Q10" s="7"/>
      <c r="R10" s="7"/>
      <c r="S10" s="7"/>
      <c r="T10" s="7"/>
      <c r="U10" s="63"/>
      <c r="V10" s="11"/>
      <c r="W10" s="11"/>
      <c r="X10" s="11"/>
      <c r="Y10" s="11"/>
      <c r="Z10" s="30"/>
      <c r="AE10" s="30"/>
      <c r="AF10" s="30"/>
      <c r="AG10" s="11"/>
      <c r="AH10" s="11"/>
      <c r="AI10" s="11"/>
      <c r="AJ10" s="11"/>
      <c r="AK10" s="11"/>
      <c r="AL10" s="78"/>
      <c r="AM10" s="11"/>
      <c r="AN10" s="11"/>
      <c r="AO10" s="11"/>
      <c r="AP10" s="11"/>
      <c r="AQ10" s="37"/>
      <c r="AR10" s="39"/>
      <c r="AS10" s="39"/>
      <c r="AT10" s="39"/>
      <c r="AU10" s="39"/>
      <c r="AV10" s="11"/>
      <c r="AW10" s="50"/>
      <c r="AX10" s="80">
        <f>AX8+AX9</f>
        <v>64.42775104</v>
      </c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</row>
    <row r="11" ht="15.75" customHeight="1">
      <c r="A11" s="15"/>
      <c r="B11" s="11"/>
      <c r="C11" s="7"/>
      <c r="D11" s="7"/>
      <c r="E11" s="70" t="s">
        <v>59</v>
      </c>
      <c r="F11" s="3"/>
      <c r="G11" s="3"/>
      <c r="H11" s="3"/>
      <c r="I11" s="4"/>
      <c r="J11" s="59">
        <f>COUNTIF(T20:T44,"&gt;=40")-COUNTIF(T20:T44,"&gt;=50")</f>
        <v>8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63"/>
      <c r="V11" s="11"/>
      <c r="W11" s="11"/>
      <c r="X11" s="11"/>
      <c r="Y11" s="11"/>
      <c r="Z11" s="30"/>
      <c r="AE11" s="30"/>
      <c r="AF11" s="30"/>
      <c r="AG11" s="11"/>
      <c r="AH11" s="11"/>
      <c r="AI11" s="11"/>
      <c r="AJ11" s="11"/>
      <c r="AK11" s="11"/>
      <c r="AL11" s="11"/>
      <c r="AM11" s="11"/>
      <c r="AN11" s="11"/>
      <c r="AO11" s="83"/>
      <c r="AP11" s="11"/>
      <c r="AQ11" s="37"/>
      <c r="AR11" s="39"/>
      <c r="AS11" s="39"/>
      <c r="AT11" s="39"/>
      <c r="AU11" s="39"/>
      <c r="AV11" s="11"/>
      <c r="AW11" s="50"/>
      <c r="AX11" s="80">
        <f>AX8+2*AX9</f>
        <v>78.85550207</v>
      </c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</row>
    <row r="12" ht="15.75" customHeight="1">
      <c r="A12" s="84"/>
      <c r="B12" s="85"/>
      <c r="C12" s="86"/>
      <c r="D12" s="86"/>
      <c r="E12" s="87" t="s">
        <v>60</v>
      </c>
      <c r="F12" s="88"/>
      <c r="G12" s="88"/>
      <c r="H12" s="88"/>
      <c r="I12" s="89"/>
      <c r="J12" s="90">
        <f>COUNTIF(T20:T44,"&gt;=50")</f>
        <v>6</v>
      </c>
      <c r="K12" s="86"/>
      <c r="L12" s="86"/>
      <c r="M12" s="86"/>
      <c r="N12" s="86"/>
      <c r="O12" s="86"/>
      <c r="P12" s="86"/>
      <c r="Q12" s="86"/>
      <c r="R12" s="86"/>
      <c r="S12" s="7"/>
      <c r="T12" s="7"/>
      <c r="U12" s="91"/>
      <c r="V12" s="11"/>
      <c r="W12" s="11"/>
      <c r="X12" s="11"/>
      <c r="Y12" s="11"/>
      <c r="Z12" s="30"/>
      <c r="AE12" s="30"/>
      <c r="AF12" s="30"/>
      <c r="AG12" s="11"/>
      <c r="AH12" s="11"/>
      <c r="AI12" s="11"/>
      <c r="AJ12" s="11"/>
      <c r="AK12" s="85"/>
      <c r="AL12" s="85"/>
      <c r="AM12" s="85"/>
      <c r="AN12" s="85"/>
      <c r="AO12" s="92"/>
      <c r="AP12" s="11"/>
      <c r="AQ12" s="93"/>
      <c r="AR12" s="94"/>
      <c r="AS12" s="94"/>
      <c r="AT12" s="94"/>
      <c r="AU12" s="94"/>
      <c r="AV12" s="11"/>
      <c r="AW12" s="50"/>
      <c r="AX12" s="80">
        <f>AX8-AX9</f>
        <v>35.57224896</v>
      </c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</row>
    <row r="13" ht="15.75" customHeight="1">
      <c r="A13" s="95" t="s">
        <v>61</v>
      </c>
      <c r="B13" s="96"/>
      <c r="C13" s="97"/>
      <c r="D13" s="98"/>
      <c r="E13" s="98"/>
      <c r="F13" s="98"/>
      <c r="G13" s="98"/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9"/>
      <c r="U13" s="100"/>
      <c r="V13" s="95" t="s">
        <v>61</v>
      </c>
      <c r="W13" s="96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2"/>
      <c r="AP13" s="103"/>
      <c r="AQ13" s="95" t="s">
        <v>61</v>
      </c>
      <c r="AR13" s="104"/>
      <c r="AS13" s="104"/>
      <c r="AT13" s="105"/>
      <c r="AU13" s="105"/>
      <c r="AV13" s="106"/>
      <c r="AW13" s="107"/>
      <c r="AX13" s="108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</row>
    <row r="14" ht="15.75" customHeight="1">
      <c r="A14" s="109"/>
      <c r="B14" s="39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39"/>
      <c r="U14" s="111"/>
      <c r="V14" s="109"/>
      <c r="W14" s="39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3"/>
      <c r="AP14" s="114"/>
      <c r="AQ14" s="109"/>
      <c r="AR14" s="115"/>
      <c r="AS14" s="115"/>
      <c r="AT14" s="116"/>
      <c r="AU14" s="116"/>
      <c r="AV14" s="117"/>
      <c r="AW14" s="118"/>
      <c r="AX14" s="119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</row>
    <row r="15" ht="15.75" customHeight="1">
      <c r="A15" s="109"/>
      <c r="B15" s="39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39"/>
      <c r="U15" s="111"/>
      <c r="V15" s="109"/>
      <c r="W15" s="39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3"/>
      <c r="AP15" s="114"/>
      <c r="AQ15" s="109"/>
      <c r="AR15" s="115"/>
      <c r="AS15" s="115"/>
      <c r="AT15" s="116"/>
      <c r="AU15" s="116"/>
      <c r="AV15" s="117"/>
      <c r="AW15" s="118"/>
      <c r="AX15" s="119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</row>
    <row r="16" ht="15.75" customHeight="1">
      <c r="A16" s="109"/>
      <c r="B16" s="39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39"/>
      <c r="U16" s="111"/>
      <c r="V16" s="109"/>
      <c r="W16" s="39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3"/>
      <c r="AP16" s="114"/>
      <c r="AQ16" s="109"/>
      <c r="AR16" s="115"/>
      <c r="AS16" s="115"/>
      <c r="AT16" s="116"/>
      <c r="AU16" s="116" t="s">
        <v>3</v>
      </c>
      <c r="AV16" s="121"/>
      <c r="AW16" s="46"/>
      <c r="AX16" s="122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</row>
    <row r="17" ht="28.5" customHeight="1">
      <c r="A17" s="123"/>
      <c r="B17" s="94"/>
      <c r="C17" s="110" t="s">
        <v>3</v>
      </c>
      <c r="D17" s="110" t="s">
        <v>3</v>
      </c>
      <c r="E17" s="110" t="s">
        <v>3</v>
      </c>
      <c r="F17" s="110" t="s">
        <v>3</v>
      </c>
      <c r="G17" s="110" t="s">
        <v>13</v>
      </c>
      <c r="H17" s="110" t="s">
        <v>3</v>
      </c>
      <c r="I17" s="110" t="s">
        <v>3</v>
      </c>
      <c r="J17" s="110" t="s">
        <v>3</v>
      </c>
      <c r="K17" s="110" t="s">
        <v>3</v>
      </c>
      <c r="L17" s="110" t="s">
        <v>3</v>
      </c>
      <c r="M17" s="110" t="s">
        <v>3</v>
      </c>
      <c r="N17" s="110" t="s">
        <v>13</v>
      </c>
      <c r="O17" s="110" t="s">
        <v>13</v>
      </c>
      <c r="P17" s="110" t="s">
        <v>3</v>
      </c>
      <c r="Q17" s="110" t="s">
        <v>3</v>
      </c>
      <c r="R17" s="110" t="s">
        <v>3</v>
      </c>
      <c r="S17" s="110" t="s">
        <v>13</v>
      </c>
      <c r="T17" s="94"/>
      <c r="U17" s="124"/>
      <c r="V17" s="123"/>
      <c r="W17" s="94"/>
      <c r="X17" s="112" t="s">
        <v>20</v>
      </c>
      <c r="Y17" s="112" t="s">
        <v>20</v>
      </c>
      <c r="Z17" s="112" t="s">
        <v>26</v>
      </c>
      <c r="AA17" s="112" t="s">
        <v>26</v>
      </c>
      <c r="AB17" s="112" t="s">
        <v>3</v>
      </c>
      <c r="AC17" s="112" t="s">
        <v>3</v>
      </c>
      <c r="AD17" s="112" t="s">
        <v>20</v>
      </c>
      <c r="AE17" s="112" t="s">
        <v>20</v>
      </c>
      <c r="AF17" s="112" t="s">
        <v>20</v>
      </c>
      <c r="AG17" s="112" t="s">
        <v>20</v>
      </c>
      <c r="AH17" s="112" t="s">
        <v>20</v>
      </c>
      <c r="AI17" s="112" t="s">
        <v>20</v>
      </c>
      <c r="AJ17" s="112" t="s">
        <v>26</v>
      </c>
      <c r="AK17" s="112" t="s">
        <v>26</v>
      </c>
      <c r="AL17" s="112" t="s">
        <v>26</v>
      </c>
      <c r="AM17" s="112" t="s">
        <v>26</v>
      </c>
      <c r="AN17" s="112" t="s">
        <v>30</v>
      </c>
      <c r="AO17" s="125"/>
      <c r="AP17" s="126"/>
      <c r="AQ17" s="123"/>
      <c r="AR17" s="127" t="s">
        <v>3</v>
      </c>
      <c r="AS17" s="127" t="s">
        <v>13</v>
      </c>
      <c r="AT17" s="112" t="s">
        <v>3</v>
      </c>
      <c r="AU17" s="112" t="s">
        <v>13</v>
      </c>
      <c r="AV17" s="121"/>
      <c r="AW17" s="46"/>
      <c r="AX17" s="122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</row>
    <row r="18" ht="26.25" customHeight="1">
      <c r="A18" s="128"/>
      <c r="B18" s="129" t="s">
        <v>62</v>
      </c>
      <c r="C18" s="130">
        <v>3.0</v>
      </c>
      <c r="D18" s="130">
        <v>3.0</v>
      </c>
      <c r="E18" s="130">
        <v>3.0</v>
      </c>
      <c r="F18" s="130">
        <v>3.0</v>
      </c>
      <c r="G18" s="130">
        <v>3.0</v>
      </c>
      <c r="H18" s="130">
        <v>3.0</v>
      </c>
      <c r="I18" s="130">
        <v>4.0</v>
      </c>
      <c r="J18" s="130">
        <v>4.0</v>
      </c>
      <c r="K18" s="130">
        <v>10.0</v>
      </c>
      <c r="L18" s="130">
        <v>10.0</v>
      </c>
      <c r="M18" s="130">
        <v>10.0</v>
      </c>
      <c r="N18" s="130">
        <v>10.0</v>
      </c>
      <c r="O18" s="130">
        <v>10.0</v>
      </c>
      <c r="P18" s="130">
        <v>10.0</v>
      </c>
      <c r="Q18" s="130">
        <v>10.0</v>
      </c>
      <c r="R18" s="130">
        <v>10.0</v>
      </c>
      <c r="S18" s="130">
        <v>6.0</v>
      </c>
      <c r="T18" s="130"/>
      <c r="U18" s="131"/>
      <c r="V18" s="128"/>
      <c r="W18" s="129" t="s">
        <v>62</v>
      </c>
      <c r="X18" s="130">
        <v>3.0</v>
      </c>
      <c r="Y18" s="130">
        <v>3.0</v>
      </c>
      <c r="Z18" s="130">
        <v>3.0</v>
      </c>
      <c r="AA18" s="130">
        <v>3.0</v>
      </c>
      <c r="AB18" s="130">
        <v>3.0</v>
      </c>
      <c r="AC18" s="130">
        <v>3.0</v>
      </c>
      <c r="AD18" s="130">
        <v>4.0</v>
      </c>
      <c r="AE18" s="130">
        <v>4.0</v>
      </c>
      <c r="AF18" s="130">
        <v>4.0</v>
      </c>
      <c r="AG18" s="130">
        <v>4.0</v>
      </c>
      <c r="AH18" s="130">
        <v>12.0</v>
      </c>
      <c r="AI18" s="130">
        <v>12.0</v>
      </c>
      <c r="AJ18" s="130">
        <v>12.0</v>
      </c>
      <c r="AK18" s="130">
        <v>12.0</v>
      </c>
      <c r="AL18" s="130">
        <v>12.0</v>
      </c>
      <c r="AM18" s="130">
        <v>12.0</v>
      </c>
      <c r="AN18" s="130">
        <v>6.0</v>
      </c>
      <c r="AO18" s="132"/>
      <c r="AP18" s="121"/>
      <c r="AQ18" s="128" t="s">
        <v>62</v>
      </c>
      <c r="AR18" s="133">
        <v>5.0</v>
      </c>
      <c r="AS18" s="133">
        <v>5.0</v>
      </c>
      <c r="AT18" s="133">
        <v>5.0</v>
      </c>
      <c r="AU18" s="133">
        <v>10.0</v>
      </c>
      <c r="AV18" s="121"/>
      <c r="AW18" s="46"/>
      <c r="AX18" s="122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</row>
    <row r="19" ht="27.0" customHeight="1">
      <c r="A19" s="134" t="s">
        <v>63</v>
      </c>
      <c r="B19" s="135" t="s">
        <v>64</v>
      </c>
      <c r="C19" s="136">
        <v>1.0</v>
      </c>
      <c r="D19" s="136">
        <v>2.0</v>
      </c>
      <c r="E19" s="136">
        <v>3.0</v>
      </c>
      <c r="F19" s="136">
        <v>4.0</v>
      </c>
      <c r="G19" s="136">
        <v>5.0</v>
      </c>
      <c r="H19" s="136">
        <v>6.0</v>
      </c>
      <c r="I19" s="136">
        <v>7.0</v>
      </c>
      <c r="J19" s="136">
        <v>8.0</v>
      </c>
      <c r="K19" s="136">
        <v>9.0</v>
      </c>
      <c r="L19" s="136">
        <v>10.0</v>
      </c>
      <c r="M19" s="136">
        <v>11.0</v>
      </c>
      <c r="N19" s="136">
        <v>12.0</v>
      </c>
      <c r="O19" s="136">
        <v>13.0</v>
      </c>
      <c r="P19" s="136">
        <v>14.0</v>
      </c>
      <c r="Q19" s="136">
        <v>15.0</v>
      </c>
      <c r="R19" s="136">
        <v>16.0</v>
      </c>
      <c r="S19" s="136">
        <v>17.0</v>
      </c>
      <c r="T19" s="137" t="s">
        <v>65</v>
      </c>
      <c r="U19" s="138"/>
      <c r="V19" s="134" t="s">
        <v>63</v>
      </c>
      <c r="W19" s="135" t="s">
        <v>64</v>
      </c>
      <c r="X19" s="139">
        <v>1.0</v>
      </c>
      <c r="Y19" s="139">
        <v>2.0</v>
      </c>
      <c r="Z19" s="139">
        <v>3.0</v>
      </c>
      <c r="AA19" s="139">
        <v>4.0</v>
      </c>
      <c r="AB19" s="139">
        <v>5.0</v>
      </c>
      <c r="AC19" s="139">
        <v>6.0</v>
      </c>
      <c r="AD19" s="139">
        <v>7.0</v>
      </c>
      <c r="AE19" s="139">
        <v>8.0</v>
      </c>
      <c r="AF19" s="139">
        <v>9.0</v>
      </c>
      <c r="AG19" s="139">
        <v>10.0</v>
      </c>
      <c r="AH19" s="139">
        <v>11.0</v>
      </c>
      <c r="AI19" s="139">
        <v>12.0</v>
      </c>
      <c r="AJ19" s="139">
        <v>13.0</v>
      </c>
      <c r="AK19" s="139">
        <v>14.0</v>
      </c>
      <c r="AL19" s="139">
        <v>15.0</v>
      </c>
      <c r="AM19" s="139">
        <v>16.0</v>
      </c>
      <c r="AN19" s="139">
        <v>17.0</v>
      </c>
      <c r="AO19" s="140" t="s">
        <v>65</v>
      </c>
      <c r="AP19" s="121"/>
      <c r="AQ19" s="134" t="s">
        <v>63</v>
      </c>
      <c r="AR19" s="141">
        <v>1.0</v>
      </c>
      <c r="AS19" s="141">
        <v>2.0</v>
      </c>
      <c r="AT19" s="141">
        <v>3.0</v>
      </c>
      <c r="AU19" s="141">
        <v>4.0</v>
      </c>
      <c r="AV19" s="121"/>
      <c r="AW19" s="46" t="s">
        <v>66</v>
      </c>
      <c r="AX19" s="122" t="s">
        <v>67</v>
      </c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</row>
    <row r="20" ht="15.75" customHeight="1">
      <c r="A20" s="142">
        <v>3.0</v>
      </c>
      <c r="B20" s="143" t="s">
        <v>68</v>
      </c>
      <c r="C20" s="144">
        <v>2.0</v>
      </c>
      <c r="D20" s="144">
        <v>2.0</v>
      </c>
      <c r="E20" s="144">
        <v>2.0</v>
      </c>
      <c r="F20" s="144">
        <v>2.0</v>
      </c>
      <c r="G20" s="144">
        <v>2.0</v>
      </c>
      <c r="H20" s="144">
        <v>2.0</v>
      </c>
      <c r="I20" s="144">
        <v>3.0</v>
      </c>
      <c r="J20" s="144">
        <v>3.0</v>
      </c>
      <c r="K20" s="145">
        <v>7.0</v>
      </c>
      <c r="L20" s="145"/>
      <c r="M20" s="145">
        <v>8.0</v>
      </c>
      <c r="N20" s="145"/>
      <c r="O20" s="145">
        <v>4.0</v>
      </c>
      <c r="P20" s="145"/>
      <c r="Q20" s="145"/>
      <c r="R20" s="145"/>
      <c r="S20" s="145"/>
      <c r="T20" s="146">
        <v>37.0</v>
      </c>
      <c r="U20" s="147"/>
      <c r="V20" s="142">
        <v>3.0</v>
      </c>
      <c r="W20" s="143" t="s">
        <v>68</v>
      </c>
      <c r="X20" s="144">
        <v>2.5</v>
      </c>
      <c r="Y20" s="144">
        <v>2.5</v>
      </c>
      <c r="Z20" s="144">
        <v>2.0</v>
      </c>
      <c r="AA20" s="144">
        <v>2.0</v>
      </c>
      <c r="AB20" s="144"/>
      <c r="AC20" s="144">
        <v>3.0</v>
      </c>
      <c r="AD20" s="144">
        <v>3.5</v>
      </c>
      <c r="AE20" s="144"/>
      <c r="AF20" s="145"/>
      <c r="AG20" s="145">
        <v>1.0</v>
      </c>
      <c r="AH20" s="145">
        <v>10.5</v>
      </c>
      <c r="AI20" s="145"/>
      <c r="AJ20" s="145"/>
      <c r="AK20" s="145">
        <v>11.0</v>
      </c>
      <c r="AL20" s="145">
        <v>11.0</v>
      </c>
      <c r="AM20" s="145"/>
      <c r="AN20" s="145"/>
      <c r="AO20" s="148">
        <v>49.0</v>
      </c>
      <c r="AP20" s="121">
        <f t="shared" ref="AP20:AP35" si="1">SUM(X20:AN20)</f>
        <v>49</v>
      </c>
      <c r="AQ20" s="142">
        <v>3.0</v>
      </c>
      <c r="AR20" s="62">
        <v>3.5</v>
      </c>
      <c r="AS20" s="62">
        <v>5.0</v>
      </c>
      <c r="AT20" s="50">
        <v>4.0</v>
      </c>
      <c r="AU20" s="50">
        <v>8.0</v>
      </c>
      <c r="AV20" s="121"/>
      <c r="AW20" s="142">
        <v>3.0</v>
      </c>
      <c r="AX20" s="122">
        <v>50.0</v>
      </c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</row>
    <row r="21" ht="15.75" customHeight="1">
      <c r="A21" s="142">
        <v>4.0</v>
      </c>
      <c r="B21" s="143" t="s">
        <v>69</v>
      </c>
      <c r="C21" s="144">
        <v>2.0</v>
      </c>
      <c r="D21" s="144">
        <v>3.0</v>
      </c>
      <c r="E21" s="144">
        <v>2.0</v>
      </c>
      <c r="F21" s="144">
        <v>3.0</v>
      </c>
      <c r="G21" s="144">
        <v>2.0</v>
      </c>
      <c r="H21" s="144">
        <v>3.0</v>
      </c>
      <c r="I21" s="144">
        <v>3.0</v>
      </c>
      <c r="J21" s="144">
        <v>3.0</v>
      </c>
      <c r="K21" s="145">
        <v>8.0</v>
      </c>
      <c r="L21" s="145"/>
      <c r="M21" s="145">
        <v>9.0</v>
      </c>
      <c r="N21" s="145"/>
      <c r="O21" s="145">
        <v>8.0</v>
      </c>
      <c r="P21" s="145"/>
      <c r="Q21" s="145">
        <v>9.0</v>
      </c>
      <c r="R21" s="145"/>
      <c r="S21" s="145">
        <v>3.0</v>
      </c>
      <c r="T21" s="146">
        <v>58.0</v>
      </c>
      <c r="U21" s="131"/>
      <c r="V21" s="142">
        <v>4.0</v>
      </c>
      <c r="W21" s="143" t="s">
        <v>69</v>
      </c>
      <c r="X21" s="144">
        <v>3.0</v>
      </c>
      <c r="Y21" s="144">
        <v>1.5</v>
      </c>
      <c r="Z21" s="144">
        <v>2.5</v>
      </c>
      <c r="AA21" s="144">
        <v>2.0</v>
      </c>
      <c r="AB21" s="144">
        <v>2.0</v>
      </c>
      <c r="AC21" s="144">
        <v>2.0</v>
      </c>
      <c r="AD21" s="144">
        <v>2.5</v>
      </c>
      <c r="AE21" s="144">
        <v>0.5</v>
      </c>
      <c r="AF21" s="145"/>
      <c r="AG21" s="145">
        <v>2.0</v>
      </c>
      <c r="AH21" s="145">
        <v>11.0</v>
      </c>
      <c r="AI21" s="145"/>
      <c r="AJ21" s="145"/>
      <c r="AK21" s="145">
        <v>9.0</v>
      </c>
      <c r="AL21" s="145">
        <v>11.0</v>
      </c>
      <c r="AM21" s="145"/>
      <c r="AN21" s="145">
        <v>4.0</v>
      </c>
      <c r="AO21" s="148">
        <v>53.0</v>
      </c>
      <c r="AP21" s="121">
        <f t="shared" si="1"/>
        <v>53</v>
      </c>
      <c r="AQ21" s="142">
        <v>4.0</v>
      </c>
      <c r="AR21" s="62">
        <v>3.5</v>
      </c>
      <c r="AS21" s="62">
        <v>4.5</v>
      </c>
      <c r="AT21" s="141">
        <v>5.0</v>
      </c>
      <c r="AU21" s="50">
        <v>8.5</v>
      </c>
      <c r="AV21" s="121"/>
      <c r="AW21" s="142">
        <v>4.0</v>
      </c>
      <c r="AX21" s="122">
        <v>59.0</v>
      </c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</row>
    <row r="22" ht="15.75" customHeight="1">
      <c r="A22" s="142">
        <v>8.0</v>
      </c>
      <c r="B22" s="143" t="s">
        <v>70</v>
      </c>
      <c r="C22" s="144"/>
      <c r="D22" s="144"/>
      <c r="E22" s="144"/>
      <c r="F22" s="144"/>
      <c r="G22" s="144"/>
      <c r="H22" s="144"/>
      <c r="I22" s="144"/>
      <c r="J22" s="144"/>
      <c r="K22" s="145"/>
      <c r="L22" s="145"/>
      <c r="M22" s="145"/>
      <c r="N22" s="145"/>
      <c r="O22" s="145"/>
      <c r="P22" s="145"/>
      <c r="Q22" s="145"/>
      <c r="R22" s="145"/>
      <c r="S22" s="145"/>
      <c r="T22" s="146" t="s">
        <v>3</v>
      </c>
      <c r="U22" s="131"/>
      <c r="V22" s="142">
        <v>8.0</v>
      </c>
      <c r="W22" s="143" t="s">
        <v>70</v>
      </c>
      <c r="X22" s="144">
        <v>1.0</v>
      </c>
      <c r="Y22" s="144">
        <v>1.0</v>
      </c>
      <c r="Z22" s="144">
        <v>3.0</v>
      </c>
      <c r="AA22" s="144">
        <v>2.5</v>
      </c>
      <c r="AB22" s="144"/>
      <c r="AC22" s="144">
        <v>2.0</v>
      </c>
      <c r="AD22" s="144">
        <v>2.5</v>
      </c>
      <c r="AE22" s="144">
        <v>2.0</v>
      </c>
      <c r="AF22" s="145">
        <v>2.0</v>
      </c>
      <c r="AG22" s="145"/>
      <c r="AH22" s="145">
        <v>6.5</v>
      </c>
      <c r="AI22" s="145"/>
      <c r="AJ22" s="145"/>
      <c r="AK22" s="145">
        <v>1.0</v>
      </c>
      <c r="AL22" s="145">
        <v>6.5</v>
      </c>
      <c r="AM22" s="145"/>
      <c r="AN22" s="145"/>
      <c r="AO22" s="148">
        <v>30.0</v>
      </c>
      <c r="AP22" s="121">
        <f t="shared" si="1"/>
        <v>30</v>
      </c>
      <c r="AQ22" s="142">
        <v>8.0</v>
      </c>
      <c r="AR22" s="62"/>
      <c r="AS22" s="62"/>
      <c r="AT22" s="50"/>
      <c r="AU22" s="50"/>
      <c r="AV22" s="121"/>
      <c r="AW22" s="142">
        <v>8.0</v>
      </c>
      <c r="AX22" s="122">
        <v>26.0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</row>
    <row r="23" ht="15.75" customHeight="1">
      <c r="A23" s="142">
        <v>9.0</v>
      </c>
      <c r="B23" s="143" t="s">
        <v>71</v>
      </c>
      <c r="C23" s="144">
        <v>3.0</v>
      </c>
      <c r="D23" s="144">
        <v>2.0</v>
      </c>
      <c r="E23" s="144">
        <v>3.0</v>
      </c>
      <c r="F23" s="144">
        <v>2.0</v>
      </c>
      <c r="G23" s="144">
        <v>2.0</v>
      </c>
      <c r="H23" s="144">
        <v>2.0</v>
      </c>
      <c r="I23" s="144">
        <v>3.0</v>
      </c>
      <c r="J23" s="144">
        <v>3.0</v>
      </c>
      <c r="K23" s="145">
        <v>9.0</v>
      </c>
      <c r="L23" s="145"/>
      <c r="M23" s="145">
        <v>8.0</v>
      </c>
      <c r="N23" s="145"/>
      <c r="O23" s="145"/>
      <c r="P23" s="145">
        <v>7.0</v>
      </c>
      <c r="Q23" s="145"/>
      <c r="R23" s="145"/>
      <c r="S23" s="145"/>
      <c r="T23" s="146">
        <v>44.0</v>
      </c>
      <c r="U23" s="131"/>
      <c r="V23" s="142">
        <v>9.0</v>
      </c>
      <c r="W23" s="143" t="s">
        <v>71</v>
      </c>
      <c r="X23" s="144"/>
      <c r="Y23" s="144">
        <v>2.0</v>
      </c>
      <c r="Z23" s="144">
        <v>1.5</v>
      </c>
      <c r="AA23" s="144">
        <v>2.0</v>
      </c>
      <c r="AB23" s="144">
        <v>2.0</v>
      </c>
      <c r="AC23" s="144">
        <v>3.0</v>
      </c>
      <c r="AD23" s="144">
        <v>3.0</v>
      </c>
      <c r="AE23" s="144">
        <v>2.0</v>
      </c>
      <c r="AF23" s="145">
        <v>0.5</v>
      </c>
      <c r="AG23" s="145">
        <v>3.0</v>
      </c>
      <c r="AH23" s="145">
        <v>9.0</v>
      </c>
      <c r="AI23" s="145"/>
      <c r="AJ23" s="145">
        <v>10.0</v>
      </c>
      <c r="AK23" s="145"/>
      <c r="AL23" s="145">
        <v>10.0</v>
      </c>
      <c r="AM23" s="145"/>
      <c r="AN23" s="145">
        <v>4.0</v>
      </c>
      <c r="AO23" s="148">
        <v>52.0</v>
      </c>
      <c r="AP23" s="121">
        <f t="shared" si="1"/>
        <v>52</v>
      </c>
      <c r="AQ23" s="142">
        <v>9.0</v>
      </c>
      <c r="AR23" s="62">
        <v>3.5</v>
      </c>
      <c r="AS23" s="62">
        <v>5.0</v>
      </c>
      <c r="AT23" s="141">
        <v>5.0</v>
      </c>
      <c r="AU23" s="50">
        <v>8.0</v>
      </c>
      <c r="AV23" s="121"/>
      <c r="AW23" s="142">
        <v>9.0</v>
      </c>
      <c r="AX23" s="122">
        <v>45.0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</row>
    <row r="24" ht="15.75" customHeight="1">
      <c r="A24" s="142">
        <v>12.0</v>
      </c>
      <c r="B24" s="143" t="s">
        <v>72</v>
      </c>
      <c r="C24" s="144"/>
      <c r="D24" s="144"/>
      <c r="E24" s="144"/>
      <c r="F24" s="144"/>
      <c r="G24" s="144"/>
      <c r="H24" s="144"/>
      <c r="I24" s="144"/>
      <c r="J24" s="144"/>
      <c r="K24" s="145"/>
      <c r="L24" s="145"/>
      <c r="M24" s="145"/>
      <c r="N24" s="145"/>
      <c r="O24" s="145"/>
      <c r="P24" s="145"/>
      <c r="Q24" s="145"/>
      <c r="R24" s="145"/>
      <c r="S24" s="145"/>
      <c r="T24" s="146" t="s">
        <v>3</v>
      </c>
      <c r="U24" s="131"/>
      <c r="V24" s="142">
        <v>12.0</v>
      </c>
      <c r="W24" s="143" t="s">
        <v>72</v>
      </c>
      <c r="X24" s="144"/>
      <c r="Y24" s="144">
        <v>2.0</v>
      </c>
      <c r="Z24" s="144">
        <v>1.0</v>
      </c>
      <c r="AA24" s="144">
        <v>2.0</v>
      </c>
      <c r="AB24" s="144">
        <v>2.0</v>
      </c>
      <c r="AC24" s="144">
        <v>3.0</v>
      </c>
      <c r="AD24" s="144">
        <v>3.0</v>
      </c>
      <c r="AE24" s="144">
        <v>2.0</v>
      </c>
      <c r="AF24" s="145"/>
      <c r="AG24" s="145">
        <v>3.0</v>
      </c>
      <c r="AH24" s="145">
        <v>8.0</v>
      </c>
      <c r="AI24" s="145"/>
      <c r="AJ24" s="145">
        <v>7.0</v>
      </c>
      <c r="AK24" s="145"/>
      <c r="AL24" s="145">
        <v>8.0</v>
      </c>
      <c r="AM24" s="145"/>
      <c r="AN24" s="145">
        <v>4.0</v>
      </c>
      <c r="AO24" s="148">
        <v>45.0</v>
      </c>
      <c r="AP24" s="121">
        <f t="shared" si="1"/>
        <v>45</v>
      </c>
      <c r="AQ24" s="142">
        <v>12.0</v>
      </c>
      <c r="AR24" s="62">
        <v>3.5</v>
      </c>
      <c r="AS24" s="62">
        <v>4.0</v>
      </c>
      <c r="AT24" s="50">
        <v>4.0</v>
      </c>
      <c r="AU24" s="50">
        <v>8.5</v>
      </c>
      <c r="AV24" s="121"/>
      <c r="AW24" s="142">
        <v>12.0</v>
      </c>
      <c r="AX24" s="122">
        <v>59.0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</row>
    <row r="25" ht="15.75" customHeight="1">
      <c r="A25" s="142">
        <v>14.0</v>
      </c>
      <c r="B25" s="143" t="s">
        <v>73</v>
      </c>
      <c r="C25" s="144">
        <v>2.0</v>
      </c>
      <c r="D25" s="144">
        <v>2.0</v>
      </c>
      <c r="E25" s="144">
        <v>2.0</v>
      </c>
      <c r="F25" s="144">
        <v>2.0</v>
      </c>
      <c r="G25" s="144">
        <v>2.0</v>
      </c>
      <c r="H25" s="144">
        <v>2.0</v>
      </c>
      <c r="I25" s="144">
        <v>3.0</v>
      </c>
      <c r="J25" s="144">
        <v>3.0</v>
      </c>
      <c r="K25" s="145"/>
      <c r="L25" s="145">
        <v>6.0</v>
      </c>
      <c r="M25" s="145">
        <v>9.0</v>
      </c>
      <c r="N25" s="145"/>
      <c r="O25" s="145"/>
      <c r="P25" s="145">
        <v>9.0</v>
      </c>
      <c r="Q25" s="145"/>
      <c r="R25" s="145">
        <v>7.0</v>
      </c>
      <c r="S25" s="145"/>
      <c r="T25" s="146">
        <v>49.0</v>
      </c>
      <c r="U25" s="131"/>
      <c r="V25" s="142">
        <v>14.0</v>
      </c>
      <c r="W25" s="143" t="s">
        <v>73</v>
      </c>
      <c r="X25" s="144">
        <v>1.0</v>
      </c>
      <c r="Y25" s="144">
        <v>2.0</v>
      </c>
      <c r="Z25" s="144">
        <v>3.0</v>
      </c>
      <c r="AA25" s="144">
        <v>1.0</v>
      </c>
      <c r="AB25" s="144"/>
      <c r="AC25" s="144">
        <v>3.0</v>
      </c>
      <c r="AD25" s="144">
        <v>2.5</v>
      </c>
      <c r="AE25" s="144"/>
      <c r="AF25" s="145">
        <v>3.5</v>
      </c>
      <c r="AG25" s="145"/>
      <c r="AH25" s="145">
        <v>11.0</v>
      </c>
      <c r="AI25" s="145"/>
      <c r="AJ25" s="145"/>
      <c r="AK25" s="145">
        <v>10.0</v>
      </c>
      <c r="AL25" s="145">
        <v>10.0</v>
      </c>
      <c r="AM25" s="145"/>
      <c r="AN25" s="145">
        <v>2.0</v>
      </c>
      <c r="AO25" s="148">
        <v>49.0</v>
      </c>
      <c r="AP25" s="121">
        <f t="shared" si="1"/>
        <v>49</v>
      </c>
      <c r="AQ25" s="142">
        <v>14.0</v>
      </c>
      <c r="AR25" s="62">
        <v>3.5</v>
      </c>
      <c r="AS25" s="62">
        <v>4.0</v>
      </c>
      <c r="AT25" s="141">
        <v>5.0</v>
      </c>
      <c r="AU25" s="50">
        <v>9.0</v>
      </c>
      <c r="AV25" s="121"/>
      <c r="AW25" s="142">
        <v>14.0</v>
      </c>
      <c r="AX25" s="122">
        <v>46.0</v>
      </c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</row>
    <row r="26" ht="15.75" customHeight="1">
      <c r="A26" s="142">
        <v>15.0</v>
      </c>
      <c r="B26" s="143" t="s">
        <v>74</v>
      </c>
      <c r="C26" s="144">
        <v>3.0</v>
      </c>
      <c r="D26" s="144"/>
      <c r="E26" s="144">
        <v>2.0</v>
      </c>
      <c r="F26" s="144">
        <v>2.0</v>
      </c>
      <c r="G26" s="144">
        <v>3.0</v>
      </c>
      <c r="H26" s="144"/>
      <c r="I26" s="144">
        <v>3.0</v>
      </c>
      <c r="J26" s="144">
        <v>3.0</v>
      </c>
      <c r="K26" s="145">
        <v>9.0</v>
      </c>
      <c r="L26" s="145"/>
      <c r="M26" s="145">
        <v>9.0</v>
      </c>
      <c r="N26" s="145"/>
      <c r="O26" s="145">
        <v>9.0</v>
      </c>
      <c r="P26" s="145"/>
      <c r="Q26" s="145">
        <v>8.0</v>
      </c>
      <c r="R26" s="145"/>
      <c r="S26" s="145">
        <v>2.0</v>
      </c>
      <c r="T26" s="146">
        <v>53.0</v>
      </c>
      <c r="U26" s="131"/>
      <c r="V26" s="142">
        <v>15.0</v>
      </c>
      <c r="W26" s="143" t="s">
        <v>74</v>
      </c>
      <c r="X26" s="144">
        <v>3.0</v>
      </c>
      <c r="Y26" s="144"/>
      <c r="Z26" s="144">
        <v>2.0</v>
      </c>
      <c r="AA26" s="144">
        <v>2.5</v>
      </c>
      <c r="AB26" s="144"/>
      <c r="AC26" s="144">
        <v>2.5</v>
      </c>
      <c r="AD26" s="144">
        <v>4.0</v>
      </c>
      <c r="AE26" s="144">
        <v>3.0</v>
      </c>
      <c r="AF26" s="145"/>
      <c r="AG26" s="145">
        <v>3.0</v>
      </c>
      <c r="AH26" s="145">
        <v>11.0</v>
      </c>
      <c r="AI26" s="145"/>
      <c r="AJ26" s="145"/>
      <c r="AK26" s="145">
        <v>8.0</v>
      </c>
      <c r="AL26" s="145">
        <v>11.0</v>
      </c>
      <c r="AM26" s="145"/>
      <c r="AN26" s="145">
        <v>4.0</v>
      </c>
      <c r="AO26" s="148">
        <v>54.0</v>
      </c>
      <c r="AP26" s="121">
        <f t="shared" si="1"/>
        <v>54</v>
      </c>
      <c r="AQ26" s="142">
        <v>15.0</v>
      </c>
      <c r="AR26" s="62">
        <v>2.5</v>
      </c>
      <c r="AS26" s="62">
        <v>2.5</v>
      </c>
      <c r="AT26" s="50">
        <v>2.5</v>
      </c>
      <c r="AU26" s="50">
        <v>8.25</v>
      </c>
      <c r="AV26" s="121"/>
      <c r="AW26" s="142">
        <v>15.0</v>
      </c>
      <c r="AX26" s="122">
        <v>47.0</v>
      </c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</row>
    <row r="27" ht="15.75" customHeight="1">
      <c r="A27" s="142">
        <v>20.0</v>
      </c>
      <c r="B27" s="143" t="s">
        <v>75</v>
      </c>
      <c r="C27" s="149">
        <v>2.5</v>
      </c>
      <c r="D27" s="149">
        <v>2.0</v>
      </c>
      <c r="E27" s="149">
        <v>2.0</v>
      </c>
      <c r="F27" s="149">
        <v>2.5</v>
      </c>
      <c r="G27" s="149">
        <v>2.5</v>
      </c>
      <c r="H27" s="149">
        <v>0.5</v>
      </c>
      <c r="I27" s="149">
        <v>3.5</v>
      </c>
      <c r="J27" s="149">
        <v>4.0</v>
      </c>
      <c r="K27" s="150"/>
      <c r="L27" s="150">
        <v>10.0</v>
      </c>
      <c r="M27" s="150"/>
      <c r="N27" s="150">
        <v>9.0</v>
      </c>
      <c r="O27" s="150">
        <v>9.5</v>
      </c>
      <c r="P27" s="150"/>
      <c r="Q27" s="150">
        <v>9.0</v>
      </c>
      <c r="R27" s="150"/>
      <c r="S27" s="150">
        <v>1.0</v>
      </c>
      <c r="T27" s="151">
        <v>58.0</v>
      </c>
      <c r="U27" s="131"/>
      <c r="V27" s="152">
        <v>20.0</v>
      </c>
      <c r="W27" s="153" t="s">
        <v>75</v>
      </c>
      <c r="X27" s="154">
        <v>3.0</v>
      </c>
      <c r="Y27" s="154">
        <v>2.5</v>
      </c>
      <c r="Z27" s="154">
        <v>2.5</v>
      </c>
      <c r="AA27" s="154">
        <v>2.0</v>
      </c>
      <c r="AB27" s="154"/>
      <c r="AC27" s="154">
        <v>3.0</v>
      </c>
      <c r="AD27" s="154">
        <v>4.0</v>
      </c>
      <c r="AE27" s="154"/>
      <c r="AF27" s="155"/>
      <c r="AG27" s="155">
        <v>3.0</v>
      </c>
      <c r="AH27" s="155">
        <v>11.0</v>
      </c>
      <c r="AI27" s="155">
        <v>8.0</v>
      </c>
      <c r="AJ27" s="155"/>
      <c r="AK27" s="155">
        <v>12.0</v>
      </c>
      <c r="AL27" s="155">
        <v>12.0</v>
      </c>
      <c r="AM27" s="155"/>
      <c r="AN27" s="155"/>
      <c r="AO27" s="156">
        <v>64.0</v>
      </c>
      <c r="AP27" s="121">
        <f t="shared" si="1"/>
        <v>63</v>
      </c>
      <c r="AQ27" s="142">
        <v>20.0</v>
      </c>
      <c r="AR27" s="62">
        <v>3.5</v>
      </c>
      <c r="AS27" s="62">
        <v>5.0</v>
      </c>
      <c r="AT27" s="141">
        <v>4.0</v>
      </c>
      <c r="AU27" s="50">
        <v>9.0</v>
      </c>
      <c r="AV27" s="121"/>
      <c r="AW27" s="142">
        <v>20.0</v>
      </c>
      <c r="AX27" s="122">
        <v>54.0</v>
      </c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</row>
    <row r="28" ht="15.75" customHeight="1">
      <c r="A28" s="142">
        <v>22.0</v>
      </c>
      <c r="B28" s="143" t="s">
        <v>76</v>
      </c>
      <c r="C28" s="149"/>
      <c r="D28" s="157"/>
      <c r="E28" s="157"/>
      <c r="F28" s="157"/>
      <c r="G28" s="157"/>
      <c r="H28" s="157"/>
      <c r="I28" s="157"/>
      <c r="J28" s="157"/>
      <c r="K28" s="158"/>
      <c r="L28" s="158"/>
      <c r="M28" s="158"/>
      <c r="N28" s="158"/>
      <c r="O28" s="158"/>
      <c r="P28" s="158"/>
      <c r="Q28" s="158"/>
      <c r="R28" s="158"/>
      <c r="S28" s="158"/>
      <c r="T28" s="146" t="s">
        <v>3</v>
      </c>
      <c r="U28" s="131"/>
      <c r="V28" s="142">
        <v>22.0</v>
      </c>
      <c r="W28" s="143" t="s">
        <v>76</v>
      </c>
      <c r="X28" s="144">
        <v>3.0</v>
      </c>
      <c r="Y28" s="144">
        <v>3.0</v>
      </c>
      <c r="Z28" s="144">
        <v>2.0</v>
      </c>
      <c r="AA28" s="144">
        <v>2.0</v>
      </c>
      <c r="AB28" s="144">
        <v>3.0</v>
      </c>
      <c r="AC28" s="144">
        <v>2.0</v>
      </c>
      <c r="AD28" s="144">
        <v>3.0</v>
      </c>
      <c r="AE28" s="144">
        <v>3.0</v>
      </c>
      <c r="AF28" s="145">
        <v>3.0</v>
      </c>
      <c r="AG28" s="145"/>
      <c r="AH28" s="145">
        <v>11.0</v>
      </c>
      <c r="AI28" s="145"/>
      <c r="AJ28" s="145">
        <v>11.0</v>
      </c>
      <c r="AK28" s="145"/>
      <c r="AL28" s="145">
        <v>12.0</v>
      </c>
      <c r="AM28" s="145"/>
      <c r="AN28" s="145">
        <v>5.0</v>
      </c>
      <c r="AO28" s="148">
        <v>63.0</v>
      </c>
      <c r="AP28" s="121">
        <f t="shared" si="1"/>
        <v>63</v>
      </c>
      <c r="AQ28" s="142">
        <v>22.0</v>
      </c>
      <c r="AR28" s="62">
        <v>3.5</v>
      </c>
      <c r="AS28" s="62">
        <v>3.5</v>
      </c>
      <c r="AT28" s="50">
        <v>3.5</v>
      </c>
      <c r="AU28" s="50">
        <v>8.0</v>
      </c>
      <c r="AV28" s="121"/>
      <c r="AW28" s="142">
        <v>22.0</v>
      </c>
      <c r="AX28" s="122">
        <v>58.0</v>
      </c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</row>
    <row r="29" ht="15.75" customHeight="1">
      <c r="A29" s="142">
        <v>24.0</v>
      </c>
      <c r="B29" s="143" t="s">
        <v>77</v>
      </c>
      <c r="C29" s="144">
        <v>3.0</v>
      </c>
      <c r="D29" s="144">
        <v>3.0</v>
      </c>
      <c r="E29" s="144">
        <v>3.0</v>
      </c>
      <c r="F29" s="144">
        <v>2.0</v>
      </c>
      <c r="G29" s="144">
        <v>2.0</v>
      </c>
      <c r="H29" s="144">
        <v>3.0</v>
      </c>
      <c r="I29" s="144">
        <v>3.0</v>
      </c>
      <c r="J29" s="144">
        <v>3.0</v>
      </c>
      <c r="K29" s="145">
        <v>7.0</v>
      </c>
      <c r="L29" s="145"/>
      <c r="M29" s="145">
        <v>8.0</v>
      </c>
      <c r="N29" s="145"/>
      <c r="O29" s="145"/>
      <c r="P29" s="145">
        <v>7.0</v>
      </c>
      <c r="Q29" s="145"/>
      <c r="R29" s="145"/>
      <c r="S29" s="145"/>
      <c r="T29" s="151">
        <v>44.0</v>
      </c>
      <c r="U29" s="131"/>
      <c r="V29" s="142">
        <v>24.0</v>
      </c>
      <c r="W29" s="143" t="s">
        <v>77</v>
      </c>
      <c r="X29" s="144">
        <v>2.0</v>
      </c>
      <c r="Y29" s="144"/>
      <c r="Z29" s="144"/>
      <c r="AA29" s="144"/>
      <c r="AB29" s="144"/>
      <c r="AC29" s="144">
        <v>1.0</v>
      </c>
      <c r="AD29" s="144">
        <v>2.0</v>
      </c>
      <c r="AE29" s="144"/>
      <c r="AF29" s="145"/>
      <c r="AG29" s="145"/>
      <c r="AH29" s="145">
        <v>8.0</v>
      </c>
      <c r="AI29" s="145"/>
      <c r="AJ29" s="145"/>
      <c r="AK29" s="145">
        <v>6.0</v>
      </c>
      <c r="AL29" s="145">
        <v>8.0</v>
      </c>
      <c r="AM29" s="145"/>
      <c r="AN29" s="145">
        <v>2.0</v>
      </c>
      <c r="AO29" s="148">
        <v>29.0</v>
      </c>
      <c r="AP29" s="121">
        <f t="shared" si="1"/>
        <v>29</v>
      </c>
      <c r="AQ29" s="142">
        <v>24.0</v>
      </c>
      <c r="AR29" s="62">
        <v>2.5</v>
      </c>
      <c r="AS29" s="62">
        <v>2.5</v>
      </c>
      <c r="AT29" s="141">
        <v>2.5</v>
      </c>
      <c r="AU29" s="50">
        <v>9.0</v>
      </c>
      <c r="AV29" s="121"/>
      <c r="AW29" s="142">
        <v>24.0</v>
      </c>
      <c r="AX29" s="122">
        <v>46.0</v>
      </c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</row>
    <row r="30" ht="15.75" customHeight="1">
      <c r="A30" s="142">
        <v>25.0</v>
      </c>
      <c r="B30" s="143" t="s">
        <v>78</v>
      </c>
      <c r="C30" s="144">
        <v>3.0</v>
      </c>
      <c r="D30" s="144"/>
      <c r="E30" s="144">
        <v>2.0</v>
      </c>
      <c r="F30" s="144">
        <v>2.0</v>
      </c>
      <c r="G30" s="144">
        <v>3.0</v>
      </c>
      <c r="H30" s="144"/>
      <c r="I30" s="144">
        <v>3.0</v>
      </c>
      <c r="J30" s="144">
        <v>3.0</v>
      </c>
      <c r="K30" s="145">
        <v>9.0</v>
      </c>
      <c r="L30" s="145"/>
      <c r="M30" s="145">
        <v>9.0</v>
      </c>
      <c r="N30" s="145"/>
      <c r="O30" s="145">
        <v>9.0</v>
      </c>
      <c r="P30" s="145"/>
      <c r="Q30" s="145">
        <v>8.0</v>
      </c>
      <c r="R30" s="145"/>
      <c r="S30" s="145">
        <v>1.0</v>
      </c>
      <c r="T30" s="146">
        <v>52.0</v>
      </c>
      <c r="U30" s="131"/>
      <c r="V30" s="142">
        <v>25.0</v>
      </c>
      <c r="W30" s="143" t="s">
        <v>78</v>
      </c>
      <c r="X30" s="144">
        <v>3.0</v>
      </c>
      <c r="Y30" s="144"/>
      <c r="Z30" s="144">
        <v>2.0</v>
      </c>
      <c r="AA30" s="144">
        <v>2.0</v>
      </c>
      <c r="AB30" s="144">
        <v>3.0</v>
      </c>
      <c r="AC30" s="144"/>
      <c r="AD30" s="144">
        <v>3.0</v>
      </c>
      <c r="AE30" s="144">
        <v>3.0</v>
      </c>
      <c r="AF30" s="145">
        <v>9.0</v>
      </c>
      <c r="AG30" s="145"/>
      <c r="AH30" s="145">
        <v>7.0</v>
      </c>
      <c r="AI30" s="145"/>
      <c r="AJ30" s="145">
        <v>9.0</v>
      </c>
      <c r="AK30" s="145"/>
      <c r="AL30" s="145">
        <v>8.0</v>
      </c>
      <c r="AM30" s="145"/>
      <c r="AN30" s="145">
        <v>1.0</v>
      </c>
      <c r="AO30" s="148">
        <v>50.0</v>
      </c>
      <c r="AP30" s="121">
        <f t="shared" si="1"/>
        <v>50</v>
      </c>
      <c r="AQ30" s="142">
        <v>25.0</v>
      </c>
      <c r="AR30" s="62">
        <v>3.5</v>
      </c>
      <c r="AS30" s="62">
        <v>5.0</v>
      </c>
      <c r="AT30" s="50">
        <v>5.0</v>
      </c>
      <c r="AU30" s="50">
        <v>8.0</v>
      </c>
      <c r="AV30" s="121"/>
      <c r="AW30" s="142">
        <v>25.0</v>
      </c>
      <c r="AX30" s="122">
        <v>72.0</v>
      </c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</row>
    <row r="31" ht="15.75" customHeight="1">
      <c r="A31" s="142">
        <v>26.0</v>
      </c>
      <c r="B31" s="143" t="s">
        <v>79</v>
      </c>
      <c r="C31" s="144">
        <v>3.0</v>
      </c>
      <c r="D31" s="144">
        <v>1.0</v>
      </c>
      <c r="E31" s="144">
        <v>2.0</v>
      </c>
      <c r="F31" s="144">
        <v>2.0</v>
      </c>
      <c r="G31" s="144">
        <v>2.0</v>
      </c>
      <c r="H31" s="144">
        <v>1.0</v>
      </c>
      <c r="I31" s="144">
        <v>3.0</v>
      </c>
      <c r="J31" s="144">
        <v>3.0</v>
      </c>
      <c r="K31" s="145"/>
      <c r="L31" s="145">
        <v>6.0</v>
      </c>
      <c r="M31" s="145">
        <v>9.0</v>
      </c>
      <c r="N31" s="145"/>
      <c r="O31" s="145"/>
      <c r="P31" s="145">
        <v>9.0</v>
      </c>
      <c r="Q31" s="145"/>
      <c r="R31" s="145">
        <v>7.0</v>
      </c>
      <c r="S31" s="145"/>
      <c r="T31" s="146">
        <v>48.0</v>
      </c>
      <c r="U31" s="131"/>
      <c r="V31" s="142">
        <v>26.0</v>
      </c>
      <c r="W31" s="143" t="s">
        <v>79</v>
      </c>
      <c r="X31" s="144">
        <v>2.0</v>
      </c>
      <c r="Y31" s="144">
        <v>1.0</v>
      </c>
      <c r="Z31" s="144">
        <v>2.0</v>
      </c>
      <c r="AA31" s="144">
        <v>2.0</v>
      </c>
      <c r="AB31" s="144"/>
      <c r="AC31" s="144">
        <v>3.0</v>
      </c>
      <c r="AD31" s="144">
        <v>3.0</v>
      </c>
      <c r="AE31" s="144"/>
      <c r="AF31" s="145"/>
      <c r="AG31" s="145"/>
      <c r="AH31" s="145">
        <v>9.0</v>
      </c>
      <c r="AI31" s="145"/>
      <c r="AJ31" s="145">
        <v>7.0</v>
      </c>
      <c r="AK31" s="145"/>
      <c r="AL31" s="145">
        <v>8.0</v>
      </c>
      <c r="AM31" s="145"/>
      <c r="AN31" s="145"/>
      <c r="AO31" s="148">
        <v>37.0</v>
      </c>
      <c r="AP31" s="121">
        <f t="shared" si="1"/>
        <v>37</v>
      </c>
      <c r="AQ31" s="142">
        <v>26.0</v>
      </c>
      <c r="AR31" s="62">
        <v>3.5</v>
      </c>
      <c r="AS31" s="62">
        <v>4.0</v>
      </c>
      <c r="AT31" s="141">
        <v>4.0</v>
      </c>
      <c r="AU31" s="50">
        <v>9.0</v>
      </c>
      <c r="AV31" s="121"/>
      <c r="AW31" s="142">
        <v>26.0</v>
      </c>
      <c r="AX31" s="122">
        <v>44.0</v>
      </c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</row>
    <row r="32" ht="15.75" customHeight="1">
      <c r="A32" s="142">
        <v>27.0</v>
      </c>
      <c r="B32" s="143" t="s">
        <v>80</v>
      </c>
      <c r="C32" s="144">
        <v>3.0</v>
      </c>
      <c r="D32" s="144">
        <v>2.0</v>
      </c>
      <c r="E32" s="144">
        <v>2.0</v>
      </c>
      <c r="F32" s="144">
        <v>2.0</v>
      </c>
      <c r="G32" s="144">
        <v>2.0</v>
      </c>
      <c r="H32" s="144">
        <v>2.0</v>
      </c>
      <c r="I32" s="144">
        <v>3.0</v>
      </c>
      <c r="J32" s="144">
        <v>3.0</v>
      </c>
      <c r="K32" s="145">
        <v>7.0</v>
      </c>
      <c r="L32" s="145"/>
      <c r="M32" s="145">
        <v>8.0</v>
      </c>
      <c r="N32" s="145"/>
      <c r="O32" s="145">
        <v>4.0</v>
      </c>
      <c r="P32" s="145"/>
      <c r="Q32" s="145">
        <v>6.0</v>
      </c>
      <c r="R32" s="145"/>
      <c r="S32" s="145">
        <v>3.0</v>
      </c>
      <c r="T32" s="146">
        <v>47.0</v>
      </c>
      <c r="U32" s="131"/>
      <c r="V32" s="152">
        <v>27.0</v>
      </c>
      <c r="W32" s="153" t="s">
        <v>80</v>
      </c>
      <c r="X32" s="159">
        <v>2.0</v>
      </c>
      <c r="Y32" s="159"/>
      <c r="Z32" s="159">
        <v>2.0</v>
      </c>
      <c r="AA32" s="159"/>
      <c r="AB32" s="159"/>
      <c r="AC32" s="159"/>
      <c r="AD32" s="159">
        <v>3.0</v>
      </c>
      <c r="AE32" s="159">
        <v>2.0</v>
      </c>
      <c r="AF32" s="160"/>
      <c r="AG32" s="160"/>
      <c r="AH32" s="160">
        <v>7.0</v>
      </c>
      <c r="AI32" s="160"/>
      <c r="AJ32" s="160"/>
      <c r="AK32" s="160">
        <v>8.0</v>
      </c>
      <c r="AL32" s="160">
        <v>8.0</v>
      </c>
      <c r="AM32" s="160"/>
      <c r="AN32" s="160">
        <v>2.0</v>
      </c>
      <c r="AO32" s="148">
        <v>34.0</v>
      </c>
      <c r="AP32" s="121">
        <f t="shared" si="1"/>
        <v>34</v>
      </c>
      <c r="AQ32" s="142">
        <v>27.0</v>
      </c>
      <c r="AR32" s="62">
        <v>3.0</v>
      </c>
      <c r="AS32" s="62">
        <v>3.5</v>
      </c>
      <c r="AT32" s="50">
        <v>3.5</v>
      </c>
      <c r="AU32" s="50"/>
      <c r="AV32" s="121"/>
      <c r="AW32" s="142">
        <v>27.0</v>
      </c>
      <c r="AX32" s="122">
        <v>51.0</v>
      </c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</row>
    <row r="33" ht="15.75" customHeight="1">
      <c r="A33" s="142">
        <v>28.0</v>
      </c>
      <c r="B33" s="143" t="s">
        <v>81</v>
      </c>
      <c r="C33" s="149">
        <v>2.0</v>
      </c>
      <c r="D33" s="157">
        <v>1.0</v>
      </c>
      <c r="E33" s="157">
        <v>0.5</v>
      </c>
      <c r="F33" s="157">
        <v>1.0</v>
      </c>
      <c r="G33" s="157">
        <v>0.5</v>
      </c>
      <c r="H33" s="157"/>
      <c r="I33" s="157">
        <v>2.5</v>
      </c>
      <c r="J33" s="157">
        <v>2.5</v>
      </c>
      <c r="K33" s="158"/>
      <c r="L33" s="158">
        <v>8.5</v>
      </c>
      <c r="M33" s="158">
        <v>7.5</v>
      </c>
      <c r="N33" s="158"/>
      <c r="O33" s="158">
        <v>9.0</v>
      </c>
      <c r="P33" s="158"/>
      <c r="Q33" s="158"/>
      <c r="R33" s="158">
        <v>7.0</v>
      </c>
      <c r="S33" s="158"/>
      <c r="T33" s="146">
        <v>42.0</v>
      </c>
      <c r="U33" s="131"/>
      <c r="V33" s="142">
        <v>28.0</v>
      </c>
      <c r="W33" s="143" t="s">
        <v>81</v>
      </c>
      <c r="X33" s="149">
        <v>1.0</v>
      </c>
      <c r="Y33" s="157"/>
      <c r="Z33" s="157">
        <v>2.0</v>
      </c>
      <c r="AA33" s="157"/>
      <c r="AB33" s="157"/>
      <c r="AC33" s="157">
        <v>2.0</v>
      </c>
      <c r="AD33" s="157">
        <v>3.0</v>
      </c>
      <c r="AE33" s="157">
        <v>1.0</v>
      </c>
      <c r="AF33" s="158"/>
      <c r="AG33" s="158">
        <v>3.0</v>
      </c>
      <c r="AH33" s="158">
        <v>9.0</v>
      </c>
      <c r="AI33" s="158"/>
      <c r="AJ33" s="158"/>
      <c r="AK33" s="158">
        <v>9.0</v>
      </c>
      <c r="AL33" s="158">
        <v>8.0</v>
      </c>
      <c r="AM33" s="158"/>
      <c r="AN33" s="158">
        <v>1.0</v>
      </c>
      <c r="AO33" s="148">
        <v>39.0</v>
      </c>
      <c r="AP33" s="121">
        <f t="shared" si="1"/>
        <v>39</v>
      </c>
      <c r="AQ33" s="142">
        <v>28.0</v>
      </c>
      <c r="AR33" s="62">
        <v>4.0</v>
      </c>
      <c r="AS33" s="62">
        <v>4.0</v>
      </c>
      <c r="AT33" s="141">
        <v>4.0</v>
      </c>
      <c r="AU33" s="50"/>
      <c r="AV33" s="121"/>
      <c r="AW33" s="142">
        <v>28.0</v>
      </c>
      <c r="AX33" s="122">
        <v>40.0</v>
      </c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</row>
    <row r="34" ht="15.75" customHeight="1">
      <c r="A34" s="142">
        <v>33.0</v>
      </c>
      <c r="B34" s="143" t="s">
        <v>82</v>
      </c>
      <c r="C34" s="149"/>
      <c r="D34" s="149"/>
      <c r="E34" s="149"/>
      <c r="F34" s="149"/>
      <c r="G34" s="157"/>
      <c r="H34" s="157"/>
      <c r="I34" s="157"/>
      <c r="J34" s="157"/>
      <c r="K34" s="158"/>
      <c r="L34" s="158"/>
      <c r="M34" s="158"/>
      <c r="N34" s="158"/>
      <c r="O34" s="158"/>
      <c r="P34" s="158"/>
      <c r="Q34" s="158"/>
      <c r="R34" s="158"/>
      <c r="S34" s="158"/>
      <c r="T34" s="146" t="s">
        <v>3</v>
      </c>
      <c r="U34" s="131"/>
      <c r="V34" s="142">
        <v>33.0</v>
      </c>
      <c r="W34" s="143" t="s">
        <v>82</v>
      </c>
      <c r="X34" s="149"/>
      <c r="Y34" s="149"/>
      <c r="Z34" s="149">
        <v>2.0</v>
      </c>
      <c r="AA34" s="149">
        <v>2.0</v>
      </c>
      <c r="AB34" s="157">
        <v>1.0</v>
      </c>
      <c r="AC34" s="157">
        <v>1.0</v>
      </c>
      <c r="AD34" s="157">
        <v>2.0</v>
      </c>
      <c r="AE34" s="157"/>
      <c r="AF34" s="158">
        <v>2.0</v>
      </c>
      <c r="AG34" s="158"/>
      <c r="AH34" s="158"/>
      <c r="AI34" s="158"/>
      <c r="AJ34" s="158"/>
      <c r="AK34" s="158">
        <v>6.0</v>
      </c>
      <c r="AL34" s="158">
        <v>5.0</v>
      </c>
      <c r="AM34" s="158"/>
      <c r="AN34" s="158">
        <v>4.0</v>
      </c>
      <c r="AO34" s="148">
        <v>25.0</v>
      </c>
      <c r="AP34" s="121">
        <f t="shared" si="1"/>
        <v>25</v>
      </c>
      <c r="AQ34" s="142">
        <v>33.0</v>
      </c>
      <c r="AR34" s="62" t="s">
        <v>83</v>
      </c>
      <c r="AS34" s="62" t="s">
        <v>83</v>
      </c>
      <c r="AT34" s="50" t="s">
        <v>83</v>
      </c>
      <c r="AU34" s="50"/>
      <c r="AV34" s="121"/>
      <c r="AW34" s="142">
        <v>33.0</v>
      </c>
      <c r="AX34" s="122">
        <v>43.0</v>
      </c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</row>
    <row r="35" ht="15.75" customHeight="1">
      <c r="A35" s="142">
        <v>34.0</v>
      </c>
      <c r="B35" s="143" t="s">
        <v>84</v>
      </c>
      <c r="C35" s="149"/>
      <c r="D35" s="157"/>
      <c r="E35" s="157"/>
      <c r="F35" s="157"/>
      <c r="G35" s="157"/>
      <c r="H35" s="157"/>
      <c r="I35" s="157"/>
      <c r="J35" s="157"/>
      <c r="K35" s="158"/>
      <c r="L35" s="158"/>
      <c r="M35" s="158"/>
      <c r="N35" s="158"/>
      <c r="O35" s="158"/>
      <c r="P35" s="158"/>
      <c r="Q35" s="158"/>
      <c r="R35" s="158"/>
      <c r="S35" s="158"/>
      <c r="T35" s="146" t="s">
        <v>3</v>
      </c>
      <c r="U35" s="131"/>
      <c r="V35" s="142">
        <v>34.0</v>
      </c>
      <c r="W35" s="161" t="s">
        <v>84</v>
      </c>
      <c r="X35" s="149">
        <v>2.0</v>
      </c>
      <c r="Y35" s="157">
        <v>1.0</v>
      </c>
      <c r="Z35" s="157">
        <v>2.0</v>
      </c>
      <c r="AA35" s="157"/>
      <c r="AB35" s="157"/>
      <c r="AC35" s="157"/>
      <c r="AD35" s="157">
        <v>3.0</v>
      </c>
      <c r="AE35" s="157"/>
      <c r="AF35" s="158"/>
      <c r="AG35" s="158"/>
      <c r="AH35" s="158">
        <v>4.0</v>
      </c>
      <c r="AI35" s="158"/>
      <c r="AJ35" s="158"/>
      <c r="AK35" s="158">
        <v>6.0</v>
      </c>
      <c r="AL35" s="158">
        <v>8.0</v>
      </c>
      <c r="AM35" s="158"/>
      <c r="AN35" s="158"/>
      <c r="AO35" s="148">
        <v>26.0</v>
      </c>
      <c r="AP35" s="121">
        <f t="shared" si="1"/>
        <v>26</v>
      </c>
      <c r="AQ35" s="142">
        <v>34.0</v>
      </c>
      <c r="AR35" s="62">
        <v>4.0</v>
      </c>
      <c r="AS35" s="62">
        <v>5.0</v>
      </c>
      <c r="AT35" s="141">
        <v>5.0</v>
      </c>
      <c r="AU35" s="50">
        <v>8.5</v>
      </c>
      <c r="AV35" s="121"/>
      <c r="AW35" s="142">
        <v>34.0</v>
      </c>
      <c r="AX35" s="122">
        <v>45.0</v>
      </c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</row>
    <row r="36" ht="15.75" customHeight="1">
      <c r="A36" s="142">
        <v>37.0</v>
      </c>
      <c r="B36" s="143" t="s">
        <v>85</v>
      </c>
      <c r="C36" s="144">
        <v>3.0</v>
      </c>
      <c r="D36" s="144"/>
      <c r="E36" s="144">
        <v>2.0</v>
      </c>
      <c r="F36" s="144">
        <v>2.0</v>
      </c>
      <c r="G36" s="144"/>
      <c r="H36" s="144"/>
      <c r="I36" s="144">
        <v>3.0</v>
      </c>
      <c r="J36" s="144">
        <v>3.0</v>
      </c>
      <c r="K36" s="145">
        <v>9.0</v>
      </c>
      <c r="L36" s="145"/>
      <c r="M36" s="145">
        <v>9.0</v>
      </c>
      <c r="N36" s="145"/>
      <c r="O36" s="145">
        <v>9.0</v>
      </c>
      <c r="P36" s="145"/>
      <c r="Q36" s="145">
        <v>8.0</v>
      </c>
      <c r="R36" s="145"/>
      <c r="S36" s="145">
        <v>2.0</v>
      </c>
      <c r="T36" s="146">
        <v>50.0</v>
      </c>
      <c r="U36" s="131"/>
      <c r="V36" s="142">
        <v>37.0</v>
      </c>
      <c r="W36" s="143" t="s">
        <v>85</v>
      </c>
      <c r="AO36" s="148" t="s">
        <v>3</v>
      </c>
      <c r="AP36" s="121"/>
      <c r="AQ36" s="142">
        <v>37.0</v>
      </c>
      <c r="AR36" s="62">
        <v>3.5</v>
      </c>
      <c r="AS36" s="62">
        <v>3.0</v>
      </c>
      <c r="AT36" s="50">
        <v>3.5</v>
      </c>
      <c r="AU36" s="50">
        <v>8.0</v>
      </c>
      <c r="AV36" s="121"/>
      <c r="AW36" s="142">
        <v>37.0</v>
      </c>
      <c r="AX36" s="122">
        <v>48.0</v>
      </c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</row>
    <row r="37" ht="15.75" customHeight="1">
      <c r="A37" s="142">
        <v>39.0</v>
      </c>
      <c r="B37" s="143" t="s">
        <v>86</v>
      </c>
      <c r="C37" s="144">
        <v>2.0</v>
      </c>
      <c r="D37" s="144">
        <v>2.0</v>
      </c>
      <c r="E37" s="144">
        <v>2.0</v>
      </c>
      <c r="F37" s="144">
        <v>2.0</v>
      </c>
      <c r="G37" s="144">
        <v>2.0</v>
      </c>
      <c r="H37" s="144">
        <v>2.0</v>
      </c>
      <c r="I37" s="144">
        <v>3.0</v>
      </c>
      <c r="J37" s="144">
        <v>3.0</v>
      </c>
      <c r="K37" s="145">
        <v>7.0</v>
      </c>
      <c r="L37" s="145"/>
      <c r="M37" s="145">
        <v>8.0</v>
      </c>
      <c r="N37" s="145"/>
      <c r="O37" s="145">
        <v>4.0</v>
      </c>
      <c r="P37" s="145"/>
      <c r="Q37" s="145">
        <v>6.0</v>
      </c>
      <c r="R37" s="145"/>
      <c r="S37" s="145"/>
      <c r="T37" s="146">
        <v>43.0</v>
      </c>
      <c r="U37" s="131"/>
      <c r="V37" s="142">
        <v>39.0</v>
      </c>
      <c r="W37" s="153" t="s">
        <v>86</v>
      </c>
      <c r="X37" s="159">
        <v>1.0</v>
      </c>
      <c r="Y37" s="159">
        <v>1.0</v>
      </c>
      <c r="Z37" s="159">
        <v>2.0</v>
      </c>
      <c r="AA37" s="159">
        <v>1.0</v>
      </c>
      <c r="AB37" s="159"/>
      <c r="AC37" s="159"/>
      <c r="AD37" s="159"/>
      <c r="AE37" s="159">
        <v>1.0</v>
      </c>
      <c r="AF37" s="160"/>
      <c r="AG37" s="160">
        <v>1.0</v>
      </c>
      <c r="AH37" s="160">
        <v>1.0</v>
      </c>
      <c r="AI37" s="160">
        <v>1.0</v>
      </c>
      <c r="AJ37" s="160">
        <v>1.0</v>
      </c>
      <c r="AK37" s="160">
        <v>1.0</v>
      </c>
      <c r="AL37" s="160">
        <v>2.0</v>
      </c>
      <c r="AM37" s="160"/>
      <c r="AN37" s="160"/>
      <c r="AO37" s="148">
        <v>13.0</v>
      </c>
      <c r="AP37" s="121">
        <f t="shared" ref="AP37:AP44" si="2">SUM(X37:AN37)</f>
        <v>13</v>
      </c>
      <c r="AQ37" s="142">
        <v>39.0</v>
      </c>
      <c r="AR37" s="62" t="s">
        <v>83</v>
      </c>
      <c r="AS37" s="62" t="s">
        <v>83</v>
      </c>
      <c r="AT37" s="141" t="s">
        <v>83</v>
      </c>
      <c r="AU37" s="50" t="s">
        <v>83</v>
      </c>
      <c r="AV37" s="121"/>
      <c r="AW37" s="142">
        <v>39.0</v>
      </c>
      <c r="AX37" s="122">
        <v>49.0</v>
      </c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</row>
    <row r="38" ht="15.75" customHeight="1">
      <c r="A38" s="142">
        <v>40.0</v>
      </c>
      <c r="B38" s="143" t="s">
        <v>87</v>
      </c>
      <c r="C38" s="157"/>
      <c r="D38" s="157"/>
      <c r="E38" s="157"/>
      <c r="F38" s="157"/>
      <c r="G38" s="157"/>
      <c r="H38" s="157"/>
      <c r="I38" s="157"/>
      <c r="J38" s="157"/>
      <c r="K38" s="158"/>
      <c r="L38" s="158"/>
      <c r="M38" s="158"/>
      <c r="N38" s="158"/>
      <c r="O38" s="158"/>
      <c r="P38" s="158"/>
      <c r="Q38" s="158"/>
      <c r="R38" s="158"/>
      <c r="S38" s="158"/>
      <c r="T38" s="146" t="s">
        <v>3</v>
      </c>
      <c r="U38" s="131"/>
      <c r="V38" s="142">
        <v>40.0</v>
      </c>
      <c r="W38" s="143" t="s">
        <v>87</v>
      </c>
      <c r="X38" s="157"/>
      <c r="Y38" s="157">
        <v>1.0</v>
      </c>
      <c r="Z38" s="157">
        <v>2.0</v>
      </c>
      <c r="AA38" s="157"/>
      <c r="AB38" s="157"/>
      <c r="AC38" s="157"/>
      <c r="AD38" s="157">
        <v>2.5</v>
      </c>
      <c r="AE38" s="157"/>
      <c r="AF38" s="158"/>
      <c r="AG38" s="158"/>
      <c r="AH38" s="158">
        <v>1.0</v>
      </c>
      <c r="AI38" s="158"/>
      <c r="AJ38" s="158"/>
      <c r="AK38" s="158">
        <v>8.5</v>
      </c>
      <c r="AL38" s="158"/>
      <c r="AM38" s="158"/>
      <c r="AN38" s="158"/>
      <c r="AO38" s="148">
        <v>15.0</v>
      </c>
      <c r="AP38" s="121">
        <f t="shared" si="2"/>
        <v>15</v>
      </c>
      <c r="AQ38" s="142">
        <v>40.0</v>
      </c>
      <c r="AR38" s="62">
        <v>3.5</v>
      </c>
      <c r="AS38" s="62">
        <v>3.5</v>
      </c>
      <c r="AT38" s="50">
        <v>4.0</v>
      </c>
      <c r="AU38" s="50">
        <v>8.0</v>
      </c>
      <c r="AV38" s="121"/>
      <c r="AW38" s="142">
        <v>40.0</v>
      </c>
      <c r="AX38" s="122">
        <v>3.0</v>
      </c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</row>
    <row r="39" ht="15.75" customHeight="1">
      <c r="A39" s="142">
        <v>42.0</v>
      </c>
      <c r="B39" s="143" t="s">
        <v>88</v>
      </c>
      <c r="C39" s="144">
        <v>2.0</v>
      </c>
      <c r="D39" s="144">
        <v>2.0</v>
      </c>
      <c r="E39" s="144">
        <v>2.0</v>
      </c>
      <c r="F39" s="144">
        <v>2.0</v>
      </c>
      <c r="G39" s="144">
        <v>2.0</v>
      </c>
      <c r="H39" s="144">
        <v>2.0</v>
      </c>
      <c r="I39" s="144">
        <v>3.0</v>
      </c>
      <c r="J39" s="144">
        <v>3.0</v>
      </c>
      <c r="K39" s="145">
        <v>9.0</v>
      </c>
      <c r="L39" s="145"/>
      <c r="M39" s="145"/>
      <c r="N39" s="145">
        <v>9.0</v>
      </c>
      <c r="O39" s="145">
        <v>8.0</v>
      </c>
      <c r="P39" s="145"/>
      <c r="Q39" s="145">
        <v>7.0</v>
      </c>
      <c r="R39" s="145"/>
      <c r="S39" s="145"/>
      <c r="T39" s="146">
        <v>51.0</v>
      </c>
      <c r="U39" s="131"/>
      <c r="V39" s="142">
        <v>42.0</v>
      </c>
      <c r="W39" s="143" t="s">
        <v>88</v>
      </c>
      <c r="X39" s="144">
        <v>1.0</v>
      </c>
      <c r="Y39" s="144">
        <v>1.0</v>
      </c>
      <c r="Z39" s="144">
        <v>2.0</v>
      </c>
      <c r="AA39" s="144">
        <v>1.0</v>
      </c>
      <c r="AB39" s="144">
        <v>1.0</v>
      </c>
      <c r="AC39" s="144">
        <v>3.0</v>
      </c>
      <c r="AD39" s="144">
        <v>3.0</v>
      </c>
      <c r="AE39" s="144">
        <v>1.0</v>
      </c>
      <c r="AF39" s="145"/>
      <c r="AG39" s="145">
        <v>2.0</v>
      </c>
      <c r="AH39" s="145">
        <v>11.0</v>
      </c>
      <c r="AI39" s="145"/>
      <c r="AJ39" s="145">
        <v>9.0</v>
      </c>
      <c r="AK39" s="145"/>
      <c r="AL39" s="145">
        <v>10.0</v>
      </c>
      <c r="AM39" s="145"/>
      <c r="AN39" s="145"/>
      <c r="AO39" s="148">
        <v>45.0</v>
      </c>
      <c r="AP39" s="121">
        <f t="shared" si="2"/>
        <v>45</v>
      </c>
      <c r="AQ39" s="142">
        <v>42.0</v>
      </c>
      <c r="AR39" s="62">
        <v>3.5</v>
      </c>
      <c r="AS39" s="62">
        <v>5.0</v>
      </c>
      <c r="AT39" s="141">
        <v>4.0</v>
      </c>
      <c r="AU39" s="50">
        <v>8.25</v>
      </c>
      <c r="AV39" s="121"/>
      <c r="AW39" s="142">
        <v>42.0</v>
      </c>
      <c r="AX39" s="122">
        <v>53.0</v>
      </c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</row>
    <row r="40" ht="15.75" customHeight="1">
      <c r="A40" s="142">
        <v>43.0</v>
      </c>
      <c r="B40" s="143" t="s">
        <v>89</v>
      </c>
      <c r="C40" s="157"/>
      <c r="D40" s="157">
        <v>0.5</v>
      </c>
      <c r="E40" s="157">
        <v>0.5</v>
      </c>
      <c r="F40" s="157"/>
      <c r="G40" s="157"/>
      <c r="H40" s="157"/>
      <c r="I40" s="157"/>
      <c r="J40" s="157">
        <v>3.5</v>
      </c>
      <c r="K40" s="158">
        <v>7.0</v>
      </c>
      <c r="L40" s="158"/>
      <c r="M40" s="158"/>
      <c r="N40" s="158">
        <v>8.0</v>
      </c>
      <c r="O40" s="158">
        <v>7.0</v>
      </c>
      <c r="P40" s="158"/>
      <c r="Q40" s="158">
        <v>7.0</v>
      </c>
      <c r="R40" s="158"/>
      <c r="S40" s="158"/>
      <c r="T40" s="146">
        <v>34.0</v>
      </c>
      <c r="U40" s="131"/>
      <c r="V40" s="142">
        <v>43.0</v>
      </c>
      <c r="W40" s="143" t="s">
        <v>89</v>
      </c>
      <c r="X40" s="157"/>
      <c r="Y40" s="157"/>
      <c r="Z40" s="157"/>
      <c r="AA40" s="157"/>
      <c r="AB40" s="157"/>
      <c r="AC40" s="157"/>
      <c r="AD40" s="157">
        <v>1.0</v>
      </c>
      <c r="AE40" s="157"/>
      <c r="AF40" s="158"/>
      <c r="AG40" s="158"/>
      <c r="AH40" s="158">
        <v>7.0</v>
      </c>
      <c r="AI40" s="158"/>
      <c r="AJ40" s="158"/>
      <c r="AK40" s="158">
        <v>9.0</v>
      </c>
      <c r="AL40" s="158">
        <v>7.0</v>
      </c>
      <c r="AM40" s="158"/>
      <c r="AN40" s="158"/>
      <c r="AO40" s="148">
        <v>24.0</v>
      </c>
      <c r="AP40" s="121">
        <f t="shared" si="2"/>
        <v>24</v>
      </c>
      <c r="AQ40" s="142">
        <v>43.0</v>
      </c>
      <c r="AR40" s="62"/>
      <c r="AS40" s="62"/>
      <c r="AT40" s="50"/>
      <c r="AU40" s="50">
        <v>8.0</v>
      </c>
      <c r="AV40" s="121"/>
      <c r="AW40" s="142">
        <v>43.0</v>
      </c>
      <c r="AX40" s="122">
        <v>15.0</v>
      </c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</row>
    <row r="41" ht="15.75" customHeight="1">
      <c r="A41" s="142">
        <v>45.0</v>
      </c>
      <c r="B41" s="143" t="s">
        <v>90</v>
      </c>
      <c r="C41" s="157"/>
      <c r="D41" s="157"/>
      <c r="E41" s="157"/>
      <c r="F41" s="157"/>
      <c r="G41" s="157"/>
      <c r="H41" s="157"/>
      <c r="I41" s="157"/>
      <c r="J41" s="157"/>
      <c r="K41" s="158"/>
      <c r="L41" s="158"/>
      <c r="M41" s="158"/>
      <c r="N41" s="158"/>
      <c r="O41" s="158"/>
      <c r="P41" s="158"/>
      <c r="Q41" s="158"/>
      <c r="R41" s="158"/>
      <c r="S41" s="158"/>
      <c r="T41" s="146" t="s">
        <v>3</v>
      </c>
      <c r="U41" s="131"/>
      <c r="V41" s="142">
        <v>45.0</v>
      </c>
      <c r="W41" s="143" t="s">
        <v>90</v>
      </c>
      <c r="X41" s="157">
        <v>1.0</v>
      </c>
      <c r="Y41" s="157">
        <v>2.0</v>
      </c>
      <c r="Z41" s="157"/>
      <c r="AA41" s="157"/>
      <c r="AB41" s="157"/>
      <c r="AC41" s="157">
        <v>1.0</v>
      </c>
      <c r="AD41" s="157">
        <v>1.0</v>
      </c>
      <c r="AE41" s="157"/>
      <c r="AF41" s="158"/>
      <c r="AG41" s="158"/>
      <c r="AH41" s="158">
        <v>8.5</v>
      </c>
      <c r="AI41" s="158"/>
      <c r="AJ41" s="158"/>
      <c r="AK41" s="158">
        <v>8.5</v>
      </c>
      <c r="AL41" s="158"/>
      <c r="AM41" s="158"/>
      <c r="AN41" s="158">
        <v>2.0</v>
      </c>
      <c r="AO41" s="148">
        <v>24.0</v>
      </c>
      <c r="AP41" s="121">
        <f t="shared" si="2"/>
        <v>24</v>
      </c>
      <c r="AQ41" s="142">
        <v>45.0</v>
      </c>
      <c r="AR41" s="62"/>
      <c r="AS41" s="62"/>
      <c r="AT41" s="141"/>
      <c r="AU41" s="50"/>
      <c r="AV41" s="121"/>
      <c r="AW41" s="142">
        <v>45.0</v>
      </c>
      <c r="AX41" s="122">
        <v>34.0</v>
      </c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</row>
    <row r="42" ht="15.75" customHeight="1">
      <c r="A42" s="142">
        <v>46.0</v>
      </c>
      <c r="B42" s="143" t="s">
        <v>91</v>
      </c>
      <c r="C42" s="144">
        <v>2.0</v>
      </c>
      <c r="D42" s="144">
        <v>2.0</v>
      </c>
      <c r="E42" s="144">
        <v>2.0</v>
      </c>
      <c r="F42" s="144">
        <v>2.0</v>
      </c>
      <c r="G42" s="144">
        <v>2.0</v>
      </c>
      <c r="H42" s="144">
        <v>2.0</v>
      </c>
      <c r="I42" s="144">
        <v>3.0</v>
      </c>
      <c r="J42" s="144">
        <v>3.0</v>
      </c>
      <c r="K42" s="145">
        <v>7.0</v>
      </c>
      <c r="L42" s="145"/>
      <c r="M42" s="145">
        <v>8.0</v>
      </c>
      <c r="N42" s="145"/>
      <c r="O42" s="145">
        <v>4.0</v>
      </c>
      <c r="P42" s="145"/>
      <c r="Q42" s="145"/>
      <c r="R42" s="145"/>
      <c r="S42" s="145"/>
      <c r="T42" s="146">
        <v>48.0</v>
      </c>
      <c r="U42" s="131"/>
      <c r="V42" s="142">
        <v>46.0</v>
      </c>
      <c r="W42" s="143" t="s">
        <v>91</v>
      </c>
      <c r="X42" s="144">
        <v>2.0</v>
      </c>
      <c r="Y42" s="144"/>
      <c r="Z42" s="144">
        <v>3.0</v>
      </c>
      <c r="AA42" s="144"/>
      <c r="AB42" s="144">
        <v>2.0</v>
      </c>
      <c r="AC42" s="144">
        <v>3.0</v>
      </c>
      <c r="AD42" s="144">
        <v>3.0</v>
      </c>
      <c r="AE42" s="144">
        <v>2.0</v>
      </c>
      <c r="AF42" s="145">
        <v>2.0</v>
      </c>
      <c r="AG42" s="145">
        <v>2.0</v>
      </c>
      <c r="AH42" s="145">
        <v>7.0</v>
      </c>
      <c r="AI42" s="145"/>
      <c r="AJ42" s="145"/>
      <c r="AK42" s="145">
        <v>7.0</v>
      </c>
      <c r="AL42" s="145">
        <v>8.0</v>
      </c>
      <c r="AM42" s="145"/>
      <c r="AN42" s="145">
        <v>6.0</v>
      </c>
      <c r="AO42" s="148">
        <v>47.0</v>
      </c>
      <c r="AP42" s="121">
        <f t="shared" si="2"/>
        <v>47</v>
      </c>
      <c r="AQ42" s="142">
        <v>46.0</v>
      </c>
      <c r="AR42" s="62"/>
      <c r="AS42" s="62"/>
      <c r="AT42" s="50"/>
      <c r="AU42" s="50"/>
      <c r="AV42" s="121"/>
      <c r="AW42" s="142">
        <v>46.0</v>
      </c>
      <c r="AX42" s="122">
        <v>33.0</v>
      </c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</row>
    <row r="43" ht="15.75" customHeight="1">
      <c r="A43" s="142">
        <v>48.0</v>
      </c>
      <c r="B43" s="143" t="s">
        <v>92</v>
      </c>
      <c r="C43" s="144">
        <v>2.0</v>
      </c>
      <c r="D43" s="144">
        <v>1.0</v>
      </c>
      <c r="E43" s="144">
        <v>2.0</v>
      </c>
      <c r="F43" s="144">
        <v>2.0</v>
      </c>
      <c r="G43" s="144">
        <v>2.0</v>
      </c>
      <c r="H43" s="144">
        <v>2.0</v>
      </c>
      <c r="I43" s="144">
        <v>3.0</v>
      </c>
      <c r="J43" s="144">
        <v>3.0</v>
      </c>
      <c r="K43" s="145">
        <v>4.0</v>
      </c>
      <c r="L43" s="145"/>
      <c r="M43" s="145">
        <v>7.0</v>
      </c>
      <c r="N43" s="145"/>
      <c r="O43" s="145">
        <v>2.0</v>
      </c>
      <c r="P43" s="145"/>
      <c r="Q43" s="145"/>
      <c r="R43" s="145"/>
      <c r="S43" s="145"/>
      <c r="T43" s="146">
        <v>30.0</v>
      </c>
      <c r="U43" s="131"/>
      <c r="V43" s="142">
        <v>48.0</v>
      </c>
      <c r="W43" s="143" t="s">
        <v>92</v>
      </c>
      <c r="X43" s="144">
        <v>2.5</v>
      </c>
      <c r="Y43" s="144"/>
      <c r="Z43" s="144">
        <v>2.5</v>
      </c>
      <c r="AA43" s="144">
        <v>2.0</v>
      </c>
      <c r="AB43" s="144"/>
      <c r="AC43" s="144"/>
      <c r="AD43" s="144"/>
      <c r="AE43" s="144"/>
      <c r="AF43" s="145"/>
      <c r="AG43" s="145"/>
      <c r="AH43" s="145">
        <v>3.0</v>
      </c>
      <c r="AI43" s="145"/>
      <c r="AJ43" s="145"/>
      <c r="AK43" s="145">
        <v>2.5</v>
      </c>
      <c r="AL43" s="145"/>
      <c r="AM43" s="145"/>
      <c r="AN43" s="145"/>
      <c r="AO43" s="148">
        <v>13.0</v>
      </c>
      <c r="AP43" s="121">
        <f t="shared" si="2"/>
        <v>12.5</v>
      </c>
      <c r="AQ43" s="142">
        <v>48.0</v>
      </c>
      <c r="AR43" s="62"/>
      <c r="AS43" s="62"/>
      <c r="AT43" s="141"/>
      <c r="AU43" s="50"/>
      <c r="AV43" s="121"/>
      <c r="AW43" s="142">
        <v>48.0</v>
      </c>
      <c r="AX43" s="122">
        <v>52.0</v>
      </c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</row>
    <row r="44" ht="15.75" customHeight="1">
      <c r="A44" s="142">
        <v>49.0</v>
      </c>
      <c r="B44" s="143" t="s">
        <v>93</v>
      </c>
      <c r="C44" s="157"/>
      <c r="D44" s="157"/>
      <c r="E44" s="157"/>
      <c r="F44" s="157"/>
      <c r="G44" s="157"/>
      <c r="H44" s="157"/>
      <c r="I44" s="157"/>
      <c r="J44" s="157"/>
      <c r="K44" s="158"/>
      <c r="L44" s="158"/>
      <c r="M44" s="158"/>
      <c r="N44" s="158"/>
      <c r="O44" s="158"/>
      <c r="P44" s="158"/>
      <c r="Q44" s="158"/>
      <c r="R44" s="158"/>
      <c r="S44" s="158"/>
      <c r="T44" s="146" t="s">
        <v>3</v>
      </c>
      <c r="U44" s="131"/>
      <c r="V44" s="142">
        <v>49.0</v>
      </c>
      <c r="W44" s="143" t="s">
        <v>93</v>
      </c>
      <c r="X44" s="144">
        <v>3.0</v>
      </c>
      <c r="Y44" s="144"/>
      <c r="Z44" s="144">
        <v>2.0</v>
      </c>
      <c r="AA44" s="144">
        <v>2.0</v>
      </c>
      <c r="AB44" s="144"/>
      <c r="AC44" s="144"/>
      <c r="AD44" s="144">
        <v>3.0</v>
      </c>
      <c r="AE44" s="144">
        <v>3.0</v>
      </c>
      <c r="AF44" s="145">
        <v>9.0</v>
      </c>
      <c r="AG44" s="145"/>
      <c r="AH44" s="145">
        <v>9.0</v>
      </c>
      <c r="AI44" s="145"/>
      <c r="AJ44" s="145">
        <v>9.0</v>
      </c>
      <c r="AK44" s="145"/>
      <c r="AL44" s="145">
        <v>8.0</v>
      </c>
      <c r="AM44" s="145"/>
      <c r="AN44" s="145">
        <v>3.0</v>
      </c>
      <c r="AO44" s="148">
        <v>51.0</v>
      </c>
      <c r="AP44" s="121">
        <f t="shared" si="2"/>
        <v>51</v>
      </c>
      <c r="AQ44" s="142">
        <v>49.0</v>
      </c>
      <c r="AR44" s="62">
        <v>3.5</v>
      </c>
      <c r="AS44" s="62">
        <v>5.0</v>
      </c>
      <c r="AT44" s="50">
        <v>5.0</v>
      </c>
      <c r="AU44" s="50">
        <v>8.25</v>
      </c>
      <c r="AV44" s="121"/>
      <c r="AW44" s="142">
        <v>49.0</v>
      </c>
      <c r="AX44" s="122">
        <v>55.0</v>
      </c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</row>
    <row r="45" ht="26.25" customHeight="1">
      <c r="A45" s="162"/>
      <c r="B45" s="163"/>
      <c r="C45" s="164">
        <f t="shared" ref="C45:I45" si="3">SUM(C20:C44)</f>
        <v>39.5</v>
      </c>
      <c r="D45" s="164">
        <f t="shared" si="3"/>
        <v>25.5</v>
      </c>
      <c r="E45" s="164">
        <f t="shared" si="3"/>
        <v>33</v>
      </c>
      <c r="F45" s="164">
        <f t="shared" si="3"/>
        <v>32.5</v>
      </c>
      <c r="G45" s="164">
        <f t="shared" si="3"/>
        <v>31</v>
      </c>
      <c r="H45" s="164">
        <f t="shared" si="3"/>
        <v>23.5</v>
      </c>
      <c r="I45" s="164">
        <f t="shared" si="3"/>
        <v>48</v>
      </c>
      <c r="J45" s="164">
        <f>SUM(J20:J36)</f>
        <v>36.5</v>
      </c>
      <c r="K45" s="165">
        <f>SUM(K20:L44)</f>
        <v>129.5</v>
      </c>
      <c r="L45" s="4"/>
      <c r="M45" s="165">
        <f>SUM(M20:N44)</f>
        <v>142.5</v>
      </c>
      <c r="N45" s="4"/>
      <c r="O45" s="165">
        <f>SUM(O20:P44)</f>
        <v>118.5</v>
      </c>
      <c r="P45" s="4"/>
      <c r="Q45" s="165">
        <f>SUM(Q20:R44)</f>
        <v>89</v>
      </c>
      <c r="R45" s="4"/>
      <c r="S45" s="164">
        <f>SUM(S20:S44)</f>
        <v>12</v>
      </c>
      <c r="T45" s="166"/>
      <c r="U45" s="167"/>
      <c r="V45" s="162"/>
      <c r="W45" s="163"/>
      <c r="X45" s="168">
        <f t="shared" ref="X45:AG45" si="4">SUM(X20:X44)</f>
        <v>39</v>
      </c>
      <c r="Y45" s="168">
        <f t="shared" si="4"/>
        <v>23.5</v>
      </c>
      <c r="Z45" s="168">
        <f t="shared" si="4"/>
        <v>45</v>
      </c>
      <c r="AA45" s="168">
        <f t="shared" si="4"/>
        <v>30</v>
      </c>
      <c r="AB45" s="168">
        <f t="shared" si="4"/>
        <v>16</v>
      </c>
      <c r="AC45" s="168">
        <f t="shared" si="4"/>
        <v>37.5</v>
      </c>
      <c r="AD45" s="168">
        <f t="shared" si="4"/>
        <v>60.5</v>
      </c>
      <c r="AE45" s="168">
        <f t="shared" si="4"/>
        <v>25.5</v>
      </c>
      <c r="AF45" s="168">
        <f t="shared" si="4"/>
        <v>31</v>
      </c>
      <c r="AG45" s="168">
        <f t="shared" si="4"/>
        <v>23</v>
      </c>
      <c r="AH45" s="169">
        <f>SUM(AH20:AI44)</f>
        <v>189.5</v>
      </c>
      <c r="AI45" s="4"/>
      <c r="AJ45" s="169">
        <f>SUM(AJ20:AK44)</f>
        <v>185.5</v>
      </c>
      <c r="AK45" s="4"/>
      <c r="AL45" s="169">
        <f>SUM(AL20:AM44)</f>
        <v>179.5</v>
      </c>
      <c r="AM45" s="4"/>
      <c r="AN45" s="139">
        <f>SUM(AN20:AN44)</f>
        <v>44</v>
      </c>
      <c r="AO45" s="170"/>
      <c r="AP45" s="171"/>
      <c r="AQ45" s="172"/>
      <c r="AR45" s="173">
        <f t="shared" ref="AR45:AU45" si="5">SUM(AR20:AR44)</f>
        <v>61.5</v>
      </c>
      <c r="AS45" s="173">
        <f t="shared" si="5"/>
        <v>74</v>
      </c>
      <c r="AT45" s="168">
        <f t="shared" si="5"/>
        <v>73.5</v>
      </c>
      <c r="AU45" s="168">
        <f t="shared" si="5"/>
        <v>142.25</v>
      </c>
      <c r="AV45" s="121"/>
      <c r="AW45" s="172"/>
      <c r="AX45" s="174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</row>
    <row r="46" ht="15.75" customHeight="1">
      <c r="A46" s="162" t="s">
        <v>94</v>
      </c>
      <c r="B46" s="163"/>
      <c r="C46" s="136">
        <f>(COUNT($A$20:$A$44)-COUNTIF($C20:$C44,"a"))*3</f>
        <v>75</v>
      </c>
      <c r="D46" s="136">
        <f>(COUNT($A$20:$A$44)-COUNTIF($D20:$D44,"a"))*3</f>
        <v>75</v>
      </c>
      <c r="E46" s="136">
        <f>(COUNT($A$20:$A$44)-COUNTIF($E20:$E44,"a"))*3</f>
        <v>75</v>
      </c>
      <c r="F46" s="136">
        <f>(COUNT($A$20:$A$44)-COUNTIF($F20:$F44,"a"))*3</f>
        <v>75</v>
      </c>
      <c r="G46" s="136">
        <f>(COUNT($A$20:$A$44)-COUNTIF($G20:$G44,"a"))*3</f>
        <v>75</v>
      </c>
      <c r="H46" s="136">
        <f>(COUNT($A$20:$A$44)-COUNTIF($H20:$H44,"a"))*3</f>
        <v>75</v>
      </c>
      <c r="I46" s="136">
        <f>(COUNT($A$20:$A$44)-COUNTIF($I20:$I44,"a"))*3</f>
        <v>75</v>
      </c>
      <c r="J46" s="136">
        <f>(COUNT($A$20:$A$44)-COUNTIF($J20:$J44,"a"))*3</f>
        <v>75</v>
      </c>
      <c r="K46" s="175">
        <f>(COUNT($A$20:$A$44)-COUNTIF($C20:$C44,"a"))*10</f>
        <v>250</v>
      </c>
      <c r="L46" s="4"/>
      <c r="M46" s="175">
        <f>(COUNT($A$20:$A$44)-COUNTIF($C20:$C44,"a"))*10</f>
        <v>250</v>
      </c>
      <c r="N46" s="4"/>
      <c r="O46" s="175">
        <f>(COUNT($A$20:$A$44)-COUNTIF($C20:$C44,"a"))*10</f>
        <v>250</v>
      </c>
      <c r="P46" s="4"/>
      <c r="Q46" s="175">
        <f>(COUNT($A$20:$A$44)-COUNTIF($C20:$C44,"a"))*10</f>
        <v>250</v>
      </c>
      <c r="R46" s="4"/>
      <c r="S46" s="136">
        <f>(COUNT($A$20:$A$44)-COUNTIF($C20:$C44,"a"))*6</f>
        <v>150</v>
      </c>
      <c r="T46" s="166"/>
      <c r="U46" s="167"/>
      <c r="V46" s="162" t="s">
        <v>94</v>
      </c>
      <c r="W46" s="163"/>
      <c r="X46" s="163">
        <f t="shared" ref="X46:AN46" si="6">(COUNT($A$20:$A$44)-COUNTIF($X20:$X44,"a"))*3</f>
        <v>75</v>
      </c>
      <c r="Y46" s="163">
        <f t="shared" si="6"/>
        <v>75</v>
      </c>
      <c r="Z46" s="163">
        <f t="shared" si="6"/>
        <v>75</v>
      </c>
      <c r="AA46" s="163">
        <f t="shared" si="6"/>
        <v>75</v>
      </c>
      <c r="AB46" s="163">
        <f t="shared" si="6"/>
        <v>75</v>
      </c>
      <c r="AC46" s="163">
        <f t="shared" si="6"/>
        <v>75</v>
      </c>
      <c r="AD46" s="163">
        <f t="shared" si="6"/>
        <v>75</v>
      </c>
      <c r="AE46" s="163">
        <f t="shared" si="6"/>
        <v>75</v>
      </c>
      <c r="AF46" s="163">
        <f t="shared" si="6"/>
        <v>75</v>
      </c>
      <c r="AG46" s="163">
        <f t="shared" si="6"/>
        <v>75</v>
      </c>
      <c r="AH46" s="163">
        <f t="shared" si="6"/>
        <v>75</v>
      </c>
      <c r="AI46" s="163">
        <f t="shared" si="6"/>
        <v>75</v>
      </c>
      <c r="AJ46" s="163">
        <f t="shared" si="6"/>
        <v>75</v>
      </c>
      <c r="AK46" s="163">
        <f t="shared" si="6"/>
        <v>75</v>
      </c>
      <c r="AL46" s="163">
        <f t="shared" si="6"/>
        <v>75</v>
      </c>
      <c r="AM46" s="163">
        <f t="shared" si="6"/>
        <v>75</v>
      </c>
      <c r="AN46" s="163">
        <f t="shared" si="6"/>
        <v>75</v>
      </c>
      <c r="AO46" s="170"/>
      <c r="AP46" s="171"/>
      <c r="AQ46" s="172" t="s">
        <v>94</v>
      </c>
      <c r="AR46" s="189" t="str">
        <f t="shared" ref="AR46:AU46" si="7">(COUNT($A$20:$A$44)-COUNTIF(#REF!,"a"))*AR18</f>
        <v>#REF!</v>
      </c>
      <c r="AS46" s="189" t="str">
        <f t="shared" si="7"/>
        <v>#REF!</v>
      </c>
      <c r="AT46" s="189" t="str">
        <f t="shared" si="7"/>
        <v>#REF!</v>
      </c>
      <c r="AU46" s="189" t="str">
        <f t="shared" si="7"/>
        <v>#REF!</v>
      </c>
      <c r="AV46" s="121"/>
      <c r="AW46" s="172" t="s">
        <v>94</v>
      </c>
      <c r="AX46" s="174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</row>
    <row r="47" ht="25.5" customHeight="1">
      <c r="A47" s="162" t="s">
        <v>105</v>
      </c>
      <c r="B47" s="163"/>
      <c r="C47" s="136">
        <f t="shared" ref="C47:K47" si="8">(C45/C46)*100</f>
        <v>52.66666667</v>
      </c>
      <c r="D47" s="136">
        <f t="shared" si="8"/>
        <v>34</v>
      </c>
      <c r="E47" s="136">
        <f t="shared" si="8"/>
        <v>44</v>
      </c>
      <c r="F47" s="136">
        <f t="shared" si="8"/>
        <v>43.33333333</v>
      </c>
      <c r="G47" s="136">
        <f t="shared" si="8"/>
        <v>41.33333333</v>
      </c>
      <c r="H47" s="136">
        <f t="shared" si="8"/>
        <v>31.33333333</v>
      </c>
      <c r="I47" s="136">
        <f t="shared" si="8"/>
        <v>64</v>
      </c>
      <c r="J47" s="136">
        <f t="shared" si="8"/>
        <v>48.66666667</v>
      </c>
      <c r="K47" s="175">
        <f t="shared" si="8"/>
        <v>51.8</v>
      </c>
      <c r="L47" s="4"/>
      <c r="M47" s="175">
        <f>(M45/M46)*100</f>
        <v>57</v>
      </c>
      <c r="N47" s="4"/>
      <c r="O47" s="175">
        <f>(O45/O46)*100</f>
        <v>47.4</v>
      </c>
      <c r="P47" s="4"/>
      <c r="Q47" s="175">
        <f>(Q45/Q46)*100</f>
        <v>35.6</v>
      </c>
      <c r="R47" s="4"/>
      <c r="S47" s="136">
        <f>(S45/S46)*100</f>
        <v>8</v>
      </c>
      <c r="T47" s="146"/>
      <c r="U47" s="194"/>
      <c r="V47" s="162" t="s">
        <v>105</v>
      </c>
      <c r="W47" s="163"/>
      <c r="X47" s="163">
        <f t="shared" ref="X47:AN47" si="9">(X45/X46)*100</f>
        <v>52</v>
      </c>
      <c r="Y47" s="163">
        <f t="shared" si="9"/>
        <v>31.33333333</v>
      </c>
      <c r="Z47" s="163">
        <f t="shared" si="9"/>
        <v>60</v>
      </c>
      <c r="AA47" s="163">
        <f t="shared" si="9"/>
        <v>40</v>
      </c>
      <c r="AB47" s="163">
        <f t="shared" si="9"/>
        <v>21.33333333</v>
      </c>
      <c r="AC47" s="163">
        <f t="shared" si="9"/>
        <v>50</v>
      </c>
      <c r="AD47" s="163">
        <f t="shared" si="9"/>
        <v>80.66666667</v>
      </c>
      <c r="AE47" s="163">
        <f t="shared" si="9"/>
        <v>34</v>
      </c>
      <c r="AF47" s="163">
        <f t="shared" si="9"/>
        <v>41.33333333</v>
      </c>
      <c r="AG47" s="163">
        <f t="shared" si="9"/>
        <v>30.66666667</v>
      </c>
      <c r="AH47" s="163">
        <f t="shared" si="9"/>
        <v>252.6666667</v>
      </c>
      <c r="AI47" s="163">
        <f t="shared" si="9"/>
        <v>0</v>
      </c>
      <c r="AJ47" s="163">
        <f t="shared" si="9"/>
        <v>247.3333333</v>
      </c>
      <c r="AK47" s="163">
        <f t="shared" si="9"/>
        <v>0</v>
      </c>
      <c r="AL47" s="163">
        <f t="shared" si="9"/>
        <v>239.3333333</v>
      </c>
      <c r="AM47" s="163">
        <f t="shared" si="9"/>
        <v>0</v>
      </c>
      <c r="AN47" s="163">
        <f t="shared" si="9"/>
        <v>58.66666667</v>
      </c>
      <c r="AO47" s="196"/>
      <c r="AP47" s="121"/>
      <c r="AQ47" s="172" t="s">
        <v>105</v>
      </c>
      <c r="AR47" s="189" t="str">
        <f t="shared" ref="AR47:AU47" si="10">(AR45/AR46)*100</f>
        <v>#REF!</v>
      </c>
      <c r="AS47" s="189" t="str">
        <f t="shared" si="10"/>
        <v>#REF!</v>
      </c>
      <c r="AT47" s="163" t="str">
        <f t="shared" si="10"/>
        <v>#REF!</v>
      </c>
      <c r="AU47" s="163" t="str">
        <f t="shared" si="10"/>
        <v>#REF!</v>
      </c>
      <c r="AV47" s="121"/>
      <c r="AW47" s="172" t="s">
        <v>105</v>
      </c>
      <c r="AX47" s="197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</row>
    <row r="48" ht="0.75" customHeight="1">
      <c r="A48" s="46"/>
      <c r="B48" s="50"/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94"/>
      <c r="V48" s="46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198"/>
      <c r="AP48" s="121"/>
      <c r="AQ48" s="46"/>
      <c r="AR48" s="62"/>
      <c r="AS48" s="62"/>
      <c r="AT48" s="50"/>
      <c r="AU48" s="50"/>
      <c r="AV48" s="121"/>
      <c r="AW48" s="46"/>
      <c r="AX48" s="122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</row>
    <row r="49" ht="15.75" customHeight="1">
      <c r="A49" s="46"/>
      <c r="B49" s="50"/>
      <c r="C49" s="157">
        <v>1.0</v>
      </c>
      <c r="D49" s="157">
        <v>2.0</v>
      </c>
      <c r="E49" s="157">
        <v>3.0</v>
      </c>
      <c r="F49" s="157">
        <v>4.0</v>
      </c>
      <c r="G49" s="157">
        <v>5.0</v>
      </c>
      <c r="H49" s="157">
        <v>6.0</v>
      </c>
      <c r="I49" s="157">
        <v>7.0</v>
      </c>
      <c r="J49" s="157">
        <v>8.0</v>
      </c>
      <c r="K49" s="157">
        <v>9.0</v>
      </c>
      <c r="L49" s="157">
        <v>10.0</v>
      </c>
      <c r="M49" s="157">
        <v>11.0</v>
      </c>
      <c r="N49" s="157">
        <v>12.0</v>
      </c>
      <c r="O49" s="157">
        <v>13.0</v>
      </c>
      <c r="P49" s="157">
        <v>14.0</v>
      </c>
      <c r="Q49" s="157">
        <v>15.0</v>
      </c>
      <c r="R49" s="157">
        <v>16.0</v>
      </c>
      <c r="S49" s="157">
        <v>17.0</v>
      </c>
      <c r="T49" s="157"/>
      <c r="U49" s="194"/>
      <c r="V49" s="46"/>
      <c r="W49" s="50"/>
      <c r="X49" s="50">
        <v>1.0</v>
      </c>
      <c r="Y49" s="50">
        <v>2.0</v>
      </c>
      <c r="Z49" s="50">
        <v>3.0</v>
      </c>
      <c r="AA49" s="50">
        <v>4.0</v>
      </c>
      <c r="AB49" s="50">
        <v>5.0</v>
      </c>
      <c r="AC49" s="50">
        <v>6.0</v>
      </c>
      <c r="AD49" s="50">
        <v>7.0</v>
      </c>
      <c r="AE49" s="50"/>
      <c r="AF49" s="50"/>
      <c r="AG49" s="50">
        <v>8.0</v>
      </c>
      <c r="AH49" s="199">
        <v>9.0</v>
      </c>
      <c r="AI49" s="199">
        <v>11.0</v>
      </c>
      <c r="AJ49" s="199"/>
      <c r="AK49" s="199"/>
      <c r="AL49" s="199">
        <v>12.0</v>
      </c>
      <c r="AM49" s="199">
        <v>13.0</v>
      </c>
      <c r="AN49" s="199">
        <v>14.0</v>
      </c>
      <c r="AO49" s="198"/>
      <c r="AP49" s="121"/>
      <c r="AQ49" s="46"/>
      <c r="AR49" s="62"/>
      <c r="AS49" s="62"/>
      <c r="AT49" s="50"/>
      <c r="AU49" s="50"/>
      <c r="AV49" s="121"/>
      <c r="AW49" s="200"/>
      <c r="AX49" s="16">
        <f t="shared" ref="AX49:AY49" si="11">COUNTIF(AX20:AX44,"&gt;=0")</f>
        <v>25</v>
      </c>
      <c r="AY49" s="83">
        <f t="shared" si="11"/>
        <v>0</v>
      </c>
      <c r="AZ49" s="11"/>
      <c r="BA49" s="11"/>
      <c r="BB49" s="11"/>
      <c r="BC49" s="11"/>
      <c r="BD49" s="11"/>
      <c r="BE49" s="11"/>
      <c r="BF49" s="11"/>
      <c r="BG49" s="11"/>
      <c r="BH49" s="11"/>
      <c r="BI49" s="11"/>
    </row>
    <row r="50" ht="15.75" customHeight="1">
      <c r="A50" s="46"/>
      <c r="B50" s="50" t="s">
        <v>110</v>
      </c>
      <c r="C50" s="157">
        <f t="shared" ref="C50:S50" si="12">COUNTIF(C20:C44,"&gt;="&amp;0.9*C$18)</f>
        <v>7</v>
      </c>
      <c r="D50" s="157">
        <f t="shared" si="12"/>
        <v>2</v>
      </c>
      <c r="E50" s="157">
        <f t="shared" si="12"/>
        <v>2</v>
      </c>
      <c r="F50" s="157">
        <f t="shared" si="12"/>
        <v>1</v>
      </c>
      <c r="G50" s="157">
        <f t="shared" si="12"/>
        <v>2</v>
      </c>
      <c r="H50" s="157">
        <f t="shared" si="12"/>
        <v>2</v>
      </c>
      <c r="I50" s="157">
        <f t="shared" si="12"/>
        <v>0</v>
      </c>
      <c r="J50" s="157">
        <f t="shared" si="12"/>
        <v>1</v>
      </c>
      <c r="K50" s="157">
        <f t="shared" si="12"/>
        <v>5</v>
      </c>
      <c r="L50" s="157">
        <f t="shared" si="12"/>
        <v>1</v>
      </c>
      <c r="M50" s="157">
        <f t="shared" si="12"/>
        <v>6</v>
      </c>
      <c r="N50" s="157">
        <f t="shared" si="12"/>
        <v>2</v>
      </c>
      <c r="O50" s="157">
        <f t="shared" si="12"/>
        <v>5</v>
      </c>
      <c r="P50" s="157">
        <f t="shared" si="12"/>
        <v>2</v>
      </c>
      <c r="Q50" s="157">
        <f t="shared" si="12"/>
        <v>2</v>
      </c>
      <c r="R50" s="157">
        <f t="shared" si="12"/>
        <v>0</v>
      </c>
      <c r="S50" s="157">
        <f t="shared" si="12"/>
        <v>0</v>
      </c>
      <c r="T50" s="157"/>
      <c r="U50" s="194"/>
      <c r="V50" s="46"/>
      <c r="W50" s="50" t="s">
        <v>110</v>
      </c>
      <c r="X50" s="50">
        <f t="shared" ref="X50:AD50" si="13">COUNTIF(X20:X44,"&gt;="&amp;0.9*X$18)</f>
        <v>6</v>
      </c>
      <c r="Y50" s="50">
        <f t="shared" si="13"/>
        <v>1</v>
      </c>
      <c r="Z50" s="50">
        <f t="shared" si="13"/>
        <v>3</v>
      </c>
      <c r="AA50" s="50">
        <f t="shared" si="13"/>
        <v>0</v>
      </c>
      <c r="AB50" s="50">
        <f t="shared" si="13"/>
        <v>2</v>
      </c>
      <c r="AC50" s="50">
        <f t="shared" si="13"/>
        <v>8</v>
      </c>
      <c r="AD50" s="50">
        <f t="shared" si="13"/>
        <v>2</v>
      </c>
      <c r="AE50" s="50"/>
      <c r="AF50" s="50"/>
      <c r="AG50" s="50">
        <f t="shared" ref="AG50:AI50" si="14">COUNTIF(AG20:AG44,"&gt;="&amp;0.9*AG$18)</f>
        <v>0</v>
      </c>
      <c r="AH50" s="50">
        <f t="shared" si="14"/>
        <v>6</v>
      </c>
      <c r="AI50" s="50">
        <f t="shared" si="14"/>
        <v>0</v>
      </c>
      <c r="AJ50" s="50"/>
      <c r="AK50" s="50"/>
      <c r="AL50" s="50">
        <f t="shared" ref="AL50:AN50" si="15">COUNTIF(AL20:AL44,"&gt;="&amp;0.9*AL$18)</f>
        <v>5</v>
      </c>
      <c r="AM50" s="50">
        <f t="shared" si="15"/>
        <v>0</v>
      </c>
      <c r="AN50" s="50">
        <f t="shared" si="15"/>
        <v>1</v>
      </c>
      <c r="AO50" s="198"/>
      <c r="AP50" s="121"/>
      <c r="AQ50" s="46" t="s">
        <v>110</v>
      </c>
      <c r="AR50" s="62">
        <f t="shared" ref="AR50:AU50" si="16">COUNTIF(AR20:AR44,"&gt;="&amp;0.9*AR$18)</f>
        <v>0</v>
      </c>
      <c r="AS50" s="62">
        <f t="shared" si="16"/>
        <v>8</v>
      </c>
      <c r="AT50" s="50">
        <f t="shared" si="16"/>
        <v>6</v>
      </c>
      <c r="AU50" s="50">
        <f t="shared" si="16"/>
        <v>4</v>
      </c>
      <c r="AV50" s="121"/>
      <c r="AW50" s="46" t="s">
        <v>111</v>
      </c>
      <c r="AX50" s="122">
        <f t="shared" ref="AX50:AY50" si="17">COUNTIF(AX20:AX44,"&gt;="&amp;AX11)</f>
        <v>0</v>
      </c>
      <c r="AY50" s="198">
        <f t="shared" si="17"/>
        <v>0</v>
      </c>
      <c r="AZ50" s="11"/>
      <c r="BA50" s="11"/>
      <c r="BB50" s="11"/>
      <c r="BC50" s="11"/>
      <c r="BD50" s="11"/>
      <c r="BE50" s="11"/>
      <c r="BF50" s="11"/>
      <c r="BG50" s="11"/>
      <c r="BH50" s="11"/>
      <c r="BI50" s="11"/>
    </row>
    <row r="51" ht="15.75" customHeight="1">
      <c r="A51" s="46"/>
      <c r="B51" s="50" t="s">
        <v>112</v>
      </c>
      <c r="C51" s="157">
        <f t="shared" ref="C51:S51" si="18">COUNTIF(C20:C44,"&gt;="&amp;0.8*C$18)-C50</f>
        <v>1</v>
      </c>
      <c r="D51" s="157">
        <f t="shared" si="18"/>
        <v>0</v>
      </c>
      <c r="E51" s="157">
        <f t="shared" si="18"/>
        <v>0</v>
      </c>
      <c r="F51" s="157">
        <f t="shared" si="18"/>
        <v>1</v>
      </c>
      <c r="G51" s="157">
        <f t="shared" si="18"/>
        <v>1</v>
      </c>
      <c r="H51" s="157">
        <f t="shared" si="18"/>
        <v>0</v>
      </c>
      <c r="I51" s="157">
        <f t="shared" si="18"/>
        <v>1</v>
      </c>
      <c r="J51" s="157">
        <f t="shared" si="18"/>
        <v>1</v>
      </c>
      <c r="K51" s="157">
        <f t="shared" si="18"/>
        <v>1</v>
      </c>
      <c r="L51" s="157">
        <f t="shared" si="18"/>
        <v>1</v>
      </c>
      <c r="M51" s="157">
        <f t="shared" si="18"/>
        <v>6</v>
      </c>
      <c r="N51" s="157">
        <f t="shared" si="18"/>
        <v>1</v>
      </c>
      <c r="O51" s="157">
        <f t="shared" si="18"/>
        <v>2</v>
      </c>
      <c r="P51" s="157">
        <f t="shared" si="18"/>
        <v>0</v>
      </c>
      <c r="Q51" s="157">
        <f t="shared" si="18"/>
        <v>3</v>
      </c>
      <c r="R51" s="157">
        <f t="shared" si="18"/>
        <v>0</v>
      </c>
      <c r="S51" s="157">
        <f t="shared" si="18"/>
        <v>0</v>
      </c>
      <c r="T51" s="157"/>
      <c r="U51" s="194"/>
      <c r="V51" s="46"/>
      <c r="W51" s="50" t="s">
        <v>112</v>
      </c>
      <c r="X51" s="50">
        <f t="shared" ref="X51:AD51" si="19">COUNTIF(X20:X44,"&gt;="&amp;0.8*X$18)-X50</f>
        <v>2</v>
      </c>
      <c r="Y51" s="50">
        <f t="shared" si="19"/>
        <v>2</v>
      </c>
      <c r="Z51" s="50">
        <f t="shared" si="19"/>
        <v>3</v>
      </c>
      <c r="AA51" s="50">
        <f t="shared" si="19"/>
        <v>2</v>
      </c>
      <c r="AB51" s="50">
        <f t="shared" si="19"/>
        <v>0</v>
      </c>
      <c r="AC51" s="50">
        <f t="shared" si="19"/>
        <v>1</v>
      </c>
      <c r="AD51" s="50">
        <f t="shared" si="19"/>
        <v>1</v>
      </c>
      <c r="AE51" s="50"/>
      <c r="AF51" s="50"/>
      <c r="AG51" s="50">
        <f t="shared" ref="AG51:AI51" si="20">COUNTIF(AG20:AG44,"&gt;="&amp;0.8*AG$18)-AG50</f>
        <v>0</v>
      </c>
      <c r="AH51" s="50">
        <f t="shared" si="20"/>
        <v>1</v>
      </c>
      <c r="AI51" s="50">
        <f t="shared" si="20"/>
        <v>0</v>
      </c>
      <c r="AJ51" s="50"/>
      <c r="AK51" s="50"/>
      <c r="AL51" s="50">
        <f t="shared" ref="AL51:AN51" si="21">COUNTIF(AL20:AL44,"&gt;="&amp;0.8*AL$18)-AL50</f>
        <v>3</v>
      </c>
      <c r="AM51" s="50">
        <f t="shared" si="21"/>
        <v>0</v>
      </c>
      <c r="AN51" s="50">
        <f t="shared" si="21"/>
        <v>1</v>
      </c>
      <c r="AO51" s="198"/>
      <c r="AP51" s="121"/>
      <c r="AQ51" s="46" t="s">
        <v>112</v>
      </c>
      <c r="AR51" s="62">
        <f t="shared" ref="AR51:AU51" si="22">COUNTIF(AR20:AR44,"&gt;="&amp;0.8*AR$18)-AR50</f>
        <v>2</v>
      </c>
      <c r="AS51" s="62">
        <f t="shared" si="22"/>
        <v>4</v>
      </c>
      <c r="AT51" s="50">
        <f t="shared" si="22"/>
        <v>7</v>
      </c>
      <c r="AU51" s="50">
        <f t="shared" si="22"/>
        <v>13</v>
      </c>
      <c r="AV51" s="121"/>
      <c r="AW51" s="46" t="s">
        <v>113</v>
      </c>
      <c r="AX51" s="122">
        <f t="shared" ref="AX51:AY51" si="23">COUNTIF(AX20:AX44,"&gt;="&amp;AX10)-AX50</f>
        <v>1</v>
      </c>
      <c r="AY51" s="198">
        <f t="shared" si="23"/>
        <v>0</v>
      </c>
      <c r="AZ51" s="11"/>
      <c r="BA51" s="11"/>
      <c r="BB51" s="11"/>
      <c r="BC51" s="11"/>
      <c r="BD51" s="11"/>
      <c r="BE51" s="11"/>
      <c r="BF51" s="11"/>
      <c r="BG51" s="11"/>
      <c r="BH51" s="11"/>
      <c r="BI51" s="11"/>
    </row>
    <row r="52" ht="15.75" customHeight="1">
      <c r="A52" s="46"/>
      <c r="B52" s="50" t="s">
        <v>114</v>
      </c>
      <c r="C52" s="157">
        <f t="shared" ref="C52:S52" si="24">COUNTIF(C20:C44,"&gt;="&amp;0.7*C$18)-C50-C51</f>
        <v>0</v>
      </c>
      <c r="D52" s="157">
        <f t="shared" si="24"/>
        <v>0</v>
      </c>
      <c r="E52" s="157">
        <f t="shared" si="24"/>
        <v>0</v>
      </c>
      <c r="F52" s="157">
        <f t="shared" si="24"/>
        <v>0</v>
      </c>
      <c r="G52" s="157">
        <f t="shared" si="24"/>
        <v>0</v>
      </c>
      <c r="H52" s="157">
        <f t="shared" si="24"/>
        <v>0</v>
      </c>
      <c r="I52" s="157">
        <f t="shared" si="24"/>
        <v>14</v>
      </c>
      <c r="J52" s="157">
        <f t="shared" si="24"/>
        <v>14</v>
      </c>
      <c r="K52" s="157">
        <f t="shared" si="24"/>
        <v>6</v>
      </c>
      <c r="L52" s="157">
        <f t="shared" si="24"/>
        <v>0</v>
      </c>
      <c r="M52" s="157">
        <f t="shared" si="24"/>
        <v>2</v>
      </c>
      <c r="N52" s="157">
        <f t="shared" si="24"/>
        <v>0</v>
      </c>
      <c r="O52" s="157">
        <f t="shared" si="24"/>
        <v>1</v>
      </c>
      <c r="P52" s="157">
        <f t="shared" si="24"/>
        <v>2</v>
      </c>
      <c r="Q52" s="157">
        <f t="shared" si="24"/>
        <v>2</v>
      </c>
      <c r="R52" s="157">
        <f t="shared" si="24"/>
        <v>3</v>
      </c>
      <c r="S52" s="157">
        <f t="shared" si="24"/>
        <v>0</v>
      </c>
      <c r="T52" s="157"/>
      <c r="U52" s="194"/>
      <c r="V52" s="46"/>
      <c r="W52" s="50" t="s">
        <v>114</v>
      </c>
      <c r="X52" s="50">
        <f t="shared" ref="X52:AD52" si="25">COUNTIF(X20:X44,"&gt;="&amp;0.7*X$18)-X50-X51</f>
        <v>0</v>
      </c>
      <c r="Y52" s="50">
        <f t="shared" si="25"/>
        <v>0</v>
      </c>
      <c r="Z52" s="50">
        <f t="shared" si="25"/>
        <v>0</v>
      </c>
      <c r="AA52" s="50">
        <f t="shared" si="25"/>
        <v>0</v>
      </c>
      <c r="AB52" s="50">
        <f t="shared" si="25"/>
        <v>0</v>
      </c>
      <c r="AC52" s="50">
        <f t="shared" si="25"/>
        <v>0</v>
      </c>
      <c r="AD52" s="50">
        <f t="shared" si="25"/>
        <v>11</v>
      </c>
      <c r="AE52" s="50"/>
      <c r="AF52" s="50"/>
      <c r="AG52" s="50">
        <f t="shared" ref="AG52:AI52" si="26">COUNTIF(AG20:AG44,"&gt;="&amp;0.7*AG$18)-AG50-AG51</f>
        <v>5</v>
      </c>
      <c r="AH52" s="50">
        <f t="shared" si="26"/>
        <v>5</v>
      </c>
      <c r="AI52" s="50">
        <f t="shared" si="26"/>
        <v>0</v>
      </c>
      <c r="AJ52" s="50"/>
      <c r="AK52" s="50"/>
      <c r="AL52" s="50">
        <f t="shared" ref="AL52:AN52" si="27">COUNTIF(AL20:AL44,"&gt;="&amp;0.7*AL$18)-AL50-AL51</f>
        <v>0</v>
      </c>
      <c r="AM52" s="50">
        <f t="shared" si="27"/>
        <v>0</v>
      </c>
      <c r="AN52" s="50">
        <f t="shared" si="27"/>
        <v>0</v>
      </c>
      <c r="AO52" s="198"/>
      <c r="AP52" s="121"/>
      <c r="AQ52" s="46" t="s">
        <v>114</v>
      </c>
      <c r="AR52" s="62">
        <f t="shared" ref="AR52:AU52" si="28">COUNTIF(AR20:AR44,"&gt;="&amp;0.7*AR$18)-AR50-AR51</f>
        <v>13</v>
      </c>
      <c r="AS52" s="62">
        <f t="shared" si="28"/>
        <v>3</v>
      </c>
      <c r="AT52" s="50">
        <f t="shared" si="28"/>
        <v>3</v>
      </c>
      <c r="AU52" s="50">
        <f t="shared" si="28"/>
        <v>0</v>
      </c>
      <c r="AV52" s="121"/>
      <c r="AW52" s="46" t="s">
        <v>115</v>
      </c>
      <c r="AX52" s="122">
        <f>COUNTIF(AX20:AX44,"&gt;="&amp;AX8)-AX51-AX50</f>
        <v>9</v>
      </c>
      <c r="AY52" s="198">
        <f>COUNTIF(AY20:AY44,"&gt;="&amp;AY8)-AY50-AY51</f>
        <v>0</v>
      </c>
      <c r="AZ52" s="11"/>
      <c r="BA52" s="11"/>
      <c r="BB52" s="11"/>
      <c r="BC52" s="11"/>
      <c r="BD52" s="11"/>
      <c r="BE52" s="11"/>
      <c r="BF52" s="11"/>
      <c r="BG52" s="11"/>
      <c r="BH52" s="11"/>
      <c r="BI52" s="11"/>
    </row>
    <row r="53" ht="15.75" customHeight="1">
      <c r="A53" s="46"/>
      <c r="B53" s="50" t="s">
        <v>116</v>
      </c>
      <c r="C53" s="157">
        <f t="shared" ref="C53:S53" si="29">COUNTIF(C20:C44,"&gt;="&amp;0.6*C$18)-C50-C51-C52</f>
        <v>8</v>
      </c>
      <c r="D53" s="157">
        <f t="shared" si="29"/>
        <v>8</v>
      </c>
      <c r="E53" s="157">
        <f t="shared" si="29"/>
        <v>13</v>
      </c>
      <c r="F53" s="157">
        <f t="shared" si="29"/>
        <v>13</v>
      </c>
      <c r="G53" s="157">
        <f t="shared" si="29"/>
        <v>11</v>
      </c>
      <c r="H53" s="157">
        <f t="shared" si="29"/>
        <v>8</v>
      </c>
      <c r="I53" s="157">
        <f t="shared" si="29"/>
        <v>1</v>
      </c>
      <c r="J53" s="157">
        <f t="shared" si="29"/>
        <v>1</v>
      </c>
      <c r="K53" s="157">
        <f t="shared" si="29"/>
        <v>0</v>
      </c>
      <c r="L53" s="157">
        <f t="shared" si="29"/>
        <v>2</v>
      </c>
      <c r="M53" s="157">
        <f t="shared" si="29"/>
        <v>0</v>
      </c>
      <c r="N53" s="157">
        <f t="shared" si="29"/>
        <v>0</v>
      </c>
      <c r="O53" s="157">
        <f t="shared" si="29"/>
        <v>0</v>
      </c>
      <c r="P53" s="157">
        <f t="shared" si="29"/>
        <v>0</v>
      </c>
      <c r="Q53" s="157">
        <f t="shared" si="29"/>
        <v>2</v>
      </c>
      <c r="R53" s="157">
        <f t="shared" si="29"/>
        <v>0</v>
      </c>
      <c r="S53" s="157">
        <f t="shared" si="29"/>
        <v>0</v>
      </c>
      <c r="T53" s="157"/>
      <c r="U53" s="194"/>
      <c r="V53" s="46"/>
      <c r="W53" s="50" t="s">
        <v>116</v>
      </c>
      <c r="X53" s="50">
        <f t="shared" ref="X53:AD53" si="30">COUNTIF(X20:X44,"&gt;="&amp;0.6*X$18)-X50-X51-X52</f>
        <v>5</v>
      </c>
      <c r="Y53" s="50">
        <f t="shared" si="30"/>
        <v>4</v>
      </c>
      <c r="Z53" s="50">
        <f t="shared" si="30"/>
        <v>13</v>
      </c>
      <c r="AA53" s="50">
        <f t="shared" si="30"/>
        <v>11</v>
      </c>
      <c r="AB53" s="50">
        <f t="shared" si="30"/>
        <v>4</v>
      </c>
      <c r="AC53" s="50">
        <f t="shared" si="30"/>
        <v>4</v>
      </c>
      <c r="AD53" s="50">
        <f t="shared" si="30"/>
        <v>4</v>
      </c>
      <c r="AE53" s="50"/>
      <c r="AF53" s="50"/>
      <c r="AG53" s="50">
        <f t="shared" ref="AG53:AI53" si="31">COUNTIF(AG20:AG44,"&gt;="&amp;0.6*AG$18)-AG50-AG51-AG52</f>
        <v>0</v>
      </c>
      <c r="AH53" s="50">
        <f t="shared" si="31"/>
        <v>2</v>
      </c>
      <c r="AI53" s="50">
        <f t="shared" si="31"/>
        <v>1</v>
      </c>
      <c r="AJ53" s="50"/>
      <c r="AK53" s="50"/>
      <c r="AL53" s="50">
        <f t="shared" ref="AL53:AN53" si="32">COUNTIF(AL20:AL44,"&gt;="&amp;0.6*AL$18)-AL50-AL51-AL52</f>
        <v>9</v>
      </c>
      <c r="AM53" s="50">
        <f t="shared" si="32"/>
        <v>0</v>
      </c>
      <c r="AN53" s="50">
        <f t="shared" si="32"/>
        <v>5</v>
      </c>
      <c r="AO53" s="198"/>
      <c r="AP53" s="121"/>
      <c r="AQ53" s="46" t="s">
        <v>116</v>
      </c>
      <c r="AR53" s="62">
        <f t="shared" ref="AR53:AU53" si="33">COUNTIF(AR20:AR44,"&gt;="&amp;0.6*AR$18)-AR50-AR51-AR52</f>
        <v>1</v>
      </c>
      <c r="AS53" s="62">
        <f t="shared" si="33"/>
        <v>1</v>
      </c>
      <c r="AT53" s="50">
        <f t="shared" si="33"/>
        <v>0</v>
      </c>
      <c r="AU53" s="50">
        <f t="shared" si="33"/>
        <v>0</v>
      </c>
      <c r="AV53" s="121"/>
      <c r="AW53" s="46" t="s">
        <v>117</v>
      </c>
      <c r="AX53" s="122">
        <f t="shared" ref="AX53:AY53" si="34">COUNTIF(AX20:AX44,"&gt;="&amp;AX12)-AX50-AX51-AX52</f>
        <v>10</v>
      </c>
      <c r="AY53" s="198">
        <f t="shared" si="34"/>
        <v>0</v>
      </c>
      <c r="AZ53" s="11"/>
      <c r="BA53" s="11"/>
      <c r="BB53" s="11"/>
      <c r="BC53" s="11"/>
      <c r="BD53" s="11"/>
      <c r="BE53" s="11"/>
      <c r="BF53" s="11"/>
      <c r="BG53" s="11"/>
      <c r="BH53" s="11"/>
      <c r="BI53" s="11"/>
    </row>
    <row r="54" ht="15.75" customHeight="1">
      <c r="A54" s="46"/>
      <c r="B54" s="50" t="s">
        <v>118</v>
      </c>
      <c r="C54" s="157">
        <f t="shared" ref="C54:S54" si="35">COUNTIF(C20:C44,"&gt;="&amp;0.4*C$18)-C50-C51-C53-C52</f>
        <v>0</v>
      </c>
      <c r="D54" s="157">
        <f t="shared" si="35"/>
        <v>0</v>
      </c>
      <c r="E54" s="157">
        <f t="shared" si="35"/>
        <v>0</v>
      </c>
      <c r="F54" s="157">
        <f t="shared" si="35"/>
        <v>0</v>
      </c>
      <c r="G54" s="157">
        <f t="shared" si="35"/>
        <v>0</v>
      </c>
      <c r="H54" s="157">
        <f t="shared" si="35"/>
        <v>0</v>
      </c>
      <c r="I54" s="157">
        <f t="shared" si="35"/>
        <v>0</v>
      </c>
      <c r="J54" s="157">
        <f t="shared" si="35"/>
        <v>0</v>
      </c>
      <c r="K54" s="157">
        <f t="shared" si="35"/>
        <v>1</v>
      </c>
      <c r="L54" s="157">
        <f t="shared" si="35"/>
        <v>0</v>
      </c>
      <c r="M54" s="157">
        <f t="shared" si="35"/>
        <v>0</v>
      </c>
      <c r="N54" s="157">
        <f t="shared" si="35"/>
        <v>0</v>
      </c>
      <c r="O54" s="157">
        <f t="shared" si="35"/>
        <v>4</v>
      </c>
      <c r="P54" s="157">
        <f t="shared" si="35"/>
        <v>0</v>
      </c>
      <c r="Q54" s="157">
        <f t="shared" si="35"/>
        <v>0</v>
      </c>
      <c r="R54" s="157">
        <f t="shared" si="35"/>
        <v>0</v>
      </c>
      <c r="S54" s="157">
        <f t="shared" si="35"/>
        <v>2</v>
      </c>
      <c r="T54" s="157"/>
      <c r="U54" s="194"/>
      <c r="V54" s="46"/>
      <c r="W54" s="50" t="s">
        <v>118</v>
      </c>
      <c r="X54" s="50">
        <f t="shared" ref="X54:AD54" si="36">COUNTIF(X20:X44,"&gt;="&amp;0.4*X$18)-X50-X51-X53-X52</f>
        <v>0</v>
      </c>
      <c r="Y54" s="50">
        <f t="shared" si="36"/>
        <v>1</v>
      </c>
      <c r="Z54" s="50">
        <f t="shared" si="36"/>
        <v>1</v>
      </c>
      <c r="AA54" s="50">
        <f t="shared" si="36"/>
        <v>0</v>
      </c>
      <c r="AB54" s="50">
        <f t="shared" si="36"/>
        <v>0</v>
      </c>
      <c r="AC54" s="50">
        <f t="shared" si="36"/>
        <v>0</v>
      </c>
      <c r="AD54" s="50">
        <f t="shared" si="36"/>
        <v>2</v>
      </c>
      <c r="AE54" s="50"/>
      <c r="AF54" s="50"/>
      <c r="AG54" s="50">
        <f t="shared" ref="AG54:AI54" si="37">COUNTIF(AG20:AG44,"&gt;="&amp;0.4*AG$18)-AG50-AG51-AG53-AG52</f>
        <v>3</v>
      </c>
      <c r="AH54" s="50">
        <f t="shared" si="37"/>
        <v>5</v>
      </c>
      <c r="AI54" s="50">
        <f t="shared" si="37"/>
        <v>0</v>
      </c>
      <c r="AJ54" s="50"/>
      <c r="AK54" s="50"/>
      <c r="AL54" s="50">
        <f t="shared" ref="AL54:AN54" si="38">COUNTIF(AL20:AL44,"&gt;="&amp;0.4*AL$18)-AL50-AL51-AL53-AL52</f>
        <v>3</v>
      </c>
      <c r="AM54" s="50">
        <f t="shared" si="38"/>
        <v>0</v>
      </c>
      <c r="AN54" s="50">
        <f t="shared" si="38"/>
        <v>1</v>
      </c>
      <c r="AO54" s="198"/>
      <c r="AP54" s="121"/>
      <c r="AQ54" s="46" t="s">
        <v>118</v>
      </c>
      <c r="AR54" s="62">
        <f t="shared" ref="AR54:AU54" si="39">COUNTIF(AR20:AR44,"&gt;="&amp;0.4*AR$18)-AR50-AR51-AR53-AR52</f>
        <v>2</v>
      </c>
      <c r="AS54" s="62">
        <f t="shared" si="39"/>
        <v>2</v>
      </c>
      <c r="AT54" s="50">
        <f t="shared" si="39"/>
        <v>2</v>
      </c>
      <c r="AU54" s="50">
        <f t="shared" si="39"/>
        <v>0</v>
      </c>
      <c r="AV54" s="121"/>
      <c r="AW54" s="46" t="s">
        <v>119</v>
      </c>
      <c r="AX54" s="122">
        <f>COUNTIF(AX20:AX44,"&gt;="&amp;AX9)-AX50-AX51-AX52-AX53</f>
        <v>4</v>
      </c>
      <c r="AY54" s="198">
        <f>COUNTIF(AY20:AY44,"&gt;="&amp;#REF!)-AY50-AY51-AY53-AY52</f>
        <v>0</v>
      </c>
      <c r="AZ54" s="11"/>
      <c r="BA54" s="11"/>
      <c r="BB54" s="11"/>
      <c r="BC54" s="11"/>
      <c r="BD54" s="11"/>
      <c r="BE54" s="11"/>
      <c r="BF54" s="11"/>
      <c r="BG54" s="11"/>
      <c r="BH54" s="11"/>
      <c r="BI54" s="11"/>
    </row>
    <row r="55" ht="17.25" customHeight="1">
      <c r="A55" s="201"/>
      <c r="B55" s="202" t="s">
        <v>120</v>
      </c>
      <c r="C55" s="203">
        <f t="shared" ref="C55:J55" si="40">((5*C50+4*C51+3*C52+2*C53+C54)/($J2*5))*3</f>
        <v>1.32</v>
      </c>
      <c r="D55" s="203">
        <f t="shared" si="40"/>
        <v>0.624</v>
      </c>
      <c r="E55" s="203">
        <f t="shared" si="40"/>
        <v>0.864</v>
      </c>
      <c r="F55" s="203">
        <f t="shared" si="40"/>
        <v>0.84</v>
      </c>
      <c r="G55" s="203">
        <f t="shared" si="40"/>
        <v>0.864</v>
      </c>
      <c r="H55" s="203">
        <f t="shared" si="40"/>
        <v>0.624</v>
      </c>
      <c r="I55" s="203">
        <f t="shared" si="40"/>
        <v>1.152</v>
      </c>
      <c r="J55" s="203">
        <f t="shared" si="40"/>
        <v>1.272</v>
      </c>
      <c r="K55" s="204">
        <f>((5*(K50+L50)+4*(K51+L51)+3*(K52+L52)+2*(K53+L53)+K54+L54)/($J2*5))*3</f>
        <v>1.464</v>
      </c>
      <c r="L55" s="89"/>
      <c r="M55" s="204">
        <f>((5*(M50+N50)+4*(M51+N51)+3*(M52+N52)+2*(M53+N53)+M54+N54)/($J2*5))*3</f>
        <v>1.776</v>
      </c>
      <c r="N55" s="89"/>
      <c r="O55" s="204">
        <f>((5*(O50+P50)+4*(O51+P51)+3*(O52+P52)+2*(O53+P53)+O54+P54)/($J2*5))*3</f>
        <v>1.344</v>
      </c>
      <c r="P55" s="89"/>
      <c r="Q55" s="204">
        <f>((5*(Q50+R50)+4*(Q51+R51)+3*(Q52+R52)+2*(Q53+R53)+Q54+R54)/($J2*5))*3</f>
        <v>0.984</v>
      </c>
      <c r="R55" s="89"/>
      <c r="S55" s="203">
        <f>((5*S50+4*S51+3*S52+2*S53+S54)/($J2*5))*3</f>
        <v>0.048</v>
      </c>
      <c r="T55" s="203"/>
      <c r="U55" s="205"/>
      <c r="V55" s="65"/>
      <c r="W55" s="202" t="s">
        <v>121</v>
      </c>
      <c r="X55" s="67">
        <f t="shared" ref="X55:AN55" si="41">((5*X50+4*X51+3*X52+2*X53+X54)/($J2*5))*3</f>
        <v>1.152</v>
      </c>
      <c r="Y55" s="67">
        <f t="shared" si="41"/>
        <v>0.528</v>
      </c>
      <c r="Z55" s="67">
        <f t="shared" si="41"/>
        <v>1.296</v>
      </c>
      <c r="AA55" s="67">
        <f t="shared" si="41"/>
        <v>0.72</v>
      </c>
      <c r="AB55" s="67">
        <f t="shared" si="41"/>
        <v>0.432</v>
      </c>
      <c r="AC55" s="67">
        <f t="shared" si="41"/>
        <v>1.248</v>
      </c>
      <c r="AD55" s="67">
        <f t="shared" si="41"/>
        <v>1.368</v>
      </c>
      <c r="AE55" s="67">
        <f t="shared" si="41"/>
        <v>0</v>
      </c>
      <c r="AF55" s="67">
        <f t="shared" si="41"/>
        <v>0</v>
      </c>
      <c r="AG55" s="67">
        <f t="shared" si="41"/>
        <v>0.432</v>
      </c>
      <c r="AH55" s="67">
        <f t="shared" si="41"/>
        <v>1.392</v>
      </c>
      <c r="AI55" s="67">
        <f t="shared" si="41"/>
        <v>0.048</v>
      </c>
      <c r="AJ55" s="67">
        <f t="shared" si="41"/>
        <v>0</v>
      </c>
      <c r="AK55" s="67">
        <f t="shared" si="41"/>
        <v>0</v>
      </c>
      <c r="AL55" s="67">
        <f t="shared" si="41"/>
        <v>1.392</v>
      </c>
      <c r="AM55" s="67">
        <f t="shared" si="41"/>
        <v>0</v>
      </c>
      <c r="AN55" s="67">
        <f t="shared" si="41"/>
        <v>0.48</v>
      </c>
      <c r="AO55" s="67"/>
      <c r="AP55" s="206"/>
      <c r="AQ55" s="201" t="s">
        <v>122</v>
      </c>
      <c r="AR55" s="207">
        <f t="shared" ref="AR55:AU55" si="42">((5*AR50+4*AR51+3*AR52+2*AR53+AR54)/($J2*5))*3</f>
        <v>1.224</v>
      </c>
      <c r="AS55" s="207">
        <f t="shared" si="42"/>
        <v>1.656</v>
      </c>
      <c r="AT55" s="67">
        <f t="shared" si="42"/>
        <v>1.656</v>
      </c>
      <c r="AU55" s="67">
        <f t="shared" si="42"/>
        <v>1.728</v>
      </c>
      <c r="AV55" s="206"/>
      <c r="AW55" s="201" t="s">
        <v>123</v>
      </c>
      <c r="AX55" s="208">
        <f t="shared" ref="AX55:AY55" si="43">((5*AX50+4*AX51+3*AX52+2*AX53+AX54)/(AX49*5))*3</f>
        <v>1.32</v>
      </c>
      <c r="AY55" s="209" t="str">
        <f t="shared" si="43"/>
        <v>#DIV/0!</v>
      </c>
      <c r="AZ55" s="11"/>
      <c r="BA55" s="11"/>
      <c r="BB55" s="11"/>
      <c r="BC55" s="11"/>
      <c r="BD55" s="11"/>
      <c r="BE55" s="11"/>
      <c r="BF55" s="11"/>
      <c r="BG55" s="11"/>
      <c r="BH55" s="11"/>
      <c r="BI55" s="11"/>
    </row>
    <row r="56" ht="27.75" customHeight="1">
      <c r="A56" s="210"/>
      <c r="B56" s="210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2"/>
      <c r="V56" s="210"/>
      <c r="W56" s="210"/>
      <c r="X56" s="210"/>
      <c r="Y56" s="210"/>
      <c r="Z56" s="210"/>
      <c r="AA56" s="210"/>
      <c r="AB56" s="210"/>
      <c r="AC56" s="210"/>
      <c r="AD56" s="210"/>
      <c r="AE56" s="210"/>
      <c r="AF56" s="210"/>
      <c r="AG56" s="210"/>
      <c r="AH56" s="210"/>
      <c r="AI56" s="210"/>
      <c r="AJ56" s="210"/>
      <c r="AK56" s="210"/>
      <c r="AL56" s="210"/>
      <c r="AM56" s="210"/>
      <c r="AN56" s="210"/>
      <c r="AO56" s="210"/>
      <c r="AP56" s="210"/>
      <c r="AQ56" s="210"/>
      <c r="AR56" s="213"/>
      <c r="AS56" s="213"/>
      <c r="AT56" s="210"/>
      <c r="AU56" s="210"/>
      <c r="AV56" s="11"/>
      <c r="AW56" s="11"/>
      <c r="AX56" s="214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</row>
    <row r="57" ht="15.75" customHeight="1">
      <c r="A57" s="212"/>
      <c r="B57" s="212"/>
      <c r="C57" s="215" t="str">
        <f t="shared" ref="C57:K57" si="44">C13</f>
        <v/>
      </c>
      <c r="D57" s="215" t="str">
        <f t="shared" si="44"/>
        <v/>
      </c>
      <c r="E57" s="215" t="str">
        <f t="shared" si="44"/>
        <v/>
      </c>
      <c r="F57" s="215" t="str">
        <f t="shared" si="44"/>
        <v/>
      </c>
      <c r="G57" s="215" t="str">
        <f t="shared" si="44"/>
        <v/>
      </c>
      <c r="H57" s="215" t="str">
        <f t="shared" si="44"/>
        <v/>
      </c>
      <c r="I57" s="215" t="str">
        <f t="shared" si="44"/>
        <v/>
      </c>
      <c r="J57" s="215" t="str">
        <f t="shared" si="44"/>
        <v/>
      </c>
      <c r="K57" s="216" t="str">
        <f t="shared" si="44"/>
        <v/>
      </c>
      <c r="L57" s="217"/>
      <c r="M57" s="216" t="str">
        <f t="shared" ref="M57:M61" si="49">M13</f>
        <v/>
      </c>
      <c r="N57" s="217"/>
      <c r="O57" s="216" t="str">
        <f t="shared" ref="O57:O61" si="50">O13</f>
        <v/>
      </c>
      <c r="P57" s="217"/>
      <c r="Q57" s="216" t="str">
        <f t="shared" ref="Q57:Q61" si="51">Q13</f>
        <v/>
      </c>
      <c r="R57" s="217"/>
      <c r="S57" s="215" t="str">
        <f t="shared" ref="S57:S61" si="52">S13</f>
        <v/>
      </c>
      <c r="T57" s="215"/>
      <c r="U57" s="212"/>
      <c r="V57" s="212"/>
      <c r="W57" s="218"/>
      <c r="X57" s="218" t="str">
        <f t="shared" ref="X57:AD57" si="45">X13</f>
        <v/>
      </c>
      <c r="Y57" s="218" t="str">
        <f t="shared" si="45"/>
        <v/>
      </c>
      <c r="Z57" s="218" t="str">
        <f t="shared" si="45"/>
        <v/>
      </c>
      <c r="AA57" s="218" t="str">
        <f t="shared" si="45"/>
        <v/>
      </c>
      <c r="AB57" s="218" t="str">
        <f t="shared" si="45"/>
        <v/>
      </c>
      <c r="AC57" s="218" t="str">
        <f t="shared" si="45"/>
        <v/>
      </c>
      <c r="AD57" s="218" t="str">
        <f t="shared" si="45"/>
        <v/>
      </c>
      <c r="AE57" s="218"/>
      <c r="AF57" s="218"/>
      <c r="AG57" s="218" t="str">
        <f t="shared" ref="AG57:AI57" si="46">AG13</f>
        <v/>
      </c>
      <c r="AH57" s="218" t="str">
        <f t="shared" si="46"/>
        <v/>
      </c>
      <c r="AI57" s="219" t="str">
        <f t="shared" si="46"/>
        <v/>
      </c>
      <c r="AJ57" s="217"/>
      <c r="AK57" s="217"/>
      <c r="AL57" s="217"/>
      <c r="AM57" s="219" t="str">
        <f t="shared" ref="AM57:AM60" si="55">AM13</f>
        <v/>
      </c>
      <c r="AN57" s="217"/>
      <c r="AO57" s="212"/>
      <c r="AP57" s="212"/>
      <c r="AQ57" s="212"/>
      <c r="AR57" s="220" t="str">
        <f t="shared" ref="AR57:AU57" si="47">AR13</f>
        <v/>
      </c>
      <c r="AS57" s="220" t="str">
        <f t="shared" si="47"/>
        <v/>
      </c>
      <c r="AT57" s="218" t="str">
        <f t="shared" si="47"/>
        <v/>
      </c>
      <c r="AU57" s="218" t="str">
        <f t="shared" si="47"/>
        <v/>
      </c>
      <c r="AV57" s="221"/>
      <c r="AW57" s="221"/>
      <c r="AX57" s="222"/>
      <c r="AY57" s="221"/>
      <c r="AZ57" s="221"/>
      <c r="BA57" s="221"/>
      <c r="BB57" s="221"/>
      <c r="BC57" s="221"/>
      <c r="BD57" s="221"/>
      <c r="BE57" s="221"/>
      <c r="BF57" s="221"/>
      <c r="BG57" s="221"/>
      <c r="BH57" s="221"/>
      <c r="BI57" s="221"/>
    </row>
    <row r="58" ht="15.75" customHeight="1">
      <c r="A58" s="212"/>
      <c r="B58" s="212"/>
      <c r="C58" s="215" t="str">
        <f t="shared" ref="C58:K58" si="48">C14</f>
        <v/>
      </c>
      <c r="D58" s="215" t="str">
        <f t="shared" si="48"/>
        <v/>
      </c>
      <c r="E58" s="215" t="str">
        <f t="shared" si="48"/>
        <v/>
      </c>
      <c r="F58" s="215" t="str">
        <f t="shared" si="48"/>
        <v/>
      </c>
      <c r="G58" s="215" t="str">
        <f t="shared" si="48"/>
        <v/>
      </c>
      <c r="H58" s="215" t="str">
        <f t="shared" si="48"/>
        <v/>
      </c>
      <c r="I58" s="215" t="str">
        <f t="shared" si="48"/>
        <v/>
      </c>
      <c r="J58" s="215" t="str">
        <f t="shared" si="48"/>
        <v/>
      </c>
      <c r="K58" s="216" t="str">
        <f t="shared" si="48"/>
        <v/>
      </c>
      <c r="L58" s="217"/>
      <c r="M58" s="216" t="str">
        <f t="shared" si="49"/>
        <v/>
      </c>
      <c r="N58" s="217"/>
      <c r="O58" s="216" t="str">
        <f t="shared" si="50"/>
        <v/>
      </c>
      <c r="P58" s="217"/>
      <c r="Q58" s="216" t="str">
        <f t="shared" si="51"/>
        <v/>
      </c>
      <c r="R58" s="217"/>
      <c r="S58" s="215" t="str">
        <f t="shared" si="52"/>
        <v/>
      </c>
      <c r="T58" s="215"/>
      <c r="U58" s="212"/>
      <c r="V58" s="212"/>
      <c r="W58" s="218"/>
      <c r="X58" s="218" t="str">
        <f t="shared" ref="X58:AD58" si="53">X14</f>
        <v/>
      </c>
      <c r="Y58" s="218" t="str">
        <f t="shared" si="53"/>
        <v/>
      </c>
      <c r="Z58" s="218" t="str">
        <f t="shared" si="53"/>
        <v/>
      </c>
      <c r="AA58" s="218" t="str">
        <f t="shared" si="53"/>
        <v/>
      </c>
      <c r="AB58" s="218" t="str">
        <f t="shared" si="53"/>
        <v/>
      </c>
      <c r="AC58" s="218" t="str">
        <f t="shared" si="53"/>
        <v/>
      </c>
      <c r="AD58" s="218" t="str">
        <f t="shared" si="53"/>
        <v/>
      </c>
      <c r="AE58" s="218"/>
      <c r="AF58" s="218"/>
      <c r="AG58" s="218" t="str">
        <f t="shared" ref="AG58:AI58" si="54">AG14</f>
        <v/>
      </c>
      <c r="AH58" s="218" t="str">
        <f t="shared" si="54"/>
        <v/>
      </c>
      <c r="AI58" s="219" t="str">
        <f t="shared" si="54"/>
        <v/>
      </c>
      <c r="AJ58" s="217"/>
      <c r="AK58" s="217"/>
      <c r="AL58" s="217"/>
      <c r="AM58" s="219" t="str">
        <f t="shared" si="55"/>
        <v/>
      </c>
      <c r="AN58" s="217"/>
      <c r="AO58" s="212"/>
      <c r="AP58" s="212"/>
      <c r="AQ58" s="212"/>
      <c r="AR58" s="220" t="str">
        <f t="shared" ref="AR58:AU58" si="56">AR17</f>
        <v>A</v>
      </c>
      <c r="AS58" s="220" t="str">
        <f t="shared" si="56"/>
        <v>B</v>
      </c>
      <c r="AT58" s="218" t="str">
        <f t="shared" si="56"/>
        <v>A</v>
      </c>
      <c r="AU58" s="218" t="str">
        <f t="shared" si="56"/>
        <v>B</v>
      </c>
      <c r="AV58" s="221"/>
      <c r="AW58" s="221"/>
      <c r="AX58" s="222"/>
      <c r="AY58" s="221"/>
      <c r="AZ58" s="221"/>
      <c r="BA58" s="221"/>
      <c r="BB58" s="221"/>
      <c r="BC58" s="221"/>
      <c r="BD58" s="221"/>
      <c r="BE58" s="221"/>
      <c r="BF58" s="221"/>
      <c r="BG58" s="221"/>
      <c r="BH58" s="221"/>
      <c r="BI58" s="221"/>
    </row>
    <row r="59" ht="15.75" customHeight="1">
      <c r="A59" s="212"/>
      <c r="B59" s="212"/>
      <c r="C59" s="215" t="str">
        <f t="shared" ref="C59:K59" si="57">C15</f>
        <v/>
      </c>
      <c r="D59" s="215" t="str">
        <f t="shared" si="57"/>
        <v/>
      </c>
      <c r="E59" s="215" t="str">
        <f t="shared" si="57"/>
        <v/>
      </c>
      <c r="F59" s="215" t="str">
        <f t="shared" si="57"/>
        <v/>
      </c>
      <c r="G59" s="215" t="str">
        <f t="shared" si="57"/>
        <v/>
      </c>
      <c r="H59" s="215" t="str">
        <f t="shared" si="57"/>
        <v/>
      </c>
      <c r="I59" s="215" t="str">
        <f t="shared" si="57"/>
        <v/>
      </c>
      <c r="J59" s="215" t="str">
        <f t="shared" si="57"/>
        <v/>
      </c>
      <c r="K59" s="216" t="str">
        <f t="shared" si="57"/>
        <v/>
      </c>
      <c r="L59" s="217"/>
      <c r="M59" s="216" t="str">
        <f t="shared" si="49"/>
        <v/>
      </c>
      <c r="N59" s="217"/>
      <c r="O59" s="216" t="str">
        <f t="shared" si="50"/>
        <v/>
      </c>
      <c r="P59" s="217"/>
      <c r="Q59" s="216" t="str">
        <f t="shared" si="51"/>
        <v/>
      </c>
      <c r="R59" s="217"/>
      <c r="S59" s="215" t="str">
        <f t="shared" si="52"/>
        <v/>
      </c>
      <c r="T59" s="215"/>
      <c r="U59" s="212"/>
      <c r="V59" s="212"/>
      <c r="W59" s="218"/>
      <c r="X59" s="218" t="str">
        <f t="shared" ref="X59:AD59" si="58">X15</f>
        <v/>
      </c>
      <c r="Y59" s="218" t="str">
        <f t="shared" si="58"/>
        <v/>
      </c>
      <c r="Z59" s="218" t="str">
        <f t="shared" si="58"/>
        <v/>
      </c>
      <c r="AA59" s="218" t="str">
        <f t="shared" si="58"/>
        <v/>
      </c>
      <c r="AB59" s="218" t="str">
        <f t="shared" si="58"/>
        <v/>
      </c>
      <c r="AC59" s="218" t="str">
        <f t="shared" si="58"/>
        <v/>
      </c>
      <c r="AD59" s="218" t="str">
        <f t="shared" si="58"/>
        <v/>
      </c>
      <c r="AE59" s="218"/>
      <c r="AF59" s="218"/>
      <c r="AG59" s="218" t="str">
        <f t="shared" ref="AG59:AI59" si="59">AG15</f>
        <v/>
      </c>
      <c r="AH59" s="218" t="str">
        <f t="shared" si="59"/>
        <v/>
      </c>
      <c r="AI59" s="219" t="str">
        <f t="shared" si="59"/>
        <v/>
      </c>
      <c r="AJ59" s="217"/>
      <c r="AK59" s="217"/>
      <c r="AL59" s="217"/>
      <c r="AM59" s="219" t="str">
        <f t="shared" si="55"/>
        <v/>
      </c>
      <c r="AN59" s="217"/>
      <c r="AO59" s="212"/>
      <c r="AP59" s="212"/>
      <c r="AQ59" s="212"/>
      <c r="AR59" s="220" t="str">
        <f t="shared" ref="AR59:AU59" si="60">AR15</f>
        <v/>
      </c>
      <c r="AS59" s="220" t="str">
        <f t="shared" si="60"/>
        <v/>
      </c>
      <c r="AT59" s="218" t="str">
        <f t="shared" si="60"/>
        <v/>
      </c>
      <c r="AU59" s="218" t="str">
        <f t="shared" si="60"/>
        <v/>
      </c>
      <c r="AV59" s="221"/>
      <c r="AW59" s="221"/>
      <c r="AX59" s="222"/>
      <c r="AY59" s="221"/>
      <c r="AZ59" s="221"/>
      <c r="BA59" s="221"/>
      <c r="BB59" s="221"/>
      <c r="BC59" s="221"/>
      <c r="BD59" s="221"/>
      <c r="BE59" s="221"/>
      <c r="BF59" s="221"/>
      <c r="BG59" s="221"/>
      <c r="BH59" s="221"/>
      <c r="BI59" s="221"/>
    </row>
    <row r="60" ht="15.75" customHeight="1">
      <c r="A60" s="212"/>
      <c r="B60" s="212"/>
      <c r="C60" s="215" t="str">
        <f t="shared" ref="C60:K60" si="61">C16</f>
        <v/>
      </c>
      <c r="D60" s="215" t="str">
        <f t="shared" si="61"/>
        <v/>
      </c>
      <c r="E60" s="215" t="str">
        <f t="shared" si="61"/>
        <v/>
      </c>
      <c r="F60" s="215" t="str">
        <f t="shared" si="61"/>
        <v/>
      </c>
      <c r="G60" s="215" t="str">
        <f t="shared" si="61"/>
        <v/>
      </c>
      <c r="H60" s="215" t="str">
        <f t="shared" si="61"/>
        <v/>
      </c>
      <c r="I60" s="215" t="str">
        <f t="shared" si="61"/>
        <v/>
      </c>
      <c r="J60" s="215" t="str">
        <f t="shared" si="61"/>
        <v/>
      </c>
      <c r="K60" s="216" t="str">
        <f t="shared" si="61"/>
        <v/>
      </c>
      <c r="L60" s="217"/>
      <c r="M60" s="216" t="str">
        <f t="shared" si="49"/>
        <v/>
      </c>
      <c r="N60" s="217"/>
      <c r="O60" s="216" t="str">
        <f t="shared" si="50"/>
        <v/>
      </c>
      <c r="P60" s="217"/>
      <c r="Q60" s="216" t="str">
        <f t="shared" si="51"/>
        <v/>
      </c>
      <c r="R60" s="217"/>
      <c r="S60" s="215" t="str">
        <f t="shared" si="52"/>
        <v/>
      </c>
      <c r="T60" s="215"/>
      <c r="U60" s="212"/>
      <c r="V60" s="212"/>
      <c r="W60" s="218"/>
      <c r="X60" s="218" t="str">
        <f t="shared" ref="X60:AD60" si="62">X16</f>
        <v/>
      </c>
      <c r="Y60" s="218" t="str">
        <f t="shared" si="62"/>
        <v/>
      </c>
      <c r="Z60" s="218" t="str">
        <f t="shared" si="62"/>
        <v/>
      </c>
      <c r="AA60" s="218" t="str">
        <f t="shared" si="62"/>
        <v/>
      </c>
      <c r="AB60" s="218" t="str">
        <f t="shared" si="62"/>
        <v/>
      </c>
      <c r="AC60" s="218" t="str">
        <f t="shared" si="62"/>
        <v/>
      </c>
      <c r="AD60" s="218" t="str">
        <f t="shared" si="62"/>
        <v/>
      </c>
      <c r="AE60" s="218"/>
      <c r="AF60" s="218"/>
      <c r="AG60" s="218" t="str">
        <f t="shared" ref="AG60:AI60" si="63">AG16</f>
        <v/>
      </c>
      <c r="AH60" s="218" t="str">
        <f t="shared" si="63"/>
        <v/>
      </c>
      <c r="AI60" s="219" t="str">
        <f t="shared" si="63"/>
        <v/>
      </c>
      <c r="AJ60" s="217"/>
      <c r="AK60" s="217"/>
      <c r="AL60" s="217"/>
      <c r="AM60" s="219" t="str">
        <f t="shared" si="55"/>
        <v/>
      </c>
      <c r="AN60" s="217"/>
      <c r="AO60" s="212"/>
      <c r="AP60" s="212"/>
      <c r="AQ60" s="212"/>
      <c r="AR60" s="220">
        <f t="shared" ref="AR60:AU60" si="64">AR19</f>
        <v>1</v>
      </c>
      <c r="AS60" s="220">
        <f t="shared" si="64"/>
        <v>2</v>
      </c>
      <c r="AT60" s="223">
        <f t="shared" si="64"/>
        <v>3</v>
      </c>
      <c r="AU60" s="223">
        <f t="shared" si="64"/>
        <v>4</v>
      </c>
      <c r="AV60" s="212"/>
      <c r="AW60" s="212"/>
      <c r="AX60" s="224"/>
      <c r="AY60" s="212"/>
      <c r="AZ60" s="212"/>
      <c r="BA60" s="221"/>
      <c r="BB60" s="221"/>
      <c r="BC60" s="221"/>
      <c r="BD60" s="221"/>
      <c r="BE60" s="221"/>
      <c r="BF60" s="221"/>
      <c r="BG60" s="221"/>
      <c r="BH60" s="221"/>
      <c r="BI60" s="221"/>
    </row>
    <row r="61" ht="18.75" customHeight="1">
      <c r="A61" s="212"/>
      <c r="B61" s="212"/>
      <c r="C61" s="215" t="str">
        <f t="shared" ref="C61:K61" si="65">C17</f>
        <v>A</v>
      </c>
      <c r="D61" s="215" t="str">
        <f t="shared" si="65"/>
        <v>A</v>
      </c>
      <c r="E61" s="215" t="str">
        <f t="shared" si="65"/>
        <v>A</v>
      </c>
      <c r="F61" s="215" t="str">
        <f t="shared" si="65"/>
        <v>A</v>
      </c>
      <c r="G61" s="215" t="str">
        <f t="shared" si="65"/>
        <v>B</v>
      </c>
      <c r="H61" s="215" t="str">
        <f t="shared" si="65"/>
        <v>A</v>
      </c>
      <c r="I61" s="215" t="str">
        <f t="shared" si="65"/>
        <v>A</v>
      </c>
      <c r="J61" s="215" t="str">
        <f t="shared" si="65"/>
        <v>A</v>
      </c>
      <c r="K61" s="216" t="str">
        <f t="shared" si="65"/>
        <v>A</v>
      </c>
      <c r="L61" s="217"/>
      <c r="M61" s="216" t="str">
        <f t="shared" si="49"/>
        <v>A</v>
      </c>
      <c r="N61" s="217"/>
      <c r="O61" s="216" t="str">
        <f t="shared" si="50"/>
        <v>B</v>
      </c>
      <c r="P61" s="217"/>
      <c r="Q61" s="216" t="str">
        <f t="shared" si="51"/>
        <v>A</v>
      </c>
      <c r="R61" s="217"/>
      <c r="S61" s="215" t="str">
        <f t="shared" si="52"/>
        <v>B</v>
      </c>
      <c r="T61" s="215"/>
      <c r="U61" s="212"/>
      <c r="V61" s="212"/>
      <c r="W61" s="218"/>
      <c r="X61" s="218" t="str">
        <f t="shared" ref="X61:AN61" si="66">X17</f>
        <v>C</v>
      </c>
      <c r="Y61" s="218" t="str">
        <f t="shared" si="66"/>
        <v>C</v>
      </c>
      <c r="Z61" s="218" t="str">
        <f t="shared" si="66"/>
        <v>D</v>
      </c>
      <c r="AA61" s="218" t="str">
        <f t="shared" si="66"/>
        <v>D</v>
      </c>
      <c r="AB61" s="218" t="str">
        <f t="shared" si="66"/>
        <v>A</v>
      </c>
      <c r="AC61" s="218" t="str">
        <f t="shared" si="66"/>
        <v>A</v>
      </c>
      <c r="AD61" s="218" t="str">
        <f t="shared" si="66"/>
        <v>C</v>
      </c>
      <c r="AE61" s="218" t="str">
        <f t="shared" si="66"/>
        <v>C</v>
      </c>
      <c r="AF61" s="218" t="str">
        <f t="shared" si="66"/>
        <v>C</v>
      </c>
      <c r="AG61" s="218" t="str">
        <f t="shared" si="66"/>
        <v>C</v>
      </c>
      <c r="AH61" s="218" t="str">
        <f t="shared" si="66"/>
        <v>C</v>
      </c>
      <c r="AI61" s="218" t="str">
        <f t="shared" si="66"/>
        <v>C</v>
      </c>
      <c r="AJ61" s="218" t="str">
        <f t="shared" si="66"/>
        <v>D</v>
      </c>
      <c r="AK61" s="218" t="str">
        <f t="shared" si="66"/>
        <v>D</v>
      </c>
      <c r="AL61" s="218" t="str">
        <f t="shared" si="66"/>
        <v>D</v>
      </c>
      <c r="AM61" s="218" t="str">
        <f t="shared" si="66"/>
        <v>D</v>
      </c>
      <c r="AN61" s="218" t="str">
        <f t="shared" si="66"/>
        <v>E</v>
      </c>
      <c r="AO61" s="212"/>
      <c r="AP61" s="212"/>
      <c r="AQ61" s="212"/>
      <c r="AR61" s="220" t="str">
        <f t="shared" ref="AR61:AU61" si="67">AR17</f>
        <v>A</v>
      </c>
      <c r="AS61" s="220" t="str">
        <f t="shared" si="67"/>
        <v>B</v>
      </c>
      <c r="AT61" s="218" t="str">
        <f t="shared" si="67"/>
        <v>A</v>
      </c>
      <c r="AU61" s="218" t="str">
        <f t="shared" si="67"/>
        <v>B</v>
      </c>
      <c r="AV61" s="212"/>
      <c r="AW61" s="212"/>
      <c r="AX61" s="224"/>
      <c r="AY61" s="212"/>
      <c r="AZ61" s="212"/>
      <c r="BA61" s="221"/>
      <c r="BB61" s="221"/>
      <c r="BC61" s="221"/>
      <c r="BD61" s="221"/>
      <c r="BE61" s="221"/>
      <c r="BF61" s="221"/>
      <c r="BG61" s="221"/>
      <c r="BH61" s="221"/>
      <c r="BI61" s="221"/>
    </row>
    <row r="62" ht="15.75" customHeight="1">
      <c r="A62" s="212"/>
      <c r="B62" s="212"/>
      <c r="C62" s="215"/>
      <c r="D62" s="215"/>
      <c r="E62" s="215"/>
      <c r="F62" s="215"/>
      <c r="G62" s="215"/>
      <c r="H62" s="215"/>
      <c r="I62" s="215"/>
      <c r="J62" s="215"/>
      <c r="K62" s="216"/>
      <c r="L62" s="217"/>
      <c r="M62" s="216"/>
      <c r="N62" s="217"/>
      <c r="O62" s="216"/>
      <c r="P62" s="217"/>
      <c r="Q62" s="216"/>
      <c r="R62" s="217"/>
      <c r="S62" s="215"/>
      <c r="T62" s="215"/>
      <c r="U62" s="212"/>
      <c r="V62" s="212"/>
      <c r="W62" s="212"/>
      <c r="X62" s="212"/>
      <c r="Y62" s="212"/>
      <c r="Z62" s="212"/>
      <c r="AA62" s="212"/>
      <c r="AB62" s="212"/>
      <c r="AC62" s="212"/>
      <c r="AD62" s="212"/>
      <c r="AE62" s="212"/>
      <c r="AF62" s="212"/>
      <c r="AG62" s="212"/>
      <c r="AH62" s="212"/>
      <c r="AI62" s="212"/>
      <c r="AJ62" s="212"/>
      <c r="AK62" s="212"/>
      <c r="AL62" s="212"/>
      <c r="AM62" s="212"/>
      <c r="AN62" s="212"/>
      <c r="AO62" s="212"/>
      <c r="AP62" s="212"/>
      <c r="AQ62" s="212"/>
      <c r="AR62" s="220"/>
      <c r="AS62" s="220"/>
      <c r="AT62" s="218"/>
      <c r="AU62" s="218"/>
      <c r="AV62" s="212"/>
      <c r="AW62" s="212"/>
      <c r="AX62" s="224"/>
      <c r="AY62" s="212"/>
      <c r="AZ62" s="212"/>
      <c r="BA62" s="221"/>
      <c r="BB62" s="221"/>
      <c r="BC62" s="221"/>
      <c r="BD62" s="221"/>
      <c r="BE62" s="221"/>
      <c r="BF62" s="221"/>
      <c r="BG62" s="221"/>
      <c r="BH62" s="221"/>
      <c r="BI62" s="221"/>
    </row>
    <row r="63" ht="15.75" customHeight="1">
      <c r="A63" s="212"/>
      <c r="B63" s="212"/>
      <c r="C63" s="215"/>
      <c r="D63" s="215"/>
      <c r="E63" s="215"/>
      <c r="F63" s="215"/>
      <c r="G63" s="215"/>
      <c r="H63" s="215"/>
      <c r="I63" s="215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2"/>
      <c r="V63" s="212"/>
      <c r="W63" s="212"/>
      <c r="X63" s="212"/>
      <c r="Y63" s="212"/>
      <c r="Z63" s="212"/>
      <c r="AA63" s="212"/>
      <c r="AB63" s="212"/>
      <c r="AC63" s="212"/>
      <c r="AD63" s="212"/>
      <c r="AE63" s="212"/>
      <c r="AF63" s="212"/>
      <c r="AG63" s="212"/>
      <c r="AH63" s="212"/>
      <c r="AI63" s="212"/>
      <c r="AJ63" s="212"/>
      <c r="AK63" s="212"/>
      <c r="AL63" s="212"/>
      <c r="AM63" s="212"/>
      <c r="AN63" s="212"/>
      <c r="AO63" s="212"/>
      <c r="AP63" s="212"/>
      <c r="AQ63" s="212"/>
      <c r="AR63" s="225"/>
      <c r="AS63" s="225"/>
      <c r="AT63" s="212"/>
      <c r="AU63" s="212"/>
      <c r="AV63" s="212"/>
      <c r="AW63" s="212"/>
      <c r="AX63" s="224"/>
      <c r="AY63" s="212"/>
      <c r="AZ63" s="212"/>
      <c r="BA63" s="212"/>
      <c r="BB63" s="212"/>
      <c r="BC63" s="212"/>
      <c r="BD63" s="212"/>
      <c r="BE63" s="212"/>
      <c r="BF63" s="212"/>
      <c r="BG63" s="212"/>
      <c r="BH63" s="212"/>
      <c r="BI63" s="212"/>
    </row>
    <row r="64" ht="15.75" customHeight="1">
      <c r="A64" s="218"/>
      <c r="B64" s="218" t="s">
        <v>3</v>
      </c>
      <c r="C64" s="215">
        <f t="shared" ref="C64:S64" si="68">IF(OR(C$58="a",C$57="a",C$60="a",C$61="a",C$59="a"),C$55)</f>
        <v>1.32</v>
      </c>
      <c r="D64" s="215">
        <f t="shared" si="68"/>
        <v>0.624</v>
      </c>
      <c r="E64" s="215">
        <f t="shared" si="68"/>
        <v>0.864</v>
      </c>
      <c r="F64" s="215">
        <f t="shared" si="68"/>
        <v>0.84</v>
      </c>
      <c r="G64" s="215" t="b">
        <f t="shared" si="68"/>
        <v>0</v>
      </c>
      <c r="H64" s="215">
        <f t="shared" si="68"/>
        <v>0.624</v>
      </c>
      <c r="I64" s="215">
        <f t="shared" si="68"/>
        <v>1.152</v>
      </c>
      <c r="J64" s="215">
        <f t="shared" si="68"/>
        <v>1.272</v>
      </c>
      <c r="K64" s="215">
        <f t="shared" si="68"/>
        <v>1.464</v>
      </c>
      <c r="L64" s="215" t="b">
        <f t="shared" si="68"/>
        <v>0</v>
      </c>
      <c r="M64" s="215">
        <f t="shared" si="68"/>
        <v>1.776</v>
      </c>
      <c r="N64" s="215" t="b">
        <f t="shared" si="68"/>
        <v>0</v>
      </c>
      <c r="O64" s="215" t="b">
        <f t="shared" si="68"/>
        <v>0</v>
      </c>
      <c r="P64" s="215" t="b">
        <f t="shared" si="68"/>
        <v>0</v>
      </c>
      <c r="Q64" s="215">
        <f t="shared" si="68"/>
        <v>0.984</v>
      </c>
      <c r="R64" s="215" t="b">
        <f t="shared" si="68"/>
        <v>0</v>
      </c>
      <c r="S64" s="215" t="b">
        <f t="shared" si="68"/>
        <v>0</v>
      </c>
      <c r="T64" s="215"/>
      <c r="U64" s="215"/>
      <c r="V64" s="215"/>
      <c r="W64" s="215"/>
      <c r="X64" s="215" t="b">
        <f t="shared" ref="X64:AN64" si="69">IF(OR(X$58="a",X$57="a",X$60="a",X$61="a",X$59="a"),X$55)</f>
        <v>0</v>
      </c>
      <c r="Y64" s="215" t="b">
        <f t="shared" si="69"/>
        <v>0</v>
      </c>
      <c r="Z64" s="215" t="b">
        <f t="shared" si="69"/>
        <v>0</v>
      </c>
      <c r="AA64" s="215" t="b">
        <f t="shared" si="69"/>
        <v>0</v>
      </c>
      <c r="AB64" s="215">
        <f t="shared" si="69"/>
        <v>0.432</v>
      </c>
      <c r="AC64" s="215">
        <f t="shared" si="69"/>
        <v>1.248</v>
      </c>
      <c r="AD64" s="215" t="b">
        <f t="shared" si="69"/>
        <v>0</v>
      </c>
      <c r="AE64" s="215" t="b">
        <f t="shared" si="69"/>
        <v>0</v>
      </c>
      <c r="AF64" s="215" t="b">
        <f t="shared" si="69"/>
        <v>0</v>
      </c>
      <c r="AG64" s="215" t="b">
        <f t="shared" si="69"/>
        <v>0</v>
      </c>
      <c r="AH64" s="215" t="b">
        <f t="shared" si="69"/>
        <v>0</v>
      </c>
      <c r="AI64" s="215" t="b">
        <f t="shared" si="69"/>
        <v>0</v>
      </c>
      <c r="AJ64" s="215" t="b">
        <f t="shared" si="69"/>
        <v>0</v>
      </c>
      <c r="AK64" s="215" t="b">
        <f t="shared" si="69"/>
        <v>0</v>
      </c>
      <c r="AL64" s="215" t="b">
        <f t="shared" si="69"/>
        <v>0</v>
      </c>
      <c r="AM64" s="215" t="b">
        <f t="shared" si="69"/>
        <v>0</v>
      </c>
      <c r="AN64" s="215" t="b">
        <f t="shared" si="69"/>
        <v>0</v>
      </c>
      <c r="AO64" s="215"/>
      <c r="AP64" s="215"/>
      <c r="AQ64" s="215"/>
      <c r="AR64" s="226">
        <f t="shared" ref="AR64:AU64" si="70">IF(OR(AR$58="a",AR$57="a",AR$60="a",AR$61="a",AR$59="a"),AR$55)</f>
        <v>1.224</v>
      </c>
      <c r="AS64" s="215" t="b">
        <f t="shared" si="70"/>
        <v>0</v>
      </c>
      <c r="AT64" s="215">
        <f t="shared" si="70"/>
        <v>1.656</v>
      </c>
      <c r="AU64" s="215" t="b">
        <f t="shared" si="70"/>
        <v>0</v>
      </c>
      <c r="AV64" s="19">
        <v>1.27</v>
      </c>
      <c r="AW64" s="212"/>
      <c r="AX64" s="224"/>
      <c r="AY64" s="212"/>
      <c r="AZ64" s="212"/>
      <c r="BA64" s="212"/>
      <c r="BB64" s="212"/>
      <c r="BC64" s="212"/>
      <c r="BD64" s="212"/>
      <c r="BE64" s="212"/>
      <c r="BF64" s="212"/>
      <c r="BG64" s="212"/>
      <c r="BH64" s="212"/>
      <c r="BI64" s="212"/>
    </row>
    <row r="65" ht="15.75" customHeight="1">
      <c r="A65" s="218"/>
      <c r="B65" s="218" t="s">
        <v>13</v>
      </c>
      <c r="C65" s="215" t="b">
        <f t="shared" ref="C65:S65" si="71">IF(OR(C$58="b",C$57="b",C$60="b",C$61="b",C$59="b"),C$55)</f>
        <v>0</v>
      </c>
      <c r="D65" s="215" t="b">
        <f t="shared" si="71"/>
        <v>0</v>
      </c>
      <c r="E65" s="215" t="b">
        <f t="shared" si="71"/>
        <v>0</v>
      </c>
      <c r="F65" s="215" t="b">
        <f t="shared" si="71"/>
        <v>0</v>
      </c>
      <c r="G65" s="215">
        <f t="shared" si="71"/>
        <v>0.864</v>
      </c>
      <c r="H65" s="215" t="b">
        <f t="shared" si="71"/>
        <v>0</v>
      </c>
      <c r="I65" s="215" t="b">
        <f t="shared" si="71"/>
        <v>0</v>
      </c>
      <c r="J65" s="215" t="b">
        <f t="shared" si="71"/>
        <v>0</v>
      </c>
      <c r="K65" s="215" t="b">
        <f t="shared" si="71"/>
        <v>0</v>
      </c>
      <c r="L65" s="215" t="b">
        <f t="shared" si="71"/>
        <v>0</v>
      </c>
      <c r="M65" s="215" t="b">
        <f t="shared" si="71"/>
        <v>0</v>
      </c>
      <c r="N65" s="215" t="b">
        <f t="shared" si="71"/>
        <v>0</v>
      </c>
      <c r="O65" s="215">
        <f t="shared" si="71"/>
        <v>1.344</v>
      </c>
      <c r="P65" s="215" t="b">
        <f t="shared" si="71"/>
        <v>0</v>
      </c>
      <c r="Q65" s="215" t="b">
        <f t="shared" si="71"/>
        <v>0</v>
      </c>
      <c r="R65" s="215" t="b">
        <f t="shared" si="71"/>
        <v>0</v>
      </c>
      <c r="S65" s="215">
        <f t="shared" si="71"/>
        <v>0.048</v>
      </c>
      <c r="T65" s="215"/>
      <c r="U65" s="215"/>
      <c r="V65" s="215"/>
      <c r="W65" s="215"/>
      <c r="X65" s="215" t="b">
        <f t="shared" ref="X65:AN65" si="72">IF(OR(X$58="b",X$57="b",X$60="b",X$61="b",X$59="b"),X$55)</f>
        <v>0</v>
      </c>
      <c r="Y65" s="215" t="b">
        <f t="shared" si="72"/>
        <v>0</v>
      </c>
      <c r="Z65" s="215" t="b">
        <f t="shared" si="72"/>
        <v>0</v>
      </c>
      <c r="AA65" s="215" t="b">
        <f t="shared" si="72"/>
        <v>0</v>
      </c>
      <c r="AB65" s="215" t="b">
        <f t="shared" si="72"/>
        <v>0</v>
      </c>
      <c r="AC65" s="215" t="b">
        <f t="shared" si="72"/>
        <v>0</v>
      </c>
      <c r="AD65" s="215" t="b">
        <f t="shared" si="72"/>
        <v>0</v>
      </c>
      <c r="AE65" s="215" t="b">
        <f t="shared" si="72"/>
        <v>0</v>
      </c>
      <c r="AF65" s="215" t="b">
        <f t="shared" si="72"/>
        <v>0</v>
      </c>
      <c r="AG65" s="215" t="b">
        <f t="shared" si="72"/>
        <v>0</v>
      </c>
      <c r="AH65" s="215" t="b">
        <f t="shared" si="72"/>
        <v>0</v>
      </c>
      <c r="AI65" s="215" t="b">
        <f t="shared" si="72"/>
        <v>0</v>
      </c>
      <c r="AJ65" s="215" t="b">
        <f t="shared" si="72"/>
        <v>0</v>
      </c>
      <c r="AK65" s="215" t="b">
        <f t="shared" si="72"/>
        <v>0</v>
      </c>
      <c r="AL65" s="215" t="b">
        <f t="shared" si="72"/>
        <v>0</v>
      </c>
      <c r="AM65" s="215" t="b">
        <f t="shared" si="72"/>
        <v>0</v>
      </c>
      <c r="AN65" s="215" t="b">
        <f t="shared" si="72"/>
        <v>0</v>
      </c>
      <c r="AO65" s="215"/>
      <c r="AP65" s="215"/>
      <c r="AQ65" s="215"/>
      <c r="AR65" s="215" t="b">
        <f t="shared" ref="AR65:AU65" si="73">IF(OR(AR$58="b",AR$57="b",AR$60="b",AR$61="b",AR$59="b"),AR$55)</f>
        <v>0</v>
      </c>
      <c r="AS65" s="226">
        <f t="shared" si="73"/>
        <v>1.656</v>
      </c>
      <c r="AT65" s="215" t="b">
        <f t="shared" si="73"/>
        <v>0</v>
      </c>
      <c r="AU65" s="215">
        <f t="shared" si="73"/>
        <v>1.728</v>
      </c>
      <c r="AV65" s="51">
        <v>1.19</v>
      </c>
      <c r="AW65" s="212"/>
      <c r="AX65" s="224"/>
      <c r="AY65" s="212"/>
      <c r="AZ65" s="212"/>
      <c r="BA65" s="212"/>
      <c r="BB65" s="212"/>
      <c r="BC65" s="212"/>
      <c r="BD65" s="212"/>
      <c r="BE65" s="212"/>
      <c r="BF65" s="212"/>
      <c r="BG65" s="212"/>
      <c r="BH65" s="212"/>
      <c r="BI65" s="212"/>
    </row>
    <row r="66" ht="15.75" customHeight="1">
      <c r="A66" s="218"/>
      <c r="B66" s="218" t="s">
        <v>20</v>
      </c>
      <c r="C66" s="215" t="b">
        <f t="shared" ref="C66:S66" si="74">IF(OR(C$58="c",C$57="c",C$60="c",C$61="c",C$59="c"),C$55)</f>
        <v>0</v>
      </c>
      <c r="D66" s="215" t="b">
        <f t="shared" si="74"/>
        <v>0</v>
      </c>
      <c r="E66" s="215" t="b">
        <f t="shared" si="74"/>
        <v>0</v>
      </c>
      <c r="F66" s="215" t="b">
        <f t="shared" si="74"/>
        <v>0</v>
      </c>
      <c r="G66" s="215" t="b">
        <f t="shared" si="74"/>
        <v>0</v>
      </c>
      <c r="H66" s="215" t="b">
        <f t="shared" si="74"/>
        <v>0</v>
      </c>
      <c r="I66" s="215" t="b">
        <f t="shared" si="74"/>
        <v>0</v>
      </c>
      <c r="J66" s="215" t="b">
        <f t="shared" si="74"/>
        <v>0</v>
      </c>
      <c r="K66" s="215" t="b">
        <f t="shared" si="74"/>
        <v>0</v>
      </c>
      <c r="L66" s="215" t="b">
        <f t="shared" si="74"/>
        <v>0</v>
      </c>
      <c r="M66" s="215" t="b">
        <f t="shared" si="74"/>
        <v>0</v>
      </c>
      <c r="N66" s="215" t="b">
        <f t="shared" si="74"/>
        <v>0</v>
      </c>
      <c r="O66" s="215" t="b">
        <f t="shared" si="74"/>
        <v>0</v>
      </c>
      <c r="P66" s="215" t="b">
        <f t="shared" si="74"/>
        <v>0</v>
      </c>
      <c r="Q66" s="215" t="b">
        <f t="shared" si="74"/>
        <v>0</v>
      </c>
      <c r="R66" s="215" t="b">
        <f t="shared" si="74"/>
        <v>0</v>
      </c>
      <c r="S66" s="215" t="b">
        <f t="shared" si="74"/>
        <v>0</v>
      </c>
      <c r="T66" s="215"/>
      <c r="U66" s="215"/>
      <c r="V66" s="215"/>
      <c r="W66" s="215"/>
      <c r="X66" s="215">
        <f t="shared" ref="X66:AN66" si="75">IF(OR(X$58="c",X$57="c",X$60="c",X$61="c",X$59="c"),X$55)</f>
        <v>1.152</v>
      </c>
      <c r="Y66" s="215">
        <f t="shared" si="75"/>
        <v>0.528</v>
      </c>
      <c r="Z66" s="215" t="b">
        <f t="shared" si="75"/>
        <v>0</v>
      </c>
      <c r="AA66" s="215" t="b">
        <f t="shared" si="75"/>
        <v>0</v>
      </c>
      <c r="AB66" s="215" t="b">
        <f t="shared" si="75"/>
        <v>0</v>
      </c>
      <c r="AC66" s="215" t="b">
        <f t="shared" si="75"/>
        <v>0</v>
      </c>
      <c r="AD66" s="215">
        <f t="shared" si="75"/>
        <v>1.368</v>
      </c>
      <c r="AE66" s="215">
        <f t="shared" si="75"/>
        <v>0</v>
      </c>
      <c r="AF66" s="215">
        <f t="shared" si="75"/>
        <v>0</v>
      </c>
      <c r="AG66" s="215">
        <f t="shared" si="75"/>
        <v>0.432</v>
      </c>
      <c r="AH66" s="215">
        <f t="shared" si="75"/>
        <v>1.392</v>
      </c>
      <c r="AI66" s="215">
        <f t="shared" si="75"/>
        <v>0.048</v>
      </c>
      <c r="AJ66" s="215" t="b">
        <f t="shared" si="75"/>
        <v>0</v>
      </c>
      <c r="AK66" s="215" t="b">
        <f t="shared" si="75"/>
        <v>0</v>
      </c>
      <c r="AL66" s="215" t="b">
        <f t="shared" si="75"/>
        <v>0</v>
      </c>
      <c r="AM66" s="215" t="b">
        <f t="shared" si="75"/>
        <v>0</v>
      </c>
      <c r="AN66" s="215" t="b">
        <f t="shared" si="75"/>
        <v>0</v>
      </c>
      <c r="AO66" s="215"/>
      <c r="AP66" s="215"/>
      <c r="AQ66" s="215"/>
      <c r="AR66" s="215" t="b">
        <f t="shared" ref="AR66:AU66" si="76">IF(OR(AR$58="c",AR$57="c",AR$60="c",AR$61="c",AR$59="c"),AR$55)</f>
        <v>0</v>
      </c>
      <c r="AS66" s="215" t="b">
        <f t="shared" si="76"/>
        <v>0</v>
      </c>
      <c r="AT66" s="215" t="b">
        <f t="shared" si="76"/>
        <v>0</v>
      </c>
      <c r="AU66" s="215" t="b">
        <f t="shared" si="76"/>
        <v>0</v>
      </c>
      <c r="AV66" s="51">
        <v>0.76</v>
      </c>
      <c r="AW66" s="212"/>
      <c r="AX66" s="224"/>
      <c r="AY66" s="212"/>
      <c r="AZ66" s="212"/>
      <c r="BA66" s="212"/>
      <c r="BB66" s="212"/>
      <c r="BC66" s="212"/>
      <c r="BD66" s="212"/>
      <c r="BE66" s="212"/>
      <c r="BF66" s="212"/>
      <c r="BG66" s="212"/>
      <c r="BH66" s="212"/>
      <c r="BI66" s="212"/>
    </row>
    <row r="67" ht="15.75" customHeight="1">
      <c r="A67" s="218"/>
      <c r="B67" s="218" t="s">
        <v>26</v>
      </c>
      <c r="C67" s="215" t="b">
        <f t="shared" ref="C67:S67" si="77">IF(OR(C$58="d",C$57="d",C$60="d",C$61="d",C$59="d"),C$55)</f>
        <v>0</v>
      </c>
      <c r="D67" s="215" t="b">
        <f t="shared" si="77"/>
        <v>0</v>
      </c>
      <c r="E67" s="215" t="b">
        <f t="shared" si="77"/>
        <v>0</v>
      </c>
      <c r="F67" s="215" t="b">
        <f t="shared" si="77"/>
        <v>0</v>
      </c>
      <c r="G67" s="215" t="b">
        <f t="shared" si="77"/>
        <v>0</v>
      </c>
      <c r="H67" s="215" t="b">
        <f t="shared" si="77"/>
        <v>0</v>
      </c>
      <c r="I67" s="215" t="b">
        <f t="shared" si="77"/>
        <v>0</v>
      </c>
      <c r="J67" s="215" t="b">
        <f t="shared" si="77"/>
        <v>0</v>
      </c>
      <c r="K67" s="215" t="b">
        <f t="shared" si="77"/>
        <v>0</v>
      </c>
      <c r="L67" s="215" t="b">
        <f t="shared" si="77"/>
        <v>0</v>
      </c>
      <c r="M67" s="215" t="b">
        <f t="shared" si="77"/>
        <v>0</v>
      </c>
      <c r="N67" s="215" t="b">
        <f t="shared" si="77"/>
        <v>0</v>
      </c>
      <c r="O67" s="215" t="b">
        <f t="shared" si="77"/>
        <v>0</v>
      </c>
      <c r="P67" s="215" t="b">
        <f t="shared" si="77"/>
        <v>0</v>
      </c>
      <c r="Q67" s="215" t="b">
        <f t="shared" si="77"/>
        <v>0</v>
      </c>
      <c r="R67" s="215" t="b">
        <f t="shared" si="77"/>
        <v>0</v>
      </c>
      <c r="S67" s="215" t="b">
        <f t="shared" si="77"/>
        <v>0</v>
      </c>
      <c r="T67" s="215"/>
      <c r="U67" s="215"/>
      <c r="V67" s="215"/>
      <c r="W67" s="215"/>
      <c r="X67" s="215" t="b">
        <f t="shared" ref="X67:AN67" si="78">IF(OR(X$58="d",X$57="d",X$60="d",X$61="d",X$59="d"),X$55)</f>
        <v>0</v>
      </c>
      <c r="Y67" s="215" t="b">
        <f t="shared" si="78"/>
        <v>0</v>
      </c>
      <c r="Z67" s="215">
        <f t="shared" si="78"/>
        <v>1.296</v>
      </c>
      <c r="AA67" s="215">
        <f t="shared" si="78"/>
        <v>0.72</v>
      </c>
      <c r="AB67" s="215" t="b">
        <f t="shared" si="78"/>
        <v>0</v>
      </c>
      <c r="AC67" s="215" t="b">
        <f t="shared" si="78"/>
        <v>0</v>
      </c>
      <c r="AD67" s="215" t="b">
        <f t="shared" si="78"/>
        <v>0</v>
      </c>
      <c r="AE67" s="215" t="b">
        <f t="shared" si="78"/>
        <v>0</v>
      </c>
      <c r="AF67" s="215" t="b">
        <f t="shared" si="78"/>
        <v>0</v>
      </c>
      <c r="AG67" s="215" t="b">
        <f t="shared" si="78"/>
        <v>0</v>
      </c>
      <c r="AH67" s="215" t="b">
        <f t="shared" si="78"/>
        <v>0</v>
      </c>
      <c r="AI67" s="215" t="b">
        <f t="shared" si="78"/>
        <v>0</v>
      </c>
      <c r="AJ67" s="215">
        <f t="shared" si="78"/>
        <v>0</v>
      </c>
      <c r="AK67" s="215">
        <f t="shared" si="78"/>
        <v>0</v>
      </c>
      <c r="AL67" s="215">
        <f t="shared" si="78"/>
        <v>1.392</v>
      </c>
      <c r="AM67" s="215">
        <f t="shared" si="78"/>
        <v>0</v>
      </c>
      <c r="AN67" s="215" t="b">
        <f t="shared" si="78"/>
        <v>0</v>
      </c>
      <c r="AO67" s="215"/>
      <c r="AP67" s="215"/>
      <c r="AQ67" s="215"/>
      <c r="AR67" s="215" t="b">
        <f t="shared" ref="AR67:AU67" si="79">IF(OR(AR$58="d",AR$57="d",AR$60="d",AR$61="d",AR$59="d"),AR$55)</f>
        <v>0</v>
      </c>
      <c r="AS67" s="215" t="b">
        <f t="shared" si="79"/>
        <v>0</v>
      </c>
      <c r="AT67" s="215" t="b">
        <f t="shared" si="79"/>
        <v>0</v>
      </c>
      <c r="AU67" s="215" t="b">
        <f t="shared" si="79"/>
        <v>0</v>
      </c>
      <c r="AV67" s="51">
        <v>0.83</v>
      </c>
      <c r="AW67" s="212"/>
      <c r="AX67" s="224"/>
      <c r="AY67" s="212"/>
      <c r="AZ67" s="212"/>
      <c r="BA67" s="212"/>
      <c r="BB67" s="212"/>
      <c r="BC67" s="212"/>
      <c r="BD67" s="212"/>
      <c r="BE67" s="212"/>
      <c r="BF67" s="212"/>
      <c r="BG67" s="212"/>
      <c r="BH67" s="212"/>
      <c r="BI67" s="212"/>
    </row>
    <row r="68" ht="15.75" customHeight="1">
      <c r="A68" s="218"/>
      <c r="B68" s="218" t="s">
        <v>30</v>
      </c>
      <c r="C68" s="215" t="b">
        <f t="shared" ref="C68:S68" si="80">IF(OR(C$58="e",C$57="e",C$60="e",C$61="e",C$59="e"),C$55)</f>
        <v>0</v>
      </c>
      <c r="D68" s="215" t="b">
        <f t="shared" si="80"/>
        <v>0</v>
      </c>
      <c r="E68" s="215" t="b">
        <f t="shared" si="80"/>
        <v>0</v>
      </c>
      <c r="F68" s="215" t="b">
        <f t="shared" si="80"/>
        <v>0</v>
      </c>
      <c r="G68" s="215" t="b">
        <f t="shared" si="80"/>
        <v>0</v>
      </c>
      <c r="H68" s="215" t="b">
        <f t="shared" si="80"/>
        <v>0</v>
      </c>
      <c r="I68" s="215" t="b">
        <f t="shared" si="80"/>
        <v>0</v>
      </c>
      <c r="J68" s="215" t="b">
        <f t="shared" si="80"/>
        <v>0</v>
      </c>
      <c r="K68" s="215" t="b">
        <f t="shared" si="80"/>
        <v>0</v>
      </c>
      <c r="L68" s="215" t="b">
        <f t="shared" si="80"/>
        <v>0</v>
      </c>
      <c r="M68" s="215" t="b">
        <f t="shared" si="80"/>
        <v>0</v>
      </c>
      <c r="N68" s="215" t="b">
        <f t="shared" si="80"/>
        <v>0</v>
      </c>
      <c r="O68" s="215" t="b">
        <f t="shared" si="80"/>
        <v>0</v>
      </c>
      <c r="P68" s="215" t="b">
        <f t="shared" si="80"/>
        <v>0</v>
      </c>
      <c r="Q68" s="215" t="b">
        <f t="shared" si="80"/>
        <v>0</v>
      </c>
      <c r="R68" s="215" t="b">
        <f t="shared" si="80"/>
        <v>0</v>
      </c>
      <c r="S68" s="215" t="b">
        <f t="shared" si="80"/>
        <v>0</v>
      </c>
      <c r="T68" s="215"/>
      <c r="U68" s="215"/>
      <c r="V68" s="215"/>
      <c r="W68" s="215"/>
      <c r="X68" s="215" t="b">
        <f t="shared" ref="X68:AN68" si="81">IF(OR(X$58="e",X$57="e",X$60="e",X$61="e",X$59="e"),X$55)</f>
        <v>0</v>
      </c>
      <c r="Y68" s="215" t="b">
        <f t="shared" si="81"/>
        <v>0</v>
      </c>
      <c r="Z68" s="215" t="b">
        <f t="shared" si="81"/>
        <v>0</v>
      </c>
      <c r="AA68" s="215" t="b">
        <f t="shared" si="81"/>
        <v>0</v>
      </c>
      <c r="AB68" s="215" t="b">
        <f t="shared" si="81"/>
        <v>0</v>
      </c>
      <c r="AC68" s="215" t="b">
        <f t="shared" si="81"/>
        <v>0</v>
      </c>
      <c r="AD68" s="215" t="b">
        <f t="shared" si="81"/>
        <v>0</v>
      </c>
      <c r="AE68" s="215" t="b">
        <f t="shared" si="81"/>
        <v>0</v>
      </c>
      <c r="AF68" s="215" t="b">
        <f t="shared" si="81"/>
        <v>0</v>
      </c>
      <c r="AG68" s="215" t="b">
        <f t="shared" si="81"/>
        <v>0</v>
      </c>
      <c r="AH68" s="215" t="b">
        <f t="shared" si="81"/>
        <v>0</v>
      </c>
      <c r="AI68" s="215" t="b">
        <f t="shared" si="81"/>
        <v>0</v>
      </c>
      <c r="AJ68" s="215" t="b">
        <f t="shared" si="81"/>
        <v>0</v>
      </c>
      <c r="AK68" s="215" t="b">
        <f t="shared" si="81"/>
        <v>0</v>
      </c>
      <c r="AL68" s="215" t="b">
        <f t="shared" si="81"/>
        <v>0</v>
      </c>
      <c r="AM68" s="215" t="b">
        <f t="shared" si="81"/>
        <v>0</v>
      </c>
      <c r="AN68" s="215">
        <f t="shared" si="81"/>
        <v>0.48</v>
      </c>
      <c r="AO68" s="215"/>
      <c r="AP68" s="215"/>
      <c r="AQ68" s="215"/>
      <c r="AR68" s="215" t="b">
        <f t="shared" ref="AR68:AU68" si="82">IF(OR(AR$58="e",AR$57="e",AR$60="e",AR$61="e",AR$59="e"),AR$55)</f>
        <v>0</v>
      </c>
      <c r="AS68" s="215" t="b">
        <f t="shared" si="82"/>
        <v>0</v>
      </c>
      <c r="AT68" s="215" t="b">
        <f t="shared" si="82"/>
        <v>0</v>
      </c>
      <c r="AU68" s="215" t="b">
        <f t="shared" si="82"/>
        <v>0</v>
      </c>
      <c r="AV68" s="51">
        <v>0.5</v>
      </c>
      <c r="AW68" s="212"/>
      <c r="AX68" s="224"/>
      <c r="AY68" s="212"/>
      <c r="AZ68" s="212"/>
      <c r="BA68" s="212"/>
      <c r="BB68" s="212"/>
      <c r="BC68" s="212"/>
      <c r="BD68" s="212"/>
      <c r="BE68" s="212"/>
      <c r="BF68" s="212"/>
      <c r="BG68" s="212"/>
      <c r="BH68" s="212"/>
      <c r="BI68" s="212"/>
    </row>
    <row r="69" ht="15.75" customHeight="1">
      <c r="A69" s="218"/>
      <c r="B69" s="218"/>
      <c r="C69" s="215"/>
      <c r="D69" s="215"/>
      <c r="E69" s="215"/>
      <c r="F69" s="215"/>
      <c r="G69" s="215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2"/>
      <c r="V69" s="212"/>
      <c r="W69" s="212"/>
      <c r="X69" s="212"/>
      <c r="Y69" s="212"/>
      <c r="Z69" s="212"/>
      <c r="AA69" s="212"/>
      <c r="AB69" s="212"/>
      <c r="AC69" s="212"/>
      <c r="AD69" s="212"/>
      <c r="AE69" s="212"/>
      <c r="AF69" s="212"/>
      <c r="AG69" s="212"/>
      <c r="AH69" s="212"/>
      <c r="AI69" s="212"/>
      <c r="AJ69" s="212"/>
      <c r="AK69" s="212"/>
      <c r="AL69" s="212"/>
      <c r="AM69" s="212"/>
      <c r="AN69" s="212"/>
      <c r="AO69" s="212"/>
      <c r="AP69" s="212"/>
      <c r="AQ69" s="212"/>
      <c r="AR69" s="225"/>
      <c r="AS69" s="225"/>
      <c r="AT69" s="212"/>
      <c r="AU69" s="212"/>
      <c r="AV69" s="212"/>
      <c r="AW69" s="212"/>
      <c r="AX69" s="224"/>
      <c r="AY69" s="212"/>
      <c r="AZ69" s="212"/>
      <c r="BA69" s="212"/>
      <c r="BB69" s="212"/>
      <c r="BC69" s="212"/>
      <c r="BD69" s="212"/>
      <c r="BE69" s="212"/>
      <c r="BF69" s="212"/>
      <c r="BG69" s="212"/>
      <c r="BH69" s="212"/>
      <c r="BI69" s="212"/>
    </row>
    <row r="70" ht="15.75" customHeight="1">
      <c r="A70" s="212"/>
      <c r="B70" s="212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2"/>
      <c r="V70" s="212"/>
      <c r="W70" s="212"/>
      <c r="X70" s="212"/>
      <c r="Y70" s="212"/>
      <c r="Z70" s="212"/>
      <c r="AA70" s="212"/>
      <c r="AB70" s="212"/>
      <c r="AC70" s="212"/>
      <c r="AD70" s="212"/>
      <c r="AE70" s="212"/>
      <c r="AF70" s="212"/>
      <c r="AG70" s="212"/>
      <c r="AH70" s="212"/>
      <c r="AI70" s="212"/>
      <c r="AJ70" s="212"/>
      <c r="AK70" s="212"/>
      <c r="AL70" s="212"/>
      <c r="AM70" s="212"/>
      <c r="AN70" s="212"/>
      <c r="AO70" s="212"/>
      <c r="AP70" s="212"/>
      <c r="AQ70" s="212"/>
      <c r="AR70" s="225"/>
      <c r="AS70" s="225"/>
      <c r="AT70" s="212"/>
      <c r="AU70" s="212"/>
      <c r="AV70" s="212"/>
      <c r="AW70" s="212"/>
      <c r="AX70" s="224"/>
      <c r="AY70" s="212"/>
      <c r="AZ70" s="212"/>
      <c r="BA70" s="212"/>
      <c r="BB70" s="212"/>
      <c r="BC70" s="212"/>
      <c r="BD70" s="212"/>
      <c r="BE70" s="212"/>
      <c r="BF70" s="212"/>
      <c r="BG70" s="212"/>
      <c r="BH70" s="212"/>
      <c r="BI70" s="212"/>
    </row>
    <row r="71" ht="18.0" customHeight="1">
      <c r="A71" s="212"/>
      <c r="B71" s="212"/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215"/>
      <c r="U71" s="212"/>
      <c r="V71" s="212"/>
      <c r="W71" s="212"/>
      <c r="X71" s="212"/>
      <c r="Y71" s="212"/>
      <c r="Z71" s="212"/>
      <c r="AA71" s="212"/>
      <c r="AB71" s="212"/>
      <c r="AC71" s="212"/>
      <c r="AD71" s="212"/>
      <c r="AE71" s="212"/>
      <c r="AF71" s="212"/>
      <c r="AG71" s="212"/>
      <c r="AH71" s="212"/>
      <c r="AI71" s="212"/>
      <c r="AJ71" s="212"/>
      <c r="AK71" s="212"/>
      <c r="AL71" s="212"/>
      <c r="AM71" s="212"/>
      <c r="AN71" s="212"/>
      <c r="AO71" s="212"/>
      <c r="AP71" s="212"/>
      <c r="AQ71" s="212"/>
      <c r="AR71" s="225"/>
      <c r="AS71" s="225"/>
      <c r="AT71" s="212"/>
      <c r="AU71" s="212"/>
      <c r="AV71" s="212"/>
      <c r="AW71" s="212"/>
      <c r="AX71" s="224"/>
      <c r="AY71" s="212"/>
      <c r="AZ71" s="212"/>
      <c r="BA71" s="212"/>
      <c r="BB71" s="212"/>
      <c r="BC71" s="212"/>
      <c r="BD71" s="212"/>
      <c r="BE71" s="212"/>
      <c r="BF71" s="212"/>
      <c r="BG71" s="212"/>
      <c r="BH71" s="212"/>
      <c r="BI71" s="212"/>
    </row>
    <row r="72" ht="27.0" customHeight="1">
      <c r="A72" s="212"/>
      <c r="B72" s="212"/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2"/>
      <c r="V72" s="212"/>
      <c r="W72" s="212"/>
      <c r="X72" s="212"/>
      <c r="Y72" s="212"/>
      <c r="Z72" s="212"/>
      <c r="AA72" s="212"/>
      <c r="AB72" s="212"/>
      <c r="AC72" s="212"/>
      <c r="AD72" s="212"/>
      <c r="AE72" s="212"/>
      <c r="AF72" s="212"/>
      <c r="AG72" s="212"/>
      <c r="AH72" s="212"/>
      <c r="AI72" s="212"/>
      <c r="AJ72" s="212"/>
      <c r="AK72" s="212"/>
      <c r="AL72" s="212"/>
      <c r="AM72" s="212"/>
      <c r="AN72" s="212"/>
      <c r="AO72" s="212"/>
      <c r="AP72" s="212"/>
      <c r="AQ72" s="212"/>
      <c r="AR72" s="225"/>
      <c r="AS72" s="225"/>
      <c r="AT72" s="212"/>
      <c r="AU72" s="212"/>
      <c r="AV72" s="212"/>
      <c r="AW72" s="212"/>
      <c r="AX72" s="224"/>
      <c r="AY72" s="212"/>
      <c r="AZ72" s="212"/>
      <c r="BA72" s="212"/>
      <c r="BB72" s="212"/>
      <c r="BC72" s="212"/>
      <c r="BD72" s="212"/>
      <c r="BE72" s="212"/>
      <c r="BF72" s="212"/>
      <c r="BG72" s="212"/>
      <c r="BH72" s="212"/>
      <c r="BI72" s="212"/>
    </row>
    <row r="73" ht="15.75" customHeight="1">
      <c r="A73" s="212"/>
      <c r="B73" s="212"/>
      <c r="C73" s="215"/>
      <c r="D73" s="215"/>
      <c r="E73" s="215"/>
      <c r="F73" s="215"/>
      <c r="G73" s="215"/>
      <c r="H73" s="215"/>
      <c r="I73" s="215"/>
      <c r="J73" s="215"/>
      <c r="K73" s="215"/>
      <c r="L73" s="215"/>
      <c r="M73" s="215"/>
      <c r="N73" s="215"/>
      <c r="O73" s="215"/>
      <c r="P73" s="215"/>
      <c r="Q73" s="215"/>
      <c r="R73" s="215"/>
      <c r="S73" s="215"/>
      <c r="T73" s="215"/>
      <c r="U73" s="212"/>
      <c r="V73" s="212"/>
      <c r="W73" s="212"/>
      <c r="X73" s="212"/>
      <c r="Y73" s="212"/>
      <c r="Z73" s="212"/>
      <c r="AA73" s="212"/>
      <c r="AB73" s="212"/>
      <c r="AC73" s="212"/>
      <c r="AD73" s="212"/>
      <c r="AE73" s="212"/>
      <c r="AF73" s="212"/>
      <c r="AG73" s="212"/>
      <c r="AH73" s="212"/>
      <c r="AI73" s="212"/>
      <c r="AJ73" s="212"/>
      <c r="AK73" s="212"/>
      <c r="AL73" s="212"/>
      <c r="AM73" s="212"/>
      <c r="AN73" s="212"/>
      <c r="AO73" s="212"/>
      <c r="AP73" s="212"/>
      <c r="AQ73" s="212"/>
      <c r="AR73" s="225"/>
      <c r="AS73" s="225"/>
      <c r="AT73" s="212"/>
      <c r="AU73" s="212"/>
      <c r="AV73" s="120"/>
      <c r="AW73" s="212"/>
      <c r="AX73" s="224"/>
      <c r="AY73" s="212"/>
      <c r="AZ73" s="212"/>
      <c r="BA73" s="212"/>
      <c r="BB73" s="212"/>
      <c r="BC73" s="212"/>
      <c r="BD73" s="212"/>
      <c r="BE73" s="212"/>
      <c r="BF73" s="212"/>
      <c r="BG73" s="212"/>
      <c r="BH73" s="212"/>
      <c r="BI73" s="212"/>
    </row>
    <row r="74" ht="45.0" customHeight="1">
      <c r="A74" s="210"/>
      <c r="B74" s="210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2"/>
      <c r="V74" s="210"/>
      <c r="W74" s="210"/>
      <c r="X74" s="210"/>
      <c r="Y74" s="210"/>
      <c r="Z74" s="210"/>
      <c r="AA74" s="210"/>
      <c r="AB74" s="210"/>
      <c r="AC74" s="210"/>
      <c r="AD74" s="210"/>
      <c r="AE74" s="210"/>
      <c r="AF74" s="210"/>
      <c r="AG74" s="210"/>
      <c r="AH74" s="210"/>
      <c r="AI74" s="210"/>
      <c r="AJ74" s="210"/>
      <c r="AK74" s="210"/>
      <c r="AL74" s="210"/>
      <c r="AM74" s="210"/>
      <c r="AN74" s="210"/>
      <c r="AO74" s="210"/>
      <c r="AP74" s="210"/>
      <c r="AQ74" s="210"/>
      <c r="AR74" s="213"/>
      <c r="AS74" s="213"/>
      <c r="AT74" s="210"/>
      <c r="AU74" s="210"/>
      <c r="AV74" s="227"/>
      <c r="AW74" s="210"/>
      <c r="AX74" s="228"/>
      <c r="AY74" s="210"/>
      <c r="AZ74" s="210"/>
      <c r="BA74" s="210"/>
      <c r="BB74" s="210"/>
      <c r="BC74" s="210"/>
      <c r="BD74" s="210"/>
      <c r="BE74" s="210"/>
      <c r="BF74" s="210"/>
      <c r="BG74" s="210"/>
      <c r="BH74" s="210"/>
      <c r="BI74" s="210"/>
    </row>
    <row r="75" ht="21.75" customHeight="1">
      <c r="A75" s="210"/>
      <c r="B75" s="210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2"/>
      <c r="V75" s="210"/>
      <c r="W75" s="210"/>
      <c r="X75" s="210"/>
      <c r="Y75" s="210"/>
      <c r="Z75" s="210"/>
      <c r="AA75" s="210"/>
      <c r="AB75" s="210"/>
      <c r="AC75" s="210"/>
      <c r="AD75" s="210"/>
      <c r="AE75" s="210"/>
      <c r="AF75" s="210"/>
      <c r="AG75" s="210"/>
      <c r="AH75" s="210"/>
      <c r="AI75" s="210"/>
      <c r="AJ75" s="210"/>
      <c r="AK75" s="210"/>
      <c r="AL75" s="210"/>
      <c r="AM75" s="210"/>
      <c r="AN75" s="210"/>
      <c r="AO75" s="210"/>
      <c r="AP75" s="210"/>
      <c r="AQ75" s="210"/>
      <c r="AR75" s="213"/>
      <c r="AS75" s="213"/>
      <c r="AT75" s="210"/>
      <c r="AU75" s="210"/>
      <c r="AV75" s="11"/>
      <c r="AW75" s="11"/>
      <c r="AX75" s="214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</row>
    <row r="76" ht="15.75" customHeight="1">
      <c r="A76" s="210"/>
      <c r="B76" s="210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2"/>
      <c r="V76" s="210"/>
      <c r="W76" s="210"/>
      <c r="X76" s="210"/>
      <c r="Y76" s="210"/>
      <c r="Z76" s="210"/>
      <c r="AA76" s="210"/>
      <c r="AB76" s="210"/>
      <c r="AC76" s="210"/>
      <c r="AD76" s="210"/>
      <c r="AE76" s="210"/>
      <c r="AF76" s="210"/>
      <c r="AG76" s="210"/>
      <c r="AH76" s="210"/>
      <c r="AI76" s="210"/>
      <c r="AJ76" s="210"/>
      <c r="AK76" s="210"/>
      <c r="AL76" s="210"/>
      <c r="AM76" s="210"/>
      <c r="AN76" s="210"/>
      <c r="AO76" s="210"/>
      <c r="AP76" s="210"/>
      <c r="AQ76" s="210"/>
      <c r="AR76" s="213"/>
      <c r="AS76" s="213"/>
      <c r="AT76" s="210"/>
      <c r="AU76" s="210"/>
      <c r="AV76" s="11"/>
      <c r="AW76" s="11"/>
      <c r="AX76" s="214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</row>
    <row r="77" ht="15.75" customHeight="1">
      <c r="A77" s="210"/>
      <c r="B77" s="210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2"/>
      <c r="V77" s="210"/>
      <c r="W77" s="210"/>
      <c r="X77" s="210"/>
      <c r="Y77" s="210"/>
      <c r="Z77" s="210"/>
      <c r="AA77" s="210"/>
      <c r="AB77" s="210"/>
      <c r="AC77" s="210"/>
      <c r="AD77" s="210"/>
      <c r="AE77" s="210"/>
      <c r="AF77" s="210"/>
      <c r="AG77" s="210"/>
      <c r="AH77" s="210"/>
      <c r="AI77" s="210"/>
      <c r="AJ77" s="210"/>
      <c r="AK77" s="210"/>
      <c r="AL77" s="210"/>
      <c r="AM77" s="210"/>
      <c r="AN77" s="210"/>
      <c r="AO77" s="210"/>
      <c r="AP77" s="210"/>
      <c r="AQ77" s="210"/>
      <c r="AR77" s="213"/>
      <c r="AS77" s="213"/>
      <c r="AT77" s="210"/>
      <c r="AU77" s="210"/>
      <c r="AV77" s="11"/>
      <c r="AW77" s="11"/>
      <c r="AX77" s="214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</row>
    <row r="78" ht="15.75" customHeight="1">
      <c r="A78" s="11"/>
      <c r="B78" s="11"/>
      <c r="C78" s="7"/>
      <c r="D78" s="229"/>
      <c r="E78" s="229"/>
      <c r="F78" s="229"/>
      <c r="G78" s="229"/>
      <c r="H78" s="229"/>
      <c r="I78" s="229"/>
      <c r="J78" s="229"/>
      <c r="K78" s="229"/>
      <c r="L78" s="229"/>
      <c r="M78" s="229"/>
      <c r="N78" s="229"/>
      <c r="O78" s="229"/>
      <c r="P78" s="229"/>
      <c r="Q78" s="229"/>
      <c r="R78" s="229"/>
      <c r="S78" s="229"/>
      <c r="T78" s="7"/>
      <c r="U78" s="22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230"/>
      <c r="AS78" s="230"/>
      <c r="AT78" s="11"/>
      <c r="AU78" s="11"/>
      <c r="AV78" s="11"/>
      <c r="AW78" s="11"/>
      <c r="AX78" s="214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</row>
    <row r="79" ht="15.75" customHeight="1">
      <c r="A79" s="11"/>
      <c r="B79" s="1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22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230"/>
      <c r="AS79" s="230"/>
      <c r="AT79" s="11"/>
      <c r="AU79" s="11"/>
      <c r="AV79" s="11"/>
      <c r="AW79" s="11"/>
      <c r="AX79" s="214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</row>
  </sheetData>
  <mergeCells count="92">
    <mergeCell ref="M62:N62"/>
    <mergeCell ref="O62:P62"/>
    <mergeCell ref="AI59:AL59"/>
    <mergeCell ref="AM59:AN59"/>
    <mergeCell ref="AM57:AN57"/>
    <mergeCell ref="AM58:AN58"/>
    <mergeCell ref="AI58:AL58"/>
    <mergeCell ref="AI57:AL57"/>
    <mergeCell ref="AM60:AN60"/>
    <mergeCell ref="AI60:AL60"/>
    <mergeCell ref="M59:N59"/>
    <mergeCell ref="M58:N58"/>
    <mergeCell ref="Q57:R57"/>
    <mergeCell ref="M57:N57"/>
    <mergeCell ref="O61:P61"/>
    <mergeCell ref="Q61:R61"/>
    <mergeCell ref="M60:N60"/>
    <mergeCell ref="O60:P60"/>
    <mergeCell ref="K62:L62"/>
    <mergeCell ref="M61:N61"/>
    <mergeCell ref="K60:L60"/>
    <mergeCell ref="K61:L61"/>
    <mergeCell ref="Q60:R60"/>
    <mergeCell ref="Q62:R62"/>
    <mergeCell ref="Z3:AD3"/>
    <mergeCell ref="Z2:AD2"/>
    <mergeCell ref="E3:I3"/>
    <mergeCell ref="E2:I2"/>
    <mergeCell ref="A1:C1"/>
    <mergeCell ref="E4:I4"/>
    <mergeCell ref="E1:J1"/>
    <mergeCell ref="Z4:AD4"/>
    <mergeCell ref="Z5:AD5"/>
    <mergeCell ref="Z6:AD6"/>
    <mergeCell ref="A13:A17"/>
    <mergeCell ref="B13:B17"/>
    <mergeCell ref="M45:N45"/>
    <mergeCell ref="M46:N46"/>
    <mergeCell ref="AL45:AM45"/>
    <mergeCell ref="AJ45:AK45"/>
    <mergeCell ref="AH45:AI45"/>
    <mergeCell ref="Q46:R46"/>
    <mergeCell ref="E10:I10"/>
    <mergeCell ref="E11:I11"/>
    <mergeCell ref="E12:I12"/>
    <mergeCell ref="Z8:AD8"/>
    <mergeCell ref="Z7:AD7"/>
    <mergeCell ref="E8:I8"/>
    <mergeCell ref="E7:I7"/>
    <mergeCell ref="E6:I6"/>
    <mergeCell ref="E5:I5"/>
    <mergeCell ref="E9:I9"/>
    <mergeCell ref="AU1:AU12"/>
    <mergeCell ref="AT1:AT12"/>
    <mergeCell ref="AR1:AR12"/>
    <mergeCell ref="AS1:AS12"/>
    <mergeCell ref="AQ1:AQ12"/>
    <mergeCell ref="AQ13:AQ17"/>
    <mergeCell ref="P1:S1"/>
    <mergeCell ref="V1:X1"/>
    <mergeCell ref="Z1:AG1"/>
    <mergeCell ref="Z11:AD11"/>
    <mergeCell ref="Z12:AD12"/>
    <mergeCell ref="AO13:AO17"/>
    <mergeCell ref="W13:W17"/>
    <mergeCell ref="AP13:AP17"/>
    <mergeCell ref="Z10:AD10"/>
    <mergeCell ref="V13:V17"/>
    <mergeCell ref="Q45:R45"/>
    <mergeCell ref="O47:P47"/>
    <mergeCell ref="Q47:R47"/>
    <mergeCell ref="Z9:AD9"/>
    <mergeCell ref="K58:L58"/>
    <mergeCell ref="K57:L57"/>
    <mergeCell ref="O59:P59"/>
    <mergeCell ref="K59:L59"/>
    <mergeCell ref="Q55:R55"/>
    <mergeCell ref="M55:N55"/>
    <mergeCell ref="K45:L45"/>
    <mergeCell ref="K46:L46"/>
    <mergeCell ref="O46:P46"/>
    <mergeCell ref="O45:P45"/>
    <mergeCell ref="M47:N47"/>
    <mergeCell ref="K47:L47"/>
    <mergeCell ref="U13:U17"/>
    <mergeCell ref="T13:T17"/>
    <mergeCell ref="O57:P57"/>
    <mergeCell ref="O58:P58"/>
    <mergeCell ref="K55:L55"/>
    <mergeCell ref="O55:P55"/>
    <mergeCell ref="Q58:R58"/>
    <mergeCell ref="Q59:R59"/>
  </mergeCells>
  <dataValidations>
    <dataValidation type="custom" allowBlank="1" showErrorMessage="1" sqref="A1 K1:P1 T1:V1 Y1:Z1 AH1:AP1 J2:Z2 K3:Z3 J4:Z4 Q5 A2:B6 D1:E6 J5:O6 S5:Z6 AV1:BI8 AV9:AW9 AY9:BI9 A7:E12 J7:Z12 AE2:AP12 AV10:BI12 U20:U44 A49:BI49 A50:AW54 AY50:BI54 A55:K55 M55 O55 Q55 S55:BI55">
      <formula1>"h"</formula1>
    </dataValidation>
    <dataValidation type="custom" allowBlank="1" showErrorMessage="1" sqref="A57:B62 A63:S63 U57:U63 A64:A72 U69:U72">
      <formula1>"CYFYTTY"</formula1>
    </dataValidation>
    <dataValidation type="custom" allowBlank="1" showErrorMessage="1" sqref="A45:B47 V45:W47 AQ45:AQ47 AW45:AW47">
      <formula1>"b"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2" max="14" width="8.71"/>
    <col customWidth="1" min="15" max="16" width="6.86"/>
    <col customWidth="1" min="18" max="18" width="34.0"/>
  </cols>
  <sheetData>
    <row r="1">
      <c r="A1" s="1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4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8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  <c r="O2" s="26"/>
      <c r="P2" s="26"/>
      <c r="Q2" s="26"/>
      <c r="R2" s="32"/>
      <c r="S2" s="32"/>
      <c r="T2" s="32"/>
      <c r="U2" s="32"/>
      <c r="V2" s="26"/>
      <c r="W2" s="26"/>
      <c r="X2" s="26"/>
      <c r="Y2" s="26"/>
      <c r="Z2" s="26"/>
    </row>
    <row r="3">
      <c r="A3" s="34" t="s">
        <v>4</v>
      </c>
      <c r="B3" s="36" t="s">
        <v>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Q3" s="38"/>
      <c r="R3" s="40" t="s">
        <v>11</v>
      </c>
      <c r="S3" s="21"/>
      <c r="T3" s="21"/>
      <c r="U3" s="22"/>
      <c r="V3" s="26"/>
      <c r="W3" s="26"/>
      <c r="X3" s="26"/>
      <c r="Y3" s="26"/>
      <c r="Z3" s="26"/>
    </row>
    <row r="4">
      <c r="A4" s="34" t="s">
        <v>12</v>
      </c>
      <c r="B4" s="36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Q4" s="38"/>
      <c r="R4" s="42"/>
      <c r="S4" s="44"/>
      <c r="T4" s="42"/>
      <c r="U4" s="42"/>
      <c r="V4" s="26"/>
      <c r="W4" s="26"/>
      <c r="X4" s="26"/>
      <c r="Y4" s="26"/>
      <c r="Z4" s="26"/>
    </row>
    <row r="5">
      <c r="A5" s="34" t="s">
        <v>17</v>
      </c>
      <c r="B5" s="36" t="s">
        <v>18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Q5" s="38"/>
      <c r="R5" s="49" t="s">
        <v>4</v>
      </c>
      <c r="S5" s="55">
        <f>'Markentry '!C2</f>
        <v>1.27</v>
      </c>
      <c r="T5" s="57">
        <f t="shared" ref="T5:T9" si="1">IF(S5&gt;1.31, 3, IF(S5&gt;1.25, 2, IF(S5&gt;1.19,1,0)))</f>
        <v>2</v>
      </c>
      <c r="U5" s="49" t="str">
        <f t="shared" ref="U5:U9" si="2">IF(S5&gt;=1.32,"Substantial (3)",IF(S5&gt;=1.26,"Moderate (2)",IF(S5&gt;=1.2,"Slightly (1)","Not Achieved (0)")))</f>
        <v>Moderate (2)</v>
      </c>
      <c r="V5" s="26"/>
      <c r="W5" s="26"/>
      <c r="X5" s="26"/>
      <c r="Y5" s="26"/>
      <c r="Z5" s="26"/>
    </row>
    <row r="6">
      <c r="A6" s="34" t="s">
        <v>21</v>
      </c>
      <c r="B6" s="36" t="s">
        <v>22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Q6" s="38"/>
      <c r="R6" s="49" t="s">
        <v>12</v>
      </c>
      <c r="S6" s="55">
        <f>'Markentry '!C3</f>
        <v>1.19</v>
      </c>
      <c r="T6" s="57">
        <f t="shared" si="1"/>
        <v>0</v>
      </c>
      <c r="U6" s="49" t="str">
        <f t="shared" si="2"/>
        <v>Not Achieved (0)</v>
      </c>
      <c r="V6" s="26"/>
      <c r="W6" s="26"/>
      <c r="X6" s="26"/>
      <c r="Y6" s="26"/>
      <c r="Z6" s="26"/>
    </row>
    <row r="7">
      <c r="A7" s="34" t="s">
        <v>24</v>
      </c>
      <c r="B7" s="36" t="s">
        <v>25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4"/>
      <c r="Q7" s="38"/>
      <c r="R7" s="49" t="s">
        <v>17</v>
      </c>
      <c r="S7" s="55">
        <f>'Markentry '!C4</f>
        <v>0.76</v>
      </c>
      <c r="T7" s="57">
        <f t="shared" si="1"/>
        <v>0</v>
      </c>
      <c r="U7" s="49" t="str">
        <f t="shared" si="2"/>
        <v>Not Achieved (0)</v>
      </c>
      <c r="V7" s="26"/>
      <c r="W7" s="26"/>
      <c r="X7" s="26"/>
      <c r="Y7" s="26"/>
      <c r="Z7" s="26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38"/>
      <c r="R8" s="49" t="s">
        <v>21</v>
      </c>
      <c r="S8" s="55">
        <f>'Markentry '!C5</f>
        <v>0.83</v>
      </c>
      <c r="T8" s="57">
        <f t="shared" si="1"/>
        <v>0</v>
      </c>
      <c r="U8" s="49" t="str">
        <f t="shared" si="2"/>
        <v>Not Achieved (0)</v>
      </c>
      <c r="V8" s="26"/>
      <c r="W8" s="26"/>
      <c r="X8" s="26"/>
      <c r="Y8" s="26"/>
      <c r="Z8" s="26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38"/>
      <c r="R9" s="49" t="s">
        <v>24</v>
      </c>
      <c r="S9" s="55">
        <f>'Markentry '!C6</f>
        <v>0.5</v>
      </c>
      <c r="T9" s="57">
        <f t="shared" si="1"/>
        <v>0</v>
      </c>
      <c r="U9" s="49" t="str">
        <f t="shared" si="2"/>
        <v>Not Achieved (0)</v>
      </c>
      <c r="V9" s="26"/>
      <c r="W9" s="26"/>
      <c r="X9" s="26"/>
      <c r="Y9" s="26"/>
      <c r="Z9" s="26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38"/>
      <c r="R10" s="42"/>
      <c r="S10" s="42"/>
      <c r="T10" s="42"/>
      <c r="U10" s="42"/>
      <c r="V10" s="26"/>
      <c r="W10" s="26"/>
      <c r="X10" s="26"/>
      <c r="Y10" s="26"/>
      <c r="Z10" s="26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38"/>
      <c r="R11" s="49" t="s">
        <v>28</v>
      </c>
      <c r="S11" s="60">
        <v>1.3</v>
      </c>
      <c r="T11" s="61">
        <f>CEILING(AVERAGE(T5:T9))</f>
        <v>1</v>
      </c>
      <c r="U11" s="49" t="str">
        <f> IF(T11&gt;=1.32,"Substantial (3)",IF(T11&gt;=1.26,"Moderate (2)",IF(T11&gt;=1.2,"Slightly (1)","Not Achieved (0)")))</f>
        <v>Not Achieved (0)</v>
      </c>
      <c r="V11" s="26"/>
      <c r="W11" s="26"/>
      <c r="X11" s="26"/>
      <c r="Y11" s="26"/>
      <c r="Z11" s="26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38"/>
      <c r="R12" s="42"/>
      <c r="S12" s="42"/>
      <c r="T12" s="42"/>
      <c r="U12" s="42"/>
      <c r="V12" s="26"/>
      <c r="W12" s="26"/>
      <c r="X12" s="26"/>
      <c r="Y12" s="26"/>
      <c r="Z12" s="26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26"/>
      <c r="Q13" s="38"/>
      <c r="R13" s="49" t="s">
        <v>33</v>
      </c>
      <c r="S13" s="66">
        <f>'Markentry '!AX55</f>
        <v>1.32</v>
      </c>
      <c r="T13" s="57">
        <f>IF(S13&gt;1.31, 3, IF(S13&gt;1.25, 2, IF(S13&gt;1.19,1,0)))</f>
        <v>3</v>
      </c>
      <c r="U13" s="61" t="str">
        <f>IF(T13&gt;=1.32,"Substantial (3)",IF(T13&gt;=1.26,"Moderate (2)",IF(T13&gt;=1.2,"Slightly (1)","Not Achieved (0)")))</f>
        <v>Substantial (3)</v>
      </c>
      <c r="V13" s="26"/>
      <c r="W13" s="26"/>
      <c r="X13" s="26"/>
      <c r="Y13" s="26"/>
      <c r="Z13" s="26"/>
    </row>
    <row r="14">
      <c r="A14" s="34"/>
      <c r="B14" s="69" t="s">
        <v>35</v>
      </c>
      <c r="C14" s="69" t="s">
        <v>37</v>
      </c>
      <c r="D14" s="69" t="s">
        <v>38</v>
      </c>
      <c r="E14" s="69" t="s">
        <v>39</v>
      </c>
      <c r="F14" s="69" t="s">
        <v>40</v>
      </c>
      <c r="G14" s="69" t="s">
        <v>41</v>
      </c>
      <c r="H14" s="69" t="s">
        <v>42</v>
      </c>
      <c r="I14" s="69" t="s">
        <v>43</v>
      </c>
      <c r="J14" s="69" t="s">
        <v>44</v>
      </c>
      <c r="K14" s="69" t="s">
        <v>45</v>
      </c>
      <c r="L14" s="69" t="s">
        <v>46</v>
      </c>
      <c r="M14" s="69" t="s">
        <v>47</v>
      </c>
      <c r="N14" s="69" t="s">
        <v>48</v>
      </c>
      <c r="O14" s="69" t="s">
        <v>49</v>
      </c>
      <c r="P14" s="26"/>
      <c r="Q14" s="38"/>
      <c r="R14" s="42"/>
      <c r="S14" s="42"/>
      <c r="T14" s="42"/>
      <c r="U14" s="42"/>
      <c r="V14" s="26"/>
      <c r="W14" s="26"/>
      <c r="X14" s="26"/>
      <c r="Y14" s="26"/>
      <c r="Z14" s="26"/>
    </row>
    <row r="15">
      <c r="A15" s="34" t="s">
        <v>4</v>
      </c>
      <c r="B15" s="71">
        <v>3.0</v>
      </c>
      <c r="C15" s="71">
        <v>1.0</v>
      </c>
      <c r="D15" s="72"/>
      <c r="E15" s="72"/>
      <c r="F15" s="72"/>
      <c r="G15" s="72"/>
      <c r="H15" s="72"/>
      <c r="I15" s="71">
        <v>2.0</v>
      </c>
      <c r="J15" s="71">
        <v>1.0</v>
      </c>
      <c r="K15" s="72"/>
      <c r="L15" s="72"/>
      <c r="M15" s="71">
        <v>1.0</v>
      </c>
      <c r="N15" s="72"/>
      <c r="O15" s="72"/>
      <c r="P15" s="26"/>
      <c r="Q15" s="38"/>
      <c r="R15" s="49" t="s">
        <v>50</v>
      </c>
      <c r="S15" s="42"/>
      <c r="T15" s="60">
        <f>T13*0.6+T11*0.4</f>
        <v>2.2</v>
      </c>
      <c r="U15" s="74">
        <f>if(iserror(value(T11)),0,T11)*0.4+if(iserror(value(T13)),0,T13)*0.6</f>
        <v>2.2</v>
      </c>
      <c r="V15" s="26"/>
      <c r="W15" s="26"/>
      <c r="X15" s="26"/>
      <c r="Y15" s="26"/>
      <c r="Z15" s="26"/>
    </row>
    <row r="16">
      <c r="A16" s="34" t="s">
        <v>12</v>
      </c>
      <c r="B16" s="71">
        <v>3.0</v>
      </c>
      <c r="C16" s="75">
        <v>3.0</v>
      </c>
      <c r="D16" s="75">
        <v>3.0</v>
      </c>
      <c r="E16" s="75">
        <v>2.0</v>
      </c>
      <c r="F16" s="77"/>
      <c r="G16" s="77"/>
      <c r="H16" s="77"/>
      <c r="I16" s="75">
        <v>2.0</v>
      </c>
      <c r="J16" s="75">
        <v>1.0</v>
      </c>
      <c r="K16" s="77"/>
      <c r="L16" s="77"/>
      <c r="M16" s="75">
        <v>1.0</v>
      </c>
      <c r="N16" s="77"/>
      <c r="O16" s="77"/>
      <c r="P16" s="26"/>
      <c r="Q16" s="38"/>
      <c r="R16" s="42"/>
      <c r="S16" s="42"/>
      <c r="T16" s="42"/>
      <c r="U16" s="42"/>
      <c r="V16" s="26"/>
      <c r="W16" s="26"/>
      <c r="X16" s="26"/>
      <c r="Y16" s="26"/>
      <c r="Z16" s="26"/>
    </row>
    <row r="17">
      <c r="A17" s="34" t="s">
        <v>17</v>
      </c>
      <c r="B17" s="71">
        <v>3.0</v>
      </c>
      <c r="C17" s="75">
        <v>3.0</v>
      </c>
      <c r="D17" s="75">
        <v>2.0</v>
      </c>
      <c r="E17" s="75">
        <v>2.0</v>
      </c>
      <c r="F17" s="75">
        <v>2.0</v>
      </c>
      <c r="G17" s="77"/>
      <c r="H17" s="77"/>
      <c r="I17" s="75">
        <v>2.0</v>
      </c>
      <c r="J17" s="75">
        <v>1.0</v>
      </c>
      <c r="K17" s="77"/>
      <c r="L17" s="77"/>
      <c r="M17" s="75">
        <v>1.0</v>
      </c>
      <c r="N17" s="77"/>
      <c r="O17" s="77"/>
      <c r="P17" s="26"/>
      <c r="Q17" s="38"/>
      <c r="R17" s="49" t="s">
        <v>52</v>
      </c>
      <c r="S17" s="42"/>
      <c r="T17" s="79">
        <v>2.42</v>
      </c>
      <c r="U17" s="42"/>
      <c r="V17" s="26"/>
      <c r="W17" s="26"/>
      <c r="X17" s="26"/>
      <c r="Y17" s="26"/>
      <c r="Z17" s="26"/>
    </row>
    <row r="18">
      <c r="A18" s="34" t="s">
        <v>21</v>
      </c>
      <c r="B18" s="71">
        <v>3.0</v>
      </c>
      <c r="C18" s="75">
        <v>3.0</v>
      </c>
      <c r="D18" s="75">
        <v>2.0</v>
      </c>
      <c r="E18" s="75">
        <v>2.0</v>
      </c>
      <c r="F18" s="77"/>
      <c r="G18" s="77"/>
      <c r="H18" s="77"/>
      <c r="I18" s="75">
        <v>2.0</v>
      </c>
      <c r="J18" s="75">
        <v>1.0</v>
      </c>
      <c r="K18" s="77"/>
      <c r="L18" s="77"/>
      <c r="M18" s="75">
        <v>1.0</v>
      </c>
      <c r="N18" s="77"/>
      <c r="O18" s="77"/>
      <c r="P18" s="26"/>
      <c r="Q18" s="38"/>
      <c r="R18" s="42"/>
      <c r="S18" s="42"/>
      <c r="T18" s="42"/>
      <c r="U18" s="42"/>
      <c r="V18" s="26"/>
      <c r="W18" s="26"/>
      <c r="X18" s="26"/>
      <c r="Y18" s="26"/>
      <c r="Z18" s="26"/>
    </row>
    <row r="19">
      <c r="A19" s="34" t="s">
        <v>24</v>
      </c>
      <c r="B19" s="71">
        <v>3.0</v>
      </c>
      <c r="C19" s="75">
        <v>3.0</v>
      </c>
      <c r="D19" s="75">
        <v>2.0</v>
      </c>
      <c r="E19" s="75">
        <v>2.0</v>
      </c>
      <c r="F19" s="75">
        <v>2.0</v>
      </c>
      <c r="G19" s="75">
        <v>1.0</v>
      </c>
      <c r="H19" s="75">
        <v>1.0</v>
      </c>
      <c r="I19" s="75">
        <v>2.0</v>
      </c>
      <c r="J19" s="75">
        <v>1.0</v>
      </c>
      <c r="K19" s="77"/>
      <c r="L19" s="77"/>
      <c r="M19" s="75">
        <v>2.0</v>
      </c>
      <c r="N19" s="77"/>
      <c r="O19" s="75">
        <v>1.0</v>
      </c>
      <c r="P19" s="26"/>
      <c r="Q19" s="38"/>
      <c r="R19" s="49" t="s">
        <v>54</v>
      </c>
      <c r="S19" s="42"/>
      <c r="T19" s="60">
        <f>0.8*T15+0.2*T17</f>
        <v>2.244</v>
      </c>
      <c r="U19" s="81">
        <f>T17*0.2+U15*0.8</f>
        <v>2.244</v>
      </c>
      <c r="V19" s="26"/>
      <c r="W19" s="26"/>
      <c r="X19" s="26"/>
      <c r="Y19" s="26"/>
      <c r="Z19" s="26"/>
    </row>
    <row r="20">
      <c r="A20" s="34" t="s">
        <v>57</v>
      </c>
      <c r="B20" s="82">
        <v>3.0</v>
      </c>
      <c r="C20" s="82">
        <v>3.0</v>
      </c>
      <c r="D20" s="82">
        <v>2.0</v>
      </c>
      <c r="E20" s="82">
        <v>2.0</v>
      </c>
      <c r="F20" s="82">
        <v>2.0</v>
      </c>
      <c r="G20" s="82">
        <v>1.0</v>
      </c>
      <c r="H20" s="82">
        <v>1.0</v>
      </c>
      <c r="I20" s="82">
        <v>1.0</v>
      </c>
      <c r="J20" s="82">
        <v>2.0</v>
      </c>
      <c r="K20" s="82">
        <v>2.0</v>
      </c>
      <c r="L20" s="82">
        <v>1.0</v>
      </c>
      <c r="M20" s="82">
        <v>2.0</v>
      </c>
      <c r="N20" s="82">
        <v>0.0</v>
      </c>
      <c r="O20" s="82">
        <v>1.0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</sheetData>
  <mergeCells count="12">
    <mergeCell ref="O5:P5"/>
    <mergeCell ref="O6:P6"/>
    <mergeCell ref="O7:P7"/>
    <mergeCell ref="B3:N3"/>
    <mergeCell ref="A1:N2"/>
    <mergeCell ref="B5:N5"/>
    <mergeCell ref="B6:N6"/>
    <mergeCell ref="B4:N4"/>
    <mergeCell ref="O3:P3"/>
    <mergeCell ref="R3:U3"/>
    <mergeCell ref="O4:P4"/>
    <mergeCell ref="B7:N7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29"/>
    <col customWidth="1" min="2" max="2" width="13.29"/>
    <col customWidth="1" min="3" max="3" width="51.71"/>
    <col customWidth="1" min="4" max="4" width="13.71"/>
    <col customWidth="1" min="5" max="5" width="8.71"/>
    <col customWidth="1" min="6" max="6" width="7.0"/>
    <col customWidth="1" min="7" max="7" width="6.29"/>
    <col customWidth="1" min="8" max="9" width="9.43"/>
    <col customWidth="1" min="10" max="18" width="8.71"/>
  </cols>
  <sheetData>
    <row r="1" ht="12.75" customHeight="1">
      <c r="A1" s="11"/>
      <c r="C1" s="11"/>
      <c r="D1" s="11"/>
      <c r="F1" s="11"/>
      <c r="G1" s="11"/>
      <c r="H1" s="11"/>
      <c r="I1" s="11"/>
      <c r="L1" s="11"/>
      <c r="M1" s="11"/>
      <c r="N1" s="11"/>
      <c r="O1" s="11"/>
      <c r="P1" s="11"/>
      <c r="Q1" s="11"/>
      <c r="R1" s="11"/>
    </row>
    <row r="2" ht="12.75" customHeight="1">
      <c r="A2" s="11"/>
      <c r="B2" s="11"/>
      <c r="C2" s="33" t="s">
        <v>6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ht="12.75" customHeight="1">
      <c r="A3" s="31"/>
      <c r="B3" s="31"/>
      <c r="C3" s="31"/>
      <c r="D3" s="3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ht="12.75" customHeight="1">
      <c r="A4" s="35" t="s">
        <v>7</v>
      </c>
      <c r="C4" s="31" t="s">
        <v>9</v>
      </c>
      <c r="D4" s="31"/>
      <c r="E4" s="31"/>
      <c r="F4" s="11"/>
      <c r="G4" s="11"/>
      <c r="H4" s="11"/>
      <c r="I4" s="31"/>
      <c r="J4" s="31"/>
      <c r="K4" s="31"/>
      <c r="L4" s="11"/>
      <c r="M4" s="11"/>
      <c r="N4" s="31"/>
      <c r="O4" s="11"/>
      <c r="P4" s="11"/>
      <c r="Q4" s="11"/>
      <c r="R4" s="11"/>
    </row>
    <row r="5" ht="12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ht="39.75" customHeight="1">
      <c r="A6" s="11"/>
      <c r="B6" s="41" t="s">
        <v>10</v>
      </c>
      <c r="C6" s="4"/>
      <c r="D6" s="43" t="s">
        <v>15</v>
      </c>
      <c r="E6" s="45" t="s">
        <v>16</v>
      </c>
      <c r="F6" s="3"/>
      <c r="G6" s="3"/>
      <c r="H6" s="4"/>
      <c r="I6" s="11"/>
      <c r="J6" s="11"/>
      <c r="K6" s="11"/>
    </row>
    <row r="7" ht="12.75" customHeight="1">
      <c r="A7" s="11"/>
      <c r="B7" s="47" t="s">
        <v>4</v>
      </c>
      <c r="C7" s="48"/>
      <c r="D7" s="56">
        <f>ROUND('Markentry '!C2,2)</f>
        <v>1.27</v>
      </c>
      <c r="E7" s="45" t="str">
        <f t="shared" ref="E7:E12" si="1">IF(D7&gt;=1.32,"Substantial (3)",IF(D7&gt;=1.26,"Moderate (2)","Slightly (1)"))</f>
        <v>Moderate (2)</v>
      </c>
      <c r="F7" s="3"/>
      <c r="G7" s="3"/>
      <c r="H7" s="4"/>
      <c r="I7" s="11"/>
    </row>
    <row r="8" ht="12.75" customHeight="1">
      <c r="A8" s="11"/>
      <c r="B8" s="47" t="s">
        <v>12</v>
      </c>
      <c r="C8" s="58"/>
      <c r="D8" s="56">
        <f>ROUND('Markentry '!C3,2)</f>
        <v>1.19</v>
      </c>
      <c r="E8" s="45" t="str">
        <f t="shared" si="1"/>
        <v>Slightly (1)</v>
      </c>
      <c r="F8" s="3"/>
      <c r="G8" s="3"/>
      <c r="H8" s="4"/>
      <c r="I8" s="11"/>
    </row>
    <row r="9" ht="12.75" customHeight="1">
      <c r="A9" s="11"/>
      <c r="B9" s="47" t="s">
        <v>17</v>
      </c>
      <c r="C9" s="58"/>
      <c r="D9" s="56">
        <f>ROUND('Markentry '!C4,2)</f>
        <v>0.76</v>
      </c>
      <c r="E9" s="45" t="str">
        <f t="shared" si="1"/>
        <v>Slightly (1)</v>
      </c>
      <c r="F9" s="3"/>
      <c r="G9" s="3"/>
      <c r="H9" s="4"/>
      <c r="I9" s="11"/>
    </row>
    <row r="10" ht="12.75" customHeight="1">
      <c r="A10" s="11"/>
      <c r="B10" s="47" t="s">
        <v>21</v>
      </c>
      <c r="C10" s="58"/>
      <c r="D10" s="56">
        <f>ROUND('Markentry '!C5,2)</f>
        <v>0.83</v>
      </c>
      <c r="E10" s="45" t="str">
        <f t="shared" si="1"/>
        <v>Slightly (1)</v>
      </c>
      <c r="F10" s="3"/>
      <c r="G10" s="3"/>
      <c r="H10" s="4"/>
      <c r="I10" s="11"/>
    </row>
    <row r="11" ht="12.75" customHeight="1">
      <c r="A11" s="11"/>
      <c r="B11" s="47" t="s">
        <v>24</v>
      </c>
      <c r="C11" s="58"/>
      <c r="D11" s="56">
        <f>ROUND('Markentry '!C6,2)</f>
        <v>0.5</v>
      </c>
      <c r="E11" s="45" t="str">
        <f t="shared" si="1"/>
        <v>Slightly (1)</v>
      </c>
      <c r="F11" s="3"/>
      <c r="G11" s="3"/>
      <c r="H11" s="4"/>
      <c r="I11" s="11"/>
    </row>
    <row r="12" ht="12.75" customHeight="1">
      <c r="A12" s="11"/>
      <c r="B12" s="47" t="s">
        <v>29</v>
      </c>
      <c r="C12" s="50"/>
      <c r="D12" s="62">
        <f>ROUND('Markentry '!C7,2)</f>
        <v>0</v>
      </c>
      <c r="E12" s="45" t="str">
        <f t="shared" si="1"/>
        <v>Slightly (1)</v>
      </c>
      <c r="F12" s="3"/>
      <c r="G12" s="3"/>
      <c r="H12" s="4"/>
      <c r="I12" s="11"/>
    </row>
    <row r="13" ht="12.75" customHeight="1">
      <c r="A13" s="11"/>
      <c r="C13" s="64" t="s">
        <v>32</v>
      </c>
      <c r="D13" s="11"/>
      <c r="E13" s="11"/>
      <c r="F13" s="11"/>
      <c r="G13" s="11"/>
      <c r="H13" s="11"/>
      <c r="I13" s="11"/>
    </row>
    <row r="14" ht="12.75" customHeight="1">
      <c r="A14" s="11"/>
      <c r="C14" s="176" t="s">
        <v>34</v>
      </c>
      <c r="D14" s="11"/>
      <c r="F14" s="11"/>
      <c r="G14" s="11"/>
      <c r="H14" s="11"/>
      <c r="I14" s="11"/>
    </row>
    <row r="15" ht="12.75" customHeight="1">
      <c r="A15" s="11"/>
      <c r="C15" s="176" t="s">
        <v>95</v>
      </c>
      <c r="D15" s="177" t="s">
        <v>96</v>
      </c>
      <c r="E15" s="3"/>
      <c r="F15" s="3"/>
      <c r="G15" s="3"/>
      <c r="H15" s="4"/>
      <c r="I15" s="11"/>
    </row>
    <row r="16" ht="12.75" customHeight="1">
      <c r="A16" s="11"/>
      <c r="C16" s="176" t="s">
        <v>97</v>
      </c>
      <c r="D16" s="178" t="s">
        <v>98</v>
      </c>
      <c r="E16" s="179"/>
      <c r="F16" s="178" t="s">
        <v>99</v>
      </c>
      <c r="G16" s="180"/>
      <c r="H16" s="179"/>
      <c r="I16" s="11"/>
    </row>
    <row r="17" ht="12.75" customHeight="1">
      <c r="A17" s="11"/>
      <c r="C17" s="176" t="s">
        <v>100</v>
      </c>
      <c r="D17" s="181">
        <f>'Markentry '!AX55</f>
        <v>1.32</v>
      </c>
      <c r="E17" s="4"/>
      <c r="F17" s="178" t="str">
        <f>IF(D17&gt;=1.32,"Substantial (3)",IF(D17&gt;=1.26,"Moderate (2)","Slightly (1)"))</f>
        <v>Substantial (3)</v>
      </c>
      <c r="G17" s="3"/>
      <c r="H17" s="4"/>
      <c r="I17" s="11"/>
    </row>
    <row r="18" ht="12.75" customHeight="1">
      <c r="A18" s="11"/>
      <c r="C18" s="176" t="s">
        <v>101</v>
      </c>
      <c r="D18" s="11"/>
      <c r="F18" s="11"/>
      <c r="G18" s="11"/>
      <c r="H18" s="11"/>
      <c r="I18" s="11"/>
    </row>
    <row r="19" ht="12.75" customHeight="1">
      <c r="A19" s="11"/>
      <c r="C19" s="176" t="s">
        <v>102</v>
      </c>
      <c r="D19" s="11"/>
      <c r="F19" s="11"/>
      <c r="G19" s="11"/>
      <c r="H19" s="11"/>
      <c r="I19" s="11"/>
    </row>
    <row r="20" ht="12.75" customHeight="1">
      <c r="A20" s="11"/>
      <c r="C20" s="176" t="s">
        <v>103</v>
      </c>
      <c r="D20" s="11"/>
      <c r="F20" s="11"/>
      <c r="G20" s="11"/>
      <c r="H20" s="11"/>
      <c r="I20" s="11"/>
    </row>
    <row r="21" ht="27.75" customHeight="1">
      <c r="A21" s="11"/>
      <c r="C21" s="176" t="s">
        <v>104</v>
      </c>
      <c r="D21" s="11"/>
      <c r="F21" s="11"/>
      <c r="G21" s="11"/>
      <c r="H21" s="11"/>
      <c r="I21" s="11"/>
    </row>
    <row r="22" ht="12.75" customHeight="1">
      <c r="A22" s="11"/>
      <c r="C22" s="182"/>
      <c r="D22" s="11"/>
      <c r="F22" s="11"/>
      <c r="G22" s="11"/>
      <c r="H22" s="11"/>
      <c r="I22" s="11"/>
    </row>
    <row r="23" ht="12.75" customHeight="1">
      <c r="A23" s="11"/>
      <c r="C23" s="183"/>
      <c r="D23" s="11"/>
      <c r="F23" s="11"/>
      <c r="G23" s="11"/>
      <c r="H23" s="11"/>
      <c r="I23" s="11"/>
    </row>
    <row r="24" ht="12.75" customHeight="1">
      <c r="A24" s="11"/>
      <c r="C24" s="11"/>
      <c r="D24" s="11"/>
      <c r="F24" s="11"/>
      <c r="G24" s="11"/>
      <c r="H24" s="11"/>
      <c r="I24" s="11"/>
    </row>
  </sheetData>
  <mergeCells count="12">
    <mergeCell ref="F17:H17"/>
    <mergeCell ref="D17:E17"/>
    <mergeCell ref="B6:C6"/>
    <mergeCell ref="A4:B4"/>
    <mergeCell ref="E11:H11"/>
    <mergeCell ref="E12:H12"/>
    <mergeCell ref="E10:H10"/>
    <mergeCell ref="E9:H9"/>
    <mergeCell ref="E6:H6"/>
    <mergeCell ref="E7:H7"/>
    <mergeCell ref="D15:H15"/>
    <mergeCell ref="E8:H8"/>
  </mergeCells>
  <dataValidations>
    <dataValidation type="custom" allowBlank="1" showErrorMessage="1" sqref="D7:E11 E12">
      <formula1>"B"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7.43"/>
    <col customWidth="1" min="2" max="14" width="8.71"/>
    <col customWidth="1" min="15" max="15" width="10.71"/>
  </cols>
  <sheetData>
    <row r="1">
      <c r="A1" s="184" t="s">
        <v>4</v>
      </c>
      <c r="B1" s="185" t="s">
        <v>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>
      <c r="A2" s="34" t="s">
        <v>12</v>
      </c>
      <c r="B2" s="185" t="s">
        <v>14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>
      <c r="A3" s="34" t="s">
        <v>17</v>
      </c>
      <c r="B3" s="185" t="s">
        <v>18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</row>
    <row r="4">
      <c r="A4" s="34" t="s">
        <v>21</v>
      </c>
      <c r="B4" s="185" t="s">
        <v>22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</row>
    <row r="5">
      <c r="A5" s="34" t="s">
        <v>24</v>
      </c>
      <c r="B5" s="185" t="s">
        <v>25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</row>
    <row r="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26"/>
    </row>
    <row r="12">
      <c r="A12" s="34"/>
      <c r="B12" s="69" t="s">
        <v>35</v>
      </c>
      <c r="C12" s="69" t="s">
        <v>37</v>
      </c>
      <c r="D12" s="69" t="s">
        <v>38</v>
      </c>
      <c r="E12" s="69" t="s">
        <v>39</v>
      </c>
      <c r="F12" s="69" t="s">
        <v>40</v>
      </c>
      <c r="G12" s="69" t="s">
        <v>41</v>
      </c>
      <c r="H12" s="69" t="s">
        <v>42</v>
      </c>
      <c r="I12" s="69" t="s">
        <v>43</v>
      </c>
      <c r="J12" s="69" t="s">
        <v>44</v>
      </c>
      <c r="K12" s="69" t="s">
        <v>45</v>
      </c>
      <c r="L12" s="69" t="s">
        <v>46</v>
      </c>
      <c r="M12" s="69" t="s">
        <v>47</v>
      </c>
      <c r="N12" s="69" t="s">
        <v>48</v>
      </c>
      <c r="O12" s="69" t="s">
        <v>49</v>
      </c>
      <c r="P12" s="26"/>
    </row>
    <row r="13">
      <c r="A13" s="34" t="s">
        <v>4</v>
      </c>
      <c r="B13" s="71">
        <v>3.0</v>
      </c>
      <c r="C13" s="71">
        <v>1.0</v>
      </c>
      <c r="D13" s="72"/>
      <c r="E13" s="72"/>
      <c r="F13" s="72"/>
      <c r="G13" s="72"/>
      <c r="H13" s="72"/>
      <c r="I13" s="71">
        <v>2.0</v>
      </c>
      <c r="J13" s="71">
        <v>1.0</v>
      </c>
      <c r="K13" s="72"/>
      <c r="L13" s="72"/>
      <c r="M13" s="71">
        <v>1.0</v>
      </c>
      <c r="N13" s="72"/>
      <c r="O13" s="72"/>
      <c r="P13" s="26"/>
    </row>
    <row r="14">
      <c r="A14" s="34" t="s">
        <v>12</v>
      </c>
      <c r="B14" s="71">
        <v>3.0</v>
      </c>
      <c r="C14" s="75">
        <v>3.0</v>
      </c>
      <c r="D14" s="75">
        <v>3.0</v>
      </c>
      <c r="E14" s="75">
        <v>2.0</v>
      </c>
      <c r="F14" s="77"/>
      <c r="G14" s="77"/>
      <c r="H14" s="77"/>
      <c r="I14" s="75">
        <v>2.0</v>
      </c>
      <c r="J14" s="75">
        <v>1.0</v>
      </c>
      <c r="K14" s="77"/>
      <c r="L14" s="77"/>
      <c r="M14" s="75">
        <v>1.0</v>
      </c>
      <c r="N14" s="77"/>
      <c r="O14" s="77"/>
      <c r="P14" s="26"/>
    </row>
    <row r="15">
      <c r="A15" s="34" t="s">
        <v>17</v>
      </c>
      <c r="B15" s="71">
        <v>3.0</v>
      </c>
      <c r="C15" s="75">
        <v>3.0</v>
      </c>
      <c r="D15" s="75">
        <v>2.0</v>
      </c>
      <c r="E15" s="75">
        <v>2.0</v>
      </c>
      <c r="F15" s="75">
        <v>2.0</v>
      </c>
      <c r="G15" s="77"/>
      <c r="H15" s="77"/>
      <c r="I15" s="75">
        <v>2.0</v>
      </c>
      <c r="J15" s="75">
        <v>1.0</v>
      </c>
      <c r="K15" s="77"/>
      <c r="L15" s="77"/>
      <c r="M15" s="75">
        <v>1.0</v>
      </c>
      <c r="N15" s="77"/>
      <c r="O15" s="77"/>
      <c r="P15" s="26"/>
    </row>
    <row r="16">
      <c r="A16" s="34" t="s">
        <v>21</v>
      </c>
      <c r="B16" s="71">
        <v>3.0</v>
      </c>
      <c r="C16" s="75">
        <v>3.0</v>
      </c>
      <c r="D16" s="75">
        <v>3.0</v>
      </c>
      <c r="E16" s="75">
        <v>2.0</v>
      </c>
      <c r="F16" s="77"/>
      <c r="G16" s="77"/>
      <c r="H16" s="77"/>
      <c r="I16" s="75">
        <v>2.0</v>
      </c>
      <c r="J16" s="75">
        <v>1.0</v>
      </c>
      <c r="K16" s="77"/>
      <c r="L16" s="77"/>
      <c r="M16" s="75">
        <v>1.0</v>
      </c>
      <c r="N16" s="77"/>
      <c r="O16" s="77"/>
      <c r="P16" s="26"/>
    </row>
    <row r="17">
      <c r="A17" s="34" t="s">
        <v>24</v>
      </c>
      <c r="B17" s="71">
        <v>3.0</v>
      </c>
      <c r="C17" s="75">
        <v>3.0</v>
      </c>
      <c r="D17" s="75">
        <v>3.0</v>
      </c>
      <c r="E17" s="75">
        <v>2.0</v>
      </c>
      <c r="F17" s="75">
        <v>2.0</v>
      </c>
      <c r="G17" s="77"/>
      <c r="H17" s="77"/>
      <c r="I17" s="75">
        <v>2.0</v>
      </c>
      <c r="J17" s="75">
        <v>1.0</v>
      </c>
      <c r="K17" s="77"/>
      <c r="L17" s="77"/>
      <c r="M17" s="75">
        <v>2.0</v>
      </c>
      <c r="N17" s="77"/>
      <c r="O17" s="75">
        <v>1.0</v>
      </c>
      <c r="P17" s="26"/>
    </row>
    <row r="18">
      <c r="A18" s="34" t="s">
        <v>57</v>
      </c>
      <c r="B18" s="186">
        <f t="shared" ref="B18:F18" si="1">average(B13:B17)</f>
        <v>3</v>
      </c>
      <c r="C18" s="186">
        <f t="shared" si="1"/>
        <v>2.6</v>
      </c>
      <c r="D18" s="186">
        <f t="shared" si="1"/>
        <v>2.75</v>
      </c>
      <c r="E18" s="186">
        <f t="shared" si="1"/>
        <v>2</v>
      </c>
      <c r="F18" s="186">
        <f t="shared" si="1"/>
        <v>2</v>
      </c>
      <c r="G18" s="187">
        <v>0.0</v>
      </c>
      <c r="H18" s="187">
        <v>0.0</v>
      </c>
      <c r="I18" s="186">
        <f t="shared" ref="I18:J18" si="2">average(I13:I17)</f>
        <v>2</v>
      </c>
      <c r="J18" s="186">
        <f t="shared" si="2"/>
        <v>1</v>
      </c>
      <c r="K18" s="187">
        <v>0.0</v>
      </c>
      <c r="L18" s="187">
        <v>0.0</v>
      </c>
      <c r="M18" s="186">
        <f>average(M13:M17)</f>
        <v>1.2</v>
      </c>
      <c r="N18" s="187">
        <v>0.0</v>
      </c>
      <c r="O18" s="186">
        <f>average(O13:O17)</f>
        <v>1</v>
      </c>
      <c r="P18" s="188"/>
    </row>
  </sheetData>
  <mergeCells count="10">
    <mergeCell ref="O2:P2"/>
    <mergeCell ref="O1:P1"/>
    <mergeCell ref="O3:P3"/>
    <mergeCell ref="O4:P4"/>
    <mergeCell ref="O5:P5"/>
    <mergeCell ref="B2:N2"/>
    <mergeCell ref="B3:N3"/>
    <mergeCell ref="B4:N4"/>
    <mergeCell ref="B5:N5"/>
    <mergeCell ref="B1:N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0.43"/>
    <col customWidth="1" min="2" max="2" width="33.0"/>
  </cols>
  <sheetData>
    <row r="3">
      <c r="A3" s="32"/>
      <c r="B3" s="32"/>
    </row>
    <row r="4">
      <c r="A4" s="190" t="s">
        <v>106</v>
      </c>
      <c r="B4" s="191" t="s">
        <v>105</v>
      </c>
    </row>
    <row r="5">
      <c r="A5" s="192" t="s">
        <v>107</v>
      </c>
      <c r="B5" s="193">
        <v>82.45</v>
      </c>
      <c r="C5" s="195">
        <f t="shared" ref="C5:C7" si="1">B5/100*3</f>
        <v>2.4735</v>
      </c>
    </row>
    <row r="6">
      <c r="A6" s="192" t="s">
        <v>108</v>
      </c>
      <c r="B6" s="193">
        <v>85.6</v>
      </c>
      <c r="C6" s="195">
        <f t="shared" si="1"/>
        <v>2.568</v>
      </c>
    </row>
    <row r="7">
      <c r="A7" s="192" t="s">
        <v>109</v>
      </c>
      <c r="B7" s="193">
        <v>80.74</v>
      </c>
      <c r="C7" s="195">
        <f t="shared" si="1"/>
        <v>2.4222</v>
      </c>
    </row>
  </sheetData>
  <drawing r:id="rId1"/>
</worksheet>
</file>