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drawings/drawing2.xml" ContentType="application/vnd.openxmlformats-officedocument.drawing+xml"/>
  <Override PartName="/xl/comments2.xml" ContentType="application/vnd.openxmlformats-officedocument.spreadsheetml.comments+xml"/>
  <Override PartName="/xl/charts/chart2.xml" ContentType="application/vnd.openxmlformats-officedocument.drawingml.chart+xml"/>
  <Override PartName="/xl/comments3.xml" ContentType="application/vnd.openxmlformats-officedocument.spreadsheetml.comments+xml"/>
  <Override PartName="/xl/drawings/drawing3.xml" ContentType="application/vnd.openxmlformats-officedocument.drawing+xml"/>
  <Override PartName="/xl/comments4.xml" ContentType="application/vnd.openxmlformats-officedocument.spreadsheetml.comments+xml"/>
  <Override PartName="/xl/charts/chart3.xml" ContentType="application/vnd.openxmlformats-officedocument.drawingml.chart+xml"/>
  <Override PartName="/xl/charts/style1.xml" ContentType="application/vnd.ms-office.chartstyle+xml"/>
  <Override PartName="/xl/charts/colors1.xml" ContentType="application/vnd.ms-office.chartcolorstyle+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drawings/drawing4.xml" ContentType="application/vnd.openxmlformats-officedocument.drawing+xml"/>
  <Override PartName="/xl/comments12.xml" ContentType="application/vnd.openxmlformats-officedocument.spreadsheetml.comments+xml"/>
  <Override PartName="/xl/charts/chart4.xml" ContentType="application/vnd.openxmlformats-officedocument.drawingml.chart+xml"/>
  <Override PartName="/xl/charts/chart5.xml" ContentType="application/vnd.openxmlformats-officedocument.drawingml.chart+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drawings/drawing5.xml" ContentType="application/vnd.openxmlformats-officedocument.drawing+xml"/>
  <Override PartName="/xl/comments16.xml" ContentType="application/vnd.openxmlformats-officedocument.spreadsheetml.comments+xml"/>
  <Override PartName="/xl/charts/chart6.xml" ContentType="application/vnd.openxmlformats-officedocument.drawingml.chart+xml"/>
  <Override PartName="/xl/charts/chart7.xml" ContentType="application/vnd.openxmlformats-officedocument.drawingml.chart+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5" rupBuild="18827"/>
  <workbookPr codeName="ThisWorkbook"/>
  <mc:AlternateContent xmlns:mc="http://schemas.openxmlformats.org/markup-compatibility/2006">
    <mc:Choice Requires="x15">
      <x15ac:absPath xmlns:x15ac="http://schemas.microsoft.com/office/spreadsheetml/2010/11/ac" url="C:\Users\Diede\Documents\Energy Science\Thesis\"/>
    </mc:Choice>
  </mc:AlternateContent>
  <bookViews>
    <workbookView xWindow="1140" yWindow="600" windowWidth="17000" windowHeight="15940" tabRatio="915" firstSheet="3" activeTab="4" xr2:uid="{00000000-000D-0000-FFFF-FFFF00000000}"/>
  </bookViews>
  <sheets>
    <sheet name="All" sheetId="32" r:id="rId1"/>
    <sheet name="Analysis all data" sheetId="33" state="hidden" r:id="rId2"/>
    <sheet name="V3 David data within eu28" sheetId="35" state="hidden" r:id="rId3"/>
    <sheet name="Info + Todo" sheetId="37" r:id="rId4"/>
    <sheet name="Generators" sheetId="34" r:id="rId5"/>
    <sheet name="Usuable storage capacity" sheetId="58" r:id="rId6"/>
    <sheet name="Unique Waterways" sheetId="49" r:id="rId7"/>
    <sheet name="Generator-Storage Assignment" sheetId="48" state="hidden" r:id="rId8"/>
    <sheet name="Unique Generator Objects" sheetId="40" state="hidden" r:id="rId9"/>
    <sheet name="Unique Generator Properties" sheetId="47" r:id="rId10"/>
    <sheet name="Prep Unique Storage List" sheetId="51" r:id="rId11"/>
    <sheet name="Unique Storage Objects" sheetId="42" r:id="rId12"/>
    <sheet name="Unique Storage Properties" sheetId="50" r:id="rId13"/>
    <sheet name="Natural inflow m3_s" sheetId="36" state="hidden" r:id="rId14"/>
    <sheet name="Country Totals" sheetId="44" r:id="rId15"/>
    <sheet name="Lumped Generators" sheetId="52" r:id="rId16"/>
    <sheet name="Lumped Detailed Generators" sheetId="53" r:id="rId17"/>
    <sheet name="Hydro Plant Data Sources" sheetId="45" r:id="rId18"/>
    <sheet name="Country Totals (All Aggregated)" sheetId="55" r:id="rId19"/>
    <sheet name="Lumped Generators (All aggreg)" sheetId="56" r:id="rId20"/>
    <sheet name="Lumped (All) Min CFs for LT Pla" sheetId="57" r:id="rId21"/>
    <sheet name="Codes" sheetId="41" r:id="rId22"/>
    <sheet name="Capacity Factors" sheetId="54" r:id="rId23"/>
  </sheets>
  <externalReferences>
    <externalReference r:id="rId24"/>
    <externalReference r:id="rId25"/>
    <externalReference r:id="rId26"/>
  </externalReferences>
  <definedNames>
    <definedName name="_xlnm._FilterDatabase" localSheetId="4" hidden="1">Generators!$A$1:$BM$244</definedName>
    <definedName name="_xlnm._FilterDatabase" localSheetId="16" hidden="1">'Lumped Detailed Generators'!$A$4:$L$94</definedName>
    <definedName name="_xlnm._FilterDatabase" localSheetId="15" hidden="1">'Lumped Generators'!$A$4:$L$94</definedName>
    <definedName name="_xlnm._FilterDatabase" localSheetId="19" hidden="1">'Lumped Generators (All aggreg)'!$A$4:$L$94</definedName>
    <definedName name="_xlnm._FilterDatabase" localSheetId="10" hidden="1">'Prep Unique Storage List'!$B$1:$B$228</definedName>
    <definedName name="_xlnm._FilterDatabase" localSheetId="8" hidden="1">'Unique Generator Objects'!$A$1:$A$121</definedName>
    <definedName name="_xlnm._FilterDatabase" localSheetId="11" hidden="1">'Unique Storage Objects'!$A$2:$A$124</definedName>
    <definedName name="_xlnm._FilterDatabase" localSheetId="12" hidden="1">'Unique Storage Properties'!$A$2:$A$124</definedName>
    <definedName name="capacities" localSheetId="18">'Country Totals (All Aggregated)'!$E$9:$E$2849</definedName>
    <definedName name="capacities">'Country Totals'!$E$9:$E$2849</definedName>
    <definedName name="genList" comment="=OFFSET('Unique Generators'!$A$2,0,0,COUNTA('Unique Generators'!$A$2:$A$500),1)">OFFSET('Unique Generator Objects'!$A$2,0,0,COUNTA('Unique Generator Objects'!$A$2:$A$500),1)</definedName>
    <definedName name="nodeList">OFFSET('[1]Nodes - Objects'!$A$2,0,0,COUNTA('[1]Nodes - Objects'!$A$2:$A$200),1)</definedName>
    <definedName name="_xlnm.Extract" localSheetId="10">'Prep Unique Storage List'!$I$1</definedName>
    <definedName name="_xlnm.Extract" localSheetId="8">'Unique Generator Objects'!$M$2</definedName>
    <definedName name="_xlnm.Extract" localSheetId="11">'Unique Storage Objects'!#REF!</definedName>
    <definedName name="_xlnm.Extract" localSheetId="12">'Unique Storage Properties'!#REF!</definedName>
    <definedName name="stoPropList">OFFSET([2]StoPropList!$A$2,0,0,COUNTA([2]StoPropList!$A$2:$A$203),1)</definedName>
    <definedName name="stoPropUnits">OFFSET([2]StoPropList!$B$2,0,0,COUNTA([2]StoPropList!$B$2:$B$203),1)</definedName>
    <definedName name="turbPumpEff">'Info + Todo'!$D$28</definedName>
    <definedName name="types" localSheetId="18">'Country Totals (All Aggregated)'!$B$9:$B$2849</definedName>
    <definedName name="types">'Country Totals'!$B$9:$B$2849</definedName>
  </definedNames>
  <calcPr calcId="171027"/>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alcChain.xml><?xml version="1.0" encoding="utf-8"?>
<calcChain xmlns="http://schemas.openxmlformats.org/spreadsheetml/2006/main">
  <c r="H239" i="34" l="1"/>
  <c r="H240" i="34"/>
  <c r="H241" i="34"/>
  <c r="H242" i="34"/>
  <c r="H243" i="34"/>
  <c r="H244" i="34"/>
  <c r="U232" i="34" l="1"/>
  <c r="H223" i="34"/>
  <c r="H224" i="34"/>
  <c r="H225" i="34"/>
  <c r="H226" i="34"/>
  <c r="H227" i="34"/>
  <c r="H228" i="34"/>
  <c r="H229" i="34"/>
  <c r="H230" i="34"/>
  <c r="H231" i="34"/>
  <c r="H232" i="34"/>
  <c r="H233" i="34"/>
  <c r="H234" i="34"/>
  <c r="H235" i="34"/>
  <c r="H236" i="34"/>
  <c r="H237" i="34"/>
  <c r="H238" i="34"/>
  <c r="AK237" i="34"/>
  <c r="AK236" i="34"/>
  <c r="AK234" i="34"/>
  <c r="AK233" i="34"/>
  <c r="AK235" i="34"/>
  <c r="AR235" i="34"/>
  <c r="AA231" i="34"/>
  <c r="AA230" i="34"/>
  <c r="AA229" i="34"/>
  <c r="U229" i="34"/>
  <c r="E278" i="34" l="1"/>
  <c r="AS125" i="34" l="1"/>
  <c r="F261" i="34"/>
  <c r="F257" i="34"/>
  <c r="F258" i="34"/>
  <c r="F259" i="34"/>
  <c r="F260" i="34"/>
  <c r="F256" i="34"/>
  <c r="D257" i="34"/>
  <c r="AS123" i="34"/>
  <c r="AS124" i="34"/>
  <c r="AS126" i="34"/>
  <c r="AS127" i="34"/>
  <c r="AS128" i="34"/>
  <c r="AS131" i="34"/>
  <c r="AS133" i="34"/>
  <c r="AS134" i="34"/>
  <c r="AS135" i="34"/>
  <c r="AS138" i="34"/>
  <c r="AS141" i="34"/>
  <c r="AS145" i="34"/>
  <c r="AS146" i="34"/>
  <c r="AS154" i="34"/>
  <c r="AS156" i="34"/>
  <c r="AS158" i="34"/>
  <c r="AS160" i="34"/>
  <c r="AS161" i="34"/>
  <c r="AS162" i="34"/>
  <c r="AS163" i="34"/>
  <c r="AS164" i="34"/>
  <c r="AS165" i="34"/>
  <c r="AS166" i="34"/>
  <c r="AS169" i="34"/>
  <c r="AS172" i="34"/>
  <c r="AS173" i="34"/>
  <c r="AS182" i="34"/>
  <c r="AS183" i="34"/>
  <c r="AS184" i="34"/>
  <c r="AS185" i="34"/>
  <c r="AS186" i="34"/>
  <c r="AS187" i="34"/>
  <c r="AS188" i="34"/>
  <c r="AS190" i="34"/>
  <c r="AS191" i="34"/>
  <c r="AS193" i="34"/>
  <c r="AS194" i="34"/>
  <c r="AS196" i="34"/>
  <c r="AS197" i="34"/>
  <c r="AS199" i="34"/>
  <c r="AS200" i="34"/>
  <c r="AS201" i="34"/>
  <c r="AS203" i="34"/>
  <c r="AS204" i="34"/>
  <c r="AS205" i="34"/>
  <c r="AS206" i="34"/>
  <c r="AS208" i="34"/>
  <c r="AS209" i="34"/>
  <c r="AS211" i="34"/>
  <c r="AS214" i="34"/>
  <c r="AS215" i="34"/>
  <c r="AS216" i="34"/>
  <c r="AS217" i="34"/>
  <c r="AS218" i="34"/>
  <c r="AS219" i="34"/>
  <c r="AS220" i="34"/>
  <c r="AS222" i="34"/>
  <c r="F262" i="34" l="1"/>
  <c r="V249" i="34"/>
  <c r="H218" i="34"/>
  <c r="H219" i="34"/>
  <c r="H220" i="34"/>
  <c r="H221" i="34"/>
  <c r="H222" i="34"/>
  <c r="AK221" i="34"/>
  <c r="AS221" i="34" s="1"/>
  <c r="AP220" i="34"/>
  <c r="H216" i="34"/>
  <c r="H217" i="34"/>
  <c r="U217" i="34" l="1"/>
  <c r="U216" i="34"/>
  <c r="U215" i="34"/>
  <c r="H213" i="34"/>
  <c r="H214" i="34"/>
  <c r="H215" i="34"/>
  <c r="U214" i="34"/>
  <c r="U213" i="34"/>
  <c r="H211" i="34"/>
  <c r="H212" i="34"/>
  <c r="AR210" i="34"/>
  <c r="AS210" i="34" s="1"/>
  <c r="U210" i="34"/>
  <c r="H210" i="34"/>
  <c r="H204" i="34"/>
  <c r="H205" i="34"/>
  <c r="H206" i="34"/>
  <c r="H207" i="34"/>
  <c r="H208" i="34"/>
  <c r="H209" i="34"/>
  <c r="AP209" i="34"/>
  <c r="H202" i="34"/>
  <c r="H203" i="34"/>
  <c r="H195" i="34"/>
  <c r="H196" i="34"/>
  <c r="H197" i="34"/>
  <c r="H198" i="34"/>
  <c r="H199" i="34"/>
  <c r="H200" i="34"/>
  <c r="H201" i="34"/>
  <c r="AK198" i="34"/>
  <c r="AS198" i="34" s="1"/>
  <c r="AP198" i="34"/>
  <c r="AR195" i="34"/>
  <c r="AS195" i="34" s="1"/>
  <c r="H182" i="34"/>
  <c r="H183" i="34"/>
  <c r="H184" i="34"/>
  <c r="H185" i="34"/>
  <c r="H186" i="34"/>
  <c r="H187" i="34"/>
  <c r="H188" i="34"/>
  <c r="H189" i="34"/>
  <c r="H190" i="34"/>
  <c r="H191" i="34"/>
  <c r="H192" i="34"/>
  <c r="H193" i="34"/>
  <c r="H194" i="34"/>
  <c r="U187" i="34"/>
  <c r="U193" i="34"/>
  <c r="AP193" i="34"/>
  <c r="AP192" i="34"/>
  <c r="AR192" i="34"/>
  <c r="AS192" i="34" s="1"/>
  <c r="AP191" i="34"/>
  <c r="AP190" i="34"/>
  <c r="AR189" i="34"/>
  <c r="AS189" i="34" s="1"/>
  <c r="AA188" i="34"/>
  <c r="AP188" i="34"/>
  <c r="H180" i="34"/>
  <c r="H181" i="34"/>
  <c r="AR181" i="34"/>
  <c r="AK181" i="34"/>
  <c r="AR179" i="34"/>
  <c r="AK180" i="34"/>
  <c r="AK179" i="34"/>
  <c r="H175" i="34"/>
  <c r="H176" i="34"/>
  <c r="H177" i="34"/>
  <c r="H178" i="34"/>
  <c r="H179" i="34"/>
  <c r="U249" i="34" l="1"/>
  <c r="U250" i="34" s="1"/>
  <c r="AS181" i="34"/>
  <c r="AS179" i="34"/>
  <c r="I100" i="55"/>
  <c r="S64" i="55"/>
  <c r="V250" i="34" l="1"/>
  <c r="V251" i="34" s="1"/>
  <c r="AR178" i="34"/>
  <c r="AS178" i="34" s="1"/>
  <c r="AP174" i="34"/>
  <c r="AR174" i="34"/>
  <c r="AS174" i="34" s="1"/>
  <c r="AR139" i="34"/>
  <c r="AS139" i="34" s="1"/>
  <c r="H172" i="34"/>
  <c r="H173" i="34"/>
  <c r="H174" i="34"/>
  <c r="U254" i="34" l="1"/>
  <c r="AP173" i="34"/>
  <c r="H170" i="34"/>
  <c r="H171" i="34"/>
  <c r="H169" i="34"/>
  <c r="H168" i="34"/>
  <c r="H166" i="34"/>
  <c r="H167" i="34"/>
  <c r="AK167" i="34"/>
  <c r="AS167" i="34" s="1"/>
  <c r="H161" i="34"/>
  <c r="H162" i="34"/>
  <c r="H163" i="34"/>
  <c r="H164" i="34"/>
  <c r="H165" i="34"/>
  <c r="C5" i="58"/>
  <c r="C4" i="58"/>
  <c r="C3" i="58"/>
  <c r="H158" i="34"/>
  <c r="H159" i="34"/>
  <c r="H160" i="34"/>
  <c r="H154" i="34"/>
  <c r="H155" i="34"/>
  <c r="H156" i="34"/>
  <c r="H157" i="34"/>
  <c r="H144" i="34"/>
  <c r="H145" i="34"/>
  <c r="H146" i="34"/>
  <c r="H147" i="34"/>
  <c r="H148" i="34"/>
  <c r="H149" i="34"/>
  <c r="H150" i="34"/>
  <c r="H151" i="34"/>
  <c r="H152" i="34"/>
  <c r="H153" i="34"/>
  <c r="AR155" i="34"/>
  <c r="AS155" i="34" s="1"/>
  <c r="AP155" i="34"/>
  <c r="AR144" i="34"/>
  <c r="AS144" i="34" s="1"/>
  <c r="AP144" i="34"/>
  <c r="H142" i="34"/>
  <c r="H143" i="34"/>
  <c r="AR142" i="34"/>
  <c r="AS142" i="34" s="1"/>
  <c r="AP142" i="34"/>
  <c r="H140" i="34"/>
  <c r="H141" i="34"/>
  <c r="H137" i="34"/>
  <c r="H138" i="34"/>
  <c r="H139" i="34"/>
  <c r="AP139" i="34"/>
  <c r="H134" i="34"/>
  <c r="H135" i="34"/>
  <c r="H136" i="34"/>
  <c r="H132" i="34"/>
  <c r="H133" i="34"/>
  <c r="AP132" i="34"/>
  <c r="AR132" i="34"/>
  <c r="AS132" i="34" s="1"/>
  <c r="H123" i="34"/>
  <c r="H124" i="34"/>
  <c r="H125" i="34"/>
  <c r="H126" i="34"/>
  <c r="H127" i="34"/>
  <c r="H128" i="34"/>
  <c r="H129" i="34"/>
  <c r="H130" i="34"/>
  <c r="H131" i="34"/>
  <c r="AK130" i="34"/>
  <c r="AS130" i="34" s="1"/>
  <c r="AK129" i="34"/>
  <c r="AS129" i="34" s="1"/>
  <c r="A18" i="49"/>
  <c r="A17" i="49"/>
  <c r="AN97" i="55"/>
  <c r="C19" i="57"/>
  <c r="C20" i="57"/>
  <c r="C21" i="57"/>
  <c r="C22" i="57"/>
  <c r="C23" i="57"/>
  <c r="C24" i="57"/>
  <c r="C25" i="57"/>
  <c r="C26" i="57"/>
  <c r="C27" i="57"/>
  <c r="C28" i="57"/>
  <c r="C29" i="57"/>
  <c r="C30" i="57"/>
  <c r="C31" i="57"/>
  <c r="C32" i="57"/>
  <c r="C33" i="57"/>
  <c r="C34" i="57"/>
  <c r="C35" i="57"/>
  <c r="C36" i="57"/>
  <c r="C37" i="57"/>
  <c r="C38" i="57"/>
  <c r="C39" i="57"/>
  <c r="C40" i="57"/>
  <c r="C41" i="57"/>
  <c r="C42" i="57"/>
  <c r="C43" i="57"/>
  <c r="C44" i="57"/>
  <c r="C45" i="57"/>
  <c r="C46" i="57"/>
  <c r="C47" i="57"/>
  <c r="C48" i="57"/>
  <c r="C49" i="57"/>
  <c r="C50" i="57"/>
  <c r="C51" i="57"/>
  <c r="C52" i="57"/>
  <c r="C53" i="57"/>
  <c r="C2" i="57"/>
  <c r="C3" i="57"/>
  <c r="C4" i="57"/>
  <c r="C5" i="57"/>
  <c r="C6" i="57"/>
  <c r="C7" i="57"/>
  <c r="C8" i="57"/>
  <c r="C9" i="57"/>
  <c r="C10" i="57"/>
  <c r="C11" i="57"/>
  <c r="C12" i="57"/>
  <c r="C13" i="57"/>
  <c r="C14" i="57"/>
  <c r="C15" i="57"/>
  <c r="C16" i="57"/>
  <c r="C17" i="57"/>
  <c r="C18" i="57"/>
  <c r="C1" i="57"/>
  <c r="N94" i="56"/>
  <c r="N93" i="56"/>
  <c r="N90" i="56"/>
  <c r="N89" i="56"/>
  <c r="N88" i="56"/>
  <c r="N85" i="56"/>
  <c r="N84" i="56"/>
  <c r="N83" i="56"/>
  <c r="N82" i="56"/>
  <c r="N81" i="56"/>
  <c r="N78" i="56"/>
  <c r="N77" i="56"/>
  <c r="N76" i="56"/>
  <c r="N74" i="56"/>
  <c r="N71" i="56"/>
  <c r="N70" i="56"/>
  <c r="N68" i="56"/>
  <c r="N67" i="56"/>
  <c r="N66" i="56"/>
  <c r="N65" i="56"/>
  <c r="N64" i="56"/>
  <c r="N62" i="56"/>
  <c r="N61" i="56"/>
  <c r="N60" i="56"/>
  <c r="N58" i="56"/>
  <c r="N55" i="56"/>
  <c r="N52" i="56"/>
  <c r="N48" i="56"/>
  <c r="N46" i="56"/>
  <c r="N44" i="56"/>
  <c r="N41" i="56"/>
  <c r="N40" i="56"/>
  <c r="N38" i="56"/>
  <c r="N37" i="56"/>
  <c r="N35" i="56"/>
  <c r="N34" i="56"/>
  <c r="N33" i="56"/>
  <c r="N32" i="56"/>
  <c r="N31" i="56"/>
  <c r="N30" i="56"/>
  <c r="N29" i="56"/>
  <c r="N28" i="56"/>
  <c r="N25" i="56"/>
  <c r="N23" i="56"/>
  <c r="N22" i="56"/>
  <c r="N21" i="56"/>
  <c r="N19" i="56"/>
  <c r="N17" i="56"/>
  <c r="N16" i="56"/>
  <c r="N15" i="56"/>
  <c r="N11" i="56"/>
  <c r="N8" i="56"/>
  <c r="F94" i="56"/>
  <c r="F93" i="56"/>
  <c r="F92" i="56"/>
  <c r="F91" i="56"/>
  <c r="F90" i="56"/>
  <c r="F89" i="56"/>
  <c r="F88" i="56"/>
  <c r="F87" i="56"/>
  <c r="F86" i="56"/>
  <c r="F85" i="56"/>
  <c r="F84" i="56"/>
  <c r="F83" i="56"/>
  <c r="F82" i="56"/>
  <c r="F81" i="56"/>
  <c r="F80" i="56"/>
  <c r="F79" i="56"/>
  <c r="F78" i="56"/>
  <c r="F77" i="56"/>
  <c r="F76" i="56"/>
  <c r="F75" i="56"/>
  <c r="F74" i="56"/>
  <c r="F73" i="56"/>
  <c r="F72" i="56"/>
  <c r="F71" i="56"/>
  <c r="F70" i="56"/>
  <c r="F69" i="56"/>
  <c r="F68" i="56"/>
  <c r="F67" i="56"/>
  <c r="F66" i="56"/>
  <c r="F65" i="56"/>
  <c r="F64" i="56"/>
  <c r="F63" i="56"/>
  <c r="F62" i="56"/>
  <c r="F61" i="56"/>
  <c r="F60" i="56"/>
  <c r="F59" i="56"/>
  <c r="F58" i="56"/>
  <c r="F57" i="56"/>
  <c r="F56" i="56"/>
  <c r="F55" i="56"/>
  <c r="F54" i="56"/>
  <c r="F53" i="56"/>
  <c r="F52" i="56"/>
  <c r="F51" i="56"/>
  <c r="F50" i="56"/>
  <c r="F49" i="56"/>
  <c r="F48" i="56"/>
  <c r="F47" i="56"/>
  <c r="F46" i="56"/>
  <c r="F45" i="56"/>
  <c r="F44" i="56"/>
  <c r="F43" i="56"/>
  <c r="F42" i="56"/>
  <c r="F41" i="56"/>
  <c r="F40" i="56"/>
  <c r="F39" i="56"/>
  <c r="F38" i="56"/>
  <c r="F37" i="56"/>
  <c r="F36" i="56"/>
  <c r="F35" i="56"/>
  <c r="F34" i="56"/>
  <c r="F33" i="56"/>
  <c r="F32" i="56"/>
  <c r="F31" i="56"/>
  <c r="F30" i="56"/>
  <c r="F29" i="56"/>
  <c r="F28" i="56"/>
  <c r="F27" i="56"/>
  <c r="F26" i="56"/>
  <c r="F25" i="56"/>
  <c r="F24" i="56"/>
  <c r="F23" i="56"/>
  <c r="F22" i="56"/>
  <c r="F21" i="56"/>
  <c r="F20" i="56"/>
  <c r="F19" i="56"/>
  <c r="F18" i="56"/>
  <c r="F17" i="56"/>
  <c r="F16" i="56"/>
  <c r="F15" i="56"/>
  <c r="F14" i="56"/>
  <c r="F13" i="56"/>
  <c r="F12" i="56"/>
  <c r="F11" i="56"/>
  <c r="F10" i="56"/>
  <c r="F9" i="56"/>
  <c r="F8" i="56"/>
  <c r="F7" i="56"/>
  <c r="F6" i="56"/>
  <c r="F5" i="56"/>
  <c r="J94" i="56"/>
  <c r="A94" i="56"/>
  <c r="J93" i="56"/>
  <c r="A93" i="56"/>
  <c r="J92" i="56"/>
  <c r="A92" i="56"/>
  <c r="J91" i="56"/>
  <c r="A91" i="56"/>
  <c r="J90" i="56"/>
  <c r="A90" i="56"/>
  <c r="J89" i="56"/>
  <c r="A89" i="56"/>
  <c r="J88" i="56"/>
  <c r="A88" i="56"/>
  <c r="J87" i="56"/>
  <c r="A87" i="56"/>
  <c r="J86" i="56"/>
  <c r="A86" i="56"/>
  <c r="J85" i="56"/>
  <c r="A85" i="56"/>
  <c r="J84" i="56"/>
  <c r="A84" i="56"/>
  <c r="J83" i="56"/>
  <c r="A83" i="56"/>
  <c r="J82" i="56"/>
  <c r="A82" i="56"/>
  <c r="J81" i="56"/>
  <c r="A81" i="56"/>
  <c r="J80" i="56"/>
  <c r="A80" i="56"/>
  <c r="N79" i="56"/>
  <c r="J79" i="56"/>
  <c r="A79" i="56"/>
  <c r="J78" i="56"/>
  <c r="A78" i="56"/>
  <c r="J77" i="56"/>
  <c r="A77" i="56"/>
  <c r="J76" i="56"/>
  <c r="A76" i="56"/>
  <c r="J75" i="56"/>
  <c r="A75" i="56"/>
  <c r="J74" i="56"/>
  <c r="A74" i="56"/>
  <c r="J73" i="56"/>
  <c r="A73" i="56"/>
  <c r="J72" i="56"/>
  <c r="A72" i="56"/>
  <c r="J71" i="56"/>
  <c r="A71" i="56"/>
  <c r="J70" i="56"/>
  <c r="A70" i="56"/>
  <c r="J69" i="56"/>
  <c r="A69" i="56"/>
  <c r="J68" i="56"/>
  <c r="A68" i="56"/>
  <c r="J67" i="56"/>
  <c r="A67" i="56"/>
  <c r="J66" i="56"/>
  <c r="A66" i="56"/>
  <c r="J65" i="56"/>
  <c r="A65" i="56"/>
  <c r="J64" i="56"/>
  <c r="A64" i="56"/>
  <c r="J63" i="56"/>
  <c r="A63" i="56"/>
  <c r="J62" i="56"/>
  <c r="A62" i="56"/>
  <c r="J61" i="56"/>
  <c r="A61" i="56"/>
  <c r="J60" i="56"/>
  <c r="A60" i="56"/>
  <c r="J59" i="56"/>
  <c r="A59" i="56"/>
  <c r="J58" i="56"/>
  <c r="A58" i="56"/>
  <c r="J57" i="56"/>
  <c r="A57" i="56"/>
  <c r="J56" i="56"/>
  <c r="A56" i="56"/>
  <c r="J55" i="56"/>
  <c r="A55" i="56"/>
  <c r="J54" i="56"/>
  <c r="A54" i="56"/>
  <c r="J53" i="56"/>
  <c r="A53" i="56"/>
  <c r="J52" i="56"/>
  <c r="A52" i="56"/>
  <c r="J51" i="56"/>
  <c r="A51" i="56"/>
  <c r="J50" i="56"/>
  <c r="A50" i="56"/>
  <c r="N49" i="56"/>
  <c r="J49" i="56"/>
  <c r="A49" i="56"/>
  <c r="J48" i="56"/>
  <c r="A48" i="56"/>
  <c r="J47" i="56"/>
  <c r="A47" i="56"/>
  <c r="J46" i="56"/>
  <c r="A46" i="56"/>
  <c r="J45" i="56"/>
  <c r="A45" i="56"/>
  <c r="J44" i="56"/>
  <c r="A44" i="56"/>
  <c r="J43" i="56"/>
  <c r="A43" i="56"/>
  <c r="J42" i="56"/>
  <c r="A42" i="56"/>
  <c r="J41" i="56"/>
  <c r="A41" i="56"/>
  <c r="J40" i="56"/>
  <c r="A40" i="56"/>
  <c r="J39" i="56"/>
  <c r="A39" i="56"/>
  <c r="J38" i="56"/>
  <c r="A38" i="56"/>
  <c r="J37" i="56"/>
  <c r="A37" i="56"/>
  <c r="J36" i="56"/>
  <c r="A36" i="56"/>
  <c r="J35" i="56"/>
  <c r="A35" i="56"/>
  <c r="J34" i="56"/>
  <c r="A34" i="56"/>
  <c r="J33" i="56"/>
  <c r="A33" i="56"/>
  <c r="J32" i="56"/>
  <c r="A32" i="56"/>
  <c r="J31" i="56"/>
  <c r="A31" i="56"/>
  <c r="J30" i="56"/>
  <c r="A30" i="56"/>
  <c r="J29" i="56"/>
  <c r="A29" i="56"/>
  <c r="J28" i="56"/>
  <c r="A28" i="56"/>
  <c r="J27" i="56"/>
  <c r="A27" i="56"/>
  <c r="J26" i="56"/>
  <c r="A26" i="56"/>
  <c r="J25" i="56"/>
  <c r="A25" i="56"/>
  <c r="J24" i="56"/>
  <c r="A24" i="56"/>
  <c r="J23" i="56"/>
  <c r="A23" i="56"/>
  <c r="J22" i="56"/>
  <c r="A22" i="56"/>
  <c r="J21" i="56"/>
  <c r="A21" i="56"/>
  <c r="J20" i="56"/>
  <c r="A20" i="56"/>
  <c r="J19" i="56"/>
  <c r="A19" i="56"/>
  <c r="J18" i="56"/>
  <c r="A18" i="56"/>
  <c r="J17" i="56"/>
  <c r="A17" i="56"/>
  <c r="J16" i="56"/>
  <c r="A16" i="56"/>
  <c r="J15" i="56"/>
  <c r="A15" i="56"/>
  <c r="J14" i="56"/>
  <c r="A14" i="56"/>
  <c r="J13" i="56"/>
  <c r="A13" i="56"/>
  <c r="J12" i="56"/>
  <c r="A12" i="56"/>
  <c r="J11" i="56"/>
  <c r="A11" i="56"/>
  <c r="J10" i="56"/>
  <c r="A10" i="56"/>
  <c r="J9" i="56"/>
  <c r="A9" i="56"/>
  <c r="J8" i="56"/>
  <c r="A8" i="56"/>
  <c r="J7" i="56"/>
  <c r="A7" i="56"/>
  <c r="J6" i="56"/>
  <c r="A6" i="56"/>
  <c r="N5" i="56"/>
  <c r="J5" i="56"/>
  <c r="A5" i="56"/>
  <c r="H116" i="55"/>
  <c r="H115" i="55"/>
  <c r="AJ113" i="55"/>
  <c r="K111" i="55"/>
  <c r="J111" i="55"/>
  <c r="I111" i="55"/>
  <c r="H111" i="55"/>
  <c r="K110" i="55"/>
  <c r="J110" i="55"/>
  <c r="I110" i="55"/>
  <c r="H110" i="55"/>
  <c r="K109" i="55"/>
  <c r="J109" i="55"/>
  <c r="I109" i="55"/>
  <c r="H109" i="55"/>
  <c r="F107" i="55"/>
  <c r="E103" i="55"/>
  <c r="K100" i="55"/>
  <c r="D103" i="55"/>
  <c r="J100" i="55"/>
  <c r="N94" i="55"/>
  <c r="M94" i="55"/>
  <c r="AE93" i="55"/>
  <c r="AI93" i="55"/>
  <c r="P93" i="55"/>
  <c r="J93" i="55"/>
  <c r="U93" i="55"/>
  <c r="I93" i="55"/>
  <c r="T93" i="55"/>
  <c r="H93" i="55"/>
  <c r="S93" i="55"/>
  <c r="AE92" i="55"/>
  <c r="AI92" i="55"/>
  <c r="P92" i="55"/>
  <c r="J92" i="55"/>
  <c r="U92" i="55"/>
  <c r="I92" i="55"/>
  <c r="T92" i="55"/>
  <c r="H92" i="55"/>
  <c r="AE91" i="55"/>
  <c r="AI91" i="55"/>
  <c r="P91" i="55"/>
  <c r="J91" i="55"/>
  <c r="U91" i="55"/>
  <c r="I91" i="55"/>
  <c r="T91" i="55"/>
  <c r="H91" i="55"/>
  <c r="S91" i="55"/>
  <c r="AE90" i="55"/>
  <c r="AI90" i="55"/>
  <c r="P90" i="55"/>
  <c r="J90" i="55"/>
  <c r="I90" i="55"/>
  <c r="T90" i="55"/>
  <c r="H90" i="55"/>
  <c r="AE89" i="55"/>
  <c r="AI89" i="55"/>
  <c r="P89" i="55"/>
  <c r="J89" i="55"/>
  <c r="I89" i="55"/>
  <c r="T89" i="55"/>
  <c r="H89" i="55"/>
  <c r="S89" i="55"/>
  <c r="AE88" i="55"/>
  <c r="AI88" i="55"/>
  <c r="P88" i="55"/>
  <c r="J88" i="55"/>
  <c r="I88" i="55"/>
  <c r="T88" i="55"/>
  <c r="H88" i="55"/>
  <c r="AE87" i="55"/>
  <c r="AI87" i="55"/>
  <c r="P87" i="55"/>
  <c r="J87" i="55"/>
  <c r="I87" i="55"/>
  <c r="T87" i="55"/>
  <c r="H87" i="55"/>
  <c r="U87" i="55"/>
  <c r="AE86" i="55"/>
  <c r="AI86" i="55"/>
  <c r="J86" i="55"/>
  <c r="U86" i="55"/>
  <c r="I86" i="55"/>
  <c r="T86" i="55"/>
  <c r="H86" i="55"/>
  <c r="AE85" i="55"/>
  <c r="AI85" i="55"/>
  <c r="U85" i="55"/>
  <c r="T85" i="55"/>
  <c r="AE84" i="55"/>
  <c r="AI84" i="55"/>
  <c r="P84" i="55"/>
  <c r="J84" i="55"/>
  <c r="I84" i="55"/>
  <c r="AE83" i="55"/>
  <c r="AI83" i="55"/>
  <c r="P83" i="55"/>
  <c r="X83" i="55"/>
  <c r="AE82" i="55"/>
  <c r="AI82" i="55"/>
  <c r="P82" i="55"/>
  <c r="J82" i="55"/>
  <c r="I82" i="55"/>
  <c r="T82" i="55"/>
  <c r="H82" i="55"/>
  <c r="AE81" i="55"/>
  <c r="AI81" i="55"/>
  <c r="P81" i="55"/>
  <c r="J81" i="55"/>
  <c r="U81" i="55"/>
  <c r="I81" i="55"/>
  <c r="T81" i="55"/>
  <c r="H81" i="55"/>
  <c r="AE80" i="55"/>
  <c r="AI80" i="55"/>
  <c r="P80" i="55"/>
  <c r="J80" i="55"/>
  <c r="I80" i="55"/>
  <c r="T80" i="55"/>
  <c r="H80" i="55"/>
  <c r="S80" i="55"/>
  <c r="U80" i="55"/>
  <c r="AE79" i="55"/>
  <c r="AI79" i="55"/>
  <c r="J79" i="55"/>
  <c r="U79" i="55"/>
  <c r="I79" i="55"/>
  <c r="T79" i="55"/>
  <c r="H79" i="55"/>
  <c r="AE78" i="55"/>
  <c r="AI78" i="55"/>
  <c r="P78" i="55"/>
  <c r="AE77" i="55"/>
  <c r="AI77" i="55"/>
  <c r="P77" i="55"/>
  <c r="J77" i="55"/>
  <c r="I77" i="55"/>
  <c r="H77" i="55"/>
  <c r="U77" i="55"/>
  <c r="AE76" i="55"/>
  <c r="AI76" i="55"/>
  <c r="P76" i="55"/>
  <c r="J76" i="55"/>
  <c r="I76" i="55"/>
  <c r="H76" i="55"/>
  <c r="AE75" i="55"/>
  <c r="AI75" i="55"/>
  <c r="P75" i="55"/>
  <c r="J75" i="55"/>
  <c r="U75" i="55"/>
  <c r="I75" i="55"/>
  <c r="T75" i="55"/>
  <c r="H75" i="55"/>
  <c r="S75" i="55"/>
  <c r="AE74" i="55"/>
  <c r="AI74" i="55"/>
  <c r="P74" i="55"/>
  <c r="J74" i="55"/>
  <c r="I74" i="55"/>
  <c r="T74" i="55"/>
  <c r="H74" i="55"/>
  <c r="AE73" i="55"/>
  <c r="AI73" i="55"/>
  <c r="P73" i="55"/>
  <c r="J73" i="55"/>
  <c r="U73" i="55"/>
  <c r="I73" i="55"/>
  <c r="T73" i="55"/>
  <c r="H73" i="55"/>
  <c r="S73" i="55"/>
  <c r="AE72" i="55"/>
  <c r="AI72" i="55"/>
  <c r="J72" i="55"/>
  <c r="U72" i="55"/>
  <c r="I72" i="55"/>
  <c r="T72" i="55"/>
  <c r="H72" i="55"/>
  <c r="AE71" i="55"/>
  <c r="AI71" i="55"/>
  <c r="U71" i="55"/>
  <c r="T71" i="55"/>
  <c r="AE70" i="55"/>
  <c r="AI70" i="55"/>
  <c r="P70" i="55"/>
  <c r="J70" i="55"/>
  <c r="U70" i="55"/>
  <c r="I70" i="55"/>
  <c r="T70" i="55"/>
  <c r="H70" i="55"/>
  <c r="S70" i="55"/>
  <c r="AE69" i="55"/>
  <c r="AI69" i="55"/>
  <c r="P69" i="55"/>
  <c r="J69" i="55"/>
  <c r="U69" i="55"/>
  <c r="I69" i="55"/>
  <c r="H69" i="55"/>
  <c r="T69" i="55"/>
  <c r="AE68" i="55"/>
  <c r="AI68" i="55"/>
  <c r="S68" i="55"/>
  <c r="U68" i="55"/>
  <c r="T68" i="55"/>
  <c r="AE67" i="55"/>
  <c r="AI67" i="55"/>
  <c r="P67" i="55"/>
  <c r="J67" i="55"/>
  <c r="U67" i="55"/>
  <c r="I67" i="55"/>
  <c r="H67" i="55"/>
  <c r="S67" i="55"/>
  <c r="AE66" i="55"/>
  <c r="AI66" i="55"/>
  <c r="P66" i="55"/>
  <c r="J66" i="55"/>
  <c r="U66" i="55"/>
  <c r="I66" i="55"/>
  <c r="T66" i="55"/>
  <c r="H66" i="55"/>
  <c r="AE65" i="55"/>
  <c r="AI65" i="55"/>
  <c r="P65" i="55"/>
  <c r="J65" i="55"/>
  <c r="I65" i="55"/>
  <c r="H65" i="55"/>
  <c r="AE64" i="55"/>
  <c r="AI64" i="55"/>
  <c r="P64" i="55"/>
  <c r="J64" i="55"/>
  <c r="U64" i="55"/>
  <c r="I64" i="55"/>
  <c r="H64" i="55"/>
  <c r="F35" i="55"/>
  <c r="F34" i="55"/>
  <c r="F33" i="55"/>
  <c r="F32" i="55"/>
  <c r="F31" i="55"/>
  <c r="F30" i="55"/>
  <c r="F29" i="55"/>
  <c r="F28" i="55"/>
  <c r="F27" i="55"/>
  <c r="F26" i="55"/>
  <c r="F25" i="55"/>
  <c r="F24" i="55"/>
  <c r="F23" i="55"/>
  <c r="F22" i="55"/>
  <c r="F21" i="55"/>
  <c r="F20" i="55"/>
  <c r="F19" i="55"/>
  <c r="F18" i="55"/>
  <c r="F17" i="55"/>
  <c r="F16" i="55"/>
  <c r="F15" i="55"/>
  <c r="F14" i="55"/>
  <c r="F13" i="55"/>
  <c r="F12" i="55"/>
  <c r="F11" i="55"/>
  <c r="F10" i="55"/>
  <c r="F9" i="55"/>
  <c r="F8" i="55"/>
  <c r="F7" i="55"/>
  <c r="F6" i="55"/>
  <c r="U89" i="55"/>
  <c r="X89" i="55"/>
  <c r="AA89" i="55"/>
  <c r="X80" i="55"/>
  <c r="AA80" i="55"/>
  <c r="J101" i="55"/>
  <c r="J102" i="55"/>
  <c r="L109" i="55"/>
  <c r="P94" i="55"/>
  <c r="F103" i="55"/>
  <c r="AC105" i="55"/>
  <c r="K101" i="55"/>
  <c r="K102" i="55"/>
  <c r="X72" i="55"/>
  <c r="S72" i="55"/>
  <c r="AA72" i="55"/>
  <c r="X86" i="55"/>
  <c r="S77" i="55"/>
  <c r="X91" i="55"/>
  <c r="Y91" i="55"/>
  <c r="X79" i="55"/>
  <c r="S79" i="55"/>
  <c r="X90" i="55"/>
  <c r="S90" i="55"/>
  <c r="U90" i="55"/>
  <c r="AA90" i="55"/>
  <c r="X82" i="55"/>
  <c r="U84" i="55"/>
  <c r="S88" i="55"/>
  <c r="X69" i="55"/>
  <c r="S69" i="55"/>
  <c r="AA69" i="55"/>
  <c r="X92" i="55"/>
  <c r="S92" i="55"/>
  <c r="AA92" i="55"/>
  <c r="T76" i="55"/>
  <c r="X88" i="55"/>
  <c r="C94" i="55"/>
  <c r="X64" i="55"/>
  <c r="T67" i="55"/>
  <c r="X67" i="55"/>
  <c r="AA67" i="55"/>
  <c r="U76" i="55"/>
  <c r="X85" i="55"/>
  <c r="S85" i="55"/>
  <c r="AA85" i="55"/>
  <c r="U82" i="55"/>
  <c r="T84" i="55"/>
  <c r="S86" i="55"/>
  <c r="T65" i="55"/>
  <c r="U65" i="55"/>
  <c r="U74" i="55"/>
  <c r="U88" i="55"/>
  <c r="T64" i="55"/>
  <c r="D94" i="55"/>
  <c r="T77" i="55"/>
  <c r="X84" i="55"/>
  <c r="H84" i="55"/>
  <c r="S84" i="55"/>
  <c r="X65" i="55"/>
  <c r="S65" i="55"/>
  <c r="X76" i="55"/>
  <c r="S76" i="55"/>
  <c r="S66" i="55"/>
  <c r="X71" i="55"/>
  <c r="S71" i="55"/>
  <c r="AA71" i="55"/>
  <c r="X75" i="55"/>
  <c r="Y75" i="55"/>
  <c r="X74" i="55"/>
  <c r="S74" i="55"/>
  <c r="AA74" i="55"/>
  <c r="S82" i="55"/>
  <c r="AA82" i="55"/>
  <c r="S81" i="55"/>
  <c r="S87" i="55"/>
  <c r="L110" i="55"/>
  <c r="X78" i="55"/>
  <c r="X81" i="55"/>
  <c r="X87" i="55"/>
  <c r="X93" i="55"/>
  <c r="AA93" i="55"/>
  <c r="E94" i="55"/>
  <c r="X77" i="55"/>
  <c r="X66" i="55"/>
  <c r="Z80" i="55"/>
  <c r="AG80" i="55"/>
  <c r="E51" i="56"/>
  <c r="D51" i="56" s="1"/>
  <c r="X68" i="55"/>
  <c r="Y68" i="55"/>
  <c r="X73" i="55"/>
  <c r="Y73" i="55"/>
  <c r="X70" i="55"/>
  <c r="Y70" i="55"/>
  <c r="C83" i="54"/>
  <c r="C84" i="54"/>
  <c r="C85" i="54"/>
  <c r="C86" i="54"/>
  <c r="C87" i="54"/>
  <c r="C88" i="54"/>
  <c r="C89" i="54"/>
  <c r="C90" i="54"/>
  <c r="C91" i="54"/>
  <c r="C92" i="54"/>
  <c r="C93" i="54"/>
  <c r="C94" i="54"/>
  <c r="C95" i="54"/>
  <c r="C96" i="54"/>
  <c r="C97" i="54"/>
  <c r="C98" i="54"/>
  <c r="C99" i="54"/>
  <c r="C100" i="54"/>
  <c r="C101" i="54"/>
  <c r="C102" i="54"/>
  <c r="C103" i="54"/>
  <c r="C104" i="54"/>
  <c r="C105" i="54"/>
  <c r="C106" i="54"/>
  <c r="C107" i="54"/>
  <c r="C108" i="54"/>
  <c r="C109" i="54"/>
  <c r="C110" i="54"/>
  <c r="C111" i="54"/>
  <c r="C112" i="54"/>
  <c r="C113" i="54"/>
  <c r="C114" i="54"/>
  <c r="C115" i="54"/>
  <c r="C116" i="54"/>
  <c r="C117" i="54"/>
  <c r="C118" i="54"/>
  <c r="C119" i="54"/>
  <c r="C120" i="54"/>
  <c r="C121" i="54"/>
  <c r="C122" i="54"/>
  <c r="C123" i="54"/>
  <c r="C124" i="54"/>
  <c r="C125" i="54"/>
  <c r="C126" i="54"/>
  <c r="C127" i="54"/>
  <c r="C128" i="54"/>
  <c r="C129" i="54"/>
  <c r="C130" i="54"/>
  <c r="C131" i="54"/>
  <c r="C132" i="54"/>
  <c r="C133" i="54"/>
  <c r="C134" i="54"/>
  <c r="C135" i="54"/>
  <c r="C136" i="54"/>
  <c r="C80" i="54"/>
  <c r="C81" i="54"/>
  <c r="C82" i="54"/>
  <c r="C74" i="54"/>
  <c r="C75" i="54"/>
  <c r="C76" i="54"/>
  <c r="C77" i="54"/>
  <c r="C78" i="54"/>
  <c r="C79" i="54"/>
  <c r="C73" i="54"/>
  <c r="AA87" i="55"/>
  <c r="AH87" i="55"/>
  <c r="E88" i="56"/>
  <c r="D88" i="56" s="1"/>
  <c r="AA81" i="55"/>
  <c r="AA66" i="55"/>
  <c r="AA86" i="55"/>
  <c r="AA88" i="55"/>
  <c r="AH88" i="55"/>
  <c r="E89" i="56"/>
  <c r="D89" i="56" s="1"/>
  <c r="AC106" i="55"/>
  <c r="AC104" i="55"/>
  <c r="AC107" i="55"/>
  <c r="Z67" i="55"/>
  <c r="AG67" i="55"/>
  <c r="E38" i="56"/>
  <c r="D38" i="56" s="1"/>
  <c r="AA76" i="55"/>
  <c r="AA64" i="55"/>
  <c r="AA68" i="55"/>
  <c r="L111" i="55"/>
  <c r="AA73" i="55"/>
  <c r="AH73" i="55"/>
  <c r="E74" i="56"/>
  <c r="D74" i="56" s="1"/>
  <c r="AA91" i="55"/>
  <c r="AH93" i="55"/>
  <c r="E94" i="56"/>
  <c r="D94" i="56" s="1"/>
  <c r="AA65" i="55"/>
  <c r="AA70" i="55"/>
  <c r="AH70" i="55"/>
  <c r="E71" i="56"/>
  <c r="D71" i="56" s="1"/>
  <c r="AA84" i="55"/>
  <c r="AA79" i="55"/>
  <c r="AA77" i="55"/>
  <c r="AA75" i="55"/>
  <c r="AH75" i="55"/>
  <c r="E75" i="56"/>
  <c r="D75" i="56" s="1"/>
  <c r="AH91" i="55"/>
  <c r="E92" i="56"/>
  <c r="D92" i="56" s="1"/>
  <c r="Y64" i="55"/>
  <c r="Z91" i="55"/>
  <c r="AG91" i="55"/>
  <c r="E62" i="56"/>
  <c r="D62" i="56" s="1"/>
  <c r="AH89" i="55"/>
  <c r="E90" i="56"/>
  <c r="D90" i="56" s="1"/>
  <c r="Y80" i="55"/>
  <c r="AF80" i="55"/>
  <c r="E21" i="56"/>
  <c r="D21" i="56" s="1"/>
  <c r="AH80" i="55"/>
  <c r="E81" i="56"/>
  <c r="D81" i="56" s="1"/>
  <c r="Z68" i="55"/>
  <c r="AG68" i="55"/>
  <c r="E39" i="56"/>
  <c r="D39" i="56" s="1"/>
  <c r="AH68" i="55"/>
  <c r="E69" i="56"/>
  <c r="D69" i="56" s="1"/>
  <c r="AF68" i="55"/>
  <c r="E9" i="56"/>
  <c r="D9" i="56" s="1"/>
  <c r="AF75" i="55"/>
  <c r="E15" i="56"/>
  <c r="D15" i="56" s="1"/>
  <c r="AF70" i="55"/>
  <c r="E11" i="56"/>
  <c r="D11" i="56" s="1"/>
  <c r="AF91" i="55"/>
  <c r="E32" i="56"/>
  <c r="D32" i="56" s="1"/>
  <c r="AF73" i="55"/>
  <c r="E18" i="56"/>
  <c r="D18" i="56" s="1"/>
  <c r="AH90" i="55"/>
  <c r="E91" i="56"/>
  <c r="D91" i="56" s="1"/>
  <c r="Z90" i="55"/>
  <c r="AG90" i="55"/>
  <c r="E61" i="56"/>
  <c r="D61" i="56" s="1"/>
  <c r="Y90" i="55"/>
  <c r="AH74" i="55"/>
  <c r="E78" i="56"/>
  <c r="D78" i="56" s="1"/>
  <c r="Z74" i="55"/>
  <c r="AG74" i="55"/>
  <c r="E48" i="56"/>
  <c r="D48" i="56" s="1"/>
  <c r="Y74" i="55"/>
  <c r="Y93" i="55"/>
  <c r="Z75" i="55"/>
  <c r="AG75" i="55"/>
  <c r="E45" i="56"/>
  <c r="D45" i="56" s="1"/>
  <c r="AH67" i="55"/>
  <c r="E68" i="56"/>
  <c r="D68" i="56" s="1"/>
  <c r="Z93" i="55"/>
  <c r="AG93" i="55"/>
  <c r="E64" i="56"/>
  <c r="D64" i="56" s="1"/>
  <c r="Y79" i="55"/>
  <c r="AH79" i="55"/>
  <c r="E80" i="56"/>
  <c r="D80" i="56" s="1"/>
  <c r="Z79" i="55"/>
  <c r="AG79" i="55"/>
  <c r="E50" i="56"/>
  <c r="D50" i="56" s="1"/>
  <c r="Y82" i="55"/>
  <c r="AH82" i="55"/>
  <c r="E83" i="56"/>
  <c r="D83" i="56" s="1"/>
  <c r="Z82" i="55"/>
  <c r="AG82" i="55"/>
  <c r="E53" i="56"/>
  <c r="D53" i="56" s="1"/>
  <c r="Z87" i="55"/>
  <c r="AG87" i="55"/>
  <c r="E58" i="56"/>
  <c r="D58" i="56" s="1"/>
  <c r="Y87" i="55"/>
  <c r="Z65" i="55"/>
  <c r="Y65" i="55"/>
  <c r="Y67" i="55"/>
  <c r="Z89" i="55"/>
  <c r="AG89" i="55"/>
  <c r="E60" i="56"/>
  <c r="D60" i="56" s="1"/>
  <c r="AH71" i="55"/>
  <c r="E72" i="56"/>
  <c r="D72" i="56" s="1"/>
  <c r="Z71" i="55"/>
  <c r="AG71" i="55"/>
  <c r="E42" i="56"/>
  <c r="D42" i="56" s="1"/>
  <c r="Y71" i="55"/>
  <c r="AG102" i="55"/>
  <c r="C100" i="55"/>
  <c r="Z64" i="55"/>
  <c r="Y81" i="55"/>
  <c r="AH81" i="55"/>
  <c r="E82" i="56"/>
  <c r="D82" i="56" s="1"/>
  <c r="Z81" i="55"/>
  <c r="AG81" i="55"/>
  <c r="E52" i="56"/>
  <c r="D52" i="56" s="1"/>
  <c r="AH92" i="55"/>
  <c r="E93" i="56"/>
  <c r="D93" i="56" s="1"/>
  <c r="Z92" i="55"/>
  <c r="AG92" i="55"/>
  <c r="E63" i="56"/>
  <c r="D63" i="56" s="1"/>
  <c r="Y92" i="55"/>
  <c r="Z70" i="55"/>
  <c r="AG70" i="55"/>
  <c r="E41" i="56"/>
  <c r="D41" i="56" s="1"/>
  <c r="Y89" i="55"/>
  <c r="AH72" i="55"/>
  <c r="E73" i="56"/>
  <c r="D73" i="56" s="1"/>
  <c r="Z72" i="55"/>
  <c r="AG72" i="55"/>
  <c r="E43" i="56"/>
  <c r="D43" i="56" s="1"/>
  <c r="Y72" i="55"/>
  <c r="Z86" i="55"/>
  <c r="AG86" i="55"/>
  <c r="E57" i="56"/>
  <c r="D57" i="56" s="1"/>
  <c r="AH86" i="55"/>
  <c r="E87" i="56"/>
  <c r="D87" i="56" s="1"/>
  <c r="Y86" i="55"/>
  <c r="AH66" i="55"/>
  <c r="E67" i="56"/>
  <c r="D67" i="56" s="1"/>
  <c r="Z66" i="55"/>
  <c r="AG66" i="55"/>
  <c r="E37" i="56"/>
  <c r="D37" i="56" s="1"/>
  <c r="Y66" i="55"/>
  <c r="Z73" i="55"/>
  <c r="AG73" i="55"/>
  <c r="E44" i="56"/>
  <c r="D44" i="56" s="1"/>
  <c r="C101" i="55"/>
  <c r="AG103" i="55"/>
  <c r="Y76" i="55"/>
  <c r="AH76" i="55"/>
  <c r="E76" i="56"/>
  <c r="D76" i="56" s="1"/>
  <c r="Z76" i="55"/>
  <c r="AG76" i="55"/>
  <c r="E46" i="56"/>
  <c r="D46" i="56" s="1"/>
  <c r="AH84" i="55"/>
  <c r="E85" i="56"/>
  <c r="D85" i="56" s="1"/>
  <c r="Z84" i="55"/>
  <c r="AG84" i="55"/>
  <c r="E55" i="56"/>
  <c r="D55" i="56" s="1"/>
  <c r="Y84" i="55"/>
  <c r="Y85" i="55"/>
  <c r="AH85" i="55"/>
  <c r="E86" i="56"/>
  <c r="D86" i="56" s="1"/>
  <c r="Z85" i="55"/>
  <c r="AG85" i="55"/>
  <c r="E56" i="56"/>
  <c r="D56" i="56" s="1"/>
  <c r="Y88" i="55"/>
  <c r="Z88" i="55"/>
  <c r="AG88" i="55"/>
  <c r="E59" i="56"/>
  <c r="D59" i="56" s="1"/>
  <c r="AG104" i="55"/>
  <c r="C102" i="55"/>
  <c r="Z69" i="55"/>
  <c r="AG69" i="55"/>
  <c r="E40" i="56"/>
  <c r="D40" i="56" s="1"/>
  <c r="AH69" i="55"/>
  <c r="E70" i="56"/>
  <c r="D70" i="56" s="1"/>
  <c r="Y69" i="55"/>
  <c r="Z77" i="55"/>
  <c r="AG77" i="55"/>
  <c r="E47" i="56"/>
  <c r="D47" i="56" s="1"/>
  <c r="AH77" i="55"/>
  <c r="E77" i="56"/>
  <c r="D77" i="56" s="1"/>
  <c r="Y77" i="55"/>
  <c r="A5" i="53"/>
  <c r="F5" i="53"/>
  <c r="J5" i="53"/>
  <c r="N5" i="53"/>
  <c r="A6" i="53"/>
  <c r="F6" i="53"/>
  <c r="J6" i="53"/>
  <c r="N6" i="53"/>
  <c r="A7" i="53"/>
  <c r="F7" i="53"/>
  <c r="J7" i="53"/>
  <c r="N7" i="53"/>
  <c r="A8" i="53"/>
  <c r="F8" i="53"/>
  <c r="J8" i="53"/>
  <c r="N8" i="53"/>
  <c r="A9" i="53"/>
  <c r="F9" i="53"/>
  <c r="J9" i="53"/>
  <c r="N9" i="53"/>
  <c r="A10" i="53"/>
  <c r="F10" i="53"/>
  <c r="J10" i="53"/>
  <c r="N10" i="53"/>
  <c r="A11" i="53"/>
  <c r="F11" i="53"/>
  <c r="J11" i="53"/>
  <c r="N11" i="53"/>
  <c r="A12" i="53"/>
  <c r="F12" i="53"/>
  <c r="J12" i="53"/>
  <c r="N12" i="53"/>
  <c r="A13" i="53"/>
  <c r="F13" i="53"/>
  <c r="J13" i="53"/>
  <c r="N13" i="53"/>
  <c r="A14" i="53"/>
  <c r="F14" i="53"/>
  <c r="J14" i="53"/>
  <c r="N14" i="53"/>
  <c r="A15" i="53"/>
  <c r="F15" i="53"/>
  <c r="J15" i="53"/>
  <c r="N15" i="53"/>
  <c r="A16" i="53"/>
  <c r="F16" i="53"/>
  <c r="J16" i="53"/>
  <c r="N16" i="53"/>
  <c r="A17" i="53"/>
  <c r="F17" i="53"/>
  <c r="J17" i="53"/>
  <c r="N17" i="53"/>
  <c r="A18" i="53"/>
  <c r="F18" i="53"/>
  <c r="J18" i="53"/>
  <c r="N18" i="53"/>
  <c r="A19" i="53"/>
  <c r="F19" i="53"/>
  <c r="J19" i="53"/>
  <c r="N19" i="53"/>
  <c r="A20" i="53"/>
  <c r="F20" i="53"/>
  <c r="J20" i="53"/>
  <c r="N20" i="53"/>
  <c r="A21" i="53"/>
  <c r="F21" i="53"/>
  <c r="J21" i="53"/>
  <c r="N21" i="53"/>
  <c r="A22" i="53"/>
  <c r="F22" i="53"/>
  <c r="J22" i="53"/>
  <c r="N22" i="53"/>
  <c r="A23" i="53"/>
  <c r="F23" i="53"/>
  <c r="J23" i="53"/>
  <c r="N23" i="53"/>
  <c r="A24" i="53"/>
  <c r="F24" i="53"/>
  <c r="J24" i="53"/>
  <c r="N24" i="53"/>
  <c r="A25" i="53"/>
  <c r="F25" i="53"/>
  <c r="J25" i="53"/>
  <c r="N25" i="53"/>
  <c r="A26" i="53"/>
  <c r="F26" i="53"/>
  <c r="J26" i="53"/>
  <c r="N26" i="53"/>
  <c r="A27" i="53"/>
  <c r="F27" i="53"/>
  <c r="J27" i="53"/>
  <c r="N27" i="53"/>
  <c r="A28" i="53"/>
  <c r="F28" i="53"/>
  <c r="J28" i="53"/>
  <c r="N28" i="53"/>
  <c r="A29" i="53"/>
  <c r="F29" i="53"/>
  <c r="J29" i="53"/>
  <c r="N29" i="53"/>
  <c r="A30" i="53"/>
  <c r="F30" i="53"/>
  <c r="J30" i="53"/>
  <c r="N30" i="53"/>
  <c r="A31" i="53"/>
  <c r="F31" i="53"/>
  <c r="J31" i="53"/>
  <c r="N31" i="53"/>
  <c r="A32" i="53"/>
  <c r="F32" i="53"/>
  <c r="J32" i="53"/>
  <c r="N32" i="53"/>
  <c r="A33" i="53"/>
  <c r="F33" i="53"/>
  <c r="J33" i="53"/>
  <c r="N33" i="53"/>
  <c r="A34" i="53"/>
  <c r="F34" i="53"/>
  <c r="J34" i="53"/>
  <c r="N34" i="53"/>
  <c r="A35" i="53"/>
  <c r="F35" i="53"/>
  <c r="J35" i="53"/>
  <c r="N35" i="53"/>
  <c r="A36" i="53"/>
  <c r="F36" i="53"/>
  <c r="J36" i="53"/>
  <c r="N36" i="53"/>
  <c r="A37" i="53"/>
  <c r="F37" i="53"/>
  <c r="J37" i="53"/>
  <c r="N37" i="53"/>
  <c r="A38" i="53"/>
  <c r="F38" i="53"/>
  <c r="J38" i="53"/>
  <c r="N38" i="53"/>
  <c r="A39" i="53"/>
  <c r="F39" i="53"/>
  <c r="J39" i="53"/>
  <c r="N39" i="53"/>
  <c r="A40" i="53"/>
  <c r="F40" i="53"/>
  <c r="J40" i="53"/>
  <c r="N40" i="53"/>
  <c r="A41" i="53"/>
  <c r="F41" i="53"/>
  <c r="J41" i="53"/>
  <c r="N41" i="53"/>
  <c r="A42" i="53"/>
  <c r="F42" i="53"/>
  <c r="J42" i="53"/>
  <c r="N42" i="53"/>
  <c r="A43" i="53"/>
  <c r="F43" i="53"/>
  <c r="J43" i="53"/>
  <c r="N43" i="53"/>
  <c r="A44" i="53"/>
  <c r="F44" i="53"/>
  <c r="J44" i="53"/>
  <c r="N44" i="53"/>
  <c r="A45" i="53"/>
  <c r="F45" i="53"/>
  <c r="J45" i="53"/>
  <c r="N45" i="53"/>
  <c r="A46" i="53"/>
  <c r="F46" i="53"/>
  <c r="J46" i="53"/>
  <c r="N46" i="53"/>
  <c r="A47" i="53"/>
  <c r="F47" i="53"/>
  <c r="J47" i="53"/>
  <c r="N47" i="53"/>
  <c r="A48" i="53"/>
  <c r="F48" i="53"/>
  <c r="J48" i="53"/>
  <c r="N48" i="53"/>
  <c r="A49" i="53"/>
  <c r="F49" i="53"/>
  <c r="J49" i="53"/>
  <c r="N49" i="53"/>
  <c r="A50" i="53"/>
  <c r="F50" i="53"/>
  <c r="J50" i="53"/>
  <c r="N50" i="53"/>
  <c r="A51" i="53"/>
  <c r="F51" i="53"/>
  <c r="J51" i="53"/>
  <c r="N51" i="53"/>
  <c r="A52" i="53"/>
  <c r="F52" i="53"/>
  <c r="J52" i="53"/>
  <c r="N52" i="53"/>
  <c r="A53" i="53"/>
  <c r="F53" i="53"/>
  <c r="J53" i="53"/>
  <c r="N53" i="53"/>
  <c r="A54" i="53"/>
  <c r="F54" i="53"/>
  <c r="J54" i="53"/>
  <c r="N54" i="53"/>
  <c r="A55" i="53"/>
  <c r="F55" i="53"/>
  <c r="J55" i="53"/>
  <c r="N55" i="53"/>
  <c r="A56" i="53"/>
  <c r="F56" i="53"/>
  <c r="J56" i="53"/>
  <c r="N56" i="53"/>
  <c r="A57" i="53"/>
  <c r="F57" i="53"/>
  <c r="J57" i="53"/>
  <c r="N57" i="53"/>
  <c r="A58" i="53"/>
  <c r="F58" i="53"/>
  <c r="J58" i="53"/>
  <c r="N58" i="53"/>
  <c r="A59" i="53"/>
  <c r="F59" i="53"/>
  <c r="J59" i="53"/>
  <c r="N59" i="53"/>
  <c r="A60" i="53"/>
  <c r="F60" i="53"/>
  <c r="J60" i="53"/>
  <c r="N60" i="53"/>
  <c r="A61" i="53"/>
  <c r="F61" i="53"/>
  <c r="J61" i="53"/>
  <c r="N61" i="53"/>
  <c r="A62" i="53"/>
  <c r="F62" i="53"/>
  <c r="J62" i="53"/>
  <c r="N62" i="53"/>
  <c r="A63" i="53"/>
  <c r="F63" i="53"/>
  <c r="J63" i="53"/>
  <c r="N63" i="53"/>
  <c r="A64" i="53"/>
  <c r="F64" i="53"/>
  <c r="J64" i="53"/>
  <c r="N64" i="53"/>
  <c r="A65" i="53"/>
  <c r="F65" i="53"/>
  <c r="J65" i="53"/>
  <c r="N65" i="53"/>
  <c r="A66" i="53"/>
  <c r="F66" i="53"/>
  <c r="J66" i="53"/>
  <c r="N66" i="53"/>
  <c r="A67" i="53"/>
  <c r="F67" i="53"/>
  <c r="J67" i="53"/>
  <c r="N67" i="53"/>
  <c r="A68" i="53"/>
  <c r="F68" i="53"/>
  <c r="J68" i="53"/>
  <c r="N68" i="53"/>
  <c r="A69" i="53"/>
  <c r="F69" i="53"/>
  <c r="J69" i="53"/>
  <c r="N69" i="53"/>
  <c r="A70" i="53"/>
  <c r="F70" i="53"/>
  <c r="J70" i="53"/>
  <c r="N70" i="53"/>
  <c r="A71" i="53"/>
  <c r="F71" i="53"/>
  <c r="J71" i="53"/>
  <c r="N71" i="53"/>
  <c r="A72" i="53"/>
  <c r="F72" i="53"/>
  <c r="J72" i="53"/>
  <c r="N72" i="53"/>
  <c r="A73" i="53"/>
  <c r="F73" i="53"/>
  <c r="J73" i="53"/>
  <c r="N73" i="53"/>
  <c r="A74" i="53"/>
  <c r="F74" i="53"/>
  <c r="J74" i="53"/>
  <c r="N74" i="53"/>
  <c r="A75" i="53"/>
  <c r="F75" i="53"/>
  <c r="J75" i="53"/>
  <c r="N75" i="53"/>
  <c r="A76" i="53"/>
  <c r="F76" i="53"/>
  <c r="J76" i="53"/>
  <c r="N76" i="53"/>
  <c r="A77" i="53"/>
  <c r="F77" i="53"/>
  <c r="J77" i="53"/>
  <c r="N77" i="53"/>
  <c r="A78" i="53"/>
  <c r="F78" i="53"/>
  <c r="J78" i="53"/>
  <c r="N78" i="53"/>
  <c r="A79" i="53"/>
  <c r="F79" i="53"/>
  <c r="J79" i="53"/>
  <c r="N79" i="53"/>
  <c r="A80" i="53"/>
  <c r="F80" i="53"/>
  <c r="J80" i="53"/>
  <c r="N80" i="53"/>
  <c r="A81" i="53"/>
  <c r="F81" i="53"/>
  <c r="J81" i="53"/>
  <c r="N81" i="53"/>
  <c r="A82" i="53"/>
  <c r="F82" i="53"/>
  <c r="J82" i="53"/>
  <c r="N82" i="53"/>
  <c r="A83" i="53"/>
  <c r="F83" i="53"/>
  <c r="J83" i="53"/>
  <c r="N83" i="53"/>
  <c r="A84" i="53"/>
  <c r="F84" i="53"/>
  <c r="J84" i="53"/>
  <c r="N84" i="53"/>
  <c r="A85" i="53"/>
  <c r="F85" i="53"/>
  <c r="J85" i="53"/>
  <c r="N85" i="53"/>
  <c r="A86" i="53"/>
  <c r="F86" i="53"/>
  <c r="J86" i="53"/>
  <c r="N86" i="53"/>
  <c r="A87" i="53"/>
  <c r="F87" i="53"/>
  <c r="J87" i="53"/>
  <c r="N87" i="53"/>
  <c r="A88" i="53"/>
  <c r="F88" i="53"/>
  <c r="J88" i="53"/>
  <c r="N88" i="53"/>
  <c r="A89" i="53"/>
  <c r="F89" i="53"/>
  <c r="J89" i="53"/>
  <c r="N89" i="53"/>
  <c r="A90" i="53"/>
  <c r="F90" i="53"/>
  <c r="J90" i="53"/>
  <c r="N90" i="53"/>
  <c r="A91" i="53"/>
  <c r="F91" i="53"/>
  <c r="J91" i="53"/>
  <c r="N91" i="53"/>
  <c r="A92" i="53"/>
  <c r="F92" i="53"/>
  <c r="J92" i="53"/>
  <c r="N92" i="53"/>
  <c r="A93" i="53"/>
  <c r="F93" i="53"/>
  <c r="J93" i="53"/>
  <c r="N93" i="53"/>
  <c r="A94" i="53"/>
  <c r="F94" i="53"/>
  <c r="J94" i="53"/>
  <c r="N94" i="53"/>
  <c r="AC68" i="55"/>
  <c r="AD68" i="55"/>
  <c r="AC91" i="55"/>
  <c r="AD91" i="55"/>
  <c r="AH65" i="55"/>
  <c r="E66" i="56"/>
  <c r="D66" i="56" s="1"/>
  <c r="AG65" i="55"/>
  <c r="E36" i="56"/>
  <c r="D36" i="56" s="1"/>
  <c r="AC80" i="55"/>
  <c r="AD80" i="55"/>
  <c r="AF89" i="55"/>
  <c r="E30" i="56"/>
  <c r="D30" i="56" s="1"/>
  <c r="AC89" i="55"/>
  <c r="AD89" i="55"/>
  <c r="AF79" i="55"/>
  <c r="E20" i="56"/>
  <c r="D20" i="56" s="1"/>
  <c r="AC79" i="55"/>
  <c r="AD79" i="55"/>
  <c r="AC70" i="55"/>
  <c r="AD70" i="55"/>
  <c r="AF81" i="55"/>
  <c r="E22" i="56"/>
  <c r="D22" i="56" s="1"/>
  <c r="AC81" i="55"/>
  <c r="AD81" i="55"/>
  <c r="AF74" i="55"/>
  <c r="E14" i="56"/>
  <c r="D14" i="56" s="1"/>
  <c r="AC74" i="55"/>
  <c r="AD74" i="55"/>
  <c r="AF77" i="55"/>
  <c r="E17" i="56"/>
  <c r="D17" i="56" s="1"/>
  <c r="AC77" i="55"/>
  <c r="AD77" i="55"/>
  <c r="K115" i="55"/>
  <c r="AF86" i="55"/>
  <c r="E27" i="56"/>
  <c r="D27" i="56" s="1"/>
  <c r="AC86" i="55"/>
  <c r="AD86" i="55"/>
  <c r="AF64" i="55"/>
  <c r="E5" i="56"/>
  <c r="D5" i="56" s="1"/>
  <c r="AC64" i="55"/>
  <c r="AF76" i="55"/>
  <c r="E16" i="56"/>
  <c r="D16" i="56" s="1"/>
  <c r="AC76" i="55"/>
  <c r="AD76" i="55"/>
  <c r="AG64" i="55"/>
  <c r="E35" i="56"/>
  <c r="D35" i="56" s="1"/>
  <c r="AC75" i="55"/>
  <c r="AD75" i="55"/>
  <c r="AF67" i="55"/>
  <c r="E8" i="56"/>
  <c r="D8" i="56" s="1"/>
  <c r="AC67" i="55"/>
  <c r="AD67" i="55"/>
  <c r="AH64" i="55"/>
  <c r="E65" i="56"/>
  <c r="D65" i="56" s="1"/>
  <c r="AF90" i="55"/>
  <c r="E31" i="56"/>
  <c r="D31" i="56" s="1"/>
  <c r="AC90" i="55"/>
  <c r="AD90" i="55"/>
  <c r="AF92" i="55"/>
  <c r="E33" i="56"/>
  <c r="D33" i="56" s="1"/>
  <c r="AC92" i="55"/>
  <c r="AD92" i="55"/>
  <c r="AF84" i="55"/>
  <c r="E25" i="56"/>
  <c r="D25" i="56" s="1"/>
  <c r="AC84" i="55"/>
  <c r="AD84" i="55"/>
  <c r="AF65" i="55"/>
  <c r="E6" i="56"/>
  <c r="D6" i="56" s="1"/>
  <c r="AC65" i="55"/>
  <c r="AD65" i="55"/>
  <c r="AF66" i="55"/>
  <c r="E7" i="56"/>
  <c r="D7" i="56" s="1"/>
  <c r="AC66" i="55"/>
  <c r="AD66" i="55"/>
  <c r="AF93" i="55"/>
  <c r="E34" i="56"/>
  <c r="D34" i="56" s="1"/>
  <c r="AC93" i="55"/>
  <c r="AD93" i="55"/>
  <c r="C103" i="55"/>
  <c r="L115" i="55"/>
  <c r="I115" i="55"/>
  <c r="AF69" i="55"/>
  <c r="E10" i="56"/>
  <c r="D10" i="56" s="1"/>
  <c r="AC69" i="55"/>
  <c r="AD69" i="55"/>
  <c r="AF72" i="55"/>
  <c r="E13" i="56"/>
  <c r="D13" i="56" s="1"/>
  <c r="AC72" i="55"/>
  <c r="AD72" i="55"/>
  <c r="AG105" i="55"/>
  <c r="AF82" i="55"/>
  <c r="E23" i="56"/>
  <c r="D23" i="56" s="1"/>
  <c r="AC82" i="55"/>
  <c r="AD82" i="55"/>
  <c r="AF85" i="55"/>
  <c r="E26" i="56"/>
  <c r="D26" i="56" s="1"/>
  <c r="AC85" i="55"/>
  <c r="AD85" i="55"/>
  <c r="AF87" i="55"/>
  <c r="E28" i="56"/>
  <c r="D28" i="56" s="1"/>
  <c r="AC87" i="55"/>
  <c r="AD87" i="55"/>
  <c r="AF88" i="55"/>
  <c r="E29" i="56"/>
  <c r="D29" i="56" s="1"/>
  <c r="AC88" i="55"/>
  <c r="AD88" i="55"/>
  <c r="J115" i="55"/>
  <c r="AF71" i="55"/>
  <c r="E12" i="56"/>
  <c r="D12" i="56" s="1"/>
  <c r="AC71" i="55"/>
  <c r="AD71" i="55"/>
  <c r="AC73" i="55"/>
  <c r="AD73" i="55"/>
  <c r="Z3" i="51"/>
  <c r="Z4" i="51"/>
  <c r="Z5" i="51"/>
  <c r="Z6" i="51"/>
  <c r="Z7" i="51"/>
  <c r="Z8" i="51"/>
  <c r="Z9" i="51"/>
  <c r="Z10" i="51"/>
  <c r="Z11" i="51"/>
  <c r="Z12" i="51"/>
  <c r="Z13" i="51"/>
  <c r="Z14" i="51"/>
  <c r="Z15" i="51"/>
  <c r="Z16" i="51"/>
  <c r="Z17" i="51"/>
  <c r="Z18" i="51"/>
  <c r="Z19" i="51"/>
  <c r="Z20" i="51"/>
  <c r="Z21" i="51"/>
  <c r="Z22" i="51"/>
  <c r="Z23" i="51"/>
  <c r="Z24" i="51"/>
  <c r="Z25" i="51"/>
  <c r="Z26" i="51"/>
  <c r="Z27" i="51"/>
  <c r="Z28" i="51"/>
  <c r="Z29" i="51"/>
  <c r="Z30" i="51"/>
  <c r="Z31" i="51"/>
  <c r="Z32" i="51"/>
  <c r="Z33" i="51"/>
  <c r="Z34" i="51"/>
  <c r="Z35" i="51"/>
  <c r="Z36" i="51"/>
  <c r="Z37" i="51"/>
  <c r="Z38" i="51"/>
  <c r="Z39" i="51"/>
  <c r="Z40" i="51"/>
  <c r="Z41" i="51"/>
  <c r="Z42" i="51"/>
  <c r="Z43" i="51"/>
  <c r="Z44" i="51"/>
  <c r="Z45" i="51"/>
  <c r="Z46" i="51"/>
  <c r="Z47" i="51"/>
  <c r="Z48" i="51"/>
  <c r="Z49" i="51"/>
  <c r="Z50" i="51"/>
  <c r="Z51" i="51"/>
  <c r="Z52" i="51"/>
  <c r="Z53" i="51"/>
  <c r="Z54" i="51"/>
  <c r="Z55" i="51"/>
  <c r="Z56" i="51"/>
  <c r="Z57" i="51"/>
  <c r="Z58" i="51"/>
  <c r="Z59" i="51"/>
  <c r="Z60" i="51"/>
  <c r="Z61" i="51"/>
  <c r="Z62" i="51"/>
  <c r="Z63" i="51"/>
  <c r="Z64" i="51"/>
  <c r="Z65" i="51"/>
  <c r="Z66" i="51"/>
  <c r="Z67" i="51"/>
  <c r="Z68" i="51"/>
  <c r="Z69" i="51"/>
  <c r="Z70" i="51"/>
  <c r="Z71" i="51"/>
  <c r="Z72" i="51"/>
  <c r="Z73" i="51"/>
  <c r="Z74" i="51"/>
  <c r="Z75" i="51"/>
  <c r="Z76" i="51"/>
  <c r="Z77" i="51"/>
  <c r="Z78" i="51"/>
  <c r="Z79" i="51"/>
  <c r="Z80" i="51"/>
  <c r="Z81" i="51"/>
  <c r="Z82" i="51"/>
  <c r="Z83" i="51"/>
  <c r="Z84" i="51"/>
  <c r="Z85" i="51"/>
  <c r="Z86" i="51"/>
  <c r="Z87" i="51"/>
  <c r="Z88" i="51"/>
  <c r="Z89" i="51"/>
  <c r="Z90" i="51"/>
  <c r="Z91" i="51"/>
  <c r="Z92" i="51"/>
  <c r="Z93" i="51"/>
  <c r="Z94" i="51"/>
  <c r="Z95" i="51"/>
  <c r="Z96" i="51"/>
  <c r="Z97" i="51"/>
  <c r="Z98" i="51"/>
  <c r="Z99" i="51"/>
  <c r="Z100" i="51"/>
  <c r="Z101" i="51"/>
  <c r="Z2" i="51"/>
  <c r="AD64" i="55"/>
  <c r="I102" i="55"/>
  <c r="I101" i="55"/>
  <c r="I111" i="44"/>
  <c r="I110" i="44"/>
  <c r="I109" i="44"/>
  <c r="J111" i="44"/>
  <c r="J110" i="44"/>
  <c r="J109" i="44"/>
  <c r="K111" i="44"/>
  <c r="K110" i="44"/>
  <c r="K109" i="44"/>
  <c r="H116" i="44"/>
  <c r="H111" i="44"/>
  <c r="H110" i="44"/>
  <c r="H109" i="44"/>
  <c r="H115" i="44"/>
  <c r="F18" i="44"/>
  <c r="F7" i="44"/>
  <c r="F8" i="44"/>
  <c r="F9" i="44"/>
  <c r="F10" i="44"/>
  <c r="F11" i="44"/>
  <c r="F12" i="44"/>
  <c r="F13" i="44"/>
  <c r="F14" i="44"/>
  <c r="F15" i="44"/>
  <c r="F16" i="44"/>
  <c r="F17" i="44"/>
  <c r="F19" i="44"/>
  <c r="F20" i="44"/>
  <c r="F21" i="44"/>
  <c r="F22" i="44"/>
  <c r="F23" i="44"/>
  <c r="F24" i="44"/>
  <c r="F25" i="44"/>
  <c r="F26" i="44"/>
  <c r="F27" i="44"/>
  <c r="F28" i="44"/>
  <c r="F29" i="44"/>
  <c r="F30" i="44"/>
  <c r="F31" i="44"/>
  <c r="F32" i="44"/>
  <c r="F33" i="44"/>
  <c r="F34" i="44"/>
  <c r="F35" i="44"/>
  <c r="F6" i="44"/>
  <c r="P64" i="44"/>
  <c r="N93" i="52"/>
  <c r="N90" i="52"/>
  <c r="N89" i="52"/>
  <c r="N88" i="52"/>
  <c r="N82" i="52"/>
  <c r="N81" i="52"/>
  <c r="N79" i="52"/>
  <c r="N78" i="52"/>
  <c r="N74" i="52"/>
  <c r="N71" i="52"/>
  <c r="N68" i="52"/>
  <c r="N67" i="52"/>
  <c r="N66" i="52"/>
  <c r="N64" i="52"/>
  <c r="N62" i="52"/>
  <c r="N61" i="52"/>
  <c r="N60" i="52"/>
  <c r="N58" i="52"/>
  <c r="N52" i="52"/>
  <c r="N49" i="52"/>
  <c r="N48" i="52"/>
  <c r="N46" i="52"/>
  <c r="N44" i="52"/>
  <c r="N41" i="52"/>
  <c r="N40" i="52"/>
  <c r="N38" i="52"/>
  <c r="N37" i="52"/>
  <c r="N35" i="52"/>
  <c r="N33" i="52"/>
  <c r="N32" i="52"/>
  <c r="N30" i="52"/>
  <c r="N29" i="52"/>
  <c r="N28" i="52"/>
  <c r="N22" i="52"/>
  <c r="N21" i="52"/>
  <c r="N19" i="52"/>
  <c r="N17" i="52"/>
  <c r="N16" i="52"/>
  <c r="N15" i="52"/>
  <c r="N11" i="52"/>
  <c r="N5" i="52"/>
  <c r="AI113" i="44"/>
  <c r="D29" i="37"/>
  <c r="F6" i="52"/>
  <c r="F7" i="52"/>
  <c r="F8" i="52"/>
  <c r="F9" i="52"/>
  <c r="F10" i="52"/>
  <c r="F11" i="52"/>
  <c r="F12" i="52"/>
  <c r="F13" i="52"/>
  <c r="F14" i="52"/>
  <c r="F15" i="52"/>
  <c r="F16" i="52"/>
  <c r="F17" i="52"/>
  <c r="F18" i="52"/>
  <c r="F19" i="52"/>
  <c r="F20" i="52"/>
  <c r="F21" i="52"/>
  <c r="F22" i="52"/>
  <c r="F23" i="52"/>
  <c r="F24" i="52"/>
  <c r="F25" i="52"/>
  <c r="F26" i="52"/>
  <c r="F27" i="52"/>
  <c r="F28" i="52"/>
  <c r="F29" i="52"/>
  <c r="F30" i="52"/>
  <c r="F31" i="52"/>
  <c r="F32" i="52"/>
  <c r="F33" i="52"/>
  <c r="F34" i="52"/>
  <c r="F35" i="52"/>
  <c r="F36" i="52"/>
  <c r="F37" i="52"/>
  <c r="F38" i="52"/>
  <c r="F39" i="52"/>
  <c r="F40" i="52"/>
  <c r="F41" i="52"/>
  <c r="F42" i="52"/>
  <c r="F43" i="52"/>
  <c r="F44" i="52"/>
  <c r="F45" i="52"/>
  <c r="F46" i="52"/>
  <c r="F47" i="52"/>
  <c r="F48" i="52"/>
  <c r="F49" i="52"/>
  <c r="F50" i="52"/>
  <c r="F51" i="52"/>
  <c r="F52" i="52"/>
  <c r="F53" i="52"/>
  <c r="F54" i="52"/>
  <c r="F55" i="52"/>
  <c r="F56" i="52"/>
  <c r="F57" i="52"/>
  <c r="F58" i="52"/>
  <c r="F59" i="52"/>
  <c r="F60" i="52"/>
  <c r="F61" i="52"/>
  <c r="F62" i="52"/>
  <c r="F63" i="52"/>
  <c r="F64" i="52"/>
  <c r="F65" i="52"/>
  <c r="F66" i="52"/>
  <c r="F67" i="52"/>
  <c r="F68" i="52"/>
  <c r="F69" i="52"/>
  <c r="F70" i="52"/>
  <c r="F71" i="52"/>
  <c r="F72" i="52"/>
  <c r="F73" i="52"/>
  <c r="F74" i="52"/>
  <c r="F75" i="52"/>
  <c r="F76" i="52"/>
  <c r="F77" i="52"/>
  <c r="F78" i="52"/>
  <c r="F79" i="52"/>
  <c r="F80" i="52"/>
  <c r="F81" i="52"/>
  <c r="F82" i="52"/>
  <c r="F83" i="52"/>
  <c r="F84" i="52"/>
  <c r="F85" i="52"/>
  <c r="F86" i="52"/>
  <c r="F87" i="52"/>
  <c r="F88" i="52"/>
  <c r="F89" i="52"/>
  <c r="F90" i="52"/>
  <c r="F91" i="52"/>
  <c r="F92" i="52"/>
  <c r="F93" i="52"/>
  <c r="F94" i="52"/>
  <c r="F5" i="52"/>
  <c r="J6" i="52"/>
  <c r="J7" i="52"/>
  <c r="J8" i="52"/>
  <c r="J9" i="52"/>
  <c r="J10" i="52"/>
  <c r="J11" i="52"/>
  <c r="J12" i="52"/>
  <c r="J13" i="52"/>
  <c r="J14" i="52"/>
  <c r="J15" i="52"/>
  <c r="J16" i="52"/>
  <c r="J17" i="52"/>
  <c r="J18" i="52"/>
  <c r="J19" i="52"/>
  <c r="J20" i="52"/>
  <c r="J21" i="52"/>
  <c r="J22" i="52"/>
  <c r="J23" i="52"/>
  <c r="J24" i="52"/>
  <c r="J25" i="52"/>
  <c r="J26" i="52"/>
  <c r="J27" i="52"/>
  <c r="J28" i="52"/>
  <c r="J29" i="52"/>
  <c r="J30" i="52"/>
  <c r="J31" i="52"/>
  <c r="J32" i="52"/>
  <c r="J33" i="52"/>
  <c r="J34" i="52"/>
  <c r="J35" i="52"/>
  <c r="J36" i="52"/>
  <c r="J37" i="52"/>
  <c r="J38" i="52"/>
  <c r="J39" i="52"/>
  <c r="J40" i="52"/>
  <c r="J41" i="52"/>
  <c r="J42" i="52"/>
  <c r="J43" i="52"/>
  <c r="J44" i="52"/>
  <c r="J45" i="52"/>
  <c r="J46" i="52"/>
  <c r="J47" i="52"/>
  <c r="J48" i="52"/>
  <c r="J49" i="52"/>
  <c r="J50" i="52"/>
  <c r="J51" i="52"/>
  <c r="J52" i="52"/>
  <c r="J53" i="52"/>
  <c r="J54" i="52"/>
  <c r="J55" i="52"/>
  <c r="J56" i="52"/>
  <c r="J57" i="52"/>
  <c r="J58" i="52"/>
  <c r="J59" i="52"/>
  <c r="J60" i="52"/>
  <c r="J61" i="52"/>
  <c r="J62" i="52"/>
  <c r="J63" i="52"/>
  <c r="J64" i="52"/>
  <c r="J65" i="52"/>
  <c r="J66" i="52"/>
  <c r="J67" i="52"/>
  <c r="J68" i="52"/>
  <c r="J69" i="52"/>
  <c r="J70" i="52"/>
  <c r="J71" i="52"/>
  <c r="J72" i="52"/>
  <c r="J73" i="52"/>
  <c r="J74" i="52"/>
  <c r="J75" i="52"/>
  <c r="J76" i="52"/>
  <c r="J77" i="52"/>
  <c r="J78" i="52"/>
  <c r="J79" i="52"/>
  <c r="J80" i="52"/>
  <c r="J81" i="52"/>
  <c r="J82" i="52"/>
  <c r="J83" i="52"/>
  <c r="J84" i="52"/>
  <c r="J85" i="52"/>
  <c r="J86" i="52"/>
  <c r="J87" i="52"/>
  <c r="J88" i="52"/>
  <c r="J89" i="52"/>
  <c r="J90" i="52"/>
  <c r="J91" i="52"/>
  <c r="J92" i="52"/>
  <c r="J93" i="52"/>
  <c r="J94" i="52"/>
  <c r="J5" i="52"/>
  <c r="AD65" i="44"/>
  <c r="AH65" i="44"/>
  <c r="AD81" i="44"/>
  <c r="AH81" i="44"/>
  <c r="AD93" i="44"/>
  <c r="AH93" i="44"/>
  <c r="AD66" i="44"/>
  <c r="AH66" i="44"/>
  <c r="AD67" i="44"/>
  <c r="AH67" i="44"/>
  <c r="AD68" i="44"/>
  <c r="AH68" i="44"/>
  <c r="AD69" i="44"/>
  <c r="AH69" i="44"/>
  <c r="AD70" i="44"/>
  <c r="AH70" i="44"/>
  <c r="AD71" i="44"/>
  <c r="AH71" i="44"/>
  <c r="AD72" i="44"/>
  <c r="AH72" i="44"/>
  <c r="AD74" i="44"/>
  <c r="AH74" i="44"/>
  <c r="AD75" i="44"/>
  <c r="AH75" i="44"/>
  <c r="AD76" i="44"/>
  <c r="AH76" i="44"/>
  <c r="AD77" i="44"/>
  <c r="AH77" i="44"/>
  <c r="AD73" i="44"/>
  <c r="AH73" i="44"/>
  <c r="AD78" i="44"/>
  <c r="AH78" i="44"/>
  <c r="AD79" i="44"/>
  <c r="AH79" i="44"/>
  <c r="AD80" i="44"/>
  <c r="AH80" i="44"/>
  <c r="AD82" i="44"/>
  <c r="AH82" i="44"/>
  <c r="AD83" i="44"/>
  <c r="AH83" i="44"/>
  <c r="AD84" i="44"/>
  <c r="AH84" i="44"/>
  <c r="AD85" i="44"/>
  <c r="AH85" i="44"/>
  <c r="AD86" i="44"/>
  <c r="AH86" i="44"/>
  <c r="AD87" i="44"/>
  <c r="AH87" i="44"/>
  <c r="AD88" i="44"/>
  <c r="AH88" i="44"/>
  <c r="AD89" i="44"/>
  <c r="AH89" i="44"/>
  <c r="AD90" i="44"/>
  <c r="AH90" i="44"/>
  <c r="AD91" i="44"/>
  <c r="AH91" i="44"/>
  <c r="AD92" i="44"/>
  <c r="AH92" i="44"/>
  <c r="AD64" i="44"/>
  <c r="AH64" i="44"/>
  <c r="A6" i="52"/>
  <c r="A7" i="52"/>
  <c r="A8" i="52"/>
  <c r="A9" i="52"/>
  <c r="A10" i="52"/>
  <c r="A11" i="52"/>
  <c r="A12" i="52"/>
  <c r="A13" i="52"/>
  <c r="A14" i="52"/>
  <c r="A15" i="52"/>
  <c r="A16" i="52"/>
  <c r="A17" i="52"/>
  <c r="A18" i="52"/>
  <c r="A19" i="52"/>
  <c r="A20" i="52"/>
  <c r="A21" i="52"/>
  <c r="A22" i="52"/>
  <c r="A23" i="52"/>
  <c r="A24" i="52"/>
  <c r="A25" i="52"/>
  <c r="A26" i="52"/>
  <c r="A27" i="52"/>
  <c r="A28" i="52"/>
  <c r="A29" i="52"/>
  <c r="A30" i="52"/>
  <c r="A31" i="52"/>
  <c r="A32" i="52"/>
  <c r="A33" i="52"/>
  <c r="A34" i="52"/>
  <c r="A35" i="52"/>
  <c r="A36" i="52"/>
  <c r="A37" i="52"/>
  <c r="A38" i="52"/>
  <c r="A39" i="52"/>
  <c r="A40" i="52"/>
  <c r="A41" i="52"/>
  <c r="A42" i="52"/>
  <c r="A43" i="52"/>
  <c r="A44" i="52"/>
  <c r="A45" i="52"/>
  <c r="A46" i="52"/>
  <c r="A47" i="52"/>
  <c r="A48" i="52"/>
  <c r="A49" i="52"/>
  <c r="A50" i="52"/>
  <c r="A51" i="52"/>
  <c r="A52" i="52"/>
  <c r="A53" i="52"/>
  <c r="A54" i="52"/>
  <c r="A55" i="52"/>
  <c r="A56" i="52"/>
  <c r="A57" i="52"/>
  <c r="A58" i="52"/>
  <c r="A59" i="52"/>
  <c r="A60" i="52"/>
  <c r="A61" i="52"/>
  <c r="A62" i="52"/>
  <c r="A63" i="52"/>
  <c r="A64" i="52"/>
  <c r="A65" i="52"/>
  <c r="A66" i="52"/>
  <c r="A67" i="52"/>
  <c r="A68" i="52"/>
  <c r="A69" i="52"/>
  <c r="A70" i="52"/>
  <c r="A71" i="52"/>
  <c r="A72" i="52"/>
  <c r="A73" i="52"/>
  <c r="A74" i="52"/>
  <c r="A75" i="52"/>
  <c r="A76" i="52"/>
  <c r="A77" i="52"/>
  <c r="A78" i="52"/>
  <c r="A79" i="52"/>
  <c r="A80" i="52"/>
  <c r="A81" i="52"/>
  <c r="A82" i="52"/>
  <c r="A83" i="52"/>
  <c r="A84" i="52"/>
  <c r="A85" i="52"/>
  <c r="A86" i="52"/>
  <c r="A87" i="52"/>
  <c r="A88" i="52"/>
  <c r="A89" i="52"/>
  <c r="A90" i="52"/>
  <c r="A91" i="52"/>
  <c r="A92" i="52"/>
  <c r="A93" i="52"/>
  <c r="A94" i="52"/>
  <c r="A5" i="52"/>
  <c r="P77" i="44"/>
  <c r="E103" i="44"/>
  <c r="L110" i="44"/>
  <c r="D103" i="44"/>
  <c r="L109" i="44"/>
  <c r="J101" i="44"/>
  <c r="K102" i="44"/>
  <c r="F107" i="44"/>
  <c r="M94" i="44"/>
  <c r="N94" i="44"/>
  <c r="P80" i="44"/>
  <c r="P81" i="44"/>
  <c r="P82" i="44"/>
  <c r="P83" i="44"/>
  <c r="P84" i="44"/>
  <c r="P87" i="44"/>
  <c r="P88" i="44"/>
  <c r="P89" i="44"/>
  <c r="P90" i="44"/>
  <c r="P91" i="44"/>
  <c r="P92" i="44"/>
  <c r="P93" i="44"/>
  <c r="P75" i="44"/>
  <c r="P76" i="44"/>
  <c r="P73" i="44"/>
  <c r="P78" i="44"/>
  <c r="P65" i="44"/>
  <c r="P66" i="44"/>
  <c r="P67" i="44"/>
  <c r="P69" i="44"/>
  <c r="P70" i="44"/>
  <c r="P74" i="44"/>
  <c r="E106" i="34"/>
  <c r="F106" i="34" s="1"/>
  <c r="B99" i="40" s="1"/>
  <c r="E102" i="34"/>
  <c r="F102" i="34" s="1"/>
  <c r="B95" i="40" s="1"/>
  <c r="E100" i="34"/>
  <c r="F100" i="34" s="1"/>
  <c r="E88" i="34"/>
  <c r="F88" i="34" s="1"/>
  <c r="B81" i="40" s="1"/>
  <c r="E79" i="34"/>
  <c r="F79" i="34" s="1"/>
  <c r="B72" i="40" s="1"/>
  <c r="E55" i="34"/>
  <c r="F55" i="34" s="1"/>
  <c r="B53" i="40" s="1"/>
  <c r="E36" i="34"/>
  <c r="F36" i="34" s="1"/>
  <c r="B34" i="40" s="1"/>
  <c r="E25" i="34"/>
  <c r="F25" i="34"/>
  <c r="B23" i="40" s="1"/>
  <c r="F9" i="34"/>
  <c r="B9" i="40" s="1"/>
  <c r="P94" i="44"/>
  <c r="F103" i="44"/>
  <c r="L111" i="44"/>
  <c r="J102" i="44"/>
  <c r="K100" i="44"/>
  <c r="K101" i="44"/>
  <c r="J100" i="44"/>
  <c r="J86" i="44"/>
  <c r="I86" i="44"/>
  <c r="H86" i="44"/>
  <c r="H79" i="44"/>
  <c r="I79" i="44"/>
  <c r="J79" i="44"/>
  <c r="H75" i="44"/>
  <c r="I75" i="44"/>
  <c r="J75" i="44"/>
  <c r="H76" i="44"/>
  <c r="I76" i="44"/>
  <c r="J76" i="44"/>
  <c r="H77" i="44"/>
  <c r="I77" i="44"/>
  <c r="J77" i="44"/>
  <c r="H73" i="44"/>
  <c r="I73" i="44"/>
  <c r="J73" i="44"/>
  <c r="H80" i="44"/>
  <c r="I80" i="44"/>
  <c r="J80" i="44"/>
  <c r="H81" i="44"/>
  <c r="I81" i="44"/>
  <c r="J81" i="44"/>
  <c r="H82" i="44"/>
  <c r="I82" i="44"/>
  <c r="J82" i="44"/>
  <c r="I84" i="44"/>
  <c r="J84" i="44"/>
  <c r="H87" i="44"/>
  <c r="I87" i="44"/>
  <c r="J87" i="44"/>
  <c r="H88" i="44"/>
  <c r="I88" i="44"/>
  <c r="J88" i="44"/>
  <c r="H89" i="44"/>
  <c r="I89" i="44"/>
  <c r="J89" i="44"/>
  <c r="H90" i="44"/>
  <c r="I90" i="44"/>
  <c r="J90" i="44"/>
  <c r="H91" i="44"/>
  <c r="I91" i="44"/>
  <c r="J91" i="44"/>
  <c r="H92" i="44"/>
  <c r="I92" i="44"/>
  <c r="J92" i="44"/>
  <c r="H93" i="44"/>
  <c r="I93" i="44"/>
  <c r="J93" i="44"/>
  <c r="H65" i="44"/>
  <c r="I65" i="44"/>
  <c r="J65" i="44"/>
  <c r="H66" i="44"/>
  <c r="I66" i="44"/>
  <c r="J66" i="44"/>
  <c r="H67" i="44"/>
  <c r="I67" i="44"/>
  <c r="J67" i="44"/>
  <c r="H69" i="44"/>
  <c r="I69" i="44"/>
  <c r="J69" i="44"/>
  <c r="H70" i="44"/>
  <c r="I70" i="44"/>
  <c r="J70" i="44"/>
  <c r="H72" i="44"/>
  <c r="I72" i="44"/>
  <c r="J72" i="44"/>
  <c r="H74" i="44"/>
  <c r="I74" i="44"/>
  <c r="J74" i="44"/>
  <c r="J64" i="44"/>
  <c r="I64" i="44"/>
  <c r="H64" i="44"/>
  <c r="AB104" i="44"/>
  <c r="AB105" i="44"/>
  <c r="AB106" i="44"/>
  <c r="B55" i="50"/>
  <c r="B56" i="50"/>
  <c r="B57" i="50"/>
  <c r="AB107" i="44"/>
  <c r="A3" i="50"/>
  <c r="A4" i="50"/>
  <c r="A5" i="50"/>
  <c r="A6" i="50"/>
  <c r="A7" i="50"/>
  <c r="B7" i="50"/>
  <c r="A8" i="50"/>
  <c r="B8" i="50"/>
  <c r="A9" i="50"/>
  <c r="A10" i="50"/>
  <c r="A11" i="50"/>
  <c r="A12" i="50"/>
  <c r="B12" i="50"/>
  <c r="A13" i="50"/>
  <c r="A14" i="50"/>
  <c r="A15" i="50"/>
  <c r="A16" i="50"/>
  <c r="A17" i="50"/>
  <c r="A18" i="50"/>
  <c r="A19" i="50"/>
  <c r="A20" i="50"/>
  <c r="A21" i="50"/>
  <c r="A22" i="50"/>
  <c r="A23" i="50"/>
  <c r="B23" i="50"/>
  <c r="A24" i="50"/>
  <c r="B24" i="50"/>
  <c r="A25" i="50"/>
  <c r="A26" i="50"/>
  <c r="A27" i="50"/>
  <c r="A28" i="50"/>
  <c r="A29" i="50"/>
  <c r="A30" i="50"/>
  <c r="A31" i="50"/>
  <c r="A32" i="50"/>
  <c r="A33" i="50"/>
  <c r="A34" i="50"/>
  <c r="A35" i="50"/>
  <c r="A36" i="50"/>
  <c r="A37" i="50"/>
  <c r="A38" i="50"/>
  <c r="A39" i="50"/>
  <c r="B39" i="50"/>
  <c r="A40" i="50"/>
  <c r="A41" i="50"/>
  <c r="A42" i="50"/>
  <c r="A43" i="50"/>
  <c r="A44" i="50"/>
  <c r="A45" i="50"/>
  <c r="A46" i="50"/>
  <c r="A47" i="50"/>
  <c r="A48" i="50"/>
  <c r="A49" i="50"/>
  <c r="A50" i="50"/>
  <c r="A51" i="50"/>
  <c r="A52" i="50"/>
  <c r="A53" i="50"/>
  <c r="A54" i="50"/>
  <c r="A58" i="50"/>
  <c r="B58" i="50"/>
  <c r="A59" i="50"/>
  <c r="B59" i="50"/>
  <c r="A60" i="50"/>
  <c r="A61" i="50"/>
  <c r="A62" i="50"/>
  <c r="A63" i="50"/>
  <c r="B63" i="50"/>
  <c r="A64" i="50"/>
  <c r="A65" i="50"/>
  <c r="B65" i="50"/>
  <c r="A66" i="50"/>
  <c r="A67" i="50"/>
  <c r="B67" i="50"/>
  <c r="A68" i="50"/>
  <c r="B68" i="50"/>
  <c r="A69" i="50"/>
  <c r="A70" i="50"/>
  <c r="A71" i="50"/>
  <c r="A72" i="50"/>
  <c r="A73" i="50"/>
  <c r="A74" i="50"/>
  <c r="A75" i="50"/>
  <c r="A76" i="50"/>
  <c r="A77" i="50"/>
  <c r="A78" i="50"/>
  <c r="A79" i="50"/>
  <c r="A80" i="50"/>
  <c r="A81" i="50"/>
  <c r="A82" i="50"/>
  <c r="A83" i="50"/>
  <c r="A84" i="50"/>
  <c r="A85" i="50"/>
  <c r="A86" i="50"/>
  <c r="A87" i="50"/>
  <c r="A88" i="50"/>
  <c r="A89" i="50"/>
  <c r="A90" i="50"/>
  <c r="B90" i="50"/>
  <c r="A91" i="50"/>
  <c r="B91" i="50"/>
  <c r="A92" i="50"/>
  <c r="A93" i="50"/>
  <c r="A94" i="50"/>
  <c r="A95" i="50"/>
  <c r="B95" i="50"/>
  <c r="A96" i="50"/>
  <c r="B96" i="50"/>
  <c r="A97" i="50"/>
  <c r="B97" i="50"/>
  <c r="A98" i="50"/>
  <c r="B98" i="50"/>
  <c r="A99" i="50"/>
  <c r="A100" i="50"/>
  <c r="A101" i="50"/>
  <c r="A102" i="50"/>
  <c r="A103" i="50"/>
  <c r="A104" i="50"/>
  <c r="A105" i="50"/>
  <c r="A106" i="50"/>
  <c r="A107" i="50"/>
  <c r="A108" i="50"/>
  <c r="A109" i="50"/>
  <c r="A110" i="50"/>
  <c r="A111" i="50"/>
  <c r="A112" i="50"/>
  <c r="A113" i="50"/>
  <c r="A114" i="50"/>
  <c r="A115" i="50"/>
  <c r="A116" i="50"/>
  <c r="B116" i="50"/>
  <c r="A117" i="50"/>
  <c r="C117" i="50"/>
  <c r="A118" i="50"/>
  <c r="C118" i="50"/>
  <c r="A119" i="50"/>
  <c r="C119" i="50"/>
  <c r="A120" i="50"/>
  <c r="C120" i="50"/>
  <c r="A121" i="50"/>
  <c r="C121" i="50"/>
  <c r="A122" i="50"/>
  <c r="B122" i="50"/>
  <c r="A123" i="50"/>
  <c r="B123" i="50"/>
  <c r="A124" i="50"/>
  <c r="C124" i="50"/>
  <c r="A125" i="50"/>
  <c r="C125" i="50"/>
  <c r="A126" i="50"/>
  <c r="C126" i="50"/>
  <c r="A127" i="50"/>
  <c r="B127" i="50"/>
  <c r="A128" i="50"/>
  <c r="C128" i="50"/>
  <c r="A129" i="50"/>
  <c r="C129" i="50"/>
  <c r="A130" i="50"/>
  <c r="C130" i="50"/>
  <c r="A131" i="50"/>
  <c r="C131" i="50"/>
  <c r="A132" i="50"/>
  <c r="C132" i="50"/>
  <c r="A133" i="50"/>
  <c r="C133" i="50"/>
  <c r="A134" i="50"/>
  <c r="C134" i="50"/>
  <c r="A135" i="50"/>
  <c r="C135" i="50"/>
  <c r="A136" i="50"/>
  <c r="C136" i="50"/>
  <c r="A137" i="50"/>
  <c r="C137" i="50"/>
  <c r="A138" i="50"/>
  <c r="B138" i="50"/>
  <c r="A139" i="50"/>
  <c r="B139" i="50"/>
  <c r="A140" i="50"/>
  <c r="C140" i="50"/>
  <c r="A141" i="50"/>
  <c r="C141" i="50"/>
  <c r="A142" i="50"/>
  <c r="C142" i="50"/>
  <c r="A143" i="50"/>
  <c r="C143" i="50"/>
  <c r="A144" i="50"/>
  <c r="C144" i="50"/>
  <c r="A145" i="50"/>
  <c r="C145" i="50"/>
  <c r="A146" i="50"/>
  <c r="C146" i="50"/>
  <c r="A147" i="50"/>
  <c r="C147" i="50"/>
  <c r="A148" i="50"/>
  <c r="C148" i="50"/>
  <c r="A149" i="50"/>
  <c r="C149" i="50"/>
  <c r="A150" i="50"/>
  <c r="C150" i="50"/>
  <c r="A151" i="50"/>
  <c r="C151" i="50"/>
  <c r="A152" i="50"/>
  <c r="C152" i="50"/>
  <c r="A153" i="50"/>
  <c r="C153" i="50"/>
  <c r="A154" i="50"/>
  <c r="B154" i="50"/>
  <c r="A155" i="50"/>
  <c r="B155" i="50"/>
  <c r="A156" i="50"/>
  <c r="C156" i="50"/>
  <c r="A157" i="50"/>
  <c r="C157" i="50"/>
  <c r="A158" i="50"/>
  <c r="C158" i="50"/>
  <c r="A159" i="50"/>
  <c r="C159" i="50"/>
  <c r="A160" i="50"/>
  <c r="C160" i="50"/>
  <c r="A161" i="50"/>
  <c r="C161" i="50"/>
  <c r="A162" i="50"/>
  <c r="C162" i="50"/>
  <c r="A163" i="50"/>
  <c r="C163" i="50"/>
  <c r="A164" i="50"/>
  <c r="C164" i="50"/>
  <c r="A165" i="50"/>
  <c r="C165" i="50"/>
  <c r="A166" i="50"/>
  <c r="C166" i="50"/>
  <c r="A167" i="50"/>
  <c r="C167" i="50"/>
  <c r="A168" i="50"/>
  <c r="C168" i="50"/>
  <c r="A169" i="50"/>
  <c r="C169" i="50"/>
  <c r="A170" i="50"/>
  <c r="B170" i="50"/>
  <c r="A171" i="50"/>
  <c r="B171" i="50"/>
  <c r="A172" i="50"/>
  <c r="C172" i="50"/>
  <c r="A173" i="50"/>
  <c r="C173" i="50"/>
  <c r="A174" i="50"/>
  <c r="C174" i="50"/>
  <c r="A175" i="50"/>
  <c r="B175" i="50"/>
  <c r="A176" i="50"/>
  <c r="B176" i="50"/>
  <c r="A177" i="50"/>
  <c r="B177" i="50"/>
  <c r="A178" i="50"/>
  <c r="B178" i="50"/>
  <c r="A179" i="50"/>
  <c r="B179" i="50"/>
  <c r="A180" i="50"/>
  <c r="C180" i="50"/>
  <c r="A181" i="50"/>
  <c r="B181" i="50"/>
  <c r="A182" i="50"/>
  <c r="C182" i="50"/>
  <c r="A183" i="50"/>
  <c r="C183" i="50"/>
  <c r="A184" i="50"/>
  <c r="C184" i="50"/>
  <c r="A185" i="50"/>
  <c r="C185" i="50"/>
  <c r="A186" i="50"/>
  <c r="C186" i="50"/>
  <c r="A187" i="50"/>
  <c r="C187" i="50"/>
  <c r="A188" i="50"/>
  <c r="C188" i="50"/>
  <c r="A189" i="50"/>
  <c r="C189" i="50"/>
  <c r="A190" i="50"/>
  <c r="C190" i="50"/>
  <c r="A191" i="50"/>
  <c r="C191" i="50"/>
  <c r="A192" i="50"/>
  <c r="C192" i="50"/>
  <c r="A193" i="50"/>
  <c r="C193" i="50"/>
  <c r="A194" i="50"/>
  <c r="C194" i="50"/>
  <c r="A195" i="50"/>
  <c r="C195" i="50"/>
  <c r="A196" i="50"/>
  <c r="C196" i="50"/>
  <c r="A197" i="50"/>
  <c r="C197" i="50"/>
  <c r="A198" i="50"/>
  <c r="C198" i="50"/>
  <c r="A199" i="50"/>
  <c r="C199" i="50"/>
  <c r="A200" i="50"/>
  <c r="C200" i="50"/>
  <c r="A201" i="50"/>
  <c r="C201" i="50"/>
  <c r="A202" i="50"/>
  <c r="B202" i="50"/>
  <c r="A203" i="50"/>
  <c r="B203" i="50"/>
  <c r="A204" i="50"/>
  <c r="C204" i="50"/>
  <c r="A205" i="50"/>
  <c r="C205" i="50"/>
  <c r="A206" i="50"/>
  <c r="C206" i="50"/>
  <c r="A207" i="50"/>
  <c r="B207" i="50"/>
  <c r="A208" i="50"/>
  <c r="B208" i="50"/>
  <c r="A209" i="50"/>
  <c r="C209" i="50"/>
  <c r="A2" i="50"/>
  <c r="B2" i="50"/>
  <c r="B209" i="50"/>
  <c r="B162" i="50"/>
  <c r="B194" i="50"/>
  <c r="B193" i="50"/>
  <c r="B161" i="50"/>
  <c r="B160" i="50"/>
  <c r="C208" i="50"/>
  <c r="B145" i="50"/>
  <c r="C178" i="50"/>
  <c r="B113" i="50"/>
  <c r="C122" i="50"/>
  <c r="B112" i="50"/>
  <c r="B64" i="50"/>
  <c r="B47" i="50"/>
  <c r="B149" i="50"/>
  <c r="B100" i="50"/>
  <c r="C203" i="50"/>
  <c r="B197" i="50"/>
  <c r="B148" i="50"/>
  <c r="B46" i="50"/>
  <c r="B101" i="50"/>
  <c r="C207" i="50"/>
  <c r="C181" i="50"/>
  <c r="B196" i="50"/>
  <c r="B146" i="50"/>
  <c r="B45" i="50"/>
  <c r="C177" i="50"/>
  <c r="B192" i="50"/>
  <c r="B133" i="50"/>
  <c r="B84" i="50"/>
  <c r="B31" i="50"/>
  <c r="B144" i="50"/>
  <c r="C176" i="50"/>
  <c r="B132" i="50"/>
  <c r="B82" i="50"/>
  <c r="B30" i="50"/>
  <c r="C155" i="50"/>
  <c r="B180" i="50"/>
  <c r="B130" i="50"/>
  <c r="B81" i="50"/>
  <c r="B29" i="50"/>
  <c r="C154" i="50"/>
  <c r="B129" i="50"/>
  <c r="B80" i="50"/>
  <c r="B18" i="50"/>
  <c r="B49" i="50"/>
  <c r="B33" i="50"/>
  <c r="B128" i="50"/>
  <c r="B69" i="50"/>
  <c r="B17" i="50"/>
  <c r="B34" i="50"/>
  <c r="B117" i="50"/>
  <c r="B15" i="50"/>
  <c r="C127" i="50"/>
  <c r="B165" i="50"/>
  <c r="B66" i="50"/>
  <c r="B14" i="50"/>
  <c r="B50" i="50"/>
  <c r="B85" i="50"/>
  <c r="C123" i="50"/>
  <c r="B164" i="50"/>
  <c r="B114" i="50"/>
  <c r="B13" i="50"/>
  <c r="C179" i="50"/>
  <c r="B195" i="50"/>
  <c r="B163" i="50"/>
  <c r="B147" i="50"/>
  <c r="B131" i="50"/>
  <c r="B115" i="50"/>
  <c r="B99" i="50"/>
  <c r="B83" i="50"/>
  <c r="B48" i="50"/>
  <c r="B32" i="50"/>
  <c r="B16" i="50"/>
  <c r="C202" i="50"/>
  <c r="C175" i="50"/>
  <c r="B191" i="50"/>
  <c r="B159" i="50"/>
  <c r="B143" i="50"/>
  <c r="B111" i="50"/>
  <c r="B79" i="50"/>
  <c r="B44" i="50"/>
  <c r="B28" i="50"/>
  <c r="C171" i="50"/>
  <c r="B206" i="50"/>
  <c r="B190" i="50"/>
  <c r="B174" i="50"/>
  <c r="B158" i="50"/>
  <c r="B142" i="50"/>
  <c r="B126" i="50"/>
  <c r="B110" i="50"/>
  <c r="B94" i="50"/>
  <c r="B78" i="50"/>
  <c r="B62" i="50"/>
  <c r="B43" i="50"/>
  <c r="B27" i="50"/>
  <c r="B11" i="50"/>
  <c r="C170" i="50"/>
  <c r="B205" i="50"/>
  <c r="B189" i="50"/>
  <c r="B173" i="50"/>
  <c r="B157" i="50"/>
  <c r="B141" i="50"/>
  <c r="B125" i="50"/>
  <c r="B109" i="50"/>
  <c r="B93" i="50"/>
  <c r="B77" i="50"/>
  <c r="B61" i="50"/>
  <c r="B42" i="50"/>
  <c r="B26" i="50"/>
  <c r="B10" i="50"/>
  <c r="C139" i="50"/>
  <c r="B204" i="50"/>
  <c r="B188" i="50"/>
  <c r="B172" i="50"/>
  <c r="B156" i="50"/>
  <c r="B140" i="50"/>
  <c r="B124" i="50"/>
  <c r="B108" i="50"/>
  <c r="B92" i="50"/>
  <c r="B76" i="50"/>
  <c r="B60" i="50"/>
  <c r="B41" i="50"/>
  <c r="B25" i="50"/>
  <c r="B9" i="50"/>
  <c r="C138" i="50"/>
  <c r="B187" i="50"/>
  <c r="B107" i="50"/>
  <c r="B75" i="50"/>
  <c r="B40" i="50"/>
  <c r="B186" i="50"/>
  <c r="B106" i="50"/>
  <c r="B74" i="50"/>
  <c r="B201" i="50"/>
  <c r="B185" i="50"/>
  <c r="B169" i="50"/>
  <c r="B153" i="50"/>
  <c r="B137" i="50"/>
  <c r="B121" i="50"/>
  <c r="B105" i="50"/>
  <c r="B89" i="50"/>
  <c r="B73" i="50"/>
  <c r="B54" i="50"/>
  <c r="B38" i="50"/>
  <c r="B22" i="50"/>
  <c r="B6" i="50"/>
  <c r="B200" i="50"/>
  <c r="B184" i="50"/>
  <c r="B168" i="50"/>
  <c r="B152" i="50"/>
  <c r="B136" i="50"/>
  <c r="B120" i="50"/>
  <c r="B104" i="50"/>
  <c r="B88" i="50"/>
  <c r="B72" i="50"/>
  <c r="B53" i="50"/>
  <c r="B37" i="50"/>
  <c r="B21" i="50"/>
  <c r="B5" i="50"/>
  <c r="B199" i="50"/>
  <c r="B183" i="50"/>
  <c r="B167" i="50"/>
  <c r="B151" i="50"/>
  <c r="B135" i="50"/>
  <c r="B119" i="50"/>
  <c r="B103" i="50"/>
  <c r="B87" i="50"/>
  <c r="B71" i="50"/>
  <c r="B52" i="50"/>
  <c r="B36" i="50"/>
  <c r="B20" i="50"/>
  <c r="B4" i="50"/>
  <c r="B198" i="50"/>
  <c r="B182" i="50"/>
  <c r="B166" i="50"/>
  <c r="B150" i="50"/>
  <c r="B134" i="50"/>
  <c r="B118" i="50"/>
  <c r="B102" i="50"/>
  <c r="B86" i="50"/>
  <c r="B70" i="50"/>
  <c r="B51" i="50"/>
  <c r="B35" i="50"/>
  <c r="B19" i="50"/>
  <c r="B3" i="50"/>
  <c r="BA120" i="34"/>
  <c r="BB120" i="34" s="1"/>
  <c r="BJ120" i="34" s="1"/>
  <c r="BA121" i="34"/>
  <c r="BB121" i="34" s="1"/>
  <c r="BJ121" i="34" s="1"/>
  <c r="BA122" i="34"/>
  <c r="BB122" i="34" s="1"/>
  <c r="BJ122" i="34" s="1"/>
  <c r="BA119" i="34"/>
  <c r="BB119" i="34" s="1"/>
  <c r="BJ119" i="34" s="1"/>
  <c r="AP112" i="34"/>
  <c r="BB118" i="34" s="1"/>
  <c r="BA111" i="34"/>
  <c r="BB111" i="34" s="1"/>
  <c r="BJ111" i="34" s="1"/>
  <c r="BA110" i="34"/>
  <c r="BB110" i="34"/>
  <c r="BB109" i="34"/>
  <c r="BA109" i="34"/>
  <c r="BA91" i="34"/>
  <c r="BB91" i="34" s="1"/>
  <c r="BJ91" i="34" s="1"/>
  <c r="BA92" i="34"/>
  <c r="BB92" i="34" s="1"/>
  <c r="BJ92" i="34" s="1"/>
  <c r="BA93" i="34"/>
  <c r="BB93" i="34" s="1"/>
  <c r="BJ93" i="34" s="1"/>
  <c r="BA94" i="34"/>
  <c r="BB94" i="34" s="1"/>
  <c r="BJ94" i="34" s="1"/>
  <c r="BA95" i="34"/>
  <c r="BB95" i="34" s="1"/>
  <c r="BJ95" i="34" s="1"/>
  <c r="BA96" i="34"/>
  <c r="BB96" i="34" s="1"/>
  <c r="BJ96" i="34" s="1"/>
  <c r="BA97" i="34"/>
  <c r="BB97" i="34" s="1"/>
  <c r="BJ97" i="34" s="1"/>
  <c r="BA98" i="34"/>
  <c r="BB98" i="34" s="1"/>
  <c r="BJ98" i="34" s="1"/>
  <c r="BA99" i="34"/>
  <c r="BB99" i="34" s="1"/>
  <c r="BJ99" i="34" s="1"/>
  <c r="BA100" i="34"/>
  <c r="BB100" i="34" s="1"/>
  <c r="BJ100" i="34" s="1"/>
  <c r="BA101" i="34"/>
  <c r="BB101" i="34" s="1"/>
  <c r="BJ101" i="34" s="1"/>
  <c r="BA102" i="34"/>
  <c r="BB102" i="34" s="1"/>
  <c r="BJ102" i="34" s="1"/>
  <c r="BA103" i="34"/>
  <c r="BB103" i="34" s="1"/>
  <c r="BJ103" i="34" s="1"/>
  <c r="BA104" i="34"/>
  <c r="BB104" i="34" s="1"/>
  <c r="BJ104" i="34" s="1"/>
  <c r="BA105" i="34"/>
  <c r="BB105" i="34" s="1"/>
  <c r="BJ105" i="34" s="1"/>
  <c r="BA106" i="34"/>
  <c r="BB106" i="34" s="1"/>
  <c r="BJ106" i="34" s="1"/>
  <c r="BA107" i="34"/>
  <c r="BB107" i="34" s="1"/>
  <c r="BJ107" i="34" s="1"/>
  <c r="BA108" i="34"/>
  <c r="BB108" i="34" s="1"/>
  <c r="BA75" i="34"/>
  <c r="BB75" i="34" s="1"/>
  <c r="BJ75" i="34" s="1"/>
  <c r="BA76" i="34"/>
  <c r="BB76" i="34" s="1"/>
  <c r="BJ76" i="34" s="1"/>
  <c r="BA77" i="34"/>
  <c r="BB77" i="34" s="1"/>
  <c r="BJ77" i="34" s="1"/>
  <c r="BA78" i="34"/>
  <c r="BB78" i="34" s="1"/>
  <c r="BJ78" i="34" s="1"/>
  <c r="BA79" i="34"/>
  <c r="BB79" i="34" s="1"/>
  <c r="BJ79" i="34" s="1"/>
  <c r="BA80" i="34"/>
  <c r="BB80" i="34" s="1"/>
  <c r="BJ80" i="34" s="1"/>
  <c r="BA81" i="34"/>
  <c r="BB81" i="34" s="1"/>
  <c r="BJ81" i="34" s="1"/>
  <c r="BA82" i="34"/>
  <c r="BB82" i="34" s="1"/>
  <c r="BJ82" i="34" s="1"/>
  <c r="BA83" i="34"/>
  <c r="BB83" i="34" s="1"/>
  <c r="BJ83" i="34" s="1"/>
  <c r="BA84" i="34"/>
  <c r="BB84" i="34" s="1"/>
  <c r="BJ84" i="34" s="1"/>
  <c r="BA85" i="34"/>
  <c r="BB85" i="34" s="1"/>
  <c r="BJ85" i="34" s="1"/>
  <c r="BA86" i="34"/>
  <c r="BB86" i="34" s="1"/>
  <c r="BJ86" i="34" s="1"/>
  <c r="BA87" i="34"/>
  <c r="BB87" i="34" s="1"/>
  <c r="BJ87" i="34" s="1"/>
  <c r="BA88" i="34"/>
  <c r="BB88" i="34" s="1"/>
  <c r="BJ88" i="34" s="1"/>
  <c r="BA89" i="34"/>
  <c r="BB89" i="34" s="1"/>
  <c r="BJ89" i="34" s="1"/>
  <c r="BA90" i="34"/>
  <c r="BB90" i="34" s="1"/>
  <c r="BJ90" i="34" s="1"/>
  <c r="BA74" i="34"/>
  <c r="BB74" i="34" s="1"/>
  <c r="BJ74" i="34" s="1"/>
  <c r="BB73" i="34"/>
  <c r="BA73" i="34"/>
  <c r="BA67" i="34"/>
  <c r="BB67" i="34" s="1"/>
  <c r="BJ67" i="34" s="1"/>
  <c r="BA68" i="34"/>
  <c r="BB68" i="34" s="1"/>
  <c r="BJ68" i="34" s="1"/>
  <c r="BA69" i="34"/>
  <c r="BB69" i="34" s="1"/>
  <c r="BJ69" i="34" s="1"/>
  <c r="BA70" i="34"/>
  <c r="BB70" i="34" s="1"/>
  <c r="BJ70" i="34" s="1"/>
  <c r="BA71" i="34"/>
  <c r="BB71" i="34" s="1"/>
  <c r="BJ71" i="34" s="1"/>
  <c r="BA72" i="34"/>
  <c r="BB72" i="34" s="1"/>
  <c r="BA65" i="34"/>
  <c r="BB65" i="34" s="1"/>
  <c r="BA59" i="34"/>
  <c r="BA58" i="34"/>
  <c r="BA57" i="34"/>
  <c r="BA3" i="34"/>
  <c r="BB3" i="34" s="1"/>
  <c r="BJ3" i="34" s="1"/>
  <c r="BA4" i="34"/>
  <c r="BB4" i="34" s="1"/>
  <c r="BJ4" i="34" s="1"/>
  <c r="BA5" i="34"/>
  <c r="BB5" i="34" s="1"/>
  <c r="BJ5" i="34" s="1"/>
  <c r="BA6" i="34"/>
  <c r="BB6" i="34" s="1"/>
  <c r="BJ6" i="34" s="1"/>
  <c r="BA7" i="34"/>
  <c r="BB7" i="34" s="1"/>
  <c r="BJ7" i="34" s="1"/>
  <c r="BA8" i="34"/>
  <c r="BB8" i="34" s="1"/>
  <c r="BJ8" i="34" s="1"/>
  <c r="BA9" i="34"/>
  <c r="BB9" i="34" s="1"/>
  <c r="BJ9" i="34" s="1"/>
  <c r="BA10" i="34"/>
  <c r="BB10" i="34" s="1"/>
  <c r="BJ10" i="34" s="1"/>
  <c r="BA11" i="34"/>
  <c r="BB11" i="34" s="1"/>
  <c r="BA14" i="34"/>
  <c r="BB14" i="34" s="1"/>
  <c r="BJ14" i="34" s="1"/>
  <c r="BA15" i="34"/>
  <c r="BB15" i="34" s="1"/>
  <c r="BJ15" i="34" s="1"/>
  <c r="BA16" i="34"/>
  <c r="BB16" i="34" s="1"/>
  <c r="BJ16" i="34" s="1"/>
  <c r="BA17" i="34"/>
  <c r="BB17" i="34" s="1"/>
  <c r="BJ17" i="34" s="1"/>
  <c r="BA18" i="34"/>
  <c r="BB18" i="34" s="1"/>
  <c r="BJ18" i="34" s="1"/>
  <c r="BA19" i="34"/>
  <c r="BB19" i="34" s="1"/>
  <c r="BJ19" i="34" s="1"/>
  <c r="BA20" i="34"/>
  <c r="BB20" i="34" s="1"/>
  <c r="BJ20" i="34" s="1"/>
  <c r="BA22" i="34"/>
  <c r="BB22" i="34" s="1"/>
  <c r="BJ22" i="34" s="1"/>
  <c r="BA23" i="34"/>
  <c r="BB23" i="34" s="1"/>
  <c r="BJ23" i="34" s="1"/>
  <c r="BA24" i="34"/>
  <c r="BB24" i="34" s="1"/>
  <c r="BJ24" i="34" s="1"/>
  <c r="BA25" i="34"/>
  <c r="BB25" i="34" s="1"/>
  <c r="BJ25" i="34" s="1"/>
  <c r="BA26" i="34"/>
  <c r="BB26" i="34" s="1"/>
  <c r="BJ26" i="34" s="1"/>
  <c r="BA27" i="34"/>
  <c r="BB27" i="34" s="1"/>
  <c r="BJ27" i="34" s="1"/>
  <c r="BA28" i="34"/>
  <c r="BB28" i="34" s="1"/>
  <c r="BJ28" i="34" s="1"/>
  <c r="BA29" i="34"/>
  <c r="BB29" i="34" s="1"/>
  <c r="BJ29" i="34" s="1"/>
  <c r="BA30" i="34"/>
  <c r="BB30" i="34" s="1"/>
  <c r="BJ30" i="34" s="1"/>
  <c r="BA31" i="34"/>
  <c r="BB31" i="34" s="1"/>
  <c r="BJ31" i="34" s="1"/>
  <c r="BA32" i="34"/>
  <c r="BB32" i="34" s="1"/>
  <c r="BJ32" i="34" s="1"/>
  <c r="BA33" i="34"/>
  <c r="BB33" i="34" s="1"/>
  <c r="BJ33" i="34" s="1"/>
  <c r="BA35" i="34"/>
  <c r="BB35" i="34" s="1"/>
  <c r="BJ35" i="34" s="1"/>
  <c r="BA36" i="34"/>
  <c r="BB36" i="34" s="1"/>
  <c r="BJ36" i="34" s="1"/>
  <c r="BA37" i="34"/>
  <c r="BB37" i="34" s="1"/>
  <c r="BJ37" i="34" s="1"/>
  <c r="BA38" i="34"/>
  <c r="BB38" i="34" s="1"/>
  <c r="BJ38" i="34" s="1"/>
  <c r="BA39" i="34"/>
  <c r="BB39" i="34" s="1"/>
  <c r="BJ39" i="34" s="1"/>
  <c r="BA40" i="34"/>
  <c r="BB40" i="34" s="1"/>
  <c r="BJ40" i="34" s="1"/>
  <c r="BA41" i="34"/>
  <c r="BB41" i="34" s="1"/>
  <c r="BJ41" i="34" s="1"/>
  <c r="BA42" i="34"/>
  <c r="BB42" i="34" s="1"/>
  <c r="BJ42" i="34" s="1"/>
  <c r="BA43" i="34"/>
  <c r="BB43" i="34" s="1"/>
  <c r="BJ43" i="34" s="1"/>
  <c r="BA44" i="34"/>
  <c r="BB44" i="34" s="1"/>
  <c r="BJ44" i="34" s="1"/>
  <c r="BA45" i="34"/>
  <c r="BB45" i="34" s="1"/>
  <c r="BJ45" i="34" s="1"/>
  <c r="BA46" i="34"/>
  <c r="BB46" i="34" s="1"/>
  <c r="BJ46" i="34" s="1"/>
  <c r="BA47" i="34"/>
  <c r="BB47" i="34" s="1"/>
  <c r="BJ47" i="34" s="1"/>
  <c r="BA48" i="34"/>
  <c r="BB48" i="34" s="1"/>
  <c r="BJ48" i="34" s="1"/>
  <c r="BA49" i="34"/>
  <c r="BB49" i="34" s="1"/>
  <c r="BJ49" i="34" s="1"/>
  <c r="BA50" i="34"/>
  <c r="BB50" i="34" s="1"/>
  <c r="BJ50" i="34" s="1"/>
  <c r="BA51" i="34"/>
  <c r="BB51" i="34" s="1"/>
  <c r="BJ51" i="34" s="1"/>
  <c r="BA52" i="34"/>
  <c r="BB52" i="34" s="1"/>
  <c r="BJ52" i="34" s="1"/>
  <c r="BA53" i="34"/>
  <c r="BB53" i="34" s="1"/>
  <c r="BJ53" i="34" s="1"/>
  <c r="BA54" i="34"/>
  <c r="BB54" i="34" s="1"/>
  <c r="BJ54" i="34" s="1"/>
  <c r="BA55" i="34"/>
  <c r="BB55" i="34" s="1"/>
  <c r="BJ55" i="34" s="1"/>
  <c r="BA56" i="34"/>
  <c r="BB59" i="34" s="1"/>
  <c r="BA60" i="34"/>
  <c r="BB60" i="34" s="1"/>
  <c r="BJ60" i="34" s="1"/>
  <c r="BA61" i="34"/>
  <c r="BB61" i="34" s="1"/>
  <c r="BJ61" i="34" s="1"/>
  <c r="BA62" i="34"/>
  <c r="BB62" i="34" s="1"/>
  <c r="BJ62" i="34" s="1"/>
  <c r="BA63" i="34"/>
  <c r="BB63" i="34" s="1"/>
  <c r="BJ63" i="34" s="1"/>
  <c r="BA64" i="34"/>
  <c r="BB64" i="34" s="1"/>
  <c r="BA66" i="34"/>
  <c r="BB66" i="34" s="1"/>
  <c r="BJ66" i="34" s="1"/>
  <c r="BA2" i="34"/>
  <c r="BB2" i="34" s="1"/>
  <c r="BJ2" i="34" s="1"/>
  <c r="AZ3" i="34"/>
  <c r="C3" i="50" s="1"/>
  <c r="C66" i="50"/>
  <c r="C86" i="50"/>
  <c r="C77" i="50"/>
  <c r="C49" i="50"/>
  <c r="C68" i="50"/>
  <c r="C105" i="50"/>
  <c r="C100" i="50"/>
  <c r="C46" i="50"/>
  <c r="C33" i="50"/>
  <c r="C20" i="50"/>
  <c r="C6" i="50"/>
  <c r="C72" i="50"/>
  <c r="C73" i="50"/>
  <c r="C90" i="50"/>
  <c r="C60" i="50"/>
  <c r="C45" i="50"/>
  <c r="C19" i="50"/>
  <c r="C5" i="50"/>
  <c r="C87" i="50"/>
  <c r="C106" i="50"/>
  <c r="C89" i="50"/>
  <c r="C44" i="50"/>
  <c r="C43" i="50"/>
  <c r="C84" i="50"/>
  <c r="C104" i="50"/>
  <c r="C28" i="50"/>
  <c r="C56" i="50"/>
  <c r="C108" i="50"/>
  <c r="C26" i="50"/>
  <c r="C11" i="50"/>
  <c r="C70" i="50"/>
  <c r="C97" i="50"/>
  <c r="C109" i="50"/>
  <c r="C102" i="50"/>
  <c r="C59" i="50"/>
  <c r="C58" i="50"/>
  <c r="C81" i="50"/>
  <c r="C80" i="50"/>
  <c r="C53" i="50"/>
  <c r="C52" i="50"/>
  <c r="C10" i="50"/>
  <c r="C79" i="50"/>
  <c r="C96" i="50"/>
  <c r="C110" i="50"/>
  <c r="C4" i="50"/>
  <c r="C17" i="50"/>
  <c r="C83" i="50"/>
  <c r="C112" i="50"/>
  <c r="C27" i="50"/>
  <c r="C38" i="50"/>
  <c r="C25" i="50"/>
  <c r="C9" i="50"/>
  <c r="C67" i="50"/>
  <c r="C78" i="50"/>
  <c r="C95" i="50"/>
  <c r="C111" i="50"/>
  <c r="C88" i="50"/>
  <c r="C31" i="50"/>
  <c r="C30" i="50"/>
  <c r="C82" i="50"/>
  <c r="C61" i="50"/>
  <c r="C14" i="50"/>
  <c r="C50" i="50"/>
  <c r="C24" i="50"/>
  <c r="C94" i="50"/>
  <c r="C114" i="50"/>
  <c r="C64" i="50"/>
  <c r="C85" i="50"/>
  <c r="C101" i="50"/>
  <c r="C39" i="50"/>
  <c r="C15" i="50"/>
  <c r="C98" i="50"/>
  <c r="C37" i="50"/>
  <c r="C23" i="50"/>
  <c r="C8" i="50"/>
  <c r="C65" i="50"/>
  <c r="C76" i="50"/>
  <c r="C93" i="50"/>
  <c r="C32" i="50"/>
  <c r="C62" i="50"/>
  <c r="C103" i="50"/>
  <c r="C16" i="50"/>
  <c r="C29" i="50"/>
  <c r="C107" i="50"/>
  <c r="C99" i="50"/>
  <c r="C71" i="50"/>
  <c r="C48" i="50"/>
  <c r="C36" i="50"/>
  <c r="C22" i="50"/>
  <c r="C75" i="50"/>
  <c r="C92" i="50"/>
  <c r="C113" i="50"/>
  <c r="C116" i="50"/>
  <c r="C18" i="50"/>
  <c r="C63" i="50"/>
  <c r="C42" i="50"/>
  <c r="C41" i="50"/>
  <c r="C40" i="50"/>
  <c r="C51" i="50"/>
  <c r="C47" i="50"/>
  <c r="C35" i="50"/>
  <c r="C7" i="50"/>
  <c r="C69" i="50"/>
  <c r="C74" i="50"/>
  <c r="C91" i="50"/>
  <c r="C115" i="50"/>
  <c r="AP12" i="34"/>
  <c r="BA12" i="34" s="1"/>
  <c r="BB12" i="34" s="1"/>
  <c r="C57" i="50"/>
  <c r="C12" i="50"/>
  <c r="C54" i="50"/>
  <c r="C55" i="50"/>
  <c r="C107" i="40"/>
  <c r="J107" i="40"/>
  <c r="K107" i="40"/>
  <c r="C13" i="50"/>
  <c r="AP34" i="34"/>
  <c r="AQ34" i="34" s="1"/>
  <c r="BA34" i="34" s="1"/>
  <c r="BB34" i="34" s="1"/>
  <c r="BJ34" i="34" s="1"/>
  <c r="H34" i="34"/>
  <c r="E32" i="40" s="1"/>
  <c r="F34" i="34"/>
  <c r="B32" i="40" s="1"/>
  <c r="A11" i="49"/>
  <c r="A12" i="49"/>
  <c r="A13" i="49"/>
  <c r="A14" i="49"/>
  <c r="A15" i="49"/>
  <c r="A16" i="49"/>
  <c r="A4" i="49"/>
  <c r="A5" i="49"/>
  <c r="A6" i="49"/>
  <c r="A8" i="49"/>
  <c r="A10" i="49"/>
  <c r="A7" i="49"/>
  <c r="A9" i="49"/>
  <c r="A2" i="49"/>
  <c r="A3" i="49"/>
  <c r="C34" i="50"/>
  <c r="U2" i="35"/>
  <c r="A2" i="47" a="1"/>
  <c r="A345" i="47" s="1"/>
  <c r="J3" i="40"/>
  <c r="K3" i="40"/>
  <c r="J4" i="40"/>
  <c r="K4" i="40"/>
  <c r="J5" i="40"/>
  <c r="K5" i="40"/>
  <c r="J6" i="40"/>
  <c r="K6" i="40"/>
  <c r="J7" i="40"/>
  <c r="K7" i="40"/>
  <c r="J8" i="40"/>
  <c r="K8" i="40"/>
  <c r="J9" i="40"/>
  <c r="K9" i="40"/>
  <c r="J10" i="40"/>
  <c r="K10" i="40"/>
  <c r="J11" i="40"/>
  <c r="K11" i="40"/>
  <c r="J12" i="40"/>
  <c r="K12" i="40"/>
  <c r="J13" i="40"/>
  <c r="K13" i="40"/>
  <c r="J14" i="40"/>
  <c r="K14" i="40"/>
  <c r="J15" i="40"/>
  <c r="K15" i="40"/>
  <c r="J16" i="40"/>
  <c r="K16" i="40"/>
  <c r="J17" i="40"/>
  <c r="K17" i="40"/>
  <c r="J18" i="40"/>
  <c r="K18" i="40"/>
  <c r="J19" i="40"/>
  <c r="K19" i="40"/>
  <c r="J20" i="40"/>
  <c r="K20" i="40"/>
  <c r="J21" i="40"/>
  <c r="K21" i="40"/>
  <c r="J22" i="40"/>
  <c r="K22" i="40"/>
  <c r="J23" i="40"/>
  <c r="K23" i="40"/>
  <c r="J24" i="40"/>
  <c r="K24" i="40"/>
  <c r="J25" i="40"/>
  <c r="K25" i="40"/>
  <c r="J26" i="40"/>
  <c r="K26" i="40"/>
  <c r="J27" i="40"/>
  <c r="K27" i="40"/>
  <c r="J28" i="40"/>
  <c r="K28" i="40"/>
  <c r="J29" i="40"/>
  <c r="K29" i="40"/>
  <c r="J30" i="40"/>
  <c r="K30" i="40"/>
  <c r="J31" i="40"/>
  <c r="K31" i="40"/>
  <c r="J32" i="40"/>
  <c r="K32" i="40"/>
  <c r="J33" i="40"/>
  <c r="K33" i="40"/>
  <c r="J34" i="40"/>
  <c r="K34" i="40"/>
  <c r="J35" i="40"/>
  <c r="K35" i="40"/>
  <c r="J36" i="40"/>
  <c r="K36" i="40"/>
  <c r="J37" i="40"/>
  <c r="K37" i="40"/>
  <c r="J38" i="40"/>
  <c r="K38" i="40"/>
  <c r="J39" i="40"/>
  <c r="K39" i="40"/>
  <c r="J40" i="40"/>
  <c r="K40" i="40"/>
  <c r="J41" i="40"/>
  <c r="K41" i="40"/>
  <c r="J42" i="40"/>
  <c r="K42" i="40"/>
  <c r="J43" i="40"/>
  <c r="K43" i="40"/>
  <c r="J44" i="40"/>
  <c r="K44" i="40"/>
  <c r="J45" i="40"/>
  <c r="K45" i="40"/>
  <c r="J46" i="40"/>
  <c r="K46" i="40"/>
  <c r="J47" i="40"/>
  <c r="K47" i="40"/>
  <c r="J48" i="40"/>
  <c r="K48" i="40"/>
  <c r="J49" i="40"/>
  <c r="K49" i="40"/>
  <c r="J50" i="40"/>
  <c r="K50" i="40"/>
  <c r="J51" i="40"/>
  <c r="K51" i="40"/>
  <c r="J52" i="40"/>
  <c r="K52" i="40"/>
  <c r="J53" i="40"/>
  <c r="K53" i="40"/>
  <c r="J54" i="40"/>
  <c r="K54" i="40"/>
  <c r="J55" i="40"/>
  <c r="K55" i="40"/>
  <c r="J56" i="40"/>
  <c r="K56" i="40"/>
  <c r="J57" i="40"/>
  <c r="K57" i="40"/>
  <c r="J58" i="40"/>
  <c r="K58" i="40"/>
  <c r="J59" i="40"/>
  <c r="K59" i="40"/>
  <c r="J60" i="40"/>
  <c r="K60" i="40"/>
  <c r="J61" i="40"/>
  <c r="K61" i="40"/>
  <c r="J62" i="40"/>
  <c r="K62" i="40"/>
  <c r="J63" i="40"/>
  <c r="K63" i="40"/>
  <c r="J64" i="40"/>
  <c r="K64" i="40"/>
  <c r="J65" i="40"/>
  <c r="K65" i="40"/>
  <c r="J66" i="40"/>
  <c r="K66" i="40"/>
  <c r="J67" i="40"/>
  <c r="K67" i="40"/>
  <c r="J68" i="40"/>
  <c r="K68" i="40"/>
  <c r="J69" i="40"/>
  <c r="K69" i="40"/>
  <c r="J70" i="40"/>
  <c r="K70" i="40"/>
  <c r="J71" i="40"/>
  <c r="K71" i="40"/>
  <c r="J72" i="40"/>
  <c r="K72" i="40"/>
  <c r="J73" i="40"/>
  <c r="K73" i="40"/>
  <c r="K2" i="40"/>
  <c r="J2" i="40"/>
  <c r="A2" i="48" a="1"/>
  <c r="C3" i="40"/>
  <c r="C4" i="40"/>
  <c r="C5" i="40"/>
  <c r="C6" i="40"/>
  <c r="C7" i="40"/>
  <c r="C8" i="40"/>
  <c r="C9" i="40"/>
  <c r="C10" i="40"/>
  <c r="C11" i="40"/>
  <c r="C12" i="40"/>
  <c r="C13" i="40"/>
  <c r="C14" i="40"/>
  <c r="C15" i="40"/>
  <c r="C16" i="40"/>
  <c r="C17" i="40"/>
  <c r="C18" i="40"/>
  <c r="C19" i="40"/>
  <c r="C20" i="40"/>
  <c r="C21" i="40"/>
  <c r="C22" i="40"/>
  <c r="C23" i="40"/>
  <c r="C24" i="40"/>
  <c r="C25" i="40"/>
  <c r="C26" i="40"/>
  <c r="C27" i="40"/>
  <c r="C28" i="40"/>
  <c r="C29" i="40"/>
  <c r="C30" i="40"/>
  <c r="C31" i="40"/>
  <c r="C32" i="40"/>
  <c r="C33" i="40"/>
  <c r="C34" i="40"/>
  <c r="C35" i="40"/>
  <c r="C36" i="40"/>
  <c r="C37" i="40"/>
  <c r="C38" i="40"/>
  <c r="C39" i="40"/>
  <c r="C40" i="40"/>
  <c r="C41" i="40"/>
  <c r="C42" i="40"/>
  <c r="C43" i="40"/>
  <c r="C44" i="40"/>
  <c r="C45" i="40"/>
  <c r="C46" i="40"/>
  <c r="C47" i="40"/>
  <c r="C48" i="40"/>
  <c r="C49" i="40"/>
  <c r="C50" i="40"/>
  <c r="C51" i="40"/>
  <c r="C52" i="40"/>
  <c r="C53" i="40"/>
  <c r="C54" i="40"/>
  <c r="C55" i="40"/>
  <c r="C56" i="40"/>
  <c r="C57" i="40"/>
  <c r="C58" i="40"/>
  <c r="C59" i="40"/>
  <c r="C60" i="40"/>
  <c r="C61" i="40"/>
  <c r="C62" i="40"/>
  <c r="C63" i="40"/>
  <c r="C64" i="40"/>
  <c r="C65" i="40"/>
  <c r="C66" i="40"/>
  <c r="C67" i="40"/>
  <c r="C68" i="40"/>
  <c r="C69" i="40"/>
  <c r="C70" i="40"/>
  <c r="C71" i="40"/>
  <c r="C72" i="40"/>
  <c r="C73" i="40"/>
  <c r="C74" i="40"/>
  <c r="C75" i="40"/>
  <c r="C76" i="40"/>
  <c r="C77" i="40"/>
  <c r="C78" i="40"/>
  <c r="C79" i="40"/>
  <c r="C80" i="40"/>
  <c r="C81" i="40"/>
  <c r="C82" i="40"/>
  <c r="C83" i="40"/>
  <c r="C84" i="40"/>
  <c r="C85" i="40"/>
  <c r="C86" i="40"/>
  <c r="C87" i="40"/>
  <c r="C88" i="40"/>
  <c r="C89" i="40"/>
  <c r="C90" i="40"/>
  <c r="C91" i="40"/>
  <c r="C92" i="40"/>
  <c r="C93" i="40"/>
  <c r="C94" i="40"/>
  <c r="C95" i="40"/>
  <c r="C96" i="40"/>
  <c r="C97" i="40"/>
  <c r="C98" i="40"/>
  <c r="C99" i="40"/>
  <c r="C100" i="40"/>
  <c r="C101" i="40"/>
  <c r="C102" i="40"/>
  <c r="C103" i="40"/>
  <c r="C104" i="40"/>
  <c r="C105" i="40"/>
  <c r="C106" i="40"/>
  <c r="C2" i="40"/>
  <c r="F122" i="34"/>
  <c r="B107" i="40" s="1"/>
  <c r="F32" i="34"/>
  <c r="B30" i="40" s="1"/>
  <c r="F121" i="34"/>
  <c r="B106" i="40" s="1"/>
  <c r="F120" i="34"/>
  <c r="B105" i="40" s="1"/>
  <c r="F119" i="34"/>
  <c r="B104" i="40" s="1"/>
  <c r="F112" i="34"/>
  <c r="B103" i="40" s="1"/>
  <c r="F111" i="34"/>
  <c r="B102" i="40" s="1"/>
  <c r="F108" i="34"/>
  <c r="B101" i="40" s="1"/>
  <c r="F107" i="34"/>
  <c r="B100" i="40" s="1"/>
  <c r="F105" i="34"/>
  <c r="B98" i="40" s="1"/>
  <c r="F104" i="34"/>
  <c r="B97" i="40" s="1"/>
  <c r="F103" i="34"/>
  <c r="B96" i="40" s="1"/>
  <c r="F101" i="34"/>
  <c r="B94" i="40" s="1"/>
  <c r="F99" i="34"/>
  <c r="B92" i="40" s="1"/>
  <c r="F98" i="34"/>
  <c r="B91" i="40" s="1"/>
  <c r="F97" i="34"/>
  <c r="B90" i="40" s="1"/>
  <c r="F96" i="34"/>
  <c r="B89" i="40" s="1"/>
  <c r="F95" i="34"/>
  <c r="B88" i="40" s="1"/>
  <c r="F94" i="34"/>
  <c r="B87" i="40" s="1"/>
  <c r="F93" i="34"/>
  <c r="B86" i="40" s="1"/>
  <c r="F92" i="34"/>
  <c r="B85" i="40" s="1"/>
  <c r="F91" i="34"/>
  <c r="B84" i="40" s="1"/>
  <c r="F90" i="34"/>
  <c r="B83" i="40" s="1"/>
  <c r="F89" i="34"/>
  <c r="B82" i="40" s="1"/>
  <c r="F87" i="34"/>
  <c r="B80" i="40" s="1"/>
  <c r="F86" i="34"/>
  <c r="B79" i="40" s="1"/>
  <c r="F85" i="34"/>
  <c r="B78" i="40" s="1"/>
  <c r="F84" i="34"/>
  <c r="B77" i="40" s="1"/>
  <c r="F83" i="34"/>
  <c r="B76" i="40" s="1"/>
  <c r="F82" i="34"/>
  <c r="B75" i="40" s="1"/>
  <c r="F81" i="34"/>
  <c r="B74" i="40" s="1"/>
  <c r="F80" i="34"/>
  <c r="B73" i="40" s="1"/>
  <c r="F78" i="34"/>
  <c r="B71" i="40" s="1"/>
  <c r="F77" i="34"/>
  <c r="B70" i="40" s="1"/>
  <c r="F76" i="34"/>
  <c r="B69" i="40" s="1"/>
  <c r="F75" i="34"/>
  <c r="B68" i="40" s="1"/>
  <c r="F74" i="34"/>
  <c r="B67" i="40" s="1"/>
  <c r="F72" i="34"/>
  <c r="F73" i="34" s="1"/>
  <c r="F71" i="34"/>
  <c r="B65" i="40" s="1"/>
  <c r="F70" i="34"/>
  <c r="B64" i="40" s="1"/>
  <c r="F68" i="34"/>
  <c r="B62" i="40" s="1"/>
  <c r="F69" i="34"/>
  <c r="B63" i="40" s="1"/>
  <c r="F67" i="34"/>
  <c r="B61" i="40" s="1"/>
  <c r="F66" i="34"/>
  <c r="B60" i="40" s="1"/>
  <c r="F64" i="34"/>
  <c r="B59" i="40" s="1"/>
  <c r="F63" i="34"/>
  <c r="B58" i="40" s="1"/>
  <c r="F62" i="34"/>
  <c r="B57" i="40" s="1"/>
  <c r="F61" i="34"/>
  <c r="B56" i="40" s="1"/>
  <c r="F60" i="34"/>
  <c r="B55" i="40" s="1"/>
  <c r="F56" i="34"/>
  <c r="F57" i="34" s="1"/>
  <c r="F54" i="34"/>
  <c r="B52" i="40" s="1"/>
  <c r="F53" i="34"/>
  <c r="B51" i="40" s="1"/>
  <c r="F52" i="34"/>
  <c r="B50" i="40" s="1"/>
  <c r="F51" i="34"/>
  <c r="B49" i="40" s="1"/>
  <c r="F50" i="34"/>
  <c r="B48" i="40" s="1"/>
  <c r="F48" i="34"/>
  <c r="B46" i="40" s="1"/>
  <c r="F49" i="34"/>
  <c r="B47" i="40" s="1"/>
  <c r="F47" i="34"/>
  <c r="B45" i="40" s="1"/>
  <c r="F46" i="34"/>
  <c r="B44" i="40" s="1"/>
  <c r="F45" i="34"/>
  <c r="B43" i="40" s="1"/>
  <c r="F44" i="34"/>
  <c r="B42" i="40" s="1"/>
  <c r="F43" i="34"/>
  <c r="B41" i="40" s="1"/>
  <c r="F42" i="34"/>
  <c r="B40" i="40" s="1"/>
  <c r="F41" i="34"/>
  <c r="B39" i="40" s="1"/>
  <c r="F40" i="34"/>
  <c r="B38" i="40" s="1"/>
  <c r="F39" i="34"/>
  <c r="B37" i="40" s="1"/>
  <c r="F38" i="34"/>
  <c r="B36" i="40" s="1"/>
  <c r="F37" i="34"/>
  <c r="B35" i="40" s="1"/>
  <c r="F35" i="34"/>
  <c r="B33" i="40" s="1"/>
  <c r="F33" i="34"/>
  <c r="B31" i="40" s="1"/>
  <c r="F31" i="34"/>
  <c r="B29" i="40" s="1"/>
  <c r="F30" i="34"/>
  <c r="B28" i="40" s="1"/>
  <c r="F29" i="34"/>
  <c r="B27" i="40" s="1"/>
  <c r="F28" i="34"/>
  <c r="B26" i="40" s="1"/>
  <c r="F27" i="34"/>
  <c r="B25" i="40" s="1"/>
  <c r="F26" i="34"/>
  <c r="B24" i="40" s="1"/>
  <c r="F24" i="34"/>
  <c r="B22" i="40" s="1"/>
  <c r="F23" i="34"/>
  <c r="B21" i="40" s="1"/>
  <c r="F22" i="34"/>
  <c r="B20" i="40" s="1"/>
  <c r="F21" i="34"/>
  <c r="B19" i="40" s="1"/>
  <c r="F20" i="34"/>
  <c r="B18" i="40" s="1"/>
  <c r="F19" i="34"/>
  <c r="B17" i="40" s="1"/>
  <c r="F18" i="34"/>
  <c r="B16" i="40" s="1"/>
  <c r="F17" i="34"/>
  <c r="B15" i="40" s="1"/>
  <c r="F16" i="34"/>
  <c r="B14" i="40" s="1"/>
  <c r="F15" i="34"/>
  <c r="B13" i="40" s="1"/>
  <c r="F14" i="34"/>
  <c r="B12" i="40" s="1"/>
  <c r="F11" i="34"/>
  <c r="B11" i="40" s="1"/>
  <c r="F10" i="34"/>
  <c r="B10" i="40" s="1"/>
  <c r="F8" i="34"/>
  <c r="B8" i="40" s="1"/>
  <c r="F7" i="34"/>
  <c r="B7" i="40" s="1"/>
  <c r="F6" i="34"/>
  <c r="B6" i="40" s="1"/>
  <c r="F5" i="34"/>
  <c r="B5" i="40" s="1"/>
  <c r="F4" i="34"/>
  <c r="B4" i="40" s="1"/>
  <c r="F3" i="34"/>
  <c r="B3" i="40" s="1"/>
  <c r="F2" i="34"/>
  <c r="B2" i="40" s="1"/>
  <c r="B93" i="40"/>
  <c r="U21" i="34"/>
  <c r="BA21" i="34" s="1"/>
  <c r="BB21" i="34" s="1"/>
  <c r="BJ21" i="34" s="1"/>
  <c r="AZ2" i="34"/>
  <c r="C2" i="50" s="1"/>
  <c r="H4" i="34"/>
  <c r="E4" i="40" s="1"/>
  <c r="H5" i="34"/>
  <c r="E5" i="40" s="1"/>
  <c r="H6" i="34"/>
  <c r="E6" i="40" s="1"/>
  <c r="H7" i="34"/>
  <c r="H8" i="34"/>
  <c r="E8" i="40" s="1"/>
  <c r="H9" i="34"/>
  <c r="E9" i="40" s="1"/>
  <c r="H10" i="34"/>
  <c r="E10" i="40" s="1"/>
  <c r="H11" i="34"/>
  <c r="E11" i="40" s="1"/>
  <c r="H12" i="34"/>
  <c r="H13" i="34"/>
  <c r="H14" i="34"/>
  <c r="E12" i="40" s="1"/>
  <c r="H15" i="34"/>
  <c r="E13" i="40" s="1"/>
  <c r="H16" i="34"/>
  <c r="E14" i="40" s="1"/>
  <c r="H17" i="34"/>
  <c r="E15" i="40" s="1"/>
  <c r="H18" i="34"/>
  <c r="E16" i="40" s="1"/>
  <c r="H19" i="34"/>
  <c r="E17" i="40" s="1"/>
  <c r="H20" i="34"/>
  <c r="E18" i="40" s="1"/>
  <c r="H21" i="34"/>
  <c r="E19" i="40" s="1"/>
  <c r="H22" i="34"/>
  <c r="E20" i="40" s="1"/>
  <c r="H23" i="34"/>
  <c r="E21" i="40" s="1"/>
  <c r="H24" i="34"/>
  <c r="E22" i="40" s="1"/>
  <c r="H25" i="34"/>
  <c r="E23" i="40" s="1"/>
  <c r="H26" i="34"/>
  <c r="E24" i="40" s="1"/>
  <c r="H27" i="34"/>
  <c r="E25" i="40" s="1"/>
  <c r="H28" i="34"/>
  <c r="E26" i="40" s="1"/>
  <c r="H29" i="34"/>
  <c r="E27" i="40" s="1"/>
  <c r="H30" i="34"/>
  <c r="E28" i="40" s="1"/>
  <c r="H31" i="34"/>
  <c r="E29" i="40" s="1"/>
  <c r="H33" i="34"/>
  <c r="E31" i="40" s="1"/>
  <c r="H35" i="34"/>
  <c r="E33" i="40" s="1"/>
  <c r="H36" i="34"/>
  <c r="E34" i="40" s="1"/>
  <c r="H37" i="34"/>
  <c r="E35" i="40" s="1"/>
  <c r="H38" i="34"/>
  <c r="E36" i="40" s="1"/>
  <c r="H39" i="34"/>
  <c r="E37" i="40" s="1"/>
  <c r="H40" i="34"/>
  <c r="E38" i="40" s="1"/>
  <c r="H41" i="34"/>
  <c r="E39" i="40" s="1"/>
  <c r="H42" i="34"/>
  <c r="E40" i="40" s="1"/>
  <c r="H43" i="34"/>
  <c r="E41" i="40" s="1"/>
  <c r="H44" i="34"/>
  <c r="E42" i="40" s="1"/>
  <c r="H45" i="34"/>
  <c r="E43" i="40" s="1"/>
  <c r="H46" i="34"/>
  <c r="E44" i="40" s="1"/>
  <c r="H47" i="34"/>
  <c r="E45" i="40" s="1"/>
  <c r="H48" i="34"/>
  <c r="E46" i="40" s="1"/>
  <c r="H49" i="34"/>
  <c r="E47" i="40" s="1"/>
  <c r="H50" i="34"/>
  <c r="E48" i="40" s="1"/>
  <c r="H51" i="34"/>
  <c r="E49" i="40" s="1"/>
  <c r="H52" i="34"/>
  <c r="E50" i="40" s="1"/>
  <c r="H53" i="34"/>
  <c r="E51" i="40" s="1"/>
  <c r="H54" i="34"/>
  <c r="E52" i="40" s="1"/>
  <c r="H55" i="34"/>
  <c r="E53" i="40" s="1"/>
  <c r="H56" i="34"/>
  <c r="E54" i="40" s="1"/>
  <c r="H57" i="34"/>
  <c r="H58" i="34"/>
  <c r="H59" i="34"/>
  <c r="H60" i="34"/>
  <c r="E55" i="40" s="1"/>
  <c r="H61" i="34"/>
  <c r="E56" i="40" s="1"/>
  <c r="H62" i="34"/>
  <c r="E57" i="40" s="1"/>
  <c r="H63" i="34"/>
  <c r="E58" i="40" s="1"/>
  <c r="H64" i="34"/>
  <c r="E59" i="40" s="1"/>
  <c r="H65" i="34"/>
  <c r="H66" i="34"/>
  <c r="E60" i="40" s="1"/>
  <c r="H67" i="34"/>
  <c r="E61" i="40" s="1"/>
  <c r="H68" i="34"/>
  <c r="E62" i="40" s="1"/>
  <c r="H69" i="34"/>
  <c r="E63" i="40" s="1"/>
  <c r="H70" i="34"/>
  <c r="E64" i="40" s="1"/>
  <c r="H71" i="34"/>
  <c r="E65" i="40" s="1"/>
  <c r="H72" i="34"/>
  <c r="E66" i="40" s="1"/>
  <c r="H73" i="34"/>
  <c r="H74" i="34"/>
  <c r="E67" i="40" s="1"/>
  <c r="H75" i="34"/>
  <c r="E68" i="40" s="1"/>
  <c r="H76" i="34"/>
  <c r="E69" i="40" s="1"/>
  <c r="H77" i="34"/>
  <c r="E70" i="40" s="1"/>
  <c r="H78" i="34"/>
  <c r="E71" i="40" s="1"/>
  <c r="H79" i="34"/>
  <c r="E72" i="40" s="1"/>
  <c r="H81" i="34"/>
  <c r="E74" i="40" s="1"/>
  <c r="H82" i="34"/>
  <c r="E75" i="40" s="1"/>
  <c r="H83" i="34"/>
  <c r="E76" i="40" s="1"/>
  <c r="H84" i="34"/>
  <c r="E77" i="40" s="1"/>
  <c r="H85" i="34"/>
  <c r="E78" i="40" s="1"/>
  <c r="H86" i="34"/>
  <c r="E79" i="40" s="1"/>
  <c r="H87" i="34"/>
  <c r="E80" i="40" s="1"/>
  <c r="H88" i="34"/>
  <c r="E81" i="40" s="1"/>
  <c r="H89" i="34"/>
  <c r="E82" i="40" s="1"/>
  <c r="H90" i="34"/>
  <c r="E83" i="40" s="1"/>
  <c r="H91" i="34"/>
  <c r="E84" i="40" s="1"/>
  <c r="H92" i="34"/>
  <c r="H94" i="34"/>
  <c r="E87" i="40" s="1"/>
  <c r="H95" i="34"/>
  <c r="E88" i="40" s="1"/>
  <c r="H96" i="34"/>
  <c r="E89" i="40" s="1"/>
  <c r="H97" i="34"/>
  <c r="E90" i="40" s="1"/>
  <c r="H98" i="34"/>
  <c r="E91" i="40" s="1"/>
  <c r="H99" i="34"/>
  <c r="E92" i="40" s="1"/>
  <c r="H100" i="34"/>
  <c r="H101" i="34"/>
  <c r="E94" i="40" s="1"/>
  <c r="H102" i="34"/>
  <c r="E95" i="40" s="1"/>
  <c r="H103" i="34"/>
  <c r="E96" i="40" s="1"/>
  <c r="H104" i="34"/>
  <c r="E97" i="40" s="1"/>
  <c r="H105" i="34"/>
  <c r="E98" i="40" s="1"/>
  <c r="H106" i="34"/>
  <c r="E99" i="40" s="1"/>
  <c r="H107" i="34"/>
  <c r="E100" i="40" s="1"/>
  <c r="H108" i="34"/>
  <c r="E101" i="40" s="1"/>
  <c r="H109" i="34"/>
  <c r="H110" i="34"/>
  <c r="H111" i="34"/>
  <c r="E102" i="40" s="1"/>
  <c r="H112" i="34"/>
  <c r="E103" i="40" s="1"/>
  <c r="H113" i="34"/>
  <c r="H114" i="34"/>
  <c r="H115" i="34"/>
  <c r="H116" i="34"/>
  <c r="H117" i="34"/>
  <c r="H118" i="34"/>
  <c r="H119" i="34"/>
  <c r="E104" i="40" s="1"/>
  <c r="H120" i="34"/>
  <c r="E105" i="40" s="1"/>
  <c r="H121" i="34"/>
  <c r="E106" i="40" s="1"/>
  <c r="H32" i="34"/>
  <c r="E30" i="40" s="1"/>
  <c r="H122" i="34"/>
  <c r="E107" i="40" s="1"/>
  <c r="H2" i="34"/>
  <c r="J100" i="40"/>
  <c r="K100" i="40"/>
  <c r="J90" i="40"/>
  <c r="K90" i="40"/>
  <c r="J79" i="40"/>
  <c r="K79" i="40"/>
  <c r="J104" i="40"/>
  <c r="K104" i="40"/>
  <c r="J98" i="40"/>
  <c r="K98" i="40"/>
  <c r="J92" i="40"/>
  <c r="K92" i="40"/>
  <c r="J80" i="40"/>
  <c r="K80" i="40"/>
  <c r="J75" i="40"/>
  <c r="K75" i="40"/>
  <c r="J106" i="40"/>
  <c r="K106" i="40"/>
  <c r="J87" i="40"/>
  <c r="K87" i="40"/>
  <c r="J93" i="40"/>
  <c r="K93" i="40"/>
  <c r="J91" i="40"/>
  <c r="K91" i="40"/>
  <c r="J83" i="40"/>
  <c r="K83" i="40"/>
  <c r="J86" i="40"/>
  <c r="K86" i="40"/>
  <c r="J89" i="40"/>
  <c r="K89" i="40"/>
  <c r="J78" i="40"/>
  <c r="K78" i="40"/>
  <c r="J105" i="40"/>
  <c r="K105" i="40"/>
  <c r="J103" i="40"/>
  <c r="K103" i="40"/>
  <c r="J96" i="40"/>
  <c r="K96" i="40"/>
  <c r="J97" i="40"/>
  <c r="K97" i="40"/>
  <c r="J77" i="40"/>
  <c r="K77" i="40"/>
  <c r="J95" i="40"/>
  <c r="K95" i="40"/>
  <c r="J88" i="40"/>
  <c r="K88" i="40"/>
  <c r="J99" i="40"/>
  <c r="K99" i="40"/>
  <c r="J94" i="40"/>
  <c r="K94" i="40"/>
  <c r="J101" i="40"/>
  <c r="K101" i="40"/>
  <c r="J82" i="40"/>
  <c r="K82" i="40"/>
  <c r="J85" i="40"/>
  <c r="K85" i="40"/>
  <c r="J102" i="40"/>
  <c r="K102" i="40"/>
  <c r="J76" i="40"/>
  <c r="K76" i="40"/>
  <c r="J81" i="40"/>
  <c r="K81" i="40"/>
  <c r="E7" i="40"/>
  <c r="AD49" i="34"/>
  <c r="C21" i="50"/>
  <c r="E93" i="40"/>
  <c r="E73" i="40"/>
  <c r="E3" i="40"/>
  <c r="E86" i="40"/>
  <c r="M651" i="35"/>
  <c r="U612" i="35"/>
  <c r="U633" i="35"/>
  <c r="U615" i="35"/>
  <c r="U614" i="35"/>
  <c r="U623" i="35"/>
  <c r="U631" i="35"/>
  <c r="U616" i="35"/>
  <c r="U628" i="35"/>
  <c r="U637" i="35"/>
  <c r="U630" i="35"/>
  <c r="U636" i="35"/>
  <c r="U618" i="35"/>
  <c r="U649" i="35"/>
  <c r="U634" i="35"/>
  <c r="U624" i="35"/>
  <c r="U632" i="35"/>
  <c r="U639" i="35"/>
  <c r="U613" i="35"/>
  <c r="U627" i="35"/>
  <c r="U642" i="35"/>
  <c r="U625" i="35"/>
  <c r="U647" i="35"/>
  <c r="U640" i="35"/>
  <c r="U620" i="35"/>
  <c r="U638" i="35"/>
  <c r="U622" i="35"/>
  <c r="U635" i="35"/>
  <c r="U617" i="35"/>
  <c r="U644" i="35"/>
  <c r="U626" i="35"/>
  <c r="U621" i="35"/>
  <c r="U619" i="35"/>
  <c r="U641" i="35"/>
  <c r="U646" i="35"/>
  <c r="U643" i="35"/>
  <c r="U629" i="35"/>
  <c r="U648" i="35"/>
  <c r="U645" i="35"/>
  <c r="U611" i="35"/>
  <c r="U537" i="35"/>
  <c r="U496" i="35"/>
  <c r="U499" i="35"/>
  <c r="U538" i="35"/>
  <c r="U466" i="35"/>
  <c r="U475" i="35"/>
  <c r="U542" i="35"/>
  <c r="U543" i="35"/>
  <c r="U550" i="35"/>
  <c r="U602" i="35"/>
  <c r="U515" i="35"/>
  <c r="U517" i="35"/>
  <c r="U606" i="35"/>
  <c r="U551" i="35"/>
  <c r="U516" i="35"/>
  <c r="U444" i="35"/>
  <c r="U528" i="35"/>
  <c r="U536" i="35"/>
  <c r="U488" i="35"/>
  <c r="U556" i="35"/>
  <c r="U560" i="35"/>
  <c r="U609" i="35"/>
  <c r="U464" i="35"/>
  <c r="U525" i="35"/>
  <c r="U442" i="35"/>
  <c r="U500" i="35"/>
  <c r="U511" i="35"/>
  <c r="U553" i="35"/>
  <c r="U532" i="35"/>
  <c r="U473" i="35"/>
  <c r="U520" i="35"/>
  <c r="U450" i="35"/>
  <c r="U447" i="35"/>
  <c r="U502" i="35"/>
  <c r="U512" i="35"/>
  <c r="U552" i="35"/>
  <c r="U480" i="35"/>
  <c r="U497" i="35"/>
  <c r="U469" i="35"/>
  <c r="U554" i="35"/>
  <c r="U589" i="35"/>
  <c r="U468" i="35"/>
  <c r="U534" i="35"/>
  <c r="U514" i="35"/>
  <c r="U441" i="35"/>
  <c r="U476" i="35"/>
  <c r="U584" i="35"/>
  <c r="U546" i="35"/>
  <c r="U507" i="35"/>
  <c r="U608" i="35"/>
  <c r="U519" i="35"/>
  <c r="U461" i="35"/>
  <c r="U597" i="35"/>
  <c r="U577" i="35"/>
  <c r="U454" i="35"/>
  <c r="U544" i="35"/>
  <c r="U487" i="35"/>
  <c r="U539" i="35"/>
  <c r="U474" i="35"/>
  <c r="U530" i="35"/>
  <c r="U443" i="35"/>
  <c r="U493" i="35"/>
  <c r="U494" i="35"/>
  <c r="U572" i="35"/>
  <c r="U579" i="35"/>
  <c r="U470" i="35"/>
  <c r="U607" i="35"/>
  <c r="U573" i="35"/>
  <c r="U563" i="35"/>
  <c r="U522" i="35"/>
  <c r="U471" i="35"/>
  <c r="U485" i="35"/>
  <c r="U489" i="35"/>
  <c r="U513" i="35"/>
  <c r="U448" i="35"/>
  <c r="U561" i="35"/>
  <c r="U459" i="35"/>
  <c r="U508" i="35"/>
  <c r="U498" i="35"/>
  <c r="U501" i="35"/>
  <c r="U569" i="35"/>
  <c r="U605" i="35"/>
  <c r="U510" i="35"/>
  <c r="U566" i="35"/>
  <c r="U547" i="35"/>
  <c r="U492" i="35"/>
  <c r="U580" i="35"/>
  <c r="U518" i="35"/>
  <c r="U604" i="35"/>
  <c r="U490" i="35"/>
  <c r="U545" i="35"/>
  <c r="U568" i="35"/>
  <c r="U467" i="35"/>
  <c r="U460" i="35"/>
  <c r="U486" i="35"/>
  <c r="U540" i="35"/>
  <c r="U484" i="35"/>
  <c r="U595" i="35"/>
  <c r="U524" i="35"/>
  <c r="U590" i="35"/>
  <c r="U456" i="35"/>
  <c r="U495" i="35"/>
  <c r="U549" i="35"/>
  <c r="U562" i="35"/>
  <c r="U531" i="35"/>
  <c r="U483" i="35"/>
  <c r="U610" i="35"/>
  <c r="U575" i="35"/>
  <c r="U462" i="35"/>
  <c r="U588" i="35"/>
  <c r="U526" i="35"/>
  <c r="U482" i="35"/>
  <c r="U576" i="35"/>
  <c r="U509" i="35"/>
  <c r="U581" i="35"/>
  <c r="U583" i="35"/>
  <c r="U449" i="35"/>
  <c r="U465" i="35"/>
  <c r="U578" i="35"/>
  <c r="U458" i="35"/>
  <c r="U446" i="35"/>
  <c r="U451" i="35"/>
  <c r="U506" i="35"/>
  <c r="U505" i="35"/>
  <c r="U463" i="35"/>
  <c r="U455" i="35"/>
  <c r="U478" i="35"/>
  <c r="U529" i="35"/>
  <c r="U603" i="35"/>
  <c r="U574" i="35"/>
  <c r="U481" i="35"/>
  <c r="U533" i="35"/>
  <c r="U582" i="35"/>
  <c r="U567" i="35"/>
  <c r="U593" i="35"/>
  <c r="U565" i="35"/>
  <c r="U503" i="35"/>
  <c r="U548" i="35"/>
  <c r="U564" i="35"/>
  <c r="U585" i="35"/>
  <c r="U557" i="35"/>
  <c r="U457" i="35"/>
  <c r="U596" i="35"/>
  <c r="U504" i="35"/>
  <c r="U571" i="35"/>
  <c r="U592" i="35"/>
  <c r="U559" i="35"/>
  <c r="U555" i="35"/>
  <c r="U599" i="35"/>
  <c r="U452" i="35"/>
  <c r="U521" i="35"/>
  <c r="U570" i="35"/>
  <c r="U601" i="35"/>
  <c r="U472" i="35"/>
  <c r="U558" i="35"/>
  <c r="U445" i="35"/>
  <c r="U600" i="35"/>
  <c r="U535" i="35"/>
  <c r="U586" i="35"/>
  <c r="U591" i="35"/>
  <c r="U453" i="35"/>
  <c r="U527" i="35"/>
  <c r="U594" i="35"/>
  <c r="U491" i="35"/>
  <c r="U523" i="35"/>
  <c r="U541" i="35"/>
  <c r="U479" i="35"/>
  <c r="U598" i="35"/>
  <c r="U587" i="35"/>
  <c r="U477" i="35"/>
  <c r="U440" i="35"/>
  <c r="U439" i="35"/>
  <c r="U427" i="35"/>
  <c r="U432" i="35"/>
  <c r="U425" i="35"/>
  <c r="U436" i="35"/>
  <c r="U434" i="35"/>
  <c r="U438" i="35"/>
  <c r="U426" i="35"/>
  <c r="U437" i="35"/>
  <c r="U430" i="35"/>
  <c r="U423" i="35"/>
  <c r="U435" i="35"/>
  <c r="U429" i="35"/>
  <c r="U428" i="35"/>
  <c r="U433" i="35"/>
  <c r="U431" i="35"/>
  <c r="U424" i="35"/>
  <c r="U350" i="35"/>
  <c r="U416" i="35"/>
  <c r="U347" i="35"/>
  <c r="U414" i="35"/>
  <c r="U365" i="35"/>
  <c r="U361" i="35"/>
  <c r="U351" i="35"/>
  <c r="U359" i="35"/>
  <c r="U346" i="35"/>
  <c r="U343" i="35"/>
  <c r="U422" i="35"/>
  <c r="U344" i="35"/>
  <c r="U352" i="35"/>
  <c r="U411" i="35"/>
  <c r="U357" i="35"/>
  <c r="U410" i="35"/>
  <c r="U401" i="35"/>
  <c r="U406" i="35"/>
  <c r="U363" i="35"/>
  <c r="U373" i="35"/>
  <c r="U374" i="35"/>
  <c r="U348" i="35"/>
  <c r="U372" i="35"/>
  <c r="U412" i="35"/>
  <c r="U371" i="35"/>
  <c r="U375" i="35"/>
  <c r="U376" i="35"/>
  <c r="U367" i="35"/>
  <c r="U349" i="35"/>
  <c r="U394" i="35"/>
  <c r="U395" i="35"/>
  <c r="U409" i="35"/>
  <c r="U358" i="35"/>
  <c r="U392" i="35"/>
  <c r="U355" i="35"/>
  <c r="U389" i="35"/>
  <c r="U393" i="35"/>
  <c r="U368" i="35"/>
  <c r="U419" i="35"/>
  <c r="U370" i="35"/>
  <c r="U420" i="35"/>
  <c r="U403" i="35"/>
  <c r="U418" i="35"/>
  <c r="U408" i="35"/>
  <c r="U415" i="35"/>
  <c r="U379" i="35"/>
  <c r="U402" i="35"/>
  <c r="U404" i="35"/>
  <c r="U399" i="35"/>
  <c r="U398" i="35"/>
  <c r="U407" i="35"/>
  <c r="U391" i="35"/>
  <c r="U400" i="35"/>
  <c r="U417" i="35"/>
  <c r="U396" i="35"/>
  <c r="U354" i="35"/>
  <c r="U345" i="35"/>
  <c r="U381" i="35"/>
  <c r="U378" i="35"/>
  <c r="U366" i="35"/>
  <c r="U421" i="35"/>
  <c r="U413" i="35"/>
  <c r="U397" i="35"/>
  <c r="U405" i="35"/>
  <c r="U377" i="35"/>
  <c r="U387" i="35"/>
  <c r="U369" i="35"/>
  <c r="U380" i="35"/>
  <c r="U353" i="35"/>
  <c r="U364" i="35"/>
  <c r="U362" i="35"/>
  <c r="U388" i="35"/>
  <c r="U390" i="35"/>
  <c r="U360" i="35"/>
  <c r="U383" i="35"/>
  <c r="U382" i="35"/>
  <c r="U384" i="35"/>
  <c r="U356" i="35"/>
  <c r="U385" i="35"/>
  <c r="U386" i="35"/>
  <c r="U339" i="35"/>
  <c r="U340" i="35"/>
  <c r="U323" i="35"/>
  <c r="U337" i="35"/>
  <c r="U321" i="35"/>
  <c r="U324" i="35"/>
  <c r="U338" i="35"/>
  <c r="U342" i="35"/>
  <c r="U332" i="35"/>
  <c r="U317" i="35"/>
  <c r="U330" i="35"/>
  <c r="U327" i="35"/>
  <c r="U329" i="35"/>
  <c r="U328" i="35"/>
  <c r="U335" i="35"/>
  <c r="U322" i="35"/>
  <c r="U334" i="35"/>
  <c r="U326" i="35"/>
  <c r="U331" i="35"/>
  <c r="U325" i="35"/>
  <c r="U318" i="35"/>
  <c r="U320" i="35"/>
  <c r="U341" i="35"/>
  <c r="U319" i="35"/>
  <c r="U336" i="35"/>
  <c r="U333" i="35"/>
  <c r="U305" i="35"/>
  <c r="U306" i="35"/>
  <c r="U300" i="35"/>
  <c r="U307" i="35"/>
  <c r="U298" i="35"/>
  <c r="U304" i="35"/>
  <c r="U309" i="35"/>
  <c r="U290" i="35"/>
  <c r="U291" i="35"/>
  <c r="U293" i="35"/>
  <c r="U292" i="35"/>
  <c r="U302" i="35"/>
  <c r="U303" i="35"/>
  <c r="U289" i="35"/>
  <c r="U288" i="35"/>
  <c r="U296" i="35"/>
  <c r="U299" i="35"/>
  <c r="U313" i="35"/>
  <c r="U295" i="35"/>
  <c r="U312" i="35"/>
  <c r="U310" i="35"/>
  <c r="U301" i="35"/>
  <c r="U308" i="35"/>
  <c r="U294" i="35"/>
  <c r="U311" i="35"/>
  <c r="U316" i="35"/>
  <c r="U314" i="35"/>
  <c r="U297" i="35"/>
  <c r="U315" i="35"/>
  <c r="U287" i="35"/>
  <c r="U285" i="35"/>
  <c r="U286" i="35"/>
  <c r="U283" i="35"/>
  <c r="U282" i="35"/>
  <c r="U284" i="35"/>
  <c r="U279" i="35"/>
  <c r="U262" i="35"/>
  <c r="U276" i="35"/>
  <c r="U266" i="35"/>
  <c r="U265" i="35"/>
  <c r="U264" i="35"/>
  <c r="U271" i="35"/>
  <c r="U260" i="35"/>
  <c r="U273" i="35"/>
  <c r="U280" i="35"/>
  <c r="U268" i="35"/>
  <c r="U272" i="35"/>
  <c r="U275" i="35"/>
  <c r="U261" i="35"/>
  <c r="U263" i="35"/>
  <c r="U259" i="35"/>
  <c r="U278" i="35"/>
  <c r="U281" i="35"/>
  <c r="U270" i="35"/>
  <c r="U258" i="35"/>
  <c r="U277" i="35"/>
  <c r="U269" i="35"/>
  <c r="U274" i="35"/>
  <c r="U267" i="35"/>
  <c r="U254" i="35"/>
  <c r="U257" i="35"/>
  <c r="U255" i="35"/>
  <c r="U256" i="35"/>
  <c r="U244" i="35"/>
  <c r="U208" i="35"/>
  <c r="U247" i="35"/>
  <c r="U203" i="35"/>
  <c r="U213" i="35"/>
  <c r="U248" i="35"/>
  <c r="U243" i="35"/>
  <c r="U200" i="35"/>
  <c r="U209" i="35"/>
  <c r="U199" i="35"/>
  <c r="U252" i="35"/>
  <c r="U204" i="35"/>
  <c r="U239" i="35"/>
  <c r="U242" i="35"/>
  <c r="U219" i="35"/>
  <c r="U229" i="35"/>
  <c r="U230" i="35"/>
  <c r="U221" i="35"/>
  <c r="U251" i="35"/>
  <c r="U245" i="35"/>
  <c r="U223" i="35"/>
  <c r="U210" i="35"/>
  <c r="U202" i="35"/>
  <c r="U212" i="35"/>
  <c r="U250" i="35"/>
  <c r="U205" i="35"/>
  <c r="U218" i="35"/>
  <c r="U253" i="35"/>
  <c r="U194" i="35"/>
  <c r="U214" i="35"/>
  <c r="U227" i="35"/>
  <c r="U215" i="35"/>
  <c r="U224" i="35"/>
  <c r="U240" i="35"/>
  <c r="U220" i="35"/>
  <c r="U225" i="35"/>
  <c r="U197" i="35"/>
  <c r="U216" i="35"/>
  <c r="U207" i="35"/>
  <c r="U233" i="35"/>
  <c r="U226" i="35"/>
  <c r="U238" i="35"/>
  <c r="U228" i="35"/>
  <c r="U234" i="35"/>
  <c r="U222" i="35"/>
  <c r="U241" i="35"/>
  <c r="U211" i="35"/>
  <c r="U201" i="35"/>
  <c r="U217" i="35"/>
  <c r="U249" i="35"/>
  <c r="U237" i="35"/>
  <c r="U236" i="35"/>
  <c r="U235" i="35"/>
  <c r="U195" i="35"/>
  <c r="U206" i="35"/>
  <c r="U196" i="35"/>
  <c r="U232" i="35"/>
  <c r="U231" i="35"/>
  <c r="U246" i="35"/>
  <c r="U198" i="35"/>
  <c r="U106" i="35"/>
  <c r="U105" i="35"/>
  <c r="U103" i="35"/>
  <c r="U176" i="35"/>
  <c r="U189" i="35"/>
  <c r="U109" i="35"/>
  <c r="U125" i="35"/>
  <c r="U163" i="35"/>
  <c r="U179" i="35"/>
  <c r="U110" i="35"/>
  <c r="U102" i="35"/>
  <c r="U111" i="35"/>
  <c r="U184" i="35"/>
  <c r="U107" i="35"/>
  <c r="U115" i="35"/>
  <c r="U129" i="35"/>
  <c r="U104" i="35"/>
  <c r="U169" i="35"/>
  <c r="U192" i="35"/>
  <c r="U108" i="35"/>
  <c r="U101" i="35"/>
  <c r="U193" i="35"/>
  <c r="U140" i="35"/>
  <c r="U168" i="35"/>
  <c r="U185" i="35"/>
  <c r="U122" i="35"/>
  <c r="U170" i="35"/>
  <c r="U136" i="35"/>
  <c r="U156" i="35"/>
  <c r="U175" i="35"/>
  <c r="U134" i="35"/>
  <c r="U130" i="35"/>
  <c r="U166" i="35"/>
  <c r="U113" i="35"/>
  <c r="U112" i="35"/>
  <c r="U152" i="35"/>
  <c r="U123" i="35"/>
  <c r="U186" i="35"/>
  <c r="U114" i="35"/>
  <c r="U181" i="35"/>
  <c r="U148" i="35"/>
  <c r="U172" i="35"/>
  <c r="U128" i="35"/>
  <c r="U171" i="35"/>
  <c r="U167" i="35"/>
  <c r="U131" i="35"/>
  <c r="U191" i="35"/>
  <c r="U120" i="35"/>
  <c r="U141" i="35"/>
  <c r="U116" i="35"/>
  <c r="U121" i="35"/>
  <c r="U160" i="35"/>
  <c r="U180" i="35"/>
  <c r="U137" i="35"/>
  <c r="U150" i="35"/>
  <c r="U147" i="35"/>
  <c r="U190" i="35"/>
  <c r="U182" i="35"/>
  <c r="U118" i="35"/>
  <c r="U145" i="35"/>
  <c r="U132" i="35"/>
  <c r="U177" i="35"/>
  <c r="U149" i="35"/>
  <c r="U127" i="35"/>
  <c r="U161" i="35"/>
  <c r="U126" i="35"/>
  <c r="U187" i="35"/>
  <c r="U162" i="35"/>
  <c r="U183" i="35"/>
  <c r="U174" i="35"/>
  <c r="U117" i="35"/>
  <c r="U165" i="35"/>
  <c r="U154" i="35"/>
  <c r="U157" i="35"/>
  <c r="U146" i="35"/>
  <c r="U155" i="35"/>
  <c r="U139" i="35"/>
  <c r="U142" i="35"/>
  <c r="U178" i="35"/>
  <c r="U173" i="35"/>
  <c r="U124" i="35"/>
  <c r="U188" i="35"/>
  <c r="U158" i="35"/>
  <c r="U143" i="35"/>
  <c r="U138" i="35"/>
  <c r="U159" i="35"/>
  <c r="U164" i="35"/>
  <c r="U119" i="35"/>
  <c r="U151" i="35"/>
  <c r="U133" i="35"/>
  <c r="U153" i="35"/>
  <c r="U144" i="35"/>
  <c r="U135" i="35"/>
  <c r="U100" i="35"/>
  <c r="U74" i="35"/>
  <c r="U73" i="35"/>
  <c r="U84" i="35"/>
  <c r="U72" i="35"/>
  <c r="U77" i="35"/>
  <c r="U89" i="35"/>
  <c r="U71" i="35"/>
  <c r="U88" i="35"/>
  <c r="U92" i="35"/>
  <c r="U80" i="35"/>
  <c r="U96" i="35"/>
  <c r="U76" i="35"/>
  <c r="U79" i="35"/>
  <c r="U94" i="35"/>
  <c r="U86" i="35"/>
  <c r="U87" i="35"/>
  <c r="U82" i="35"/>
  <c r="U83" i="35"/>
  <c r="U95" i="35"/>
  <c r="U69" i="35"/>
  <c r="U81" i="35"/>
  <c r="U98" i="35"/>
  <c r="U68" i="35"/>
  <c r="U66" i="35"/>
  <c r="U67" i="35"/>
  <c r="U90" i="35"/>
  <c r="U99" i="35"/>
  <c r="U70" i="35"/>
  <c r="U93" i="35"/>
  <c r="U85" i="35"/>
  <c r="U75" i="35"/>
  <c r="U91" i="35"/>
  <c r="U78" i="35"/>
  <c r="U97" i="35"/>
  <c r="U65" i="35"/>
  <c r="U64" i="35"/>
  <c r="U54" i="35"/>
  <c r="U31" i="35"/>
  <c r="U52" i="35"/>
  <c r="U33" i="35"/>
  <c r="U34" i="35"/>
  <c r="U51" i="35"/>
  <c r="U32" i="35"/>
  <c r="U40" i="35"/>
  <c r="U37" i="35"/>
  <c r="U59" i="35"/>
  <c r="U29" i="35"/>
  <c r="U56" i="35"/>
  <c r="U30" i="35"/>
  <c r="U36" i="35"/>
  <c r="U57" i="35"/>
  <c r="U55" i="35"/>
  <c r="U47" i="35"/>
  <c r="U38" i="35"/>
  <c r="U50" i="35"/>
  <c r="U43" i="35"/>
  <c r="U60" i="35"/>
  <c r="U45" i="35"/>
  <c r="U44" i="35"/>
  <c r="U46" i="35"/>
  <c r="U42" i="35"/>
  <c r="U35" i="35"/>
  <c r="U41" i="35"/>
  <c r="U39" i="35"/>
  <c r="U62" i="35"/>
  <c r="U63" i="35"/>
  <c r="U48" i="35"/>
  <c r="U49" i="35"/>
  <c r="U53" i="35"/>
  <c r="U61" i="35"/>
  <c r="U58" i="35"/>
  <c r="U26" i="35"/>
  <c r="U27" i="35"/>
  <c r="U28" i="35"/>
  <c r="U24" i="35"/>
  <c r="U25" i="35"/>
  <c r="U3" i="35"/>
  <c r="U22" i="35"/>
  <c r="U23" i="35"/>
  <c r="U20" i="35"/>
  <c r="U13" i="35"/>
  <c r="U21" i="35"/>
  <c r="U16" i="35"/>
  <c r="U15" i="35"/>
  <c r="U14" i="35"/>
  <c r="U8" i="35"/>
  <c r="U18" i="35"/>
  <c r="U17" i="35"/>
  <c r="U4" i="35"/>
  <c r="U19" i="35"/>
  <c r="U7" i="35"/>
  <c r="U6" i="35"/>
  <c r="U11" i="35"/>
  <c r="U5" i="35"/>
  <c r="U12" i="35"/>
  <c r="U9" i="35"/>
  <c r="U10" i="35"/>
  <c r="C135" i="33"/>
  <c r="C136" i="33"/>
  <c r="C157" i="33"/>
  <c r="C137" i="33"/>
  <c r="C138" i="33"/>
  <c r="C139" i="33"/>
  <c r="C140" i="33"/>
  <c r="C141" i="33"/>
  <c r="C142" i="33"/>
  <c r="C143" i="33"/>
  <c r="C144" i="33"/>
  <c r="C145" i="33"/>
  <c r="C146" i="33"/>
  <c r="C147" i="33"/>
  <c r="C148" i="33"/>
  <c r="C149" i="33"/>
  <c r="C150" i="33"/>
  <c r="C151" i="33"/>
  <c r="C152" i="33"/>
  <c r="C153" i="33"/>
  <c r="C154" i="33"/>
  <c r="C155" i="33"/>
  <c r="C156" i="33"/>
  <c r="C158" i="33"/>
  <c r="C159" i="33"/>
  <c r="C160" i="33"/>
  <c r="C161" i="33"/>
  <c r="C162" i="33"/>
  <c r="C163" i="33"/>
  <c r="C134" i="33"/>
  <c r="B145" i="33"/>
  <c r="B160" i="33"/>
  <c r="B154" i="33"/>
  <c r="B148" i="33"/>
  <c r="B161" i="33"/>
  <c r="B153" i="33"/>
  <c r="B134" i="33"/>
  <c r="B135" i="33"/>
  <c r="B137" i="33"/>
  <c r="B142" i="33"/>
  <c r="B150" i="33"/>
  <c r="D150" i="33"/>
  <c r="E150" i="33"/>
  <c r="B136" i="33"/>
  <c r="B155" i="33"/>
  <c r="B146" i="33"/>
  <c r="B159" i="33"/>
  <c r="B157" i="33"/>
  <c r="B156" i="33"/>
  <c r="B162" i="33"/>
  <c r="B158" i="33"/>
  <c r="B143" i="33"/>
  <c r="B138" i="33"/>
  <c r="B149" i="33"/>
  <c r="B152" i="33"/>
  <c r="B147" i="33"/>
  <c r="B139" i="33"/>
  <c r="B140" i="33"/>
  <c r="B144" i="33"/>
  <c r="B163" i="33"/>
  <c r="B141" i="33"/>
  <c r="A5" i="33"/>
  <c r="J2" i="32"/>
  <c r="G332" i="32"/>
  <c r="G333" i="32"/>
  <c r="G334" i="32"/>
  <c r="G335" i="32"/>
  <c r="D144" i="33"/>
  <c r="E144" i="33"/>
  <c r="D163" i="33"/>
  <c r="E163" i="33"/>
  <c r="D139" i="33"/>
  <c r="E139" i="33"/>
  <c r="C165" i="33"/>
  <c r="F127" i="33"/>
  <c r="B151" i="33"/>
  <c r="B165" i="33"/>
  <c r="D141" i="33"/>
  <c r="E141" i="33"/>
  <c r="D142" i="33"/>
  <c r="E142" i="33"/>
  <c r="D135" i="33"/>
  <c r="E135" i="33"/>
  <c r="D153" i="33"/>
  <c r="E153" i="33"/>
  <c r="D148" i="33"/>
  <c r="E148" i="33"/>
  <c r="D160" i="33"/>
  <c r="E160" i="33"/>
  <c r="D147" i="33"/>
  <c r="E147" i="33"/>
  <c r="D149" i="33"/>
  <c r="E149" i="33"/>
  <c r="D138" i="33"/>
  <c r="E138" i="33"/>
  <c r="D158" i="33"/>
  <c r="E158" i="33"/>
  <c r="D156" i="33"/>
  <c r="E156" i="33"/>
  <c r="D159" i="33"/>
  <c r="E159" i="33"/>
  <c r="D155" i="33"/>
  <c r="E155" i="33"/>
  <c r="D140" i="33"/>
  <c r="E140" i="33"/>
  <c r="D152" i="33"/>
  <c r="E152" i="33"/>
  <c r="D143" i="33"/>
  <c r="E143" i="33"/>
  <c r="D162" i="33"/>
  <c r="D157" i="33"/>
  <c r="E157" i="33"/>
  <c r="D146" i="33"/>
  <c r="E146" i="33"/>
  <c r="D136" i="33"/>
  <c r="E136" i="33"/>
  <c r="D137" i="33"/>
  <c r="E137" i="33"/>
  <c r="D134" i="33"/>
  <c r="E134" i="33"/>
  <c r="D161" i="33"/>
  <c r="D154" i="33"/>
  <c r="E154" i="33"/>
  <c r="D145" i="33"/>
  <c r="E145" i="33"/>
  <c r="C3" i="33"/>
  <c r="E3" i="33"/>
  <c r="F3" i="33"/>
  <c r="C6" i="33"/>
  <c r="E6" i="33"/>
  <c r="F6" i="33"/>
  <c r="C8" i="33"/>
  <c r="E8" i="33"/>
  <c r="F8" i="33"/>
  <c r="C10" i="33"/>
  <c r="E10" i="33"/>
  <c r="F10" i="33"/>
  <c r="C12" i="33"/>
  <c r="E12" i="33"/>
  <c r="F12" i="33"/>
  <c r="C14" i="33"/>
  <c r="E14" i="33"/>
  <c r="F14" i="33"/>
  <c r="C16" i="33"/>
  <c r="E16" i="33"/>
  <c r="F16" i="33"/>
  <c r="C18" i="33"/>
  <c r="E18" i="33"/>
  <c r="F18" i="33"/>
  <c r="C20" i="33"/>
  <c r="E20" i="33"/>
  <c r="F20" i="33"/>
  <c r="C22" i="33"/>
  <c r="E22" i="33"/>
  <c r="F22" i="33"/>
  <c r="C24" i="33"/>
  <c r="E24" i="33"/>
  <c r="F24" i="33"/>
  <c r="C26" i="33"/>
  <c r="E26" i="33"/>
  <c r="F26" i="33"/>
  <c r="C28" i="33"/>
  <c r="E28" i="33"/>
  <c r="F28" i="33"/>
  <c r="C30" i="33"/>
  <c r="E30" i="33"/>
  <c r="F30" i="33"/>
  <c r="C32" i="33"/>
  <c r="E32" i="33"/>
  <c r="F32" i="33"/>
  <c r="C34" i="33"/>
  <c r="E34" i="33"/>
  <c r="F34" i="33"/>
  <c r="C36" i="33"/>
  <c r="E36" i="33"/>
  <c r="F36" i="33"/>
  <c r="C38" i="33"/>
  <c r="E38" i="33"/>
  <c r="F38" i="33"/>
  <c r="C40" i="33"/>
  <c r="E40" i="33"/>
  <c r="F40" i="33"/>
  <c r="C42" i="33"/>
  <c r="E42" i="33"/>
  <c r="F42" i="33"/>
  <c r="C44" i="33"/>
  <c r="E44" i="33"/>
  <c r="F44" i="33"/>
  <c r="C46" i="33"/>
  <c r="E46" i="33"/>
  <c r="F46" i="33"/>
  <c r="C48" i="33"/>
  <c r="E48" i="33"/>
  <c r="F48" i="33"/>
  <c r="C50" i="33"/>
  <c r="E50" i="33"/>
  <c r="F50" i="33"/>
  <c r="C52" i="33"/>
  <c r="E52" i="33"/>
  <c r="F52" i="33"/>
  <c r="C54" i="33"/>
  <c r="E54" i="33"/>
  <c r="F54" i="33"/>
  <c r="C56" i="33"/>
  <c r="E56" i="33"/>
  <c r="F56" i="33"/>
  <c r="C58" i="33"/>
  <c r="E58" i="33"/>
  <c r="F58" i="33"/>
  <c r="C60" i="33"/>
  <c r="E60" i="33"/>
  <c r="F60" i="33"/>
  <c r="C62" i="33"/>
  <c r="E62" i="33"/>
  <c r="F62" i="33"/>
  <c r="C64" i="33"/>
  <c r="E64" i="33"/>
  <c r="F64" i="33"/>
  <c r="C66" i="33"/>
  <c r="E66" i="33"/>
  <c r="F66" i="33"/>
  <c r="C68" i="33"/>
  <c r="E68" i="33"/>
  <c r="F68" i="33"/>
  <c r="C70" i="33"/>
  <c r="E70" i="33"/>
  <c r="F70" i="33"/>
  <c r="C72" i="33"/>
  <c r="E72" i="33"/>
  <c r="F72" i="33"/>
  <c r="C74" i="33"/>
  <c r="E74" i="33"/>
  <c r="F74" i="33"/>
  <c r="C76" i="33"/>
  <c r="E76" i="33"/>
  <c r="F76" i="33"/>
  <c r="C78" i="33"/>
  <c r="E78" i="33"/>
  <c r="F78" i="33"/>
  <c r="C80" i="33"/>
  <c r="E80" i="33"/>
  <c r="F80" i="33"/>
  <c r="C82" i="33"/>
  <c r="E82" i="33"/>
  <c r="F82" i="33"/>
  <c r="C84" i="33"/>
  <c r="E84" i="33"/>
  <c r="F84" i="33"/>
  <c r="C86" i="33"/>
  <c r="E86" i="33"/>
  <c r="F86" i="33"/>
  <c r="C88" i="33"/>
  <c r="E88" i="33"/>
  <c r="F88" i="33"/>
  <c r="C90" i="33"/>
  <c r="E90" i="33"/>
  <c r="F90" i="33"/>
  <c r="C92" i="33"/>
  <c r="E92" i="33"/>
  <c r="F92" i="33"/>
  <c r="C94" i="33"/>
  <c r="E94" i="33"/>
  <c r="F94" i="33"/>
  <c r="C96" i="33"/>
  <c r="E96" i="33"/>
  <c r="F96" i="33"/>
  <c r="C98" i="33"/>
  <c r="E98" i="33"/>
  <c r="F98" i="33"/>
  <c r="C100" i="33"/>
  <c r="E100" i="33"/>
  <c r="F100" i="33"/>
  <c r="C102" i="33"/>
  <c r="E102" i="33"/>
  <c r="F102" i="33"/>
  <c r="C104" i="33"/>
  <c r="E104" i="33"/>
  <c r="F104" i="33"/>
  <c r="C106" i="33"/>
  <c r="E106" i="33"/>
  <c r="F106" i="33"/>
  <c r="C108" i="33"/>
  <c r="E108" i="33"/>
  <c r="F108" i="33"/>
  <c r="C110" i="33"/>
  <c r="E110" i="33"/>
  <c r="F110" i="33"/>
  <c r="C112" i="33"/>
  <c r="E112" i="33"/>
  <c r="F112" i="33"/>
  <c r="C114" i="33"/>
  <c r="E114" i="33"/>
  <c r="F114" i="33"/>
  <c r="C116" i="33"/>
  <c r="E116" i="33"/>
  <c r="F116" i="33"/>
  <c r="C118" i="33"/>
  <c r="E118" i="33"/>
  <c r="F118" i="33"/>
  <c r="C120" i="33"/>
  <c r="E120" i="33"/>
  <c r="F120" i="33"/>
  <c r="C122" i="33"/>
  <c r="E122" i="33"/>
  <c r="F122" i="33"/>
  <c r="C124" i="33"/>
  <c r="E124" i="33"/>
  <c r="F124" i="33"/>
  <c r="C126" i="33"/>
  <c r="E126" i="33"/>
  <c r="F126" i="33"/>
  <c r="C128" i="33"/>
  <c r="E128" i="33"/>
  <c r="F128" i="33"/>
  <c r="C4" i="33"/>
  <c r="E4" i="33"/>
  <c r="F4" i="33"/>
  <c r="C5" i="33"/>
  <c r="E5" i="33"/>
  <c r="F5" i="33"/>
  <c r="C7" i="33"/>
  <c r="E7" i="33"/>
  <c r="F7" i="33"/>
  <c r="C9" i="33"/>
  <c r="E9" i="33"/>
  <c r="F9" i="33"/>
  <c r="C11" i="33"/>
  <c r="E11" i="33"/>
  <c r="F11" i="33"/>
  <c r="C13" i="33"/>
  <c r="E13" i="33"/>
  <c r="F13" i="33"/>
  <c r="C15" i="33"/>
  <c r="E15" i="33"/>
  <c r="F15" i="33"/>
  <c r="C17" i="33"/>
  <c r="E17" i="33"/>
  <c r="F17" i="33"/>
  <c r="C19" i="33"/>
  <c r="E19" i="33"/>
  <c r="F19" i="33"/>
  <c r="C21" i="33"/>
  <c r="E21" i="33"/>
  <c r="F21" i="33"/>
  <c r="C23" i="33"/>
  <c r="E23" i="33"/>
  <c r="F23" i="33"/>
  <c r="C25" i="33"/>
  <c r="E25" i="33"/>
  <c r="F25" i="33"/>
  <c r="C27" i="33"/>
  <c r="E27" i="33"/>
  <c r="F27" i="33"/>
  <c r="C29" i="33"/>
  <c r="E29" i="33"/>
  <c r="F29" i="33"/>
  <c r="C31" i="33"/>
  <c r="E31" i="33"/>
  <c r="F31" i="33"/>
  <c r="C33" i="33"/>
  <c r="E33" i="33"/>
  <c r="F33" i="33"/>
  <c r="C35" i="33"/>
  <c r="E35" i="33"/>
  <c r="F35" i="33"/>
  <c r="C37" i="33"/>
  <c r="E37" i="33"/>
  <c r="F37" i="33"/>
  <c r="C39" i="33"/>
  <c r="E39" i="33"/>
  <c r="F39" i="33"/>
  <c r="C41" i="33"/>
  <c r="E41" i="33"/>
  <c r="F41" i="33"/>
  <c r="C43" i="33"/>
  <c r="E43" i="33"/>
  <c r="F43" i="33"/>
  <c r="C45" i="33"/>
  <c r="E45" i="33"/>
  <c r="F45" i="33"/>
  <c r="C47" i="33"/>
  <c r="E47" i="33"/>
  <c r="F47" i="33"/>
  <c r="C49" i="33"/>
  <c r="E49" i="33"/>
  <c r="F49" i="33"/>
  <c r="C51" i="33"/>
  <c r="E51" i="33"/>
  <c r="F51" i="33"/>
  <c r="C53" i="33"/>
  <c r="E53" i="33"/>
  <c r="F53" i="33"/>
  <c r="C55" i="33"/>
  <c r="E55" i="33"/>
  <c r="F55" i="33"/>
  <c r="C57" i="33"/>
  <c r="E57" i="33"/>
  <c r="F57" i="33"/>
  <c r="C59" i="33"/>
  <c r="E59" i="33"/>
  <c r="F59" i="33"/>
  <c r="C61" i="33"/>
  <c r="E61" i="33"/>
  <c r="F61" i="33"/>
  <c r="C63" i="33"/>
  <c r="E63" i="33"/>
  <c r="F63" i="33"/>
  <c r="C65" i="33"/>
  <c r="E65" i="33"/>
  <c r="F65" i="33"/>
  <c r="C67" i="33"/>
  <c r="E67" i="33"/>
  <c r="F67" i="33"/>
  <c r="C69" i="33"/>
  <c r="E69" i="33"/>
  <c r="F69" i="33"/>
  <c r="C71" i="33"/>
  <c r="E71" i="33"/>
  <c r="F71" i="33"/>
  <c r="C73" i="33"/>
  <c r="E73" i="33"/>
  <c r="F73" i="33"/>
  <c r="C75" i="33"/>
  <c r="E75" i="33"/>
  <c r="F75" i="33"/>
  <c r="C77" i="33"/>
  <c r="E77" i="33"/>
  <c r="F77" i="33"/>
  <c r="C79" i="33"/>
  <c r="E79" i="33"/>
  <c r="F79" i="33"/>
  <c r="C81" i="33"/>
  <c r="E81" i="33"/>
  <c r="F81" i="33"/>
  <c r="C83" i="33"/>
  <c r="E83" i="33"/>
  <c r="F83" i="33"/>
  <c r="C85" i="33"/>
  <c r="E85" i="33"/>
  <c r="F85" i="33"/>
  <c r="C87" i="33"/>
  <c r="E87" i="33"/>
  <c r="F87" i="33"/>
  <c r="C89" i="33"/>
  <c r="E89" i="33"/>
  <c r="F89" i="33"/>
  <c r="C91" i="33"/>
  <c r="E91" i="33"/>
  <c r="F91" i="33"/>
  <c r="C93" i="33"/>
  <c r="E93" i="33"/>
  <c r="F93" i="33"/>
  <c r="C95" i="33"/>
  <c r="E95" i="33"/>
  <c r="F95" i="33"/>
  <c r="C97" i="33"/>
  <c r="E97" i="33"/>
  <c r="F97" i="33"/>
  <c r="C99" i="33"/>
  <c r="E99" i="33"/>
  <c r="F99" i="33"/>
  <c r="C101" i="33"/>
  <c r="E101" i="33"/>
  <c r="F101" i="33"/>
  <c r="C103" i="33"/>
  <c r="E103" i="33"/>
  <c r="F103" i="33"/>
  <c r="C105" i="33"/>
  <c r="E105" i="33"/>
  <c r="F105" i="33"/>
  <c r="C107" i="33"/>
  <c r="E107" i="33"/>
  <c r="F107" i="33"/>
  <c r="C109" i="33"/>
  <c r="E109" i="33"/>
  <c r="F109" i="33"/>
  <c r="C111" i="33"/>
  <c r="E111" i="33"/>
  <c r="F111" i="33"/>
  <c r="C113" i="33"/>
  <c r="E113" i="33"/>
  <c r="F113" i="33"/>
  <c r="C115" i="33"/>
  <c r="E115" i="33"/>
  <c r="F115" i="33"/>
  <c r="C117" i="33"/>
  <c r="E117" i="33"/>
  <c r="F117" i="33"/>
  <c r="C119" i="33"/>
  <c r="E119" i="33"/>
  <c r="F119" i="33"/>
  <c r="C121" i="33"/>
  <c r="E121" i="33"/>
  <c r="F121" i="33"/>
  <c r="C123" i="33"/>
  <c r="E123" i="33"/>
  <c r="F123" i="33"/>
  <c r="C125" i="33"/>
  <c r="E125" i="33"/>
  <c r="F125" i="33"/>
  <c r="C127" i="33"/>
  <c r="E127" i="33"/>
  <c r="J412" i="32"/>
  <c r="J395" i="32"/>
  <c r="J379" i="32"/>
  <c r="J371" i="32"/>
  <c r="J360" i="32"/>
  <c r="J353" i="32"/>
  <c r="J336" i="32"/>
  <c r="J328" i="32"/>
  <c r="J308" i="32"/>
  <c r="J272" i="32"/>
  <c r="J271" i="32"/>
  <c r="J265" i="32"/>
  <c r="J184" i="32"/>
  <c r="J163" i="32"/>
  <c r="J148" i="32"/>
  <c r="J137" i="32"/>
  <c r="J64" i="32"/>
  <c r="J61" i="32"/>
  <c r="J51" i="32"/>
  <c r="J47" i="32"/>
  <c r="J15" i="32"/>
  <c r="J41" i="32"/>
  <c r="D151" i="33"/>
  <c r="E151" i="33"/>
  <c r="BA114" i="34" l="1"/>
  <c r="BA118" i="34"/>
  <c r="BA116" i="34"/>
  <c r="BB116" i="34"/>
  <c r="H12" i="44" a="1"/>
  <c r="H7" i="44" a="1"/>
  <c r="H14" i="44" a="1"/>
  <c r="H15" i="44" a="1"/>
  <c r="H11" i="44" a="1"/>
  <c r="H11" i="44" s="1"/>
  <c r="I11" i="44" s="1"/>
  <c r="H6" i="44" a="1"/>
  <c r="H13" i="44" a="1"/>
  <c r="H9" i="44" a="1"/>
  <c r="H9" i="44" s="1"/>
  <c r="I9" i="44" s="1"/>
  <c r="H33" i="44" a="1"/>
  <c r="H8" i="44" a="1"/>
  <c r="V254" i="34"/>
  <c r="H17" i="44" a="1"/>
  <c r="H17" i="44" s="1"/>
  <c r="I17" i="44" s="1"/>
  <c r="H35" i="44" a="1"/>
  <c r="H35" i="44" s="1"/>
  <c r="I35" i="44" s="1"/>
  <c r="H23" i="44" a="1"/>
  <c r="H27" i="44" a="1"/>
  <c r="H23" i="55" a="1"/>
  <c r="H23" i="55" s="1"/>
  <c r="I23" i="55" s="1"/>
  <c r="H29" i="44" a="1"/>
  <c r="H29" i="44" s="1"/>
  <c r="I29" i="44" s="1"/>
  <c r="H16" i="44" a="1"/>
  <c r="H16" i="44" s="1"/>
  <c r="I16" i="44" s="1"/>
  <c r="H21" i="44" a="1"/>
  <c r="H21" i="44" s="1"/>
  <c r="I21" i="44" s="1"/>
  <c r="H12" i="44"/>
  <c r="I12" i="44" s="1"/>
  <c r="H32" i="44" a="1"/>
  <c r="H32" i="44" s="1"/>
  <c r="I32" i="44" s="1"/>
  <c r="H22" i="44" a="1"/>
  <c r="H22" i="44" s="1"/>
  <c r="I22" i="44" s="1"/>
  <c r="H11" i="55" a="1"/>
  <c r="H11" i="55" s="1"/>
  <c r="I11" i="55" s="1"/>
  <c r="H31" i="44" a="1"/>
  <c r="H31" i="44" s="1"/>
  <c r="I31" i="44" s="1"/>
  <c r="H24" i="44" a="1"/>
  <c r="H24" i="44" s="1"/>
  <c r="I24" i="44" s="1"/>
  <c r="H28" i="44" a="1"/>
  <c r="H28" i="44" s="1"/>
  <c r="I28" i="44" s="1"/>
  <c r="H26" i="44" a="1"/>
  <c r="H26" i="44" s="1"/>
  <c r="I26" i="44" s="1"/>
  <c r="K6" i="44" a="1"/>
  <c r="K6" i="44" s="1"/>
  <c r="H18" i="44" a="1"/>
  <c r="H18" i="44" s="1"/>
  <c r="I18" i="44" s="1"/>
  <c r="H16" i="55" a="1"/>
  <c r="H16" i="55" s="1"/>
  <c r="I16" i="55" s="1"/>
  <c r="H35" i="55" a="1"/>
  <c r="H35" i="55" s="1"/>
  <c r="I35" i="55" s="1"/>
  <c r="H31" i="55" a="1"/>
  <c r="H31" i="55" s="1"/>
  <c r="I31" i="55" s="1"/>
  <c r="H30" i="44" a="1"/>
  <c r="H30" i="44" s="1"/>
  <c r="I30" i="44" s="1"/>
  <c r="H34" i="44" a="1"/>
  <c r="H34" i="44" s="1"/>
  <c r="I34" i="44" s="1"/>
  <c r="H24" i="55" a="1"/>
  <c r="H24" i="55" s="1"/>
  <c r="I24" i="55" s="1"/>
  <c r="H13" i="55" a="1"/>
  <c r="H13" i="55" s="1"/>
  <c r="I13" i="55" s="1"/>
  <c r="H25" i="44" a="1"/>
  <c r="H25" i="44" s="1"/>
  <c r="I25" i="44" s="1"/>
  <c r="H19" i="44" a="1"/>
  <c r="H19" i="44" s="1"/>
  <c r="I19" i="44" s="1"/>
  <c r="H20" i="44" a="1"/>
  <c r="H20" i="44" s="1"/>
  <c r="I20" i="44" s="1"/>
  <c r="H8" i="55" a="1"/>
  <c r="H8" i="55" s="1"/>
  <c r="I8" i="55" s="1"/>
  <c r="H14" i="44"/>
  <c r="I14" i="44" s="1"/>
  <c r="E2" i="40"/>
  <c r="H7" i="44"/>
  <c r="I7" i="44" s="1"/>
  <c r="H13" i="44"/>
  <c r="I13" i="44" s="1"/>
  <c r="H6" i="44"/>
  <c r="H36" i="44" s="1"/>
  <c r="I36" i="44" s="1"/>
  <c r="H8" i="44"/>
  <c r="I8" i="44" s="1"/>
  <c r="BB57" i="34"/>
  <c r="H15" i="44"/>
  <c r="I15" i="44" s="1"/>
  <c r="H33" i="44"/>
  <c r="I33" i="44" s="1"/>
  <c r="H27" i="44"/>
  <c r="I27" i="44" s="1"/>
  <c r="E85" i="40"/>
  <c r="BJ64" i="34"/>
  <c r="H23" i="44"/>
  <c r="I23" i="44" s="1"/>
  <c r="AP13" i="34"/>
  <c r="BA13" i="34" s="1"/>
  <c r="BB13" i="34" s="1"/>
  <c r="BJ11" i="34" s="1"/>
  <c r="H28" i="55" a="1"/>
  <c r="H28" i="55" s="1"/>
  <c r="I28" i="55" s="1"/>
  <c r="H27" i="55" a="1"/>
  <c r="H27" i="55" s="1"/>
  <c r="I27" i="55" s="1"/>
  <c r="B54" i="40"/>
  <c r="F12" i="34"/>
  <c r="F13" i="34" s="1"/>
  <c r="H32" i="55" a="1"/>
  <c r="H32" i="55" s="1"/>
  <c r="I32" i="55" s="1"/>
  <c r="H33" i="55" a="1"/>
  <c r="H33" i="55" s="1"/>
  <c r="I33" i="55" s="1"/>
  <c r="F109" i="34"/>
  <c r="F110" i="34" s="1"/>
  <c r="H14" i="55" a="1"/>
  <c r="H14" i="55" s="1"/>
  <c r="I14" i="55" s="1"/>
  <c r="H34" i="55" a="1"/>
  <c r="H34" i="55" s="1"/>
  <c r="I34" i="55" s="1"/>
  <c r="H21" i="55" a="1"/>
  <c r="H21" i="55" s="1"/>
  <c r="I21" i="55" s="1"/>
  <c r="H22" i="55" a="1"/>
  <c r="H22" i="55" s="1"/>
  <c r="I22" i="55" s="1"/>
  <c r="K6" i="55" a="1"/>
  <c r="K6" i="55" s="1"/>
  <c r="BA112" i="34"/>
  <c r="BB112" i="34" s="1"/>
  <c r="BB58" i="34"/>
  <c r="BB56" i="34"/>
  <c r="BA115" i="34"/>
  <c r="H25" i="55" a="1"/>
  <c r="H25" i="55" s="1"/>
  <c r="I25" i="55" s="1"/>
  <c r="H29" i="55" a="1"/>
  <c r="H29" i="55" s="1"/>
  <c r="I29" i="55" s="1"/>
  <c r="H15" i="55" a="1"/>
  <c r="H15" i="55" s="1"/>
  <c r="I15" i="55" s="1"/>
  <c r="BJ108" i="34"/>
  <c r="BB117" i="34"/>
  <c r="BA117" i="34"/>
  <c r="BB114" i="34"/>
  <c r="BB113" i="34"/>
  <c r="H7" i="55" a="1"/>
  <c r="H7" i="55" s="1"/>
  <c r="I7" i="55" s="1"/>
  <c r="H19" i="55" a="1"/>
  <c r="H19" i="55" s="1"/>
  <c r="I19" i="55" s="1"/>
  <c r="H17" i="55" a="1"/>
  <c r="H17" i="55" s="1"/>
  <c r="I17" i="55" s="1"/>
  <c r="BA113" i="34"/>
  <c r="BB115" i="34"/>
  <c r="BJ72" i="34"/>
  <c r="F58" i="34"/>
  <c r="H9" i="55" a="1"/>
  <c r="H9" i="55" s="1"/>
  <c r="I9" i="55" s="1"/>
  <c r="H12" i="55" a="1"/>
  <c r="H12" i="55" s="1"/>
  <c r="I12" i="55" s="1"/>
  <c r="H26" i="55" a="1"/>
  <c r="H26" i="55" s="1"/>
  <c r="I26" i="55" s="1"/>
  <c r="H20" i="55" a="1"/>
  <c r="H20" i="55" s="1"/>
  <c r="I20" i="55" s="1"/>
  <c r="F113" i="34"/>
  <c r="F114" i="34" s="1"/>
  <c r="F115" i="34" s="1"/>
  <c r="F116" i="34" s="1"/>
  <c r="F117" i="34" s="1"/>
  <c r="F118" i="34" s="1"/>
  <c r="H30" i="55" a="1"/>
  <c r="H30" i="55" s="1"/>
  <c r="I30" i="55" s="1"/>
  <c r="H6" i="55" a="1"/>
  <c r="H6" i="55" s="1"/>
  <c r="B66" i="40"/>
  <c r="H18" i="55" a="1"/>
  <c r="H18" i="55" s="1"/>
  <c r="I18" i="55" s="1"/>
  <c r="A410" i="47"/>
  <c r="F410" i="47" s="1"/>
  <c r="A251" i="47"/>
  <c r="F251" i="47" s="1"/>
  <c r="A178" i="47"/>
  <c r="F178" i="47" s="1"/>
  <c r="A231" i="47"/>
  <c r="C231" i="47" s="1"/>
  <c r="A159" i="47"/>
  <c r="B159" i="47" s="1"/>
  <c r="A74" i="47"/>
  <c r="E74" i="47" s="1"/>
  <c r="A39" i="47"/>
  <c r="B39" i="47" s="1"/>
  <c r="A411" i="47"/>
  <c r="F411" i="47" s="1"/>
  <c r="A298" i="47"/>
  <c r="E298" i="47" s="1"/>
  <c r="A115" i="47"/>
  <c r="B115" i="47" s="1"/>
  <c r="A60" i="47"/>
  <c r="B60" i="47" s="1"/>
  <c r="C345" i="47"/>
  <c r="B345" i="47"/>
  <c r="A50" i="47"/>
  <c r="F50" i="47" s="1"/>
  <c r="A170" i="47"/>
  <c r="E170" i="47" s="1"/>
  <c r="A282" i="47"/>
  <c r="E282" i="47" s="1"/>
  <c r="A394" i="47"/>
  <c r="C394" i="47" s="1"/>
  <c r="A7" i="47"/>
  <c r="B7" i="47" s="1"/>
  <c r="A215" i="47"/>
  <c r="B215" i="47" s="1"/>
  <c r="A83" i="47"/>
  <c r="C83" i="47" s="1"/>
  <c r="A243" i="47"/>
  <c r="C243" i="47" s="1"/>
  <c r="A403" i="47"/>
  <c r="F403" i="47" s="1"/>
  <c r="A79" i="47"/>
  <c r="E79" i="47" s="1"/>
  <c r="A44" i="47"/>
  <c r="C44" i="47" s="1"/>
  <c r="A252" i="47"/>
  <c r="B252" i="47" s="1"/>
  <c r="A444" i="47"/>
  <c r="C444" i="47" s="1"/>
  <c r="A141" i="47"/>
  <c r="C141" i="47" s="1"/>
  <c r="A357" i="47"/>
  <c r="C357" i="47" s="1"/>
  <c r="A38" i="47"/>
  <c r="B38" i="47" s="1"/>
  <c r="A254" i="47"/>
  <c r="B254" i="47" s="1"/>
  <c r="A470" i="47"/>
  <c r="C470" i="47" s="1"/>
  <c r="A41" i="47"/>
  <c r="B41" i="47" s="1"/>
  <c r="A128" i="47"/>
  <c r="F128" i="47" s="1"/>
  <c r="A304" i="47"/>
  <c r="C304" i="47" s="1"/>
  <c r="A473" i="47"/>
  <c r="C473" i="47" s="1"/>
  <c r="A280" i="47"/>
  <c r="C280" i="47" s="1"/>
  <c r="A268" i="47"/>
  <c r="E268" i="47" s="1"/>
  <c r="A173" i="47"/>
  <c r="A86" i="47"/>
  <c r="A486" i="47"/>
  <c r="A224" i="47"/>
  <c r="A113" i="47"/>
  <c r="A114" i="47"/>
  <c r="E114" i="47" s="1"/>
  <c r="A218" i="47"/>
  <c r="C218" i="47" s="1"/>
  <c r="A338" i="47"/>
  <c r="C338" i="47" s="1"/>
  <c r="A458" i="47"/>
  <c r="F458" i="47" s="1"/>
  <c r="A111" i="47"/>
  <c r="F111" i="47" s="1"/>
  <c r="A19" i="47"/>
  <c r="B19" i="47" s="1"/>
  <c r="A163" i="47"/>
  <c r="E163" i="47" s="1"/>
  <c r="A315" i="47"/>
  <c r="C315" i="47" s="1"/>
  <c r="A467" i="47"/>
  <c r="E467" i="47" s="1"/>
  <c r="A287" i="47"/>
  <c r="E287" i="47" s="1"/>
  <c r="A132" i="47"/>
  <c r="C132" i="47" s="1"/>
  <c r="A348" i="47"/>
  <c r="B348" i="47" s="1"/>
  <c r="A53" i="47"/>
  <c r="C53" i="47" s="1"/>
  <c r="A237" i="47"/>
  <c r="C237" i="47" s="1"/>
  <c r="A453" i="47"/>
  <c r="E453" i="47" s="1"/>
  <c r="A158" i="47"/>
  <c r="B158" i="47" s="1"/>
  <c r="A358" i="47"/>
  <c r="B358" i="47" s="1"/>
  <c r="A200" i="47"/>
  <c r="C200" i="47" s="1"/>
  <c r="A416" i="47"/>
  <c r="B416" i="47" s="1"/>
  <c r="A321" i="47"/>
  <c r="C321" i="47" s="1"/>
  <c r="A153" i="47"/>
  <c r="C153" i="47" s="1"/>
  <c r="A400" i="47"/>
  <c r="C400" i="47" s="1"/>
  <c r="A320" i="47"/>
  <c r="F320" i="47" s="1"/>
  <c r="A476" i="47"/>
  <c r="A365" i="47"/>
  <c r="A278" i="47"/>
  <c r="A201" i="47"/>
  <c r="A399" i="47"/>
  <c r="A360" i="47"/>
  <c r="A10" i="47"/>
  <c r="A122" i="47"/>
  <c r="C122" i="47" s="1"/>
  <c r="A242" i="47"/>
  <c r="F242" i="47" s="1"/>
  <c r="A346" i="47"/>
  <c r="F346" i="47" s="1"/>
  <c r="A466" i="47"/>
  <c r="F466" i="47" s="1"/>
  <c r="A151" i="47"/>
  <c r="A27" i="47"/>
  <c r="F27" i="47" s="1"/>
  <c r="A187" i="47"/>
  <c r="B187" i="47" s="1"/>
  <c r="A339" i="47"/>
  <c r="A483" i="47"/>
  <c r="A303" i="47"/>
  <c r="A172" i="47"/>
  <c r="F172" i="47" s="1"/>
  <c r="A356" i="47"/>
  <c r="A69" i="47"/>
  <c r="A277" i="47"/>
  <c r="A469" i="47"/>
  <c r="A190" i="47"/>
  <c r="F190" i="47" s="1"/>
  <c r="A382" i="47"/>
  <c r="A327" i="47"/>
  <c r="F327" i="47" s="1"/>
  <c r="A480" i="47"/>
  <c r="C480" i="47" s="1"/>
  <c r="A48" i="47"/>
  <c r="A185" i="47"/>
  <c r="B185" i="47" s="1"/>
  <c r="A441" i="47"/>
  <c r="A65" i="47"/>
  <c r="F345" i="47"/>
  <c r="E345" i="47"/>
  <c r="A26" i="47"/>
  <c r="A82" i="47"/>
  <c r="A138" i="47"/>
  <c r="A202" i="47"/>
  <c r="A250" i="47"/>
  <c r="A306" i="47"/>
  <c r="A370" i="47"/>
  <c r="A426" i="47"/>
  <c r="A474" i="47"/>
  <c r="A71" i="47"/>
  <c r="A167" i="47"/>
  <c r="A263" i="47"/>
  <c r="A59" i="47"/>
  <c r="A123" i="47"/>
  <c r="A195" i="47"/>
  <c r="A283" i="47"/>
  <c r="A355" i="47"/>
  <c r="A419" i="47"/>
  <c r="A15" i="47"/>
  <c r="A183" i="47"/>
  <c r="A4" i="47"/>
  <c r="A100" i="47"/>
  <c r="A188" i="47"/>
  <c r="A292" i="47"/>
  <c r="A396" i="47"/>
  <c r="A5" i="47"/>
  <c r="A85" i="47"/>
  <c r="A197" i="47"/>
  <c r="A301" i="47"/>
  <c r="A397" i="47"/>
  <c r="A22" i="47"/>
  <c r="A102" i="47"/>
  <c r="A198" i="47"/>
  <c r="A318" i="47"/>
  <c r="A414" i="47"/>
  <c r="A8" i="47"/>
  <c r="A415" i="47"/>
  <c r="A233" i="47"/>
  <c r="A57" i="47"/>
  <c r="A472" i="47"/>
  <c r="A112" i="47"/>
  <c r="A440" i="47"/>
  <c r="A384" i="47"/>
  <c r="A177" i="47"/>
  <c r="A464" i="47"/>
  <c r="A447" i="47"/>
  <c r="A193" i="47"/>
  <c r="A42" i="47"/>
  <c r="A90" i="47"/>
  <c r="A154" i="47"/>
  <c r="A210" i="47"/>
  <c r="A266" i="47"/>
  <c r="A330" i="47"/>
  <c r="A378" i="47"/>
  <c r="A434" i="47"/>
  <c r="A498" i="47"/>
  <c r="A95" i="47"/>
  <c r="A175" i="47"/>
  <c r="A311" i="47"/>
  <c r="A67" i="47"/>
  <c r="A147" i="47"/>
  <c r="A227" i="47"/>
  <c r="A291" i="47"/>
  <c r="A371" i="47"/>
  <c r="A451" i="47"/>
  <c r="A63" i="47"/>
  <c r="A223" i="47"/>
  <c r="A20" i="47"/>
  <c r="A124" i="47"/>
  <c r="A220" i="47"/>
  <c r="A332" i="47"/>
  <c r="A420" i="47"/>
  <c r="A13" i="47"/>
  <c r="A133" i="47"/>
  <c r="A229" i="47"/>
  <c r="A309" i="47"/>
  <c r="A429" i="47"/>
  <c r="A30" i="47"/>
  <c r="A126" i="47"/>
  <c r="A246" i="47"/>
  <c r="A326" i="47"/>
  <c r="A422" i="47"/>
  <c r="A168" i="47"/>
  <c r="A479" i="47"/>
  <c r="A297" i="47"/>
  <c r="A448" i="47"/>
  <c r="A97" i="47"/>
  <c r="A240" i="47"/>
  <c r="A25" i="47"/>
  <c r="A471" i="47"/>
  <c r="A273" i="47"/>
  <c r="A184" i="47"/>
  <c r="A256" i="47"/>
  <c r="A2" i="48"/>
  <c r="L2" i="48" s="1"/>
  <c r="A25" i="48"/>
  <c r="A119" i="48"/>
  <c r="B119" i="48" s="1"/>
  <c r="A159" i="48"/>
  <c r="B159" i="48" s="1"/>
  <c r="A129" i="48"/>
  <c r="B129" i="48" s="1"/>
  <c r="A56" i="48"/>
  <c r="A141" i="48"/>
  <c r="B141" i="48" s="1"/>
  <c r="A13" i="48"/>
  <c r="A94" i="48"/>
  <c r="A52" i="48"/>
  <c r="A182" i="48"/>
  <c r="B182" i="48" s="1"/>
  <c r="A163" i="48"/>
  <c r="B163" i="48" s="1"/>
  <c r="A27" i="48"/>
  <c r="A146" i="48"/>
  <c r="B146" i="48" s="1"/>
  <c r="A18" i="48"/>
  <c r="A183" i="48"/>
  <c r="B183" i="48" s="1"/>
  <c r="A184" i="48"/>
  <c r="B184" i="48" s="1"/>
  <c r="A22" i="48"/>
  <c r="A53" i="48"/>
  <c r="A180" i="48"/>
  <c r="B180" i="48" s="1"/>
  <c r="A97" i="48"/>
  <c r="A148" i="48"/>
  <c r="B148" i="48" s="1"/>
  <c r="A193" i="48"/>
  <c r="B193" i="48" s="1"/>
  <c r="A82" i="48"/>
  <c r="A95" i="48"/>
  <c r="A30" i="48"/>
  <c r="A181" i="48"/>
  <c r="B181" i="48" s="1"/>
  <c r="A137" i="48"/>
  <c r="B137" i="48" s="1"/>
  <c r="A116" i="48"/>
  <c r="B116" i="48" s="1"/>
  <c r="A152" i="48"/>
  <c r="B152" i="48" s="1"/>
  <c r="A139" i="48"/>
  <c r="B139" i="48" s="1"/>
  <c r="A9" i="48"/>
  <c r="A50" i="48"/>
  <c r="A55" i="48"/>
  <c r="A81" i="48"/>
  <c r="A117" i="48"/>
  <c r="B117" i="48" s="1"/>
  <c r="A144" i="48"/>
  <c r="B144" i="48" s="1"/>
  <c r="A92" i="48"/>
  <c r="A102" i="48"/>
  <c r="A91" i="48"/>
  <c r="A178" i="48"/>
  <c r="B178" i="48" s="1"/>
  <c r="A31" i="48"/>
  <c r="A28" i="48"/>
  <c r="A166" i="48"/>
  <c r="B166" i="48" s="1"/>
  <c r="A188" i="48"/>
  <c r="B188" i="48" s="1"/>
  <c r="A77" i="48"/>
  <c r="A59" i="48"/>
  <c r="A96" i="48"/>
  <c r="A114" i="48"/>
  <c r="B114" i="48" s="1"/>
  <c r="A24" i="48"/>
  <c r="A2" i="47"/>
  <c r="C2" i="47" s="1"/>
  <c r="A455" i="47"/>
  <c r="A495" i="47"/>
  <c r="A465" i="47"/>
  <c r="A312" i="47"/>
  <c r="A120" i="47"/>
  <c r="A359" i="47"/>
  <c r="A145" i="47"/>
  <c r="A289" i="47"/>
  <c r="A217" i="47"/>
  <c r="A488" i="47"/>
  <c r="A376" i="47"/>
  <c r="A144" i="47"/>
  <c r="A368" i="47"/>
  <c r="A431" i="47"/>
  <c r="A64" i="47"/>
  <c r="A88" i="47"/>
  <c r="A352" i="47"/>
  <c r="A105" i="47"/>
  <c r="A456" i="47"/>
  <c r="A296" i="47"/>
  <c r="A40" i="47"/>
  <c r="A454" i="47"/>
  <c r="A406" i="47"/>
  <c r="A342" i="47"/>
  <c r="A286" i="47"/>
  <c r="A230" i="47"/>
  <c r="A166" i="47"/>
  <c r="A118" i="47"/>
  <c r="A62" i="47"/>
  <c r="A493" i="47"/>
  <c r="A437" i="47"/>
  <c r="A389" i="47"/>
  <c r="A325" i="47"/>
  <c r="A269" i="47"/>
  <c r="A213" i="47"/>
  <c r="A149" i="47"/>
  <c r="A101" i="47"/>
  <c r="A45" i="47"/>
  <c r="A484" i="47"/>
  <c r="A428" i="47"/>
  <c r="A380" i="47"/>
  <c r="A316" i="47"/>
  <c r="A260" i="47"/>
  <c r="A204" i="47"/>
  <c r="A140" i="47"/>
  <c r="A92" i="47"/>
  <c r="A36" i="47"/>
  <c r="A319" i="47"/>
  <c r="A239" i="47"/>
  <c r="A135" i="47"/>
  <c r="A31" i="47"/>
  <c r="A475" i="47"/>
  <c r="A435" i="47"/>
  <c r="A387" i="47"/>
  <c r="A347" i="47"/>
  <c r="A307" i="47"/>
  <c r="A259" i="47"/>
  <c r="A219" i="47"/>
  <c r="A179" i="47"/>
  <c r="A131" i="47"/>
  <c r="A91" i="47"/>
  <c r="A51" i="47"/>
  <c r="A3" i="47"/>
  <c r="A247" i="47"/>
  <c r="A191" i="47"/>
  <c r="A143" i="47"/>
  <c r="A87" i="47"/>
  <c r="A23" i="47"/>
  <c r="A482" i="47"/>
  <c r="A450" i="47"/>
  <c r="A418" i="47"/>
  <c r="A386" i="47"/>
  <c r="A354" i="47"/>
  <c r="A322" i="47"/>
  <c r="A290" i="47"/>
  <c r="A258" i="47"/>
  <c r="A226" i="47"/>
  <c r="A194" i="47"/>
  <c r="A162" i="47"/>
  <c r="A130" i="47"/>
  <c r="A98" i="47"/>
  <c r="A66" i="47"/>
  <c r="A34" i="47"/>
  <c r="A18" i="47"/>
  <c r="A58" i="47"/>
  <c r="A106" i="47"/>
  <c r="A146" i="47"/>
  <c r="A186" i="47"/>
  <c r="A234" i="47"/>
  <c r="A274" i="47"/>
  <c r="A314" i="47"/>
  <c r="A362" i="47"/>
  <c r="A402" i="47"/>
  <c r="A442" i="47"/>
  <c r="A490" i="47"/>
  <c r="A55" i="47"/>
  <c r="A127" i="47"/>
  <c r="A207" i="47"/>
  <c r="A295" i="47"/>
  <c r="A35" i="47"/>
  <c r="A99" i="47"/>
  <c r="A155" i="47"/>
  <c r="A211" i="47"/>
  <c r="A275" i="47"/>
  <c r="A323" i="47"/>
  <c r="A379" i="47"/>
  <c r="A443" i="47"/>
  <c r="A499" i="47"/>
  <c r="A103" i="47"/>
  <c r="A255" i="47"/>
  <c r="A12" i="47"/>
  <c r="A76" i="47"/>
  <c r="A164" i="47"/>
  <c r="A228" i="47"/>
  <c r="A300" i="47"/>
  <c r="A388" i="47"/>
  <c r="A460" i="47"/>
  <c r="A21" i="47"/>
  <c r="A109" i="47"/>
  <c r="A181" i="47"/>
  <c r="A261" i="47"/>
  <c r="A341" i="47"/>
  <c r="A405" i="47"/>
  <c r="A485" i="47"/>
  <c r="A70" i="47"/>
  <c r="A150" i="47"/>
  <c r="A214" i="47"/>
  <c r="A294" i="47"/>
  <c r="A374" i="47"/>
  <c r="A446" i="47"/>
  <c r="A136" i="47"/>
  <c r="A369" i="47"/>
  <c r="A73" i="47"/>
  <c r="A393" i="47"/>
  <c r="A407" i="47"/>
  <c r="A288" i="47"/>
  <c r="A496" i="47"/>
  <c r="A272" i="47"/>
  <c r="A481" i="47"/>
  <c r="A361" i="47"/>
  <c r="A17" i="47"/>
  <c r="A305" i="47"/>
  <c r="A152" i="47"/>
  <c r="A401" i="47"/>
  <c r="A367" i="47"/>
  <c r="A26" i="48"/>
  <c r="A58" i="48"/>
  <c r="A90" i="48"/>
  <c r="A122" i="48"/>
  <c r="B122" i="48" s="1"/>
  <c r="A154" i="48"/>
  <c r="B154" i="48" s="1"/>
  <c r="A186" i="48"/>
  <c r="B186" i="48" s="1"/>
  <c r="A57" i="48"/>
  <c r="A3" i="48"/>
  <c r="L3" i="48" s="1"/>
  <c r="A35" i="48"/>
  <c r="A67" i="48"/>
  <c r="A99" i="48"/>
  <c r="A123" i="48"/>
  <c r="B123" i="48" s="1"/>
  <c r="A147" i="48"/>
  <c r="B147" i="48" s="1"/>
  <c r="A187" i="48"/>
  <c r="B187" i="48" s="1"/>
  <c r="A164" i="48"/>
  <c r="B164" i="48" s="1"/>
  <c r="A46" i="48"/>
  <c r="A134" i="48"/>
  <c r="B134" i="48" s="1"/>
  <c r="A80" i="48"/>
  <c r="A192" i="48"/>
  <c r="B192" i="48" s="1"/>
  <c r="A12" i="48"/>
  <c r="A36" i="48"/>
  <c r="A76" i="48"/>
  <c r="A100" i="48"/>
  <c r="A140" i="48"/>
  <c r="B140" i="48" s="1"/>
  <c r="A38" i="48"/>
  <c r="A174" i="48"/>
  <c r="B174" i="48" s="1"/>
  <c r="A72" i="48"/>
  <c r="A65" i="48"/>
  <c r="A185" i="48"/>
  <c r="B185" i="48" s="1"/>
  <c r="A37" i="48"/>
  <c r="A61" i="48"/>
  <c r="A101" i="48"/>
  <c r="A125" i="48"/>
  <c r="B125" i="48" s="1"/>
  <c r="A165" i="48"/>
  <c r="B165" i="48" s="1"/>
  <c r="A189" i="48"/>
  <c r="B189" i="48" s="1"/>
  <c r="A118" i="48"/>
  <c r="B118" i="48" s="1"/>
  <c r="A190" i="48"/>
  <c r="B190" i="48" s="1"/>
  <c r="A160" i="48"/>
  <c r="B160" i="48" s="1"/>
  <c r="A145" i="48"/>
  <c r="B145" i="48" s="1"/>
  <c r="A64" i="48"/>
  <c r="A49" i="48"/>
  <c r="A15" i="48"/>
  <c r="A39" i="48"/>
  <c r="A79" i="48"/>
  <c r="A103" i="48"/>
  <c r="A143" i="48"/>
  <c r="B143" i="48" s="1"/>
  <c r="A167" i="48"/>
  <c r="B167" i="48" s="1"/>
  <c r="A8" i="48"/>
  <c r="A128" i="48"/>
  <c r="B128" i="48" s="1"/>
  <c r="A169" i="48"/>
  <c r="B169" i="48" s="1"/>
  <c r="A34" i="48"/>
  <c r="A66" i="48"/>
  <c r="A98" i="48"/>
  <c r="A130" i="48"/>
  <c r="B130" i="48" s="1"/>
  <c r="A162" i="48"/>
  <c r="B162" i="48" s="1"/>
  <c r="A194" i="48"/>
  <c r="B194" i="48" s="1"/>
  <c r="A113" i="48"/>
  <c r="B113" i="48" s="1"/>
  <c r="A11" i="48"/>
  <c r="A43" i="48"/>
  <c r="A75" i="48"/>
  <c r="A107" i="48"/>
  <c r="A131" i="48"/>
  <c r="B131" i="48" s="1"/>
  <c r="A171" i="48"/>
  <c r="B171" i="48" s="1"/>
  <c r="A195" i="48"/>
  <c r="B195" i="48" s="1"/>
  <c r="A196" i="48"/>
  <c r="B196" i="48" s="1"/>
  <c r="A78" i="48"/>
  <c r="A16" i="48"/>
  <c r="A112" i="48"/>
  <c r="B112" i="48" s="1"/>
  <c r="A161" i="48"/>
  <c r="B161" i="48" s="1"/>
  <c r="A20" i="48"/>
  <c r="A60" i="48"/>
  <c r="A84" i="48"/>
  <c r="A124" i="48"/>
  <c r="B124" i="48" s="1"/>
  <c r="A156" i="48"/>
  <c r="B156" i="48" s="1"/>
  <c r="A110" i="48"/>
  <c r="B110" i="48" s="1"/>
  <c r="A198" i="48"/>
  <c r="B198" i="48" s="1"/>
  <c r="A200" i="48"/>
  <c r="B200" i="48" s="1"/>
  <c r="A105" i="48"/>
  <c r="A21" i="48"/>
  <c r="A45" i="48"/>
  <c r="A85" i="48"/>
  <c r="A109" i="48"/>
  <c r="B109" i="48" s="1"/>
  <c r="A149" i="48"/>
  <c r="B149" i="48" s="1"/>
  <c r="A173" i="48"/>
  <c r="B173" i="48" s="1"/>
  <c r="A54" i="48"/>
  <c r="A150" i="48"/>
  <c r="B150" i="48" s="1"/>
  <c r="A88" i="48"/>
  <c r="A33" i="48"/>
  <c r="A62" i="48"/>
  <c r="A136" i="48"/>
  <c r="B136" i="48" s="1"/>
  <c r="A177" i="48"/>
  <c r="B177" i="48" s="1"/>
  <c r="A23" i="48"/>
  <c r="A63" i="48"/>
  <c r="A87" i="48"/>
  <c r="A127" i="48"/>
  <c r="B127" i="48" s="1"/>
  <c r="A151" i="48"/>
  <c r="B151" i="48" s="1"/>
  <c r="A191" i="48"/>
  <c r="B191" i="48" s="1"/>
  <c r="A48" i="48"/>
  <c r="A73" i="48"/>
  <c r="A10" i="48"/>
  <c r="A42" i="48"/>
  <c r="A74" i="48"/>
  <c r="A106" i="48"/>
  <c r="A138" i="48"/>
  <c r="B138" i="48" s="1"/>
  <c r="A170" i="48"/>
  <c r="B170" i="48" s="1"/>
  <c r="A176" i="48"/>
  <c r="B176" i="48" s="1"/>
  <c r="A153" i="48"/>
  <c r="B153" i="48" s="1"/>
  <c r="A19" i="48"/>
  <c r="A51" i="48"/>
  <c r="A83" i="48"/>
  <c r="A115" i="48"/>
  <c r="B115" i="48" s="1"/>
  <c r="A155" i="48"/>
  <c r="B155" i="48" s="1"/>
  <c r="A179" i="48"/>
  <c r="B179" i="48" s="1"/>
  <c r="A172" i="48"/>
  <c r="B172" i="48" s="1"/>
  <c r="A14" i="48"/>
  <c r="A158" i="48"/>
  <c r="B158" i="48" s="1"/>
  <c r="A40" i="48"/>
  <c r="A17" i="48"/>
  <c r="A4" i="48"/>
  <c r="A44" i="48"/>
  <c r="A68" i="48"/>
  <c r="A108" i="48"/>
  <c r="B108" i="48" s="1"/>
  <c r="A132" i="48"/>
  <c r="B132" i="48" s="1"/>
  <c r="A70" i="48"/>
  <c r="A142" i="48"/>
  <c r="B142" i="48" s="1"/>
  <c r="A104" i="48"/>
  <c r="A41" i="48"/>
  <c r="A5" i="48"/>
  <c r="A29" i="48"/>
  <c r="A69" i="48"/>
  <c r="A93" i="48"/>
  <c r="A133" i="48"/>
  <c r="B133" i="48" s="1"/>
  <c r="A157" i="48"/>
  <c r="B157" i="48" s="1"/>
  <c r="A197" i="48"/>
  <c r="B197" i="48" s="1"/>
  <c r="A86" i="48"/>
  <c r="A32" i="48"/>
  <c r="A120" i="48"/>
  <c r="B120" i="48" s="1"/>
  <c r="A6" i="48"/>
  <c r="A126" i="48"/>
  <c r="B126" i="48" s="1"/>
  <c r="A89" i="48"/>
  <c r="A7" i="48"/>
  <c r="A47" i="48"/>
  <c r="A71" i="48"/>
  <c r="A111" i="48"/>
  <c r="B111" i="48" s="1"/>
  <c r="A135" i="48"/>
  <c r="B135" i="48" s="1"/>
  <c r="A175" i="48"/>
  <c r="B175" i="48" s="1"/>
  <c r="A199" i="48"/>
  <c r="B199" i="48" s="1"/>
  <c r="A168" i="48"/>
  <c r="B168" i="48" s="1"/>
  <c r="A121" i="48"/>
  <c r="B121" i="48" s="1"/>
  <c r="A279" i="47"/>
  <c r="A11" i="47"/>
  <c r="A43" i="47"/>
  <c r="A75" i="47"/>
  <c r="A107" i="47"/>
  <c r="A139" i="47"/>
  <c r="A171" i="47"/>
  <c r="A203" i="47"/>
  <c r="A235" i="47"/>
  <c r="A267" i="47"/>
  <c r="A299" i="47"/>
  <c r="A331" i="47"/>
  <c r="A363" i="47"/>
  <c r="A395" i="47"/>
  <c r="A427" i="47"/>
  <c r="A459" i="47"/>
  <c r="A491" i="47"/>
  <c r="A47" i="47"/>
  <c r="A119" i="47"/>
  <c r="A199" i="47"/>
  <c r="A271" i="47"/>
  <c r="A335" i="47"/>
  <c r="A28" i="47"/>
  <c r="A68" i="47"/>
  <c r="A108" i="47"/>
  <c r="A156" i="47"/>
  <c r="A196" i="47"/>
  <c r="A236" i="47"/>
  <c r="A284" i="47"/>
  <c r="A324" i="47"/>
  <c r="A364" i="47"/>
  <c r="A412" i="47"/>
  <c r="A452" i="47"/>
  <c r="A492" i="47"/>
  <c r="A37" i="47"/>
  <c r="A77" i="47"/>
  <c r="A117" i="47"/>
  <c r="A165" i="47"/>
  <c r="A205" i="47"/>
  <c r="A245" i="47"/>
  <c r="A293" i="47"/>
  <c r="A333" i="47"/>
  <c r="A373" i="47"/>
  <c r="A421" i="47"/>
  <c r="A461" i="47"/>
  <c r="A6" i="47"/>
  <c r="A54" i="47"/>
  <c r="A94" i="47"/>
  <c r="A134" i="47"/>
  <c r="A182" i="47"/>
  <c r="A222" i="47"/>
  <c r="A262" i="47"/>
  <c r="A310" i="47"/>
  <c r="A350" i="47"/>
  <c r="A390" i="47"/>
  <c r="A438" i="47"/>
  <c r="A478" i="47"/>
  <c r="A72" i="47"/>
  <c r="A264" i="47"/>
  <c r="A392" i="47"/>
  <c r="A497" i="47"/>
  <c r="A169" i="47"/>
  <c r="A328" i="47"/>
  <c r="A439" i="47"/>
  <c r="A343" i="47"/>
  <c r="A96" i="47"/>
  <c r="A344" i="47"/>
  <c r="A225" i="47"/>
  <c r="A16" i="47"/>
  <c r="A176" i="47"/>
  <c r="A353" i="47"/>
  <c r="A463" i="47"/>
  <c r="A89" i="47"/>
  <c r="A313" i="47"/>
  <c r="A33" i="47"/>
  <c r="A49" i="47"/>
  <c r="A241" i="47"/>
  <c r="A377" i="47"/>
  <c r="A487" i="47"/>
  <c r="A248" i="47"/>
  <c r="A383" i="47"/>
  <c r="A32" i="47"/>
  <c r="A449" i="47"/>
  <c r="A257" i="47"/>
  <c r="E107" i="47"/>
  <c r="E2" i="47"/>
  <c r="A52" i="47"/>
  <c r="A84" i="47"/>
  <c r="A116" i="47"/>
  <c r="A148" i="47"/>
  <c r="A180" i="47"/>
  <c r="A212" i="47"/>
  <c r="A244" i="47"/>
  <c r="A276" i="47"/>
  <c r="A308" i="47"/>
  <c r="A340" i="47"/>
  <c r="A372" i="47"/>
  <c r="A404" i="47"/>
  <c r="A436" i="47"/>
  <c r="A468" i="47"/>
  <c r="A500" i="47"/>
  <c r="A29" i="47"/>
  <c r="A61" i="47"/>
  <c r="A93" i="47"/>
  <c r="A125" i="47"/>
  <c r="A157" i="47"/>
  <c r="A189" i="47"/>
  <c r="A221" i="47"/>
  <c r="A253" i="47"/>
  <c r="A285" i="47"/>
  <c r="A317" i="47"/>
  <c r="A349" i="47"/>
  <c r="A381" i="47"/>
  <c r="A413" i="47"/>
  <c r="A445" i="47"/>
  <c r="A477" i="47"/>
  <c r="A14" i="47"/>
  <c r="A46" i="47"/>
  <c r="A78" i="47"/>
  <c r="A110" i="47"/>
  <c r="A142" i="47"/>
  <c r="A174" i="47"/>
  <c r="A206" i="47"/>
  <c r="A238" i="47"/>
  <c r="A270" i="47"/>
  <c r="A302" i="47"/>
  <c r="A334" i="47"/>
  <c r="A366" i="47"/>
  <c r="A398" i="47"/>
  <c r="A430" i="47"/>
  <c r="A462" i="47"/>
  <c r="A494" i="47"/>
  <c r="A104" i="47"/>
  <c r="A232" i="47"/>
  <c r="A351" i="47"/>
  <c r="A433" i="47"/>
  <c r="A9" i="47"/>
  <c r="A137" i="47"/>
  <c r="A265" i="47"/>
  <c r="A375" i="47"/>
  <c r="A457" i="47"/>
  <c r="A249" i="47"/>
  <c r="A489" i="47"/>
  <c r="A192" i="47"/>
  <c r="A385" i="47"/>
  <c r="A161" i="47"/>
  <c r="A432" i="47"/>
  <c r="A80" i="47"/>
  <c r="A208" i="47"/>
  <c r="A329" i="47"/>
  <c r="A417" i="47"/>
  <c r="A56" i="47"/>
  <c r="A121" i="47"/>
  <c r="A281" i="47"/>
  <c r="A425" i="47"/>
  <c r="A409" i="47"/>
  <c r="A81" i="47"/>
  <c r="A209" i="47"/>
  <c r="A336" i="47"/>
  <c r="A423" i="47"/>
  <c r="A24" i="47"/>
  <c r="A216" i="47"/>
  <c r="A337" i="47"/>
  <c r="A424" i="47"/>
  <c r="A160" i="47"/>
  <c r="A408" i="47"/>
  <c r="A129" i="47"/>
  <c r="A391" i="47"/>
  <c r="BJ56" i="34" l="1"/>
  <c r="I6" i="44"/>
  <c r="B280" i="47"/>
  <c r="D280" i="47" s="1"/>
  <c r="F44" i="47"/>
  <c r="B357" i="47"/>
  <c r="D357" i="47" s="1"/>
  <c r="C287" i="47"/>
  <c r="BJ112" i="34"/>
  <c r="B218" i="47"/>
  <c r="D218" i="47" s="1"/>
  <c r="B282" i="47"/>
  <c r="C38" i="47"/>
  <c r="D38" i="47" s="1"/>
  <c r="I6" i="55"/>
  <c r="H36" i="55"/>
  <c r="I36" i="55" s="1"/>
  <c r="F59" i="34"/>
  <c r="D92" i="44" s="1" a="1"/>
  <c r="D92" i="44" s="1"/>
  <c r="E75" i="44" a="1"/>
  <c r="E75" i="44" s="1"/>
  <c r="C82" i="44" a="1"/>
  <c r="C82" i="44" s="1"/>
  <c r="D64" i="44" a="1"/>
  <c r="D64" i="44" s="1"/>
  <c r="D81" i="44" a="1"/>
  <c r="D81" i="44" s="1"/>
  <c r="D80" i="44" a="1"/>
  <c r="D80" i="44" s="1"/>
  <c r="D77" i="44" a="1"/>
  <c r="D77" i="44" s="1"/>
  <c r="F400" i="47"/>
  <c r="B200" i="47"/>
  <c r="D200" i="47" s="1"/>
  <c r="F357" i="47"/>
  <c r="B83" i="47"/>
  <c r="D83" i="47" s="1"/>
  <c r="E218" i="47"/>
  <c r="E280" i="47"/>
  <c r="F41" i="47"/>
  <c r="F287" i="47"/>
  <c r="G287" i="47" s="1"/>
  <c r="F282" i="47"/>
  <c r="G282" i="47" s="1"/>
  <c r="F200" i="47"/>
  <c r="B44" i="47"/>
  <c r="D44" i="47" s="1"/>
  <c r="E83" i="47"/>
  <c r="F218" i="47"/>
  <c r="F280" i="47"/>
  <c r="C41" i="47"/>
  <c r="D41" i="47" s="1"/>
  <c r="C19" i="47"/>
  <c r="D19" i="47" s="1"/>
  <c r="E357" i="47"/>
  <c r="E44" i="47"/>
  <c r="F83" i="47"/>
  <c r="E400" i="47"/>
  <c r="F237" i="47"/>
  <c r="C282" i="47"/>
  <c r="F298" i="47"/>
  <c r="G298" i="47" s="1"/>
  <c r="C111" i="47"/>
  <c r="E153" i="47"/>
  <c r="B470" i="47"/>
  <c r="D470" i="47" s="1"/>
  <c r="B321" i="47"/>
  <c r="D321" i="47" s="1"/>
  <c r="E158" i="47"/>
  <c r="B444" i="47"/>
  <c r="D444" i="47" s="1"/>
  <c r="F268" i="47"/>
  <c r="G268" i="47" s="1"/>
  <c r="E178" i="47"/>
  <c r="G178" i="47" s="1"/>
  <c r="E200" i="47"/>
  <c r="E315" i="47"/>
  <c r="E7" i="47"/>
  <c r="B400" i="47"/>
  <c r="D400" i="47" s="1"/>
  <c r="E41" i="47"/>
  <c r="E237" i="47"/>
  <c r="E19" i="47"/>
  <c r="C178" i="47"/>
  <c r="E39" i="47"/>
  <c r="E251" i="47"/>
  <c r="G251" i="47" s="1"/>
  <c r="F141" i="47"/>
  <c r="B114" i="47"/>
  <c r="B467" i="47"/>
  <c r="C170" i="47"/>
  <c r="F114" i="47"/>
  <c r="G114" i="47" s="1"/>
  <c r="E358" i="47"/>
  <c r="E215" i="47"/>
  <c r="B237" i="47"/>
  <c r="D237" i="47" s="1"/>
  <c r="C251" i="47"/>
  <c r="F254" i="47"/>
  <c r="C348" i="47"/>
  <c r="D348" i="47" s="1"/>
  <c r="E403" i="47"/>
  <c r="G403" i="47" s="1"/>
  <c r="E458" i="47"/>
  <c r="G458" i="47" s="1"/>
  <c r="F159" i="47"/>
  <c r="C410" i="47"/>
  <c r="C298" i="47"/>
  <c r="B298" i="47"/>
  <c r="C74" i="47"/>
  <c r="B410" i="47"/>
  <c r="D410" i="47" s="1"/>
  <c r="C60" i="47"/>
  <c r="D60" i="47" s="1"/>
  <c r="E410" i="47"/>
  <c r="G410" i="47" s="1"/>
  <c r="B315" i="47"/>
  <c r="D315" i="47" s="1"/>
  <c r="F7" i="47"/>
  <c r="C50" i="47"/>
  <c r="E254" i="47"/>
  <c r="E348" i="47"/>
  <c r="C458" i="47"/>
  <c r="B304" i="47"/>
  <c r="D304" i="47" s="1"/>
  <c r="E321" i="47"/>
  <c r="F158" i="47"/>
  <c r="E444" i="47"/>
  <c r="H2" i="40"/>
  <c r="N2" i="40" s="1"/>
  <c r="E304" i="47"/>
  <c r="F321" i="47"/>
  <c r="F444" i="47"/>
  <c r="F315" i="47"/>
  <c r="B50" i="47"/>
  <c r="C254" i="47"/>
  <c r="D254" i="47" s="1"/>
  <c r="F348" i="47"/>
  <c r="C403" i="47"/>
  <c r="B458" i="47"/>
  <c r="B178" i="47"/>
  <c r="D178" i="47" s="1"/>
  <c r="E60" i="47"/>
  <c r="F39" i="47"/>
  <c r="B2" i="48"/>
  <c r="G2" i="40" s="1"/>
  <c r="H3" i="40"/>
  <c r="N3" i="40" s="1"/>
  <c r="C158" i="47"/>
  <c r="D158" i="47" s="1"/>
  <c r="F304" i="47"/>
  <c r="C7" i="47"/>
  <c r="D7" i="47" s="1"/>
  <c r="E50" i="47"/>
  <c r="G50" i="47" s="1"/>
  <c r="B403" i="47"/>
  <c r="B287" i="47"/>
  <c r="B251" i="47"/>
  <c r="D251" i="47" s="1"/>
  <c r="F163" i="47"/>
  <c r="G163" i="47" s="1"/>
  <c r="B338" i="47"/>
  <c r="D338" i="47" s="1"/>
  <c r="F252" i="47"/>
  <c r="E132" i="47"/>
  <c r="B243" i="47"/>
  <c r="D243" i="47" s="1"/>
  <c r="F416" i="47"/>
  <c r="E38" i="47"/>
  <c r="C128" i="47"/>
  <c r="B153" i="47"/>
  <c r="D153" i="47" s="1"/>
  <c r="B473" i="47"/>
  <c r="D473" i="47" s="1"/>
  <c r="F358" i="47"/>
  <c r="B79" i="47"/>
  <c r="F215" i="47"/>
  <c r="E470" i="47"/>
  <c r="F153" i="47"/>
  <c r="F470" i="47"/>
  <c r="B53" i="47"/>
  <c r="D53" i="47" s="1"/>
  <c r="F467" i="47"/>
  <c r="G467" i="47" s="1"/>
  <c r="B111" i="47"/>
  <c r="F170" i="47"/>
  <c r="G170" i="47" s="1"/>
  <c r="F231" i="47"/>
  <c r="C411" i="47"/>
  <c r="C467" i="47"/>
  <c r="E473" i="47"/>
  <c r="C358" i="47"/>
  <c r="D358" i="47" s="1"/>
  <c r="B141" i="47"/>
  <c r="D141" i="47" s="1"/>
  <c r="E53" i="47"/>
  <c r="E111" i="47"/>
  <c r="G111" i="47" s="1"/>
  <c r="B170" i="47"/>
  <c r="E242" i="47"/>
  <c r="G242" i="47" s="1"/>
  <c r="B231" i="47"/>
  <c r="D231" i="47" s="1"/>
  <c r="F473" i="47"/>
  <c r="E141" i="47"/>
  <c r="C215" i="47"/>
  <c r="D215" i="47" s="1"/>
  <c r="F53" i="47"/>
  <c r="C114" i="47"/>
  <c r="F60" i="47"/>
  <c r="E231" i="47"/>
  <c r="C39" i="47"/>
  <c r="D39" i="47" s="1"/>
  <c r="F19" i="47"/>
  <c r="F115" i="47"/>
  <c r="E466" i="47"/>
  <c r="G466" i="47" s="1"/>
  <c r="D345" i="47"/>
  <c r="C320" i="47"/>
  <c r="C416" i="47"/>
  <c r="D416" i="47" s="1"/>
  <c r="F38" i="47"/>
  <c r="C252" i="47"/>
  <c r="D252" i="47" s="1"/>
  <c r="C163" i="47"/>
  <c r="E338" i="47"/>
  <c r="B128" i="47"/>
  <c r="C453" i="47"/>
  <c r="F132" i="47"/>
  <c r="E243" i="47"/>
  <c r="E115" i="47"/>
  <c r="C159" i="47"/>
  <c r="D159" i="47" s="1"/>
  <c r="E159" i="47"/>
  <c r="B320" i="47"/>
  <c r="E416" i="47"/>
  <c r="E252" i="47"/>
  <c r="B163" i="47"/>
  <c r="B394" i="47"/>
  <c r="D394" i="47" s="1"/>
  <c r="F338" i="47"/>
  <c r="E128" i="47"/>
  <c r="G128" i="47" s="1"/>
  <c r="B453" i="47"/>
  <c r="F243" i="47"/>
  <c r="B74" i="47"/>
  <c r="E411" i="47"/>
  <c r="G411" i="47" s="1"/>
  <c r="B411" i="47"/>
  <c r="B2" i="47"/>
  <c r="D2" i="47" s="1"/>
  <c r="F2" i="47"/>
  <c r="G2" i="47" s="1"/>
  <c r="E394" i="47"/>
  <c r="E320" i="47"/>
  <c r="G320" i="47" s="1"/>
  <c r="F394" i="47"/>
  <c r="F453" i="47"/>
  <c r="G453" i="47" s="1"/>
  <c r="B132" i="47"/>
  <c r="D132" i="47" s="1"/>
  <c r="F74" i="47"/>
  <c r="G74" i="47" s="1"/>
  <c r="C115" i="47"/>
  <c r="D115" i="47" s="1"/>
  <c r="B441" i="47"/>
  <c r="E441" i="47"/>
  <c r="F441" i="47"/>
  <c r="C441" i="47"/>
  <c r="E327" i="47"/>
  <c r="G327" i="47" s="1"/>
  <c r="B327" i="47"/>
  <c r="C327" i="47"/>
  <c r="F277" i="47"/>
  <c r="E277" i="47"/>
  <c r="C277" i="47"/>
  <c r="B277" i="47"/>
  <c r="F303" i="47"/>
  <c r="E303" i="47"/>
  <c r="B303" i="47"/>
  <c r="C303" i="47"/>
  <c r="E27" i="47"/>
  <c r="G27" i="47" s="1"/>
  <c r="B27" i="47"/>
  <c r="C27" i="47"/>
  <c r="C242" i="47"/>
  <c r="B242" i="47"/>
  <c r="F399" i="47"/>
  <c r="B399" i="47"/>
  <c r="E399" i="47"/>
  <c r="C399" i="47"/>
  <c r="B476" i="47"/>
  <c r="C476" i="47"/>
  <c r="E476" i="47"/>
  <c r="F476" i="47"/>
  <c r="F113" i="47"/>
  <c r="C113" i="47"/>
  <c r="E113" i="47"/>
  <c r="B113" i="47"/>
  <c r="F173" i="47"/>
  <c r="E173" i="47"/>
  <c r="C173" i="47"/>
  <c r="B173" i="47"/>
  <c r="F185" i="47"/>
  <c r="C185" i="47"/>
  <c r="D185" i="47" s="1"/>
  <c r="E185" i="47"/>
  <c r="F382" i="47"/>
  <c r="B382" i="47"/>
  <c r="E382" i="47"/>
  <c r="C382" i="47"/>
  <c r="B69" i="47"/>
  <c r="C69" i="47"/>
  <c r="E69" i="47"/>
  <c r="F69" i="47"/>
  <c r="F483" i="47"/>
  <c r="E483" i="47"/>
  <c r="C483" i="47"/>
  <c r="B483" i="47"/>
  <c r="F151" i="47"/>
  <c r="B151" i="47"/>
  <c r="E151" i="47"/>
  <c r="C151" i="47"/>
  <c r="F122" i="47"/>
  <c r="E122" i="47"/>
  <c r="B122" i="47"/>
  <c r="D122" i="47" s="1"/>
  <c r="E201" i="47"/>
  <c r="C201" i="47"/>
  <c r="F201" i="47"/>
  <c r="B201" i="47"/>
  <c r="F224" i="47"/>
  <c r="E224" i="47"/>
  <c r="C224" i="47"/>
  <c r="B224" i="47"/>
  <c r="B268" i="47"/>
  <c r="C268" i="47"/>
  <c r="F48" i="47"/>
  <c r="B48" i="47"/>
  <c r="E48" i="47"/>
  <c r="C48" i="47"/>
  <c r="E190" i="47"/>
  <c r="G190" i="47" s="1"/>
  <c r="C190" i="47"/>
  <c r="B190" i="47"/>
  <c r="F356" i="47"/>
  <c r="B356" i="47"/>
  <c r="E356" i="47"/>
  <c r="C356" i="47"/>
  <c r="F339" i="47"/>
  <c r="E339" i="47"/>
  <c r="C339" i="47"/>
  <c r="B339" i="47"/>
  <c r="C466" i="47"/>
  <c r="B466" i="47"/>
  <c r="E10" i="47"/>
  <c r="C10" i="47"/>
  <c r="B10" i="47"/>
  <c r="F10" i="47"/>
  <c r="B278" i="47"/>
  <c r="F278" i="47"/>
  <c r="C278" i="47"/>
  <c r="E278" i="47"/>
  <c r="E486" i="47"/>
  <c r="C486" i="47"/>
  <c r="F486" i="47"/>
  <c r="B486" i="47"/>
  <c r="F65" i="47"/>
  <c r="E65" i="47"/>
  <c r="C65" i="47"/>
  <c r="B65" i="47"/>
  <c r="F480" i="47"/>
  <c r="E480" i="47"/>
  <c r="B480" i="47"/>
  <c r="D480" i="47" s="1"/>
  <c r="F469" i="47"/>
  <c r="B469" i="47"/>
  <c r="E469" i="47"/>
  <c r="C469" i="47"/>
  <c r="E172" i="47"/>
  <c r="G172" i="47" s="1"/>
  <c r="C172" i="47"/>
  <c r="B172" i="47"/>
  <c r="E187" i="47"/>
  <c r="C187" i="47"/>
  <c r="D187" i="47" s="1"/>
  <c r="F187" i="47"/>
  <c r="E346" i="47"/>
  <c r="G346" i="47" s="1"/>
  <c r="C346" i="47"/>
  <c r="B346" i="47"/>
  <c r="F360" i="47"/>
  <c r="E360" i="47"/>
  <c r="B360" i="47"/>
  <c r="C360" i="47"/>
  <c r="B365" i="47"/>
  <c r="C365" i="47"/>
  <c r="E365" i="47"/>
  <c r="F365" i="47"/>
  <c r="F86" i="47"/>
  <c r="E86" i="47"/>
  <c r="C86" i="47"/>
  <c r="B86" i="47"/>
  <c r="C79" i="47"/>
  <c r="F79" i="47"/>
  <c r="G79" i="47" s="1"/>
  <c r="C256" i="47"/>
  <c r="F256" i="47"/>
  <c r="E256" i="47"/>
  <c r="B256" i="47"/>
  <c r="F25" i="47"/>
  <c r="E25" i="47"/>
  <c r="C25" i="47"/>
  <c r="B25" i="47"/>
  <c r="E297" i="47"/>
  <c r="C297" i="47"/>
  <c r="F297" i="47"/>
  <c r="B297" i="47"/>
  <c r="F326" i="47"/>
  <c r="E326" i="47"/>
  <c r="B326" i="47"/>
  <c r="C326" i="47"/>
  <c r="F429" i="47"/>
  <c r="E429" i="47"/>
  <c r="C429" i="47"/>
  <c r="B429" i="47"/>
  <c r="F13" i="47"/>
  <c r="C13" i="47"/>
  <c r="E13" i="47"/>
  <c r="B13" i="47"/>
  <c r="C124" i="47"/>
  <c r="F124" i="47"/>
  <c r="E124" i="47"/>
  <c r="B124" i="47"/>
  <c r="E451" i="47"/>
  <c r="C451" i="47"/>
  <c r="F451" i="47"/>
  <c r="B451" i="47"/>
  <c r="B147" i="47"/>
  <c r="F147" i="47"/>
  <c r="E147" i="47"/>
  <c r="C147" i="47"/>
  <c r="F95" i="47"/>
  <c r="E95" i="47"/>
  <c r="C95" i="47"/>
  <c r="B95" i="47"/>
  <c r="F330" i="47"/>
  <c r="B330" i="47"/>
  <c r="C330" i="47"/>
  <c r="E330" i="47"/>
  <c r="F90" i="47"/>
  <c r="E90" i="47"/>
  <c r="B90" i="47"/>
  <c r="C90" i="47"/>
  <c r="F464" i="47"/>
  <c r="E464" i="47"/>
  <c r="C464" i="47"/>
  <c r="B464" i="47"/>
  <c r="F112" i="47"/>
  <c r="E112" i="47"/>
  <c r="C112" i="47"/>
  <c r="B112" i="47"/>
  <c r="F415" i="47"/>
  <c r="E415" i="47"/>
  <c r="B415" i="47"/>
  <c r="C415" i="47"/>
  <c r="E198" i="47"/>
  <c r="B198" i="47"/>
  <c r="F198" i="47"/>
  <c r="C198" i="47"/>
  <c r="E301" i="47"/>
  <c r="C301" i="47"/>
  <c r="F301" i="47"/>
  <c r="B301" i="47"/>
  <c r="E396" i="47"/>
  <c r="F396" i="47"/>
  <c r="C396" i="47"/>
  <c r="B396" i="47"/>
  <c r="B4" i="47"/>
  <c r="E4" i="47"/>
  <c r="F4" i="47"/>
  <c r="C4" i="47"/>
  <c r="F355" i="47"/>
  <c r="B355" i="47"/>
  <c r="E355" i="47"/>
  <c r="C355" i="47"/>
  <c r="F59" i="47"/>
  <c r="B59" i="47"/>
  <c r="E59" i="47"/>
  <c r="C59" i="47"/>
  <c r="F474" i="47"/>
  <c r="C474" i="47"/>
  <c r="E474" i="47"/>
  <c r="B474" i="47"/>
  <c r="E250" i="47"/>
  <c r="F250" i="47"/>
  <c r="C250" i="47"/>
  <c r="B250" i="47"/>
  <c r="E26" i="47"/>
  <c r="B26" i="47"/>
  <c r="F26" i="47"/>
  <c r="C26" i="47"/>
  <c r="E184" i="47"/>
  <c r="F184" i="47"/>
  <c r="B184" i="47"/>
  <c r="C184" i="47"/>
  <c r="F240" i="47"/>
  <c r="E240" i="47"/>
  <c r="B240" i="47"/>
  <c r="C240" i="47"/>
  <c r="F479" i="47"/>
  <c r="E479" i="47"/>
  <c r="C479" i="47"/>
  <c r="B479" i="47"/>
  <c r="F246" i="47"/>
  <c r="E246" i="47"/>
  <c r="C246" i="47"/>
  <c r="B246" i="47"/>
  <c r="F309" i="47"/>
  <c r="B309" i="47"/>
  <c r="E309" i="47"/>
  <c r="C309" i="47"/>
  <c r="E420" i="47"/>
  <c r="F420" i="47"/>
  <c r="C420" i="47"/>
  <c r="B420" i="47"/>
  <c r="E20" i="47"/>
  <c r="C20" i="47"/>
  <c r="F20" i="47"/>
  <c r="B20" i="47"/>
  <c r="F371" i="47"/>
  <c r="C371" i="47"/>
  <c r="E371" i="47"/>
  <c r="B371" i="47"/>
  <c r="E67" i="47"/>
  <c r="F67" i="47"/>
  <c r="C67" i="47"/>
  <c r="B67" i="47"/>
  <c r="F498" i="47"/>
  <c r="C498" i="47"/>
  <c r="E498" i="47"/>
  <c r="B498" i="47"/>
  <c r="E266" i="47"/>
  <c r="F266" i="47"/>
  <c r="B266" i="47"/>
  <c r="C266" i="47"/>
  <c r="F42" i="47"/>
  <c r="B42" i="47"/>
  <c r="E42" i="47"/>
  <c r="C42" i="47"/>
  <c r="F177" i="47"/>
  <c r="E177" i="47"/>
  <c r="B177" i="47"/>
  <c r="C177" i="47"/>
  <c r="F472" i="47"/>
  <c r="E472" i="47"/>
  <c r="C472" i="47"/>
  <c r="B472" i="47"/>
  <c r="F8" i="47"/>
  <c r="E8" i="47"/>
  <c r="C8" i="47"/>
  <c r="B8" i="47"/>
  <c r="F102" i="47"/>
  <c r="E102" i="47"/>
  <c r="C102" i="47"/>
  <c r="B102" i="47"/>
  <c r="E197" i="47"/>
  <c r="F197" i="47"/>
  <c r="B197" i="47"/>
  <c r="C197" i="47"/>
  <c r="F292" i="47"/>
  <c r="E292" i="47"/>
  <c r="C292" i="47"/>
  <c r="B292" i="47"/>
  <c r="F183" i="47"/>
  <c r="C183" i="47"/>
  <c r="E183" i="47"/>
  <c r="B183" i="47"/>
  <c r="E283" i="47"/>
  <c r="F283" i="47"/>
  <c r="C283" i="47"/>
  <c r="B283" i="47"/>
  <c r="E263" i="47"/>
  <c r="F263" i="47"/>
  <c r="C263" i="47"/>
  <c r="B263" i="47"/>
  <c r="F426" i="47"/>
  <c r="B426" i="47"/>
  <c r="E426" i="47"/>
  <c r="C426" i="47"/>
  <c r="B202" i="47"/>
  <c r="F202" i="47"/>
  <c r="E202" i="47"/>
  <c r="C202" i="47"/>
  <c r="F273" i="47"/>
  <c r="C273" i="47"/>
  <c r="E273" i="47"/>
  <c r="B273" i="47"/>
  <c r="E97" i="47"/>
  <c r="F97" i="47"/>
  <c r="C97" i="47"/>
  <c r="B97" i="47"/>
  <c r="F168" i="47"/>
  <c r="B168" i="47"/>
  <c r="C168" i="47"/>
  <c r="E168" i="47"/>
  <c r="F126" i="47"/>
  <c r="E126" i="47"/>
  <c r="C126" i="47"/>
  <c r="B126" i="47"/>
  <c r="F229" i="47"/>
  <c r="C229" i="47"/>
  <c r="E229" i="47"/>
  <c r="B229" i="47"/>
  <c r="E332" i="47"/>
  <c r="B332" i="47"/>
  <c r="F332" i="47"/>
  <c r="C332" i="47"/>
  <c r="F223" i="47"/>
  <c r="E223" i="47"/>
  <c r="C223" i="47"/>
  <c r="B223" i="47"/>
  <c r="F291" i="47"/>
  <c r="B291" i="47"/>
  <c r="E291" i="47"/>
  <c r="C291" i="47"/>
  <c r="F311" i="47"/>
  <c r="E311" i="47"/>
  <c r="B311" i="47"/>
  <c r="C311" i="47"/>
  <c r="F434" i="47"/>
  <c r="B434" i="47"/>
  <c r="C434" i="47"/>
  <c r="E434" i="47"/>
  <c r="E210" i="47"/>
  <c r="F210" i="47"/>
  <c r="C210" i="47"/>
  <c r="B210" i="47"/>
  <c r="F193" i="47"/>
  <c r="E193" i="47"/>
  <c r="B193" i="47"/>
  <c r="C193" i="47"/>
  <c r="E384" i="47"/>
  <c r="F384" i="47"/>
  <c r="B384" i="47"/>
  <c r="C384" i="47"/>
  <c r="F57" i="47"/>
  <c r="C57" i="47"/>
  <c r="E57" i="47"/>
  <c r="B57" i="47"/>
  <c r="F414" i="47"/>
  <c r="E414" i="47"/>
  <c r="B414" i="47"/>
  <c r="C414" i="47"/>
  <c r="F22" i="47"/>
  <c r="C22" i="47"/>
  <c r="E22" i="47"/>
  <c r="B22" i="47"/>
  <c r="F85" i="47"/>
  <c r="E85" i="47"/>
  <c r="C85" i="47"/>
  <c r="B85" i="47"/>
  <c r="F188" i="47"/>
  <c r="C188" i="47"/>
  <c r="E188" i="47"/>
  <c r="B188" i="47"/>
  <c r="F15" i="47"/>
  <c r="C15" i="47"/>
  <c r="B15" i="47"/>
  <c r="E15" i="47"/>
  <c r="F195" i="47"/>
  <c r="E195" i="47"/>
  <c r="B195" i="47"/>
  <c r="C195" i="47"/>
  <c r="E167" i="47"/>
  <c r="F167" i="47"/>
  <c r="C167" i="47"/>
  <c r="B167" i="47"/>
  <c r="E370" i="47"/>
  <c r="F370" i="47"/>
  <c r="C370" i="47"/>
  <c r="B370" i="47"/>
  <c r="F138" i="47"/>
  <c r="C138" i="47"/>
  <c r="E138" i="47"/>
  <c r="B138" i="47"/>
  <c r="E471" i="47"/>
  <c r="F471" i="47"/>
  <c r="C471" i="47"/>
  <c r="B471" i="47"/>
  <c r="E448" i="47"/>
  <c r="B448" i="47"/>
  <c r="F448" i="47"/>
  <c r="C448" i="47"/>
  <c r="E422" i="47"/>
  <c r="F422" i="47"/>
  <c r="B422" i="47"/>
  <c r="C422" i="47"/>
  <c r="F30" i="47"/>
  <c r="B30" i="47"/>
  <c r="E30" i="47"/>
  <c r="C30" i="47"/>
  <c r="C133" i="47"/>
  <c r="E133" i="47"/>
  <c r="B133" i="47"/>
  <c r="F133" i="47"/>
  <c r="F220" i="47"/>
  <c r="E220" i="47"/>
  <c r="C220" i="47"/>
  <c r="B220" i="47"/>
  <c r="F63" i="47"/>
  <c r="B63" i="47"/>
  <c r="C63" i="47"/>
  <c r="E63" i="47"/>
  <c r="F227" i="47"/>
  <c r="B227" i="47"/>
  <c r="E227" i="47"/>
  <c r="C227" i="47"/>
  <c r="E175" i="47"/>
  <c r="F175" i="47"/>
  <c r="C175" i="47"/>
  <c r="B175" i="47"/>
  <c r="F378" i="47"/>
  <c r="C378" i="47"/>
  <c r="E378" i="47"/>
  <c r="B378" i="47"/>
  <c r="F154" i="47"/>
  <c r="E154" i="47"/>
  <c r="B154" i="47"/>
  <c r="C154" i="47"/>
  <c r="F447" i="47"/>
  <c r="B447" i="47"/>
  <c r="E447" i="47"/>
  <c r="C447" i="47"/>
  <c r="F440" i="47"/>
  <c r="C440" i="47"/>
  <c r="E440" i="47"/>
  <c r="B440" i="47"/>
  <c r="F233" i="47"/>
  <c r="E233" i="47"/>
  <c r="B233" i="47"/>
  <c r="C233" i="47"/>
  <c r="F318" i="47"/>
  <c r="E318" i="47"/>
  <c r="C318" i="47"/>
  <c r="B318" i="47"/>
  <c r="C397" i="47"/>
  <c r="F397" i="47"/>
  <c r="E397" i="47"/>
  <c r="B397" i="47"/>
  <c r="F5" i="47"/>
  <c r="C5" i="47"/>
  <c r="B5" i="47"/>
  <c r="E5" i="47"/>
  <c r="F100" i="47"/>
  <c r="E100" i="47"/>
  <c r="C100" i="47"/>
  <c r="B100" i="47"/>
  <c r="F419" i="47"/>
  <c r="C419" i="47"/>
  <c r="E419" i="47"/>
  <c r="B419" i="47"/>
  <c r="F123" i="47"/>
  <c r="E123" i="47"/>
  <c r="B123" i="47"/>
  <c r="C123" i="47"/>
  <c r="F71" i="47"/>
  <c r="E71" i="47"/>
  <c r="C71" i="47"/>
  <c r="B71" i="47"/>
  <c r="F306" i="47"/>
  <c r="E306" i="47"/>
  <c r="B306" i="47"/>
  <c r="C306" i="47"/>
  <c r="E82" i="47"/>
  <c r="F82" i="47"/>
  <c r="C82" i="47"/>
  <c r="B82" i="47"/>
  <c r="G345" i="47"/>
  <c r="F45" i="47"/>
  <c r="E45" i="47"/>
  <c r="B45" i="47"/>
  <c r="C45" i="47"/>
  <c r="L77" i="48"/>
  <c r="H77" i="40" s="1"/>
  <c r="N77" i="40" s="1"/>
  <c r="B77" i="48"/>
  <c r="G77" i="40" s="1"/>
  <c r="L31" i="48"/>
  <c r="H31" i="40" s="1"/>
  <c r="N31" i="40" s="1"/>
  <c r="B31" i="48"/>
  <c r="G31" i="40" s="1"/>
  <c r="L92" i="48"/>
  <c r="H92" i="40" s="1"/>
  <c r="N92" i="40" s="1"/>
  <c r="B92" i="48"/>
  <c r="G92" i="40" s="1"/>
  <c r="L55" i="48"/>
  <c r="H55" i="40" s="1"/>
  <c r="N55" i="40" s="1"/>
  <c r="B55" i="48"/>
  <c r="G55" i="40" s="1"/>
  <c r="L30" i="48"/>
  <c r="H30" i="40" s="1"/>
  <c r="N30" i="40" s="1"/>
  <c r="B30" i="48"/>
  <c r="G30" i="40" s="1"/>
  <c r="L22" i="48"/>
  <c r="H22" i="40" s="1"/>
  <c r="N22" i="40" s="1"/>
  <c r="B22" i="48"/>
  <c r="G22" i="40" s="1"/>
  <c r="L52" i="48"/>
  <c r="H52" i="40" s="1"/>
  <c r="N52" i="40" s="1"/>
  <c r="B52" i="48"/>
  <c r="G52" i="40" s="1"/>
  <c r="L56" i="48"/>
  <c r="H56" i="40" s="1"/>
  <c r="N56" i="40" s="1"/>
  <c r="B56" i="48"/>
  <c r="G56" i="40" s="1"/>
  <c r="L25" i="48"/>
  <c r="H25" i="40" s="1"/>
  <c r="N25" i="40" s="1"/>
  <c r="B25" i="48"/>
  <c r="G25" i="40" s="1"/>
  <c r="F367" i="47"/>
  <c r="E367" i="47"/>
  <c r="B367" i="47"/>
  <c r="C367" i="47"/>
  <c r="F17" i="47"/>
  <c r="B17" i="47"/>
  <c r="E17" i="47"/>
  <c r="C17" i="47"/>
  <c r="F496" i="47"/>
  <c r="B496" i="47"/>
  <c r="E496" i="47"/>
  <c r="C496" i="47"/>
  <c r="F73" i="47"/>
  <c r="E73" i="47"/>
  <c r="B73" i="47"/>
  <c r="C73" i="47"/>
  <c r="B374" i="47"/>
  <c r="C374" i="47"/>
  <c r="F374" i="47"/>
  <c r="E374" i="47"/>
  <c r="F70" i="47"/>
  <c r="E70" i="47"/>
  <c r="B70" i="47"/>
  <c r="C70" i="47"/>
  <c r="E261" i="47"/>
  <c r="C261" i="47"/>
  <c r="B261" i="47"/>
  <c r="F261" i="47"/>
  <c r="F460" i="47"/>
  <c r="B460" i="47"/>
  <c r="C460" i="47"/>
  <c r="E460" i="47"/>
  <c r="F164" i="47"/>
  <c r="E164" i="47"/>
  <c r="B164" i="47"/>
  <c r="C164" i="47"/>
  <c r="F103" i="47"/>
  <c r="E103" i="47"/>
  <c r="B103" i="47"/>
  <c r="C103" i="47"/>
  <c r="F323" i="47"/>
  <c r="E323" i="47"/>
  <c r="B323" i="47"/>
  <c r="C323" i="47"/>
  <c r="F99" i="47"/>
  <c r="E99" i="47"/>
  <c r="B99" i="47"/>
  <c r="C99" i="47"/>
  <c r="E127" i="47"/>
  <c r="B127" i="47"/>
  <c r="C127" i="47"/>
  <c r="F127" i="47"/>
  <c r="B402" i="47"/>
  <c r="F402" i="47"/>
  <c r="C402" i="47"/>
  <c r="E402" i="47"/>
  <c r="F234" i="47"/>
  <c r="B234" i="47"/>
  <c r="C234" i="47"/>
  <c r="E234" i="47"/>
  <c r="E58" i="47"/>
  <c r="B58" i="47"/>
  <c r="C58" i="47"/>
  <c r="F58" i="47"/>
  <c r="F98" i="47"/>
  <c r="E98" i="47"/>
  <c r="B98" i="47"/>
  <c r="C98" i="47"/>
  <c r="F226" i="47"/>
  <c r="B226" i="47"/>
  <c r="C226" i="47"/>
  <c r="E226" i="47"/>
  <c r="F354" i="47"/>
  <c r="E354" i="47"/>
  <c r="B354" i="47"/>
  <c r="C354" i="47"/>
  <c r="F482" i="47"/>
  <c r="E482" i="47"/>
  <c r="B482" i="47"/>
  <c r="C482" i="47"/>
  <c r="F191" i="47"/>
  <c r="E191" i="47"/>
  <c r="B191" i="47"/>
  <c r="C191" i="47"/>
  <c r="F91" i="47"/>
  <c r="B91" i="47"/>
  <c r="E91" i="47"/>
  <c r="C91" i="47"/>
  <c r="F259" i="47"/>
  <c r="B259" i="47"/>
  <c r="E259" i="47"/>
  <c r="C259" i="47"/>
  <c r="F435" i="47"/>
  <c r="E435" i="47"/>
  <c r="B435" i="47"/>
  <c r="C435" i="47"/>
  <c r="F239" i="47"/>
  <c r="B239" i="47"/>
  <c r="C239" i="47"/>
  <c r="E239" i="47"/>
  <c r="E140" i="47"/>
  <c r="F140" i="47"/>
  <c r="B140" i="47"/>
  <c r="C140" i="47"/>
  <c r="C380" i="47"/>
  <c r="F380" i="47"/>
  <c r="E380" i="47"/>
  <c r="B380" i="47"/>
  <c r="B101" i="47"/>
  <c r="F101" i="47"/>
  <c r="C101" i="47"/>
  <c r="E101" i="47"/>
  <c r="F325" i="47"/>
  <c r="E325" i="47"/>
  <c r="B325" i="47"/>
  <c r="C325" i="47"/>
  <c r="F62" i="47"/>
  <c r="E62" i="47"/>
  <c r="B62" i="47"/>
  <c r="C62" i="47"/>
  <c r="E286" i="47"/>
  <c r="B286" i="47"/>
  <c r="C286" i="47"/>
  <c r="F286" i="47"/>
  <c r="F40" i="47"/>
  <c r="B40" i="47"/>
  <c r="C40" i="47"/>
  <c r="E40" i="47"/>
  <c r="F352" i="47"/>
  <c r="E352" i="47"/>
  <c r="B352" i="47"/>
  <c r="C352" i="47"/>
  <c r="F368" i="47"/>
  <c r="E368" i="47"/>
  <c r="B368" i="47"/>
  <c r="C368" i="47"/>
  <c r="F217" i="47"/>
  <c r="E217" i="47"/>
  <c r="B217" i="47"/>
  <c r="C217" i="47"/>
  <c r="C120" i="47"/>
  <c r="F120" i="47"/>
  <c r="E120" i="47"/>
  <c r="B120" i="47"/>
  <c r="B455" i="47"/>
  <c r="F455" i="47"/>
  <c r="C455" i="47"/>
  <c r="E455" i="47"/>
  <c r="L96" i="48"/>
  <c r="H96" i="40" s="1"/>
  <c r="N96" i="40" s="1"/>
  <c r="B96" i="48"/>
  <c r="G96" i="40" s="1"/>
  <c r="L50" i="48"/>
  <c r="H50" i="40" s="1"/>
  <c r="N50" i="40" s="1"/>
  <c r="B50" i="48"/>
  <c r="G50" i="40" s="1"/>
  <c r="L95" i="48"/>
  <c r="H95" i="40" s="1"/>
  <c r="N95" i="40" s="1"/>
  <c r="B95" i="48"/>
  <c r="G95" i="40" s="1"/>
  <c r="L97" i="48"/>
  <c r="H97" i="40" s="1"/>
  <c r="N97" i="40" s="1"/>
  <c r="B97" i="48"/>
  <c r="G97" i="40" s="1"/>
  <c r="L27" i="48"/>
  <c r="H27" i="40" s="1"/>
  <c r="N27" i="40" s="1"/>
  <c r="B27" i="48"/>
  <c r="G27" i="40" s="1"/>
  <c r="L94" i="48"/>
  <c r="H94" i="40" s="1"/>
  <c r="N94" i="40" s="1"/>
  <c r="B94" i="48"/>
  <c r="G94" i="40" s="1"/>
  <c r="F305" i="47"/>
  <c r="E305" i="47"/>
  <c r="C305" i="47"/>
  <c r="B305" i="47"/>
  <c r="E272" i="47"/>
  <c r="B272" i="47"/>
  <c r="C272" i="47"/>
  <c r="F272" i="47"/>
  <c r="F393" i="47"/>
  <c r="B393" i="47"/>
  <c r="E393" i="47"/>
  <c r="C393" i="47"/>
  <c r="F446" i="47"/>
  <c r="B446" i="47"/>
  <c r="E446" i="47"/>
  <c r="C446" i="47"/>
  <c r="C150" i="47"/>
  <c r="F150" i="47"/>
  <c r="E150" i="47"/>
  <c r="B150" i="47"/>
  <c r="F341" i="47"/>
  <c r="E341" i="47"/>
  <c r="B341" i="47"/>
  <c r="C341" i="47"/>
  <c r="F21" i="47"/>
  <c r="E21" i="47"/>
  <c r="B21" i="47"/>
  <c r="C21" i="47"/>
  <c r="F228" i="47"/>
  <c r="B228" i="47"/>
  <c r="E228" i="47"/>
  <c r="C228" i="47"/>
  <c r="F255" i="47"/>
  <c r="E255" i="47"/>
  <c r="B255" i="47"/>
  <c r="C255" i="47"/>
  <c r="F379" i="47"/>
  <c r="B379" i="47"/>
  <c r="E379" i="47"/>
  <c r="C379" i="47"/>
  <c r="F155" i="47"/>
  <c r="E155" i="47"/>
  <c r="B155" i="47"/>
  <c r="C155" i="47"/>
  <c r="F207" i="47"/>
  <c r="E207" i="47"/>
  <c r="C207" i="47"/>
  <c r="B207" i="47"/>
  <c r="F442" i="47"/>
  <c r="B442" i="47"/>
  <c r="E442" i="47"/>
  <c r="C442" i="47"/>
  <c r="E274" i="47"/>
  <c r="B274" i="47"/>
  <c r="C274" i="47"/>
  <c r="F274" i="47"/>
  <c r="F106" i="47"/>
  <c r="E106" i="47"/>
  <c r="C106" i="47"/>
  <c r="B106" i="47"/>
  <c r="F66" i="47"/>
  <c r="E66" i="47"/>
  <c r="B66" i="47"/>
  <c r="C66" i="47"/>
  <c r="E194" i="47"/>
  <c r="F194" i="47"/>
  <c r="B194" i="47"/>
  <c r="C194" i="47"/>
  <c r="F322" i="47"/>
  <c r="E322" i="47"/>
  <c r="B322" i="47"/>
  <c r="C322" i="47"/>
  <c r="E450" i="47"/>
  <c r="F450" i="47"/>
  <c r="B450" i="47"/>
  <c r="C450" i="47"/>
  <c r="E143" i="47"/>
  <c r="B143" i="47"/>
  <c r="F143" i="47"/>
  <c r="C143" i="47"/>
  <c r="F51" i="47"/>
  <c r="E51" i="47"/>
  <c r="B51" i="47"/>
  <c r="C51" i="47"/>
  <c r="F219" i="47"/>
  <c r="E219" i="47"/>
  <c r="B219" i="47"/>
  <c r="C219" i="47"/>
  <c r="F387" i="47"/>
  <c r="E387" i="47"/>
  <c r="B387" i="47"/>
  <c r="C387" i="47"/>
  <c r="F135" i="47"/>
  <c r="B135" i="47"/>
  <c r="E135" i="47"/>
  <c r="C135" i="47"/>
  <c r="F92" i="47"/>
  <c r="B92" i="47"/>
  <c r="E92" i="47"/>
  <c r="C92" i="47"/>
  <c r="F316" i="47"/>
  <c r="E316" i="47"/>
  <c r="B316" i="47"/>
  <c r="C316" i="47"/>
  <c r="E269" i="47"/>
  <c r="B269" i="47"/>
  <c r="C269" i="47"/>
  <c r="F269" i="47"/>
  <c r="F493" i="47"/>
  <c r="E493" i="47"/>
  <c r="B493" i="47"/>
  <c r="C493" i="47"/>
  <c r="F230" i="47"/>
  <c r="B230" i="47"/>
  <c r="C230" i="47"/>
  <c r="E230" i="47"/>
  <c r="F454" i="47"/>
  <c r="B454" i="47"/>
  <c r="E454" i="47"/>
  <c r="C454" i="47"/>
  <c r="F105" i="47"/>
  <c r="E105" i="47"/>
  <c r="B105" i="47"/>
  <c r="C105" i="47"/>
  <c r="C431" i="47"/>
  <c r="F431" i="47"/>
  <c r="E431" i="47"/>
  <c r="B431" i="47"/>
  <c r="F488" i="47"/>
  <c r="B488" i="47"/>
  <c r="E488" i="47"/>
  <c r="C488" i="47"/>
  <c r="F359" i="47"/>
  <c r="E359" i="47"/>
  <c r="B359" i="47"/>
  <c r="C359" i="47"/>
  <c r="F495" i="47"/>
  <c r="E495" i="47"/>
  <c r="B495" i="47"/>
  <c r="C495" i="47"/>
  <c r="L24" i="48"/>
  <c r="H24" i="40" s="1"/>
  <c r="N24" i="40" s="1"/>
  <c r="B24" i="48"/>
  <c r="G24" i="40" s="1"/>
  <c r="F401" i="47"/>
  <c r="E401" i="47"/>
  <c r="B401" i="47"/>
  <c r="C401" i="47"/>
  <c r="F361" i="47"/>
  <c r="B361" i="47"/>
  <c r="E361" i="47"/>
  <c r="C361" i="47"/>
  <c r="F288" i="47"/>
  <c r="E288" i="47"/>
  <c r="B288" i="47"/>
  <c r="C288" i="47"/>
  <c r="F369" i="47"/>
  <c r="E369" i="47"/>
  <c r="B369" i="47"/>
  <c r="C369" i="47"/>
  <c r="F294" i="47"/>
  <c r="E294" i="47"/>
  <c r="B294" i="47"/>
  <c r="C294" i="47"/>
  <c r="E485" i="47"/>
  <c r="B485" i="47"/>
  <c r="F485" i="47"/>
  <c r="C485" i="47"/>
  <c r="F181" i="47"/>
  <c r="B181" i="47"/>
  <c r="C181" i="47"/>
  <c r="E181" i="47"/>
  <c r="F388" i="47"/>
  <c r="E388" i="47"/>
  <c r="B388" i="47"/>
  <c r="C388" i="47"/>
  <c r="F76" i="47"/>
  <c r="E76" i="47"/>
  <c r="B76" i="47"/>
  <c r="C76" i="47"/>
  <c r="F499" i="47"/>
  <c r="E499" i="47"/>
  <c r="B499" i="47"/>
  <c r="C499" i="47"/>
  <c r="B275" i="47"/>
  <c r="F275" i="47"/>
  <c r="C275" i="47"/>
  <c r="E275" i="47"/>
  <c r="B35" i="47"/>
  <c r="C35" i="47"/>
  <c r="F35" i="47"/>
  <c r="E35" i="47"/>
  <c r="F55" i="47"/>
  <c r="B55" i="47"/>
  <c r="C55" i="47"/>
  <c r="E55" i="47"/>
  <c r="F362" i="47"/>
  <c r="E362" i="47"/>
  <c r="C362" i="47"/>
  <c r="B362" i="47"/>
  <c r="F186" i="47"/>
  <c r="B186" i="47"/>
  <c r="E186" i="47"/>
  <c r="C186" i="47"/>
  <c r="F18" i="47"/>
  <c r="E18" i="47"/>
  <c r="B18" i="47"/>
  <c r="C18" i="47"/>
  <c r="F130" i="47"/>
  <c r="E130" i="47"/>
  <c r="B130" i="47"/>
  <c r="C130" i="47"/>
  <c r="F258" i="47"/>
  <c r="B258" i="47"/>
  <c r="C258" i="47"/>
  <c r="E258" i="47"/>
  <c r="F386" i="47"/>
  <c r="E386" i="47"/>
  <c r="B386" i="47"/>
  <c r="C386" i="47"/>
  <c r="F23" i="47"/>
  <c r="E23" i="47"/>
  <c r="B23" i="47"/>
  <c r="C23" i="47"/>
  <c r="F247" i="47"/>
  <c r="E247" i="47"/>
  <c r="B247" i="47"/>
  <c r="C247" i="47"/>
  <c r="F131" i="47"/>
  <c r="B131" i="47"/>
  <c r="C131" i="47"/>
  <c r="E131" i="47"/>
  <c r="F307" i="47"/>
  <c r="E307" i="47"/>
  <c r="B307" i="47"/>
  <c r="C307" i="47"/>
  <c r="F475" i="47"/>
  <c r="E475" i="47"/>
  <c r="B475" i="47"/>
  <c r="C475" i="47"/>
  <c r="F319" i="47"/>
  <c r="E319" i="47"/>
  <c r="B319" i="47"/>
  <c r="C319" i="47"/>
  <c r="F204" i="47"/>
  <c r="E204" i="47"/>
  <c r="B204" i="47"/>
  <c r="C204" i="47"/>
  <c r="F428" i="47"/>
  <c r="B428" i="47"/>
  <c r="C428" i="47"/>
  <c r="E428" i="47"/>
  <c r="E149" i="47"/>
  <c r="F149" i="47"/>
  <c r="B149" i="47"/>
  <c r="C149" i="47"/>
  <c r="C389" i="47"/>
  <c r="F389" i="47"/>
  <c r="E389" i="47"/>
  <c r="B389" i="47"/>
  <c r="F118" i="47"/>
  <c r="B118" i="47"/>
  <c r="E118" i="47"/>
  <c r="C118" i="47"/>
  <c r="F342" i="47"/>
  <c r="E342" i="47"/>
  <c r="B342" i="47"/>
  <c r="C342" i="47"/>
  <c r="F296" i="47"/>
  <c r="E296" i="47"/>
  <c r="B296" i="47"/>
  <c r="C296" i="47"/>
  <c r="E88" i="47"/>
  <c r="B88" i="47"/>
  <c r="C88" i="47"/>
  <c r="F88" i="47"/>
  <c r="F144" i="47"/>
  <c r="B144" i="47"/>
  <c r="C144" i="47"/>
  <c r="E144" i="47"/>
  <c r="F289" i="47"/>
  <c r="B289" i="47"/>
  <c r="C289" i="47"/>
  <c r="E289" i="47"/>
  <c r="F312" i="47"/>
  <c r="B312" i="47"/>
  <c r="C312" i="47"/>
  <c r="E312" i="47"/>
  <c r="L91" i="48"/>
  <c r="H91" i="40" s="1"/>
  <c r="N91" i="40" s="1"/>
  <c r="B91" i="48"/>
  <c r="G91" i="40" s="1"/>
  <c r="L9" i="48"/>
  <c r="H9" i="40" s="1"/>
  <c r="N9" i="40" s="1"/>
  <c r="B9" i="48"/>
  <c r="G9" i="40" s="1"/>
  <c r="L82" i="48"/>
  <c r="H82" i="40" s="1"/>
  <c r="N82" i="40" s="1"/>
  <c r="B82" i="48"/>
  <c r="G82" i="40" s="1"/>
  <c r="L13" i="48"/>
  <c r="H13" i="40" s="1"/>
  <c r="N13" i="40" s="1"/>
  <c r="B13" i="48"/>
  <c r="G13" i="40" s="1"/>
  <c r="F152" i="47"/>
  <c r="E152" i="47"/>
  <c r="B152" i="47"/>
  <c r="C152" i="47"/>
  <c r="F481" i="47"/>
  <c r="E481" i="47"/>
  <c r="B481" i="47"/>
  <c r="C481" i="47"/>
  <c r="F407" i="47"/>
  <c r="E407" i="47"/>
  <c r="B407" i="47"/>
  <c r="C407" i="47"/>
  <c r="E136" i="47"/>
  <c r="C136" i="47"/>
  <c r="B136" i="47"/>
  <c r="F136" i="47"/>
  <c r="F214" i="47"/>
  <c r="B214" i="47"/>
  <c r="E214" i="47"/>
  <c r="C214" i="47"/>
  <c r="E405" i="47"/>
  <c r="F405" i="47"/>
  <c r="B405" i="47"/>
  <c r="C405" i="47"/>
  <c r="F109" i="47"/>
  <c r="E109" i="47"/>
  <c r="B109" i="47"/>
  <c r="C109" i="47"/>
  <c r="F300" i="47"/>
  <c r="E300" i="47"/>
  <c r="B300" i="47"/>
  <c r="C300" i="47"/>
  <c r="F12" i="47"/>
  <c r="E12" i="47"/>
  <c r="B12" i="47"/>
  <c r="C12" i="47"/>
  <c r="F443" i="47"/>
  <c r="E443" i="47"/>
  <c r="B443" i="47"/>
  <c r="C443" i="47"/>
  <c r="F211" i="47"/>
  <c r="E211" i="47"/>
  <c r="B211" i="47"/>
  <c r="C211" i="47"/>
  <c r="F295" i="47"/>
  <c r="E295" i="47"/>
  <c r="B295" i="47"/>
  <c r="C295" i="47"/>
  <c r="F490" i="47"/>
  <c r="E490" i="47"/>
  <c r="B490" i="47"/>
  <c r="C490" i="47"/>
  <c r="E314" i="47"/>
  <c r="B314" i="47"/>
  <c r="C314" i="47"/>
  <c r="F314" i="47"/>
  <c r="F146" i="47"/>
  <c r="B146" i="47"/>
  <c r="C146" i="47"/>
  <c r="E146" i="47"/>
  <c r="F34" i="47"/>
  <c r="E34" i="47"/>
  <c r="B34" i="47"/>
  <c r="C34" i="47"/>
  <c r="F162" i="47"/>
  <c r="E162" i="47"/>
  <c r="B162" i="47"/>
  <c r="C162" i="47"/>
  <c r="F290" i="47"/>
  <c r="E290" i="47"/>
  <c r="B290" i="47"/>
  <c r="C290" i="47"/>
  <c r="F418" i="47"/>
  <c r="B418" i="47"/>
  <c r="C418" i="47"/>
  <c r="E418" i="47"/>
  <c r="F87" i="47"/>
  <c r="E87" i="47"/>
  <c r="B87" i="47"/>
  <c r="C87" i="47"/>
  <c r="B3" i="47"/>
  <c r="F3" i="47"/>
  <c r="C3" i="47"/>
  <c r="E3" i="47"/>
  <c r="F179" i="47"/>
  <c r="E179" i="47"/>
  <c r="B179" i="47"/>
  <c r="C179" i="47"/>
  <c r="F347" i="47"/>
  <c r="B347" i="47"/>
  <c r="C347" i="47"/>
  <c r="E347" i="47"/>
  <c r="E31" i="47"/>
  <c r="B31" i="47"/>
  <c r="C31" i="47"/>
  <c r="F31" i="47"/>
  <c r="F36" i="47"/>
  <c r="E36" i="47"/>
  <c r="B36" i="47"/>
  <c r="C36" i="47"/>
  <c r="E260" i="47"/>
  <c r="B260" i="47"/>
  <c r="C260" i="47"/>
  <c r="F260" i="47"/>
  <c r="F484" i="47"/>
  <c r="E484" i="47"/>
  <c r="B484" i="47"/>
  <c r="C484" i="47"/>
  <c r="F213" i="47"/>
  <c r="B213" i="47"/>
  <c r="C213" i="47"/>
  <c r="E213" i="47"/>
  <c r="F437" i="47"/>
  <c r="E437" i="47"/>
  <c r="B437" i="47"/>
  <c r="C437" i="47"/>
  <c r="F166" i="47"/>
  <c r="E166" i="47"/>
  <c r="B166" i="47"/>
  <c r="C166" i="47"/>
  <c r="C406" i="47"/>
  <c r="F406" i="47"/>
  <c r="E406" i="47"/>
  <c r="B406" i="47"/>
  <c r="E456" i="47"/>
  <c r="F456" i="47"/>
  <c r="B456" i="47"/>
  <c r="C456" i="47"/>
  <c r="F64" i="47"/>
  <c r="E64" i="47"/>
  <c r="B64" i="47"/>
  <c r="C64" i="47"/>
  <c r="F376" i="47"/>
  <c r="E376" i="47"/>
  <c r="B376" i="47"/>
  <c r="C376" i="47"/>
  <c r="E145" i="47"/>
  <c r="B145" i="47"/>
  <c r="C145" i="47"/>
  <c r="F145" i="47"/>
  <c r="F465" i="47"/>
  <c r="E465" i="47"/>
  <c r="B465" i="47"/>
  <c r="C465" i="47"/>
  <c r="L59" i="48"/>
  <c r="H59" i="40" s="1"/>
  <c r="N59" i="40" s="1"/>
  <c r="B59" i="48"/>
  <c r="G59" i="40" s="1"/>
  <c r="L28" i="48"/>
  <c r="H28" i="40" s="1"/>
  <c r="N28" i="40" s="1"/>
  <c r="B28" i="48"/>
  <c r="G28" i="40" s="1"/>
  <c r="L102" i="48"/>
  <c r="H102" i="40" s="1"/>
  <c r="N102" i="40" s="1"/>
  <c r="B102" i="48"/>
  <c r="G102" i="40" s="1"/>
  <c r="L81" i="48"/>
  <c r="H81" i="40" s="1"/>
  <c r="N81" i="40" s="1"/>
  <c r="B81" i="48"/>
  <c r="G81" i="40" s="1"/>
  <c r="L53" i="48"/>
  <c r="H53" i="40" s="1"/>
  <c r="N53" i="40" s="1"/>
  <c r="B53" i="48"/>
  <c r="G53" i="40" s="1"/>
  <c r="L18" i="48"/>
  <c r="H18" i="40" s="1"/>
  <c r="N18" i="40" s="1"/>
  <c r="B18" i="48"/>
  <c r="G18" i="40" s="1"/>
  <c r="L71" i="48"/>
  <c r="H71" i="40" s="1"/>
  <c r="N71" i="40" s="1"/>
  <c r="B71" i="48"/>
  <c r="G71" i="40" s="1"/>
  <c r="L21" i="48"/>
  <c r="H21" i="40" s="1"/>
  <c r="N21" i="40" s="1"/>
  <c r="B21" i="48"/>
  <c r="G21" i="40" s="1"/>
  <c r="F383" i="47"/>
  <c r="E383" i="47"/>
  <c r="B383" i="47"/>
  <c r="C383" i="47"/>
  <c r="F241" i="47"/>
  <c r="E241" i="47"/>
  <c r="B241" i="47"/>
  <c r="C241" i="47"/>
  <c r="E89" i="47"/>
  <c r="B89" i="47"/>
  <c r="F89" i="47"/>
  <c r="C89" i="47"/>
  <c r="F16" i="47"/>
  <c r="E16" i="47"/>
  <c r="B16" i="47"/>
  <c r="C16" i="47"/>
  <c r="F343" i="47"/>
  <c r="B343" i="47"/>
  <c r="E343" i="47"/>
  <c r="C343" i="47"/>
  <c r="E497" i="47"/>
  <c r="B497" i="47"/>
  <c r="F497" i="47"/>
  <c r="C497" i="47"/>
  <c r="F478" i="47"/>
  <c r="E478" i="47"/>
  <c r="B478" i="47"/>
  <c r="C478" i="47"/>
  <c r="E310" i="47"/>
  <c r="B310" i="47"/>
  <c r="F310" i="47"/>
  <c r="C310" i="47"/>
  <c r="E134" i="47"/>
  <c r="B134" i="47"/>
  <c r="C134" i="47"/>
  <c r="F134" i="47"/>
  <c r="F461" i="47"/>
  <c r="E461" i="47"/>
  <c r="B461" i="47"/>
  <c r="C461" i="47"/>
  <c r="E293" i="47"/>
  <c r="B293" i="47"/>
  <c r="F293" i="47"/>
  <c r="C293" i="47"/>
  <c r="E117" i="47"/>
  <c r="C117" i="47"/>
  <c r="F117" i="47"/>
  <c r="B117" i="47"/>
  <c r="F452" i="47"/>
  <c r="E452" i="47"/>
  <c r="B452" i="47"/>
  <c r="C452" i="47"/>
  <c r="E284" i="47"/>
  <c r="B284" i="47"/>
  <c r="F284" i="47"/>
  <c r="C284" i="47"/>
  <c r="E108" i="47"/>
  <c r="B108" i="47"/>
  <c r="C108" i="47"/>
  <c r="F108" i="47"/>
  <c r="E271" i="47"/>
  <c r="C271" i="47"/>
  <c r="F271" i="47"/>
  <c r="B271" i="47"/>
  <c r="F491" i="47"/>
  <c r="C491" i="47"/>
  <c r="E491" i="47"/>
  <c r="B491" i="47"/>
  <c r="F363" i="47"/>
  <c r="C363" i="47"/>
  <c r="E363" i="47"/>
  <c r="B363" i="47"/>
  <c r="E235" i="47"/>
  <c r="C235" i="47"/>
  <c r="F235" i="47"/>
  <c r="B235" i="47"/>
  <c r="F107" i="47"/>
  <c r="G107" i="47" s="1"/>
  <c r="C107" i="47"/>
  <c r="B107" i="47"/>
  <c r="F279" i="47"/>
  <c r="C279" i="47"/>
  <c r="E279" i="47"/>
  <c r="B279" i="47"/>
  <c r="L105" i="48"/>
  <c r="H105" i="40" s="1"/>
  <c r="N105" i="40" s="1"/>
  <c r="B105" i="48"/>
  <c r="G105" i="40" s="1"/>
  <c r="L20" i="48"/>
  <c r="H20" i="40" s="1"/>
  <c r="N20" i="40" s="1"/>
  <c r="B20" i="48"/>
  <c r="G20" i="40" s="1"/>
  <c r="L78" i="48"/>
  <c r="H78" i="40" s="1"/>
  <c r="N78" i="40" s="1"/>
  <c r="B78" i="48"/>
  <c r="G78" i="40" s="1"/>
  <c r="L11" i="48"/>
  <c r="H11" i="40" s="1"/>
  <c r="N11" i="40" s="1"/>
  <c r="B11" i="48"/>
  <c r="G11" i="40" s="1"/>
  <c r="L15" i="48"/>
  <c r="H15" i="40" s="1"/>
  <c r="N15" i="40" s="1"/>
  <c r="B15" i="48"/>
  <c r="G15" i="40" s="1"/>
  <c r="L37" i="48"/>
  <c r="H37" i="40" s="1"/>
  <c r="N37" i="40" s="1"/>
  <c r="B37" i="48"/>
  <c r="G37" i="40" s="1"/>
  <c r="L76" i="48"/>
  <c r="B76" i="48"/>
  <c r="G76" i="40" s="1"/>
  <c r="L80" i="48"/>
  <c r="H80" i="40" s="1"/>
  <c r="N80" i="40" s="1"/>
  <c r="B80" i="48"/>
  <c r="G80" i="40" s="1"/>
  <c r="L67" i="48"/>
  <c r="H67" i="40" s="1"/>
  <c r="N67" i="40" s="1"/>
  <c r="B67" i="48"/>
  <c r="G67" i="40" s="1"/>
  <c r="L58" i="48"/>
  <c r="H58" i="40" s="1"/>
  <c r="N58" i="40" s="1"/>
  <c r="B58" i="48"/>
  <c r="G58" i="40" s="1"/>
  <c r="B32" i="47"/>
  <c r="F32" i="47"/>
  <c r="C32" i="47"/>
  <c r="E32" i="47"/>
  <c r="E377" i="47"/>
  <c r="B377" i="47"/>
  <c r="C377" i="47"/>
  <c r="F377" i="47"/>
  <c r="F313" i="47"/>
  <c r="E313" i="47"/>
  <c r="B313" i="47"/>
  <c r="C313" i="47"/>
  <c r="B176" i="47"/>
  <c r="F176" i="47"/>
  <c r="C176" i="47"/>
  <c r="E176" i="47"/>
  <c r="E96" i="47"/>
  <c r="B96" i="47"/>
  <c r="C96" i="47"/>
  <c r="F96" i="47"/>
  <c r="E169" i="47"/>
  <c r="B169" i="47"/>
  <c r="F169" i="47"/>
  <c r="C169" i="47"/>
  <c r="F72" i="47"/>
  <c r="E72" i="47"/>
  <c r="B72" i="47"/>
  <c r="C72" i="47"/>
  <c r="E350" i="47"/>
  <c r="B350" i="47"/>
  <c r="C350" i="47"/>
  <c r="F350" i="47"/>
  <c r="F182" i="47"/>
  <c r="E182" i="47"/>
  <c r="B182" i="47"/>
  <c r="C182" i="47"/>
  <c r="F6" i="47"/>
  <c r="E6" i="47"/>
  <c r="B6" i="47"/>
  <c r="C6" i="47"/>
  <c r="E333" i="47"/>
  <c r="B333" i="47"/>
  <c r="C333" i="47"/>
  <c r="F333" i="47"/>
  <c r="E165" i="47"/>
  <c r="B165" i="47"/>
  <c r="F165" i="47"/>
  <c r="C165" i="47"/>
  <c r="F492" i="47"/>
  <c r="E492" i="47"/>
  <c r="B492" i="47"/>
  <c r="C492" i="47"/>
  <c r="E324" i="47"/>
  <c r="B324" i="47"/>
  <c r="C324" i="47"/>
  <c r="F324" i="47"/>
  <c r="E156" i="47"/>
  <c r="B156" i="47"/>
  <c r="F156" i="47"/>
  <c r="C156" i="47"/>
  <c r="F335" i="47"/>
  <c r="B335" i="47"/>
  <c r="E335" i="47"/>
  <c r="C335" i="47"/>
  <c r="E47" i="47"/>
  <c r="B47" i="47"/>
  <c r="C47" i="47"/>
  <c r="F47" i="47"/>
  <c r="F395" i="47"/>
  <c r="B395" i="47"/>
  <c r="E395" i="47"/>
  <c r="C395" i="47"/>
  <c r="E267" i="47"/>
  <c r="B267" i="47"/>
  <c r="C267" i="47"/>
  <c r="F267" i="47"/>
  <c r="F139" i="47"/>
  <c r="B139" i="47"/>
  <c r="E139" i="47"/>
  <c r="C139" i="47"/>
  <c r="E11" i="47"/>
  <c r="B11" i="47"/>
  <c r="C11" i="47"/>
  <c r="F11" i="47"/>
  <c r="L4" i="48"/>
  <c r="H4" i="40" s="1"/>
  <c r="N4" i="40" s="1"/>
  <c r="B4" i="48"/>
  <c r="G4" i="40" s="1"/>
  <c r="L14" i="48"/>
  <c r="H14" i="40" s="1"/>
  <c r="N14" i="40" s="1"/>
  <c r="B14" i="48"/>
  <c r="G14" i="40" s="1"/>
  <c r="L60" i="48"/>
  <c r="H60" i="40" s="1"/>
  <c r="N60" i="40" s="1"/>
  <c r="B60" i="48"/>
  <c r="G60" i="40" s="1"/>
  <c r="L16" i="48"/>
  <c r="H16" i="40" s="1"/>
  <c r="N16" i="40" s="1"/>
  <c r="B16" i="48"/>
  <c r="G16" i="40" s="1"/>
  <c r="L39" i="48"/>
  <c r="H39" i="40" s="1"/>
  <c r="N39" i="40" s="1"/>
  <c r="B39" i="48"/>
  <c r="G39" i="40" s="1"/>
  <c r="L61" i="48"/>
  <c r="H61" i="40" s="1"/>
  <c r="N61" i="40" s="1"/>
  <c r="B61" i="48"/>
  <c r="G61" i="40" s="1"/>
  <c r="L72" i="48"/>
  <c r="H72" i="40" s="1"/>
  <c r="N72" i="40" s="1"/>
  <c r="B72" i="48"/>
  <c r="G72" i="40" s="1"/>
  <c r="L100" i="48"/>
  <c r="H100" i="40" s="1"/>
  <c r="N100" i="40" s="1"/>
  <c r="B100" i="48"/>
  <c r="G100" i="40" s="1"/>
  <c r="L99" i="48"/>
  <c r="H99" i="40" s="1"/>
  <c r="N99" i="40" s="1"/>
  <c r="B99" i="48"/>
  <c r="G99" i="40" s="1"/>
  <c r="L57" i="48"/>
  <c r="H57" i="40" s="1"/>
  <c r="N57" i="40" s="1"/>
  <c r="B57" i="48"/>
  <c r="G57" i="40" s="1"/>
  <c r="L90" i="48"/>
  <c r="H90" i="40" s="1"/>
  <c r="N90" i="40" s="1"/>
  <c r="B90" i="48"/>
  <c r="G90" i="40" s="1"/>
  <c r="L69" i="48"/>
  <c r="H69" i="40" s="1"/>
  <c r="N69" i="40" s="1"/>
  <c r="B69" i="48"/>
  <c r="G69" i="40" s="1"/>
  <c r="L104" i="48"/>
  <c r="H104" i="40" s="1"/>
  <c r="N104" i="40" s="1"/>
  <c r="B104" i="48"/>
  <c r="G104" i="40" s="1"/>
  <c r="L83" i="48"/>
  <c r="H83" i="40" s="1"/>
  <c r="N83" i="40" s="1"/>
  <c r="B83" i="48"/>
  <c r="G83" i="40" s="1"/>
  <c r="L74" i="48"/>
  <c r="H74" i="40" s="1"/>
  <c r="N74" i="40" s="1"/>
  <c r="B74" i="48"/>
  <c r="G74" i="40" s="1"/>
  <c r="L48" i="48"/>
  <c r="H48" i="40" s="1"/>
  <c r="N48" i="40" s="1"/>
  <c r="B48" i="48"/>
  <c r="G48" i="40" s="1"/>
  <c r="L87" i="48"/>
  <c r="H87" i="40" s="1"/>
  <c r="N87" i="40" s="1"/>
  <c r="B87" i="48"/>
  <c r="G87" i="40" s="1"/>
  <c r="L68" i="48"/>
  <c r="H68" i="40" s="1"/>
  <c r="N68" i="40" s="1"/>
  <c r="B68" i="48"/>
  <c r="G68" i="40" s="1"/>
  <c r="L40" i="48"/>
  <c r="H40" i="40" s="1"/>
  <c r="N40" i="40" s="1"/>
  <c r="B40" i="48"/>
  <c r="G40" i="40" s="1"/>
  <c r="L51" i="48"/>
  <c r="H51" i="40" s="1"/>
  <c r="N51" i="40" s="1"/>
  <c r="B51" i="48"/>
  <c r="G51" i="40" s="1"/>
  <c r="L42" i="48"/>
  <c r="H42" i="40" s="1"/>
  <c r="N42" i="40" s="1"/>
  <c r="B42" i="48"/>
  <c r="G42" i="40" s="1"/>
  <c r="L63" i="48"/>
  <c r="H63" i="40" s="1"/>
  <c r="N63" i="40" s="1"/>
  <c r="B63" i="48"/>
  <c r="G63" i="40" s="1"/>
  <c r="L62" i="48"/>
  <c r="H62" i="40" s="1"/>
  <c r="N62" i="40" s="1"/>
  <c r="B62" i="48"/>
  <c r="G62" i="40" s="1"/>
  <c r="L54" i="48"/>
  <c r="H54" i="40" s="1"/>
  <c r="N54" i="40" s="1"/>
  <c r="B54" i="48"/>
  <c r="G54" i="40" s="1"/>
  <c r="L85" i="48"/>
  <c r="H85" i="40" s="1"/>
  <c r="N85" i="40" s="1"/>
  <c r="B85" i="48"/>
  <c r="G85" i="40" s="1"/>
  <c r="B107" i="48"/>
  <c r="G107" i="40" s="1"/>
  <c r="L107" i="48"/>
  <c r="H107" i="40" s="1"/>
  <c r="L98" i="48"/>
  <c r="H98" i="40" s="1"/>
  <c r="N98" i="40" s="1"/>
  <c r="B98" i="48"/>
  <c r="G98" i="40" s="1"/>
  <c r="L103" i="48"/>
  <c r="H103" i="40" s="1"/>
  <c r="N103" i="40" s="1"/>
  <c r="B103" i="48"/>
  <c r="G103" i="40" s="1"/>
  <c r="L49" i="48"/>
  <c r="H49" i="40" s="1"/>
  <c r="N49" i="40" s="1"/>
  <c r="B49" i="48"/>
  <c r="G49" i="40" s="1"/>
  <c r="L38" i="48"/>
  <c r="H38" i="40" s="1"/>
  <c r="N38" i="40" s="1"/>
  <c r="B38" i="48"/>
  <c r="G38" i="40" s="1"/>
  <c r="L36" i="48"/>
  <c r="H36" i="40" s="1"/>
  <c r="N36" i="40" s="1"/>
  <c r="B36" i="48"/>
  <c r="G36" i="40" s="1"/>
  <c r="L35" i="48"/>
  <c r="H35" i="40" s="1"/>
  <c r="N35" i="40" s="1"/>
  <c r="B35" i="48"/>
  <c r="G35" i="40" s="1"/>
  <c r="L26" i="48"/>
  <c r="H26" i="40" s="1"/>
  <c r="N26" i="40" s="1"/>
  <c r="B26" i="48"/>
  <c r="G26" i="40" s="1"/>
  <c r="L86" i="48"/>
  <c r="H86" i="40" s="1"/>
  <c r="N86" i="40" s="1"/>
  <c r="B86" i="48"/>
  <c r="G86" i="40" s="1"/>
  <c r="L93" i="48"/>
  <c r="H93" i="40" s="1"/>
  <c r="N93" i="40" s="1"/>
  <c r="B93" i="48"/>
  <c r="G93" i="40" s="1"/>
  <c r="L41" i="48"/>
  <c r="H41" i="40" s="1"/>
  <c r="N41" i="40" s="1"/>
  <c r="B41" i="48"/>
  <c r="G41" i="40" s="1"/>
  <c r="L106" i="48"/>
  <c r="H106" i="40" s="1"/>
  <c r="N106" i="40" s="1"/>
  <c r="B106" i="48"/>
  <c r="G106" i="40" s="1"/>
  <c r="L73" i="48"/>
  <c r="H73" i="40" s="1"/>
  <c r="N73" i="40" s="1"/>
  <c r="B73" i="48"/>
  <c r="G73" i="40" s="1"/>
  <c r="L88" i="48"/>
  <c r="H88" i="40" s="1"/>
  <c r="N88" i="40" s="1"/>
  <c r="B88" i="48"/>
  <c r="G88" i="40" s="1"/>
  <c r="L43" i="48"/>
  <c r="H43" i="40" s="1"/>
  <c r="N43" i="40" s="1"/>
  <c r="B43" i="48"/>
  <c r="G43" i="40" s="1"/>
  <c r="L34" i="48"/>
  <c r="H34" i="40" s="1"/>
  <c r="N34" i="40" s="1"/>
  <c r="B34" i="48"/>
  <c r="G34" i="40" s="1"/>
  <c r="L47" i="48"/>
  <c r="H47" i="40" s="1"/>
  <c r="N47" i="40" s="1"/>
  <c r="B47" i="48"/>
  <c r="G47" i="40" s="1"/>
  <c r="L6" i="48"/>
  <c r="H6" i="40" s="1"/>
  <c r="N6" i="40" s="1"/>
  <c r="B6" i="48"/>
  <c r="G6" i="40" s="1"/>
  <c r="L17" i="48"/>
  <c r="H17" i="40" s="1"/>
  <c r="N17" i="40" s="1"/>
  <c r="B17" i="48"/>
  <c r="G17" i="40" s="1"/>
  <c r="B257" i="47"/>
  <c r="F257" i="47"/>
  <c r="C257" i="47"/>
  <c r="E257" i="47"/>
  <c r="F248" i="47"/>
  <c r="E248" i="47"/>
  <c r="B248" i="47"/>
  <c r="C248" i="47"/>
  <c r="F49" i="47"/>
  <c r="C49" i="47"/>
  <c r="E49" i="47"/>
  <c r="B49" i="47"/>
  <c r="B463" i="47"/>
  <c r="F463" i="47"/>
  <c r="C463" i="47"/>
  <c r="E463" i="47"/>
  <c r="F225" i="47"/>
  <c r="E225" i="47"/>
  <c r="B225" i="47"/>
  <c r="C225" i="47"/>
  <c r="B439" i="47"/>
  <c r="F439" i="47"/>
  <c r="C439" i="47"/>
  <c r="E439" i="47"/>
  <c r="B392" i="47"/>
  <c r="F392" i="47"/>
  <c r="C392" i="47"/>
  <c r="E392" i="47"/>
  <c r="E438" i="47"/>
  <c r="B438" i="47"/>
  <c r="F438" i="47"/>
  <c r="C438" i="47"/>
  <c r="F262" i="47"/>
  <c r="E262" i="47"/>
  <c r="B262" i="47"/>
  <c r="C262" i="47"/>
  <c r="B94" i="47"/>
  <c r="F94" i="47"/>
  <c r="C94" i="47"/>
  <c r="E94" i="47"/>
  <c r="E421" i="47"/>
  <c r="F421" i="47"/>
  <c r="B421" i="47"/>
  <c r="C421" i="47"/>
  <c r="F245" i="47"/>
  <c r="C245" i="47"/>
  <c r="E245" i="47"/>
  <c r="B245" i="47"/>
  <c r="B77" i="47"/>
  <c r="F77" i="47"/>
  <c r="C77" i="47"/>
  <c r="E77" i="47"/>
  <c r="F412" i="47"/>
  <c r="E412" i="47"/>
  <c r="B412" i="47"/>
  <c r="C412" i="47"/>
  <c r="F236" i="47"/>
  <c r="E236" i="47"/>
  <c r="B236" i="47"/>
  <c r="C236" i="47"/>
  <c r="B68" i="47"/>
  <c r="F68" i="47"/>
  <c r="C68" i="47"/>
  <c r="E68" i="47"/>
  <c r="C199" i="47"/>
  <c r="F199" i="47"/>
  <c r="E199" i="47"/>
  <c r="B199" i="47"/>
  <c r="E459" i="47"/>
  <c r="C459" i="47"/>
  <c r="F459" i="47"/>
  <c r="B459" i="47"/>
  <c r="C331" i="47"/>
  <c r="F331" i="47"/>
  <c r="E331" i="47"/>
  <c r="B331" i="47"/>
  <c r="E203" i="47"/>
  <c r="C203" i="47"/>
  <c r="F203" i="47"/>
  <c r="B203" i="47"/>
  <c r="C75" i="47"/>
  <c r="F75" i="47"/>
  <c r="E75" i="47"/>
  <c r="B75" i="47"/>
  <c r="L7" i="48"/>
  <c r="H7" i="40" s="1"/>
  <c r="N7" i="40" s="1"/>
  <c r="B7" i="48"/>
  <c r="G7" i="40" s="1"/>
  <c r="L29" i="48"/>
  <c r="H29" i="40" s="1"/>
  <c r="N29" i="40" s="1"/>
  <c r="B29" i="48"/>
  <c r="G29" i="40" s="1"/>
  <c r="F449" i="47"/>
  <c r="E449" i="47"/>
  <c r="B449" i="47"/>
  <c r="C449" i="47"/>
  <c r="E487" i="47"/>
  <c r="B487" i="47"/>
  <c r="C487" i="47"/>
  <c r="F487" i="47"/>
  <c r="F33" i="47"/>
  <c r="E33" i="47"/>
  <c r="B33" i="47"/>
  <c r="C33" i="47"/>
  <c r="F353" i="47"/>
  <c r="E353" i="47"/>
  <c r="B353" i="47"/>
  <c r="C353" i="47"/>
  <c r="E344" i="47"/>
  <c r="B344" i="47"/>
  <c r="F344" i="47"/>
  <c r="C344" i="47"/>
  <c r="F328" i="47"/>
  <c r="E328" i="47"/>
  <c r="B328" i="47"/>
  <c r="C328" i="47"/>
  <c r="F264" i="47"/>
  <c r="E264" i="47"/>
  <c r="B264" i="47"/>
  <c r="C264" i="47"/>
  <c r="E390" i="47"/>
  <c r="C390" i="47"/>
  <c r="F390" i="47"/>
  <c r="B390" i="47"/>
  <c r="F222" i="47"/>
  <c r="E222" i="47"/>
  <c r="B222" i="47"/>
  <c r="C222" i="47"/>
  <c r="F54" i="47"/>
  <c r="E54" i="47"/>
  <c r="B54" i="47"/>
  <c r="C54" i="47"/>
  <c r="E373" i="47"/>
  <c r="B373" i="47"/>
  <c r="F373" i="47"/>
  <c r="C373" i="47"/>
  <c r="F205" i="47"/>
  <c r="E205" i="47"/>
  <c r="B205" i="47"/>
  <c r="C205" i="47"/>
  <c r="F37" i="47"/>
  <c r="E37" i="47"/>
  <c r="B37" i="47"/>
  <c r="C37" i="47"/>
  <c r="E364" i="47"/>
  <c r="C364" i="47"/>
  <c r="F364" i="47"/>
  <c r="B364" i="47"/>
  <c r="F196" i="47"/>
  <c r="E196" i="47"/>
  <c r="B196" i="47"/>
  <c r="C196" i="47"/>
  <c r="F28" i="47"/>
  <c r="E28" i="47"/>
  <c r="B28" i="47"/>
  <c r="C28" i="47"/>
  <c r="F119" i="47"/>
  <c r="E119" i="47"/>
  <c r="B119" i="47"/>
  <c r="C119" i="47"/>
  <c r="F427" i="47"/>
  <c r="E427" i="47"/>
  <c r="B427" i="47"/>
  <c r="C427" i="47"/>
  <c r="E299" i="47"/>
  <c r="B299" i="47"/>
  <c r="F299" i="47"/>
  <c r="C299" i="47"/>
  <c r="F171" i="47"/>
  <c r="E171" i="47"/>
  <c r="B171" i="47"/>
  <c r="C171" i="47"/>
  <c r="F43" i="47"/>
  <c r="E43" i="47"/>
  <c r="B43" i="47"/>
  <c r="C43" i="47"/>
  <c r="L89" i="48"/>
  <c r="H89" i="40" s="1"/>
  <c r="N89" i="40" s="1"/>
  <c r="B89" i="48"/>
  <c r="G89" i="40" s="1"/>
  <c r="L32" i="48"/>
  <c r="H32" i="40" s="1"/>
  <c r="N32" i="40" s="1"/>
  <c r="B32" i="48"/>
  <c r="G32" i="40" s="1"/>
  <c r="L5" i="48"/>
  <c r="H5" i="40" s="1"/>
  <c r="N5" i="40" s="1"/>
  <c r="B5" i="48"/>
  <c r="G5" i="40" s="1"/>
  <c r="L70" i="48"/>
  <c r="H70" i="40" s="1"/>
  <c r="N70" i="40" s="1"/>
  <c r="B70" i="48"/>
  <c r="G70" i="40" s="1"/>
  <c r="L44" i="48"/>
  <c r="H44" i="40" s="1"/>
  <c r="N44" i="40" s="1"/>
  <c r="B44" i="48"/>
  <c r="G44" i="40" s="1"/>
  <c r="L19" i="48"/>
  <c r="H19" i="40" s="1"/>
  <c r="N19" i="40" s="1"/>
  <c r="B19" i="48"/>
  <c r="G19" i="40" s="1"/>
  <c r="L10" i="48"/>
  <c r="H10" i="40" s="1"/>
  <c r="N10" i="40" s="1"/>
  <c r="B10" i="48"/>
  <c r="G10" i="40" s="1"/>
  <c r="L23" i="48"/>
  <c r="H23" i="40" s="1"/>
  <c r="N23" i="40" s="1"/>
  <c r="B23" i="48"/>
  <c r="G23" i="40" s="1"/>
  <c r="L33" i="48"/>
  <c r="H33" i="40" s="1"/>
  <c r="N33" i="40" s="1"/>
  <c r="B33" i="48"/>
  <c r="G33" i="40" s="1"/>
  <c r="L45" i="48"/>
  <c r="H45" i="40" s="1"/>
  <c r="N45" i="40" s="1"/>
  <c r="B45" i="48"/>
  <c r="G45" i="40" s="1"/>
  <c r="L84" i="48"/>
  <c r="H84" i="40" s="1"/>
  <c r="N84" i="40" s="1"/>
  <c r="B84" i="48"/>
  <c r="G84" i="40" s="1"/>
  <c r="L75" i="48"/>
  <c r="H75" i="40" s="1"/>
  <c r="N75" i="40" s="1"/>
  <c r="B75" i="48"/>
  <c r="G75" i="40" s="1"/>
  <c r="L66" i="48"/>
  <c r="H66" i="40" s="1"/>
  <c r="N66" i="40" s="1"/>
  <c r="B66" i="48"/>
  <c r="G66" i="40" s="1"/>
  <c r="L8" i="48"/>
  <c r="H8" i="40" s="1"/>
  <c r="N8" i="40" s="1"/>
  <c r="B8" i="48"/>
  <c r="G8" i="40" s="1"/>
  <c r="L79" i="48"/>
  <c r="H79" i="40" s="1"/>
  <c r="N79" i="40" s="1"/>
  <c r="B79" i="48"/>
  <c r="G79" i="40" s="1"/>
  <c r="L64" i="48"/>
  <c r="H64" i="40" s="1"/>
  <c r="N64" i="40" s="1"/>
  <c r="B64" i="48"/>
  <c r="G64" i="40" s="1"/>
  <c r="L101" i="48"/>
  <c r="H101" i="40" s="1"/>
  <c r="N101" i="40" s="1"/>
  <c r="B101" i="48"/>
  <c r="G101" i="40" s="1"/>
  <c r="L65" i="48"/>
  <c r="H65" i="40" s="1"/>
  <c r="N65" i="40" s="1"/>
  <c r="B65" i="48"/>
  <c r="G65" i="40" s="1"/>
  <c r="L12" i="48"/>
  <c r="H12" i="40" s="1"/>
  <c r="N12" i="40" s="1"/>
  <c r="B12" i="48"/>
  <c r="G12" i="40" s="1"/>
  <c r="L46" i="48"/>
  <c r="H46" i="40" s="1"/>
  <c r="N46" i="40" s="1"/>
  <c r="B46" i="48"/>
  <c r="G46" i="40" s="1"/>
  <c r="H76" i="40"/>
  <c r="N76" i="40" s="1"/>
  <c r="B3" i="48"/>
  <c r="G3" i="40" s="1"/>
  <c r="E391" i="47"/>
  <c r="C391" i="47"/>
  <c r="F391" i="47"/>
  <c r="B391" i="47"/>
  <c r="E424" i="47"/>
  <c r="F424" i="47"/>
  <c r="C424" i="47"/>
  <c r="B424" i="47"/>
  <c r="E423" i="47"/>
  <c r="F423" i="47"/>
  <c r="C423" i="47"/>
  <c r="B423" i="47"/>
  <c r="E409" i="47"/>
  <c r="F409" i="47"/>
  <c r="C409" i="47"/>
  <c r="B409" i="47"/>
  <c r="E56" i="47"/>
  <c r="C56" i="47"/>
  <c r="F56" i="47"/>
  <c r="B56" i="47"/>
  <c r="E80" i="47"/>
  <c r="F80" i="47"/>
  <c r="C80" i="47"/>
  <c r="B80" i="47"/>
  <c r="E192" i="47"/>
  <c r="C192" i="47"/>
  <c r="F192" i="47"/>
  <c r="B192" i="47"/>
  <c r="E375" i="47"/>
  <c r="F375" i="47"/>
  <c r="C375" i="47"/>
  <c r="B375" i="47"/>
  <c r="E433" i="47"/>
  <c r="C433" i="47"/>
  <c r="F433" i="47"/>
  <c r="B433" i="47"/>
  <c r="E494" i="47"/>
  <c r="F494" i="47"/>
  <c r="C494" i="47"/>
  <c r="B494" i="47"/>
  <c r="E366" i="47"/>
  <c r="F366" i="47"/>
  <c r="C366" i="47"/>
  <c r="B366" i="47"/>
  <c r="E238" i="47"/>
  <c r="F238" i="47"/>
  <c r="C238" i="47"/>
  <c r="B238" i="47"/>
  <c r="E110" i="47"/>
  <c r="C110" i="47"/>
  <c r="F110" i="47"/>
  <c r="B110" i="47"/>
  <c r="E477" i="47"/>
  <c r="F477" i="47"/>
  <c r="C477" i="47"/>
  <c r="B477" i="47"/>
  <c r="E349" i="47"/>
  <c r="C349" i="47"/>
  <c r="F349" i="47"/>
  <c r="B349" i="47"/>
  <c r="E221" i="47"/>
  <c r="F221" i="47"/>
  <c r="B221" i="47"/>
  <c r="C221" i="47"/>
  <c r="E93" i="47"/>
  <c r="F93" i="47"/>
  <c r="B93" i="47"/>
  <c r="C93" i="47"/>
  <c r="E468" i="47"/>
  <c r="F468" i="47"/>
  <c r="B468" i="47"/>
  <c r="C468" i="47"/>
  <c r="E340" i="47"/>
  <c r="F340" i="47"/>
  <c r="C340" i="47"/>
  <c r="B340" i="47"/>
  <c r="E212" i="47"/>
  <c r="F212" i="47"/>
  <c r="B212" i="47"/>
  <c r="C212" i="47"/>
  <c r="E84" i="47"/>
  <c r="B84" i="47"/>
  <c r="C84" i="47"/>
  <c r="F84" i="47"/>
  <c r="F160" i="47"/>
  <c r="C160" i="47"/>
  <c r="E160" i="47"/>
  <c r="B160" i="47"/>
  <c r="F24" i="47"/>
  <c r="B24" i="47"/>
  <c r="C24" i="47"/>
  <c r="E24" i="47"/>
  <c r="F81" i="47"/>
  <c r="B81" i="47"/>
  <c r="E81" i="47"/>
  <c r="C81" i="47"/>
  <c r="F121" i="47"/>
  <c r="B121" i="47"/>
  <c r="E121" i="47"/>
  <c r="C121" i="47"/>
  <c r="F208" i="47"/>
  <c r="E208" i="47"/>
  <c r="C208" i="47"/>
  <c r="B208" i="47"/>
  <c r="F385" i="47"/>
  <c r="B385" i="47"/>
  <c r="C385" i="47"/>
  <c r="E385" i="47"/>
  <c r="F457" i="47"/>
  <c r="E457" i="47"/>
  <c r="B457" i="47"/>
  <c r="C457" i="47"/>
  <c r="F9" i="47"/>
  <c r="B9" i="47"/>
  <c r="E9" i="47"/>
  <c r="C9" i="47"/>
  <c r="F104" i="47"/>
  <c r="B104" i="47"/>
  <c r="E104" i="47"/>
  <c r="C104" i="47"/>
  <c r="F398" i="47"/>
  <c r="B398" i="47"/>
  <c r="E398" i="47"/>
  <c r="C398" i="47"/>
  <c r="F270" i="47"/>
  <c r="B270" i="47"/>
  <c r="E270" i="47"/>
  <c r="C270" i="47"/>
  <c r="F142" i="47"/>
  <c r="B142" i="47"/>
  <c r="E142" i="47"/>
  <c r="C142" i="47"/>
  <c r="F14" i="47"/>
  <c r="E14" i="47"/>
  <c r="B14" i="47"/>
  <c r="C14" i="47"/>
  <c r="F381" i="47"/>
  <c r="C381" i="47"/>
  <c r="E381" i="47"/>
  <c r="B381" i="47"/>
  <c r="F253" i="47"/>
  <c r="E253" i="47"/>
  <c r="B253" i="47"/>
  <c r="C253" i="47"/>
  <c r="F125" i="47"/>
  <c r="C125" i="47"/>
  <c r="E125" i="47"/>
  <c r="B125" i="47"/>
  <c r="F500" i="47"/>
  <c r="E500" i="47"/>
  <c r="B500" i="47"/>
  <c r="C500" i="47"/>
  <c r="F372" i="47"/>
  <c r="E372" i="47"/>
  <c r="C372" i="47"/>
  <c r="B372" i="47"/>
  <c r="F244" i="47"/>
  <c r="E244" i="47"/>
  <c r="B244" i="47"/>
  <c r="C244" i="47"/>
  <c r="F116" i="47"/>
  <c r="C116" i="47"/>
  <c r="E116" i="47"/>
  <c r="B116" i="47"/>
  <c r="B129" i="47"/>
  <c r="E129" i="47"/>
  <c r="C129" i="47"/>
  <c r="F129" i="47"/>
  <c r="E337" i="47"/>
  <c r="F337" i="47"/>
  <c r="B337" i="47"/>
  <c r="C337" i="47"/>
  <c r="B336" i="47"/>
  <c r="E336" i="47"/>
  <c r="C336" i="47"/>
  <c r="F336" i="47"/>
  <c r="E425" i="47"/>
  <c r="B425" i="47"/>
  <c r="F425" i="47"/>
  <c r="C425" i="47"/>
  <c r="E417" i="47"/>
  <c r="B417" i="47"/>
  <c r="C417" i="47"/>
  <c r="F417" i="47"/>
  <c r="E432" i="47"/>
  <c r="B432" i="47"/>
  <c r="F432" i="47"/>
  <c r="C432" i="47"/>
  <c r="E489" i="47"/>
  <c r="B489" i="47"/>
  <c r="C489" i="47"/>
  <c r="F489" i="47"/>
  <c r="E265" i="47"/>
  <c r="F265" i="47"/>
  <c r="C265" i="47"/>
  <c r="B265" i="47"/>
  <c r="E351" i="47"/>
  <c r="B351" i="47"/>
  <c r="F351" i="47"/>
  <c r="C351" i="47"/>
  <c r="E462" i="47"/>
  <c r="F462" i="47"/>
  <c r="C462" i="47"/>
  <c r="B462" i="47"/>
  <c r="E334" i="47"/>
  <c r="F334" i="47"/>
  <c r="B334" i="47"/>
  <c r="C334" i="47"/>
  <c r="E206" i="47"/>
  <c r="F206" i="47"/>
  <c r="C206" i="47"/>
  <c r="B206" i="47"/>
  <c r="E78" i="47"/>
  <c r="B78" i="47"/>
  <c r="C78" i="47"/>
  <c r="F78" i="47"/>
  <c r="E445" i="47"/>
  <c r="B445" i="47"/>
  <c r="F445" i="47"/>
  <c r="C445" i="47"/>
  <c r="E317" i="47"/>
  <c r="B317" i="47"/>
  <c r="C317" i="47"/>
  <c r="F317" i="47"/>
  <c r="E189" i="47"/>
  <c r="B189" i="47"/>
  <c r="F189" i="47"/>
  <c r="C189" i="47"/>
  <c r="E61" i="47"/>
  <c r="B61" i="47"/>
  <c r="C61" i="47"/>
  <c r="F61" i="47"/>
  <c r="E436" i="47"/>
  <c r="B436" i="47"/>
  <c r="F436" i="47"/>
  <c r="C436" i="47"/>
  <c r="E308" i="47"/>
  <c r="B308" i="47"/>
  <c r="C308" i="47"/>
  <c r="F308" i="47"/>
  <c r="E180" i="47"/>
  <c r="B180" i="47"/>
  <c r="F180" i="47"/>
  <c r="C180" i="47"/>
  <c r="E52" i="47"/>
  <c r="B52" i="47"/>
  <c r="C52" i="47"/>
  <c r="F52" i="47"/>
  <c r="F408" i="47"/>
  <c r="B408" i="47"/>
  <c r="E408" i="47"/>
  <c r="C408" i="47"/>
  <c r="E216" i="47"/>
  <c r="F216" i="47"/>
  <c r="B216" i="47"/>
  <c r="C216" i="47"/>
  <c r="F209" i="47"/>
  <c r="E209" i="47"/>
  <c r="B209" i="47"/>
  <c r="C209" i="47"/>
  <c r="E281" i="47"/>
  <c r="F281" i="47"/>
  <c r="B281" i="47"/>
  <c r="C281" i="47"/>
  <c r="F329" i="47"/>
  <c r="E329" i="47"/>
  <c r="B329" i="47"/>
  <c r="C329" i="47"/>
  <c r="E161" i="47"/>
  <c r="F161" i="47"/>
  <c r="B161" i="47"/>
  <c r="C161" i="47"/>
  <c r="E249" i="47"/>
  <c r="F249" i="47"/>
  <c r="B249" i="47"/>
  <c r="C249" i="47"/>
  <c r="F137" i="47"/>
  <c r="E137" i="47"/>
  <c r="B137" i="47"/>
  <c r="C137" i="47"/>
  <c r="F232" i="47"/>
  <c r="E232" i="47"/>
  <c r="B232" i="47"/>
  <c r="C232" i="47"/>
  <c r="F430" i="47"/>
  <c r="E430" i="47"/>
  <c r="B430" i="47"/>
  <c r="C430" i="47"/>
  <c r="F302" i="47"/>
  <c r="E302" i="47"/>
  <c r="B302" i="47"/>
  <c r="C302" i="47"/>
  <c r="F174" i="47"/>
  <c r="E174" i="47"/>
  <c r="B174" i="47"/>
  <c r="C174" i="47"/>
  <c r="F46" i="47"/>
  <c r="E46" i="47"/>
  <c r="B46" i="47"/>
  <c r="C46" i="47"/>
  <c r="F413" i="47"/>
  <c r="B413" i="47"/>
  <c r="C413" i="47"/>
  <c r="E413" i="47"/>
  <c r="E285" i="47"/>
  <c r="C285" i="47"/>
  <c r="F285" i="47"/>
  <c r="B285" i="47"/>
  <c r="F157" i="47"/>
  <c r="C157" i="47"/>
  <c r="E157" i="47"/>
  <c r="B157" i="47"/>
  <c r="E29" i="47"/>
  <c r="C29" i="47"/>
  <c r="B29" i="47"/>
  <c r="F29" i="47"/>
  <c r="F404" i="47"/>
  <c r="C404" i="47"/>
  <c r="B404" i="47"/>
  <c r="E404" i="47"/>
  <c r="F276" i="47"/>
  <c r="C276" i="47"/>
  <c r="E276" i="47"/>
  <c r="B276" i="47"/>
  <c r="F148" i="47"/>
  <c r="C148" i="47"/>
  <c r="E148" i="47"/>
  <c r="B148" i="47"/>
  <c r="E2" i="50"/>
  <c r="G38" i="47" l="1"/>
  <c r="D114" i="47"/>
  <c r="G41" i="47"/>
  <c r="E93" i="44" a="1"/>
  <c r="E93" i="44" s="1"/>
  <c r="U93" i="44" s="1"/>
  <c r="AE47" i="55"/>
  <c r="AK88" i="55" s="1"/>
  <c r="L59" i="56" s="1"/>
  <c r="C83" i="44" a="1"/>
  <c r="C83" i="44" s="1"/>
  <c r="E24" i="53" s="1"/>
  <c r="D24" i="53" s="1"/>
  <c r="AD47" i="44"/>
  <c r="G44" i="47"/>
  <c r="G357" i="47"/>
  <c r="D287" i="47"/>
  <c r="G153" i="47"/>
  <c r="D282" i="47"/>
  <c r="D403" i="47"/>
  <c r="D111" i="47"/>
  <c r="G200" i="47"/>
  <c r="G280" i="47"/>
  <c r="D467" i="47"/>
  <c r="G39" i="47"/>
  <c r="G218" i="47"/>
  <c r="G400" i="47"/>
  <c r="G444" i="47"/>
  <c r="G83" i="47"/>
  <c r="G243" i="47"/>
  <c r="G338" i="47"/>
  <c r="G215" i="47"/>
  <c r="G158" i="47"/>
  <c r="E52" i="53"/>
  <c r="D52" i="53" s="1"/>
  <c r="T81" i="44"/>
  <c r="AK82" i="55"/>
  <c r="L53" i="56" s="1"/>
  <c r="AK66" i="55"/>
  <c r="L37" i="56" s="1"/>
  <c r="E35" i="53"/>
  <c r="D35" i="53" s="1"/>
  <c r="D94" i="44"/>
  <c r="AB99" i="44"/>
  <c r="AB111" i="44" s="1"/>
  <c r="T64" i="44"/>
  <c r="D453" i="47"/>
  <c r="E47" i="53"/>
  <c r="D47" i="53" s="1"/>
  <c r="T77" i="44"/>
  <c r="E23" i="53"/>
  <c r="D23" i="53" s="1"/>
  <c r="S82" i="44"/>
  <c r="W82" i="44"/>
  <c r="T92" i="44"/>
  <c r="E63" i="53"/>
  <c r="D63" i="53" s="1"/>
  <c r="E51" i="53"/>
  <c r="D51" i="53" s="1"/>
  <c r="T80" i="44"/>
  <c r="E75" i="53"/>
  <c r="D75" i="53" s="1"/>
  <c r="U75" i="44"/>
  <c r="D67" i="44" a="1"/>
  <c r="D67" i="44" s="1"/>
  <c r="C72" i="44" a="1"/>
  <c r="C72" i="44" s="1"/>
  <c r="E90" i="44" a="1"/>
  <c r="E90" i="44" s="1"/>
  <c r="C91" i="44" a="1"/>
  <c r="C91" i="44" s="1"/>
  <c r="C65" i="44" a="1"/>
  <c r="C65" i="44" s="1"/>
  <c r="I78" i="44" a="1"/>
  <c r="I78" i="44" s="1"/>
  <c r="D89" i="44" a="1"/>
  <c r="D89" i="44" s="1"/>
  <c r="C90" i="44" a="1"/>
  <c r="C90" i="44" s="1"/>
  <c r="E88" i="44" a="1"/>
  <c r="E88" i="44" s="1"/>
  <c r="E73" i="44" a="1"/>
  <c r="E73" i="44" s="1"/>
  <c r="D75" i="44" a="1"/>
  <c r="D75" i="44" s="1"/>
  <c r="D82" i="44" a="1"/>
  <c r="D82" i="44" s="1"/>
  <c r="D84" i="44" a="1"/>
  <c r="D84" i="44" s="1"/>
  <c r="E68" i="44" a="1"/>
  <c r="E68" i="44" s="1"/>
  <c r="D71" i="44" a="1"/>
  <c r="D71" i="44" s="1"/>
  <c r="E74" i="44" a="1"/>
  <c r="E74" i="44" s="1"/>
  <c r="E80" i="44" a="1"/>
  <c r="E80" i="44" s="1"/>
  <c r="E82" i="44" a="1"/>
  <c r="E82" i="44" s="1"/>
  <c r="E84" i="44" a="1"/>
  <c r="E84" i="44" s="1"/>
  <c r="E86" i="44" a="1"/>
  <c r="E86" i="44" s="1"/>
  <c r="C81" i="44" a="1"/>
  <c r="C81" i="44" s="1"/>
  <c r="D73" i="44" a="1"/>
  <c r="D73" i="44" s="1"/>
  <c r="AF110" i="44"/>
  <c r="AD46" i="55"/>
  <c r="H78" i="55" a="1"/>
  <c r="H78" i="55" s="1"/>
  <c r="AD48" i="55"/>
  <c r="AF111" i="44"/>
  <c r="AE46" i="55"/>
  <c r="AG111" i="55"/>
  <c r="I78" i="55" a="1"/>
  <c r="I78" i="55" s="1"/>
  <c r="C76" i="44" a="1"/>
  <c r="C76" i="44" s="1"/>
  <c r="C92" i="44" a="1"/>
  <c r="C92" i="44" s="1"/>
  <c r="J78" i="44" a="1"/>
  <c r="J78" i="44" s="1"/>
  <c r="D68" i="44" a="1"/>
  <c r="D68" i="44" s="1"/>
  <c r="C64" i="44" a="1"/>
  <c r="C64" i="44" s="1"/>
  <c r="E85" i="44" a="1"/>
  <c r="E85" i="44" s="1"/>
  <c r="C73" i="44" a="1"/>
  <c r="C73" i="44" s="1"/>
  <c r="D79" i="44" a="1"/>
  <c r="D79" i="44" s="1"/>
  <c r="H78" i="44" a="1"/>
  <c r="H78" i="44" s="1"/>
  <c r="E65" i="44" a="1"/>
  <c r="E65" i="44" s="1"/>
  <c r="D88" i="44" a="1"/>
  <c r="D88" i="44" s="1"/>
  <c r="D93" i="44" a="1"/>
  <c r="D93" i="44" s="1"/>
  <c r="C66" i="44" a="1"/>
  <c r="C66" i="44" s="1"/>
  <c r="D91" i="44" a="1"/>
  <c r="D91" i="44" s="1"/>
  <c r="C93" i="44" a="1"/>
  <c r="C93" i="44" s="1"/>
  <c r="E67" i="44" a="1"/>
  <c r="E67" i="44" s="1"/>
  <c r="D86" i="44" a="1"/>
  <c r="D86" i="44" s="1"/>
  <c r="E70" i="44" a="1"/>
  <c r="E70" i="44" s="1"/>
  <c r="C79" i="44" a="1"/>
  <c r="C79" i="44" s="1"/>
  <c r="E91" i="44" a="1"/>
  <c r="E91" i="44" s="1"/>
  <c r="C71" i="44" a="1"/>
  <c r="C71" i="44" s="1"/>
  <c r="C74" i="44" a="1"/>
  <c r="C74" i="44" s="1"/>
  <c r="E72" i="44" a="1"/>
  <c r="E72" i="44" s="1"/>
  <c r="C67" i="44" a="1"/>
  <c r="C67" i="44" s="1"/>
  <c r="I83" i="55" a="1"/>
  <c r="I83" i="55" s="1"/>
  <c r="T83" i="55" s="1"/>
  <c r="AG109" i="55"/>
  <c r="AD46" i="44"/>
  <c r="C70" i="44" a="1"/>
  <c r="C70" i="44" s="1"/>
  <c r="J83" i="55" a="1"/>
  <c r="J83" i="55" s="1"/>
  <c r="U83" i="55" s="1"/>
  <c r="C78" i="44" a="1"/>
  <c r="C78" i="44" s="1"/>
  <c r="AC47" i="44"/>
  <c r="AG110" i="55"/>
  <c r="AC46" i="44"/>
  <c r="AD48" i="44"/>
  <c r="H83" i="44" a="1"/>
  <c r="H83" i="44" s="1"/>
  <c r="S83" i="44" s="1"/>
  <c r="C87" i="44" a="1"/>
  <c r="C87" i="44" s="1"/>
  <c r="D70" i="44" a="1"/>
  <c r="D70" i="44" s="1"/>
  <c r="C75" i="44" a="1"/>
  <c r="C75" i="44" s="1"/>
  <c r="E89" i="44" a="1"/>
  <c r="E89" i="44" s="1"/>
  <c r="D65" i="44" a="1"/>
  <c r="D65" i="44" s="1"/>
  <c r="D66" i="44" a="1"/>
  <c r="D66" i="44" s="1"/>
  <c r="D83" i="44" a="1"/>
  <c r="D83" i="44" s="1"/>
  <c r="E54" i="53" s="1"/>
  <c r="D54" i="53" s="1"/>
  <c r="L54" i="53" s="1"/>
  <c r="E71" i="44" a="1"/>
  <c r="E71" i="44" s="1"/>
  <c r="D76" i="44" a="1"/>
  <c r="D76" i="44" s="1"/>
  <c r="C68" i="44" a="1"/>
  <c r="C68" i="44" s="1"/>
  <c r="J83" i="44" a="1"/>
  <c r="J83" i="44" s="1"/>
  <c r="E87" i="44" a="1"/>
  <c r="E87" i="44" s="1"/>
  <c r="E83" i="44" a="1"/>
  <c r="E83" i="44" s="1"/>
  <c r="E84" i="53" s="1"/>
  <c r="D84" i="53" s="1"/>
  <c r="C69" i="44" a="1"/>
  <c r="C69" i="44" s="1"/>
  <c r="D69" i="44" a="1"/>
  <c r="D69" i="44" s="1"/>
  <c r="C89" i="44" a="1"/>
  <c r="C89" i="44" s="1"/>
  <c r="D72" i="44" a="1"/>
  <c r="D72" i="44" s="1"/>
  <c r="E77" i="44" a="1"/>
  <c r="E77" i="44" s="1"/>
  <c r="E78" i="44" a="1"/>
  <c r="E78" i="44" s="1"/>
  <c r="E79" i="53" s="1"/>
  <c r="D79" i="53" s="1"/>
  <c r="L79" i="53" s="1"/>
  <c r="C85" i="44" a="1"/>
  <c r="C85" i="44" s="1"/>
  <c r="C80" i="44" a="1"/>
  <c r="C80" i="44" s="1"/>
  <c r="E76" i="44" a="1"/>
  <c r="E76" i="44" s="1"/>
  <c r="E92" i="44" a="1"/>
  <c r="E92" i="44" s="1"/>
  <c r="D90" i="44" a="1"/>
  <c r="D90" i="44" s="1"/>
  <c r="E64" i="44" a="1"/>
  <c r="E64" i="44" s="1"/>
  <c r="E66" i="44" a="1"/>
  <c r="E66" i="44" s="1"/>
  <c r="C88" i="44" a="1"/>
  <c r="C88" i="44" s="1"/>
  <c r="E69" i="44" a="1"/>
  <c r="E69" i="44" s="1"/>
  <c r="D74" i="44" a="1"/>
  <c r="D74" i="44" s="1"/>
  <c r="I83" i="44" a="1"/>
  <c r="I83" i="44" s="1"/>
  <c r="C86" i="44" a="1"/>
  <c r="C86" i="44" s="1"/>
  <c r="C77" i="44" a="1"/>
  <c r="C77" i="44" s="1"/>
  <c r="D87" i="44" a="1"/>
  <c r="D87" i="44" s="1"/>
  <c r="D78" i="44" a="1"/>
  <c r="D78" i="44" s="1"/>
  <c r="E49" i="53" s="1"/>
  <c r="D49" i="53" s="1"/>
  <c r="L49" i="53" s="1"/>
  <c r="C84" i="44" a="1"/>
  <c r="C84" i="44" s="1"/>
  <c r="AF109" i="44"/>
  <c r="AF112" i="44" s="1"/>
  <c r="H83" i="55" a="1"/>
  <c r="H83" i="55" s="1"/>
  <c r="S83" i="55" s="1"/>
  <c r="AD47" i="55"/>
  <c r="AE48" i="55"/>
  <c r="AC48" i="44"/>
  <c r="D85" i="44" a="1"/>
  <c r="D85" i="44" s="1"/>
  <c r="E81" i="44" a="1"/>
  <c r="E81" i="44" s="1"/>
  <c r="E79" i="44" a="1"/>
  <c r="E79" i="44" s="1"/>
  <c r="J78" i="55" a="1"/>
  <c r="J78" i="55" s="1"/>
  <c r="D170" i="47"/>
  <c r="G321" i="47"/>
  <c r="D458" i="47"/>
  <c r="G237" i="47"/>
  <c r="G252" i="47"/>
  <c r="G348" i="47"/>
  <c r="G304" i="47"/>
  <c r="G254" i="47"/>
  <c r="D74" i="47"/>
  <c r="G358" i="47"/>
  <c r="G315" i="47"/>
  <c r="G159" i="47"/>
  <c r="G53" i="47"/>
  <c r="G473" i="47"/>
  <c r="D128" i="47"/>
  <c r="D50" i="47"/>
  <c r="D298" i="47"/>
  <c r="G7" i="47"/>
  <c r="G141" i="47"/>
  <c r="D362" i="47"/>
  <c r="G35" i="47"/>
  <c r="G495" i="47"/>
  <c r="G359" i="47"/>
  <c r="G105" i="47"/>
  <c r="G493" i="47"/>
  <c r="G316" i="47"/>
  <c r="G387" i="47"/>
  <c r="G219" i="47"/>
  <c r="G51" i="47"/>
  <c r="G322" i="47"/>
  <c r="G66" i="47"/>
  <c r="G106" i="47"/>
  <c r="G207" i="47"/>
  <c r="G155" i="47"/>
  <c r="G255" i="47"/>
  <c r="G21" i="47"/>
  <c r="G341" i="47"/>
  <c r="G305" i="47"/>
  <c r="G217" i="47"/>
  <c r="G368" i="47"/>
  <c r="G62" i="47"/>
  <c r="G325" i="47"/>
  <c r="G435" i="47"/>
  <c r="G191" i="47"/>
  <c r="G482" i="47"/>
  <c r="G354" i="47"/>
  <c r="G98" i="47"/>
  <c r="G19" i="47"/>
  <c r="D406" i="47"/>
  <c r="G213" i="47"/>
  <c r="G347" i="47"/>
  <c r="G418" i="47"/>
  <c r="G146" i="47"/>
  <c r="G312" i="47"/>
  <c r="G289" i="47"/>
  <c r="G144" i="47"/>
  <c r="D389" i="47"/>
  <c r="G428" i="47"/>
  <c r="G131" i="47"/>
  <c r="G258" i="47"/>
  <c r="G55" i="47"/>
  <c r="G181" i="47"/>
  <c r="D230" i="47"/>
  <c r="D269" i="47"/>
  <c r="G352" i="47"/>
  <c r="G99" i="47"/>
  <c r="G323" i="47"/>
  <c r="G103" i="47"/>
  <c r="G164" i="47"/>
  <c r="G70" i="47"/>
  <c r="G73" i="47"/>
  <c r="G367" i="47"/>
  <c r="G275" i="47"/>
  <c r="D488" i="47"/>
  <c r="D454" i="47"/>
  <c r="D92" i="47"/>
  <c r="D135" i="47"/>
  <c r="D143" i="47"/>
  <c r="D442" i="47"/>
  <c r="D379" i="47"/>
  <c r="D228" i="47"/>
  <c r="G279" i="47"/>
  <c r="G45" i="47"/>
  <c r="D82" i="47"/>
  <c r="G414" i="47"/>
  <c r="G193" i="47"/>
  <c r="G311" i="47"/>
  <c r="G223" i="47"/>
  <c r="G126" i="47"/>
  <c r="G60" i="47"/>
  <c r="D40" i="47"/>
  <c r="D286" i="47"/>
  <c r="D460" i="47"/>
  <c r="D71" i="47"/>
  <c r="D100" i="47"/>
  <c r="G85" i="47"/>
  <c r="G214" i="47"/>
  <c r="G118" i="47"/>
  <c r="G186" i="47"/>
  <c r="G361" i="47"/>
  <c r="D133" i="47"/>
  <c r="D411" i="47"/>
  <c r="G470" i="47"/>
  <c r="G374" i="47"/>
  <c r="D210" i="47"/>
  <c r="D223" i="47"/>
  <c r="D126" i="47"/>
  <c r="D97" i="47"/>
  <c r="G416" i="47"/>
  <c r="G231" i="47"/>
  <c r="D202" i="47"/>
  <c r="G202" i="47"/>
  <c r="D472" i="47"/>
  <c r="D177" i="47"/>
  <c r="D266" i="47"/>
  <c r="D240" i="47"/>
  <c r="D184" i="47"/>
  <c r="G250" i="47"/>
  <c r="D330" i="47"/>
  <c r="G147" i="47"/>
  <c r="G132" i="47"/>
  <c r="D380" i="47"/>
  <c r="G239" i="47"/>
  <c r="G226" i="47"/>
  <c r="G234" i="47"/>
  <c r="G460" i="47"/>
  <c r="G220" i="47"/>
  <c r="D370" i="47"/>
  <c r="D167" i="47"/>
  <c r="D85" i="47"/>
  <c r="D273" i="47"/>
  <c r="G426" i="47"/>
  <c r="D263" i="47"/>
  <c r="D283" i="47"/>
  <c r="G183" i="47"/>
  <c r="D292" i="47"/>
  <c r="D197" i="47"/>
  <c r="G42" i="47"/>
  <c r="G498" i="47"/>
  <c r="G371" i="47"/>
  <c r="G20" i="47"/>
  <c r="G309" i="47"/>
  <c r="G26" i="47"/>
  <c r="G301" i="47"/>
  <c r="G198" i="47"/>
  <c r="G451" i="47"/>
  <c r="G297" i="47"/>
  <c r="G469" i="47"/>
  <c r="D79" i="47"/>
  <c r="G71" i="47"/>
  <c r="G123" i="47"/>
  <c r="G100" i="47"/>
  <c r="G318" i="47"/>
  <c r="G233" i="47"/>
  <c r="G154" i="47"/>
  <c r="D4" i="47"/>
  <c r="D147" i="47"/>
  <c r="D163" i="47"/>
  <c r="G5" i="47"/>
  <c r="D397" i="47"/>
  <c r="G63" i="47"/>
  <c r="D434" i="47"/>
  <c r="D168" i="47"/>
  <c r="D476" i="47"/>
  <c r="D27" i="47"/>
  <c r="G303" i="47"/>
  <c r="G277" i="47"/>
  <c r="D441" i="47"/>
  <c r="D320" i="47"/>
  <c r="G419" i="47"/>
  <c r="G440" i="47"/>
  <c r="G447" i="47"/>
  <c r="G378" i="47"/>
  <c r="G227" i="47"/>
  <c r="D303" i="47"/>
  <c r="G115" i="47"/>
  <c r="D446" i="47"/>
  <c r="D393" i="47"/>
  <c r="G86" i="47"/>
  <c r="G360" i="47"/>
  <c r="D172" i="47"/>
  <c r="G480" i="47"/>
  <c r="G65" i="47"/>
  <c r="G69" i="47"/>
  <c r="D469" i="47"/>
  <c r="D220" i="47"/>
  <c r="D471" i="47"/>
  <c r="G195" i="47"/>
  <c r="D466" i="47"/>
  <c r="G339" i="47"/>
  <c r="G224" i="47"/>
  <c r="D339" i="47"/>
  <c r="G122" i="47"/>
  <c r="D151" i="47"/>
  <c r="G483" i="47"/>
  <c r="D382" i="47"/>
  <c r="D173" i="47"/>
  <c r="D113" i="47"/>
  <c r="D242" i="47"/>
  <c r="D486" i="47"/>
  <c r="G278" i="47"/>
  <c r="D356" i="47"/>
  <c r="G365" i="47"/>
  <c r="D360" i="47"/>
  <c r="D65" i="47"/>
  <c r="D10" i="47"/>
  <c r="D327" i="47"/>
  <c r="G394" i="47"/>
  <c r="D274" i="47"/>
  <c r="D272" i="47"/>
  <c r="D239" i="47"/>
  <c r="D259" i="47"/>
  <c r="D91" i="47"/>
  <c r="D226" i="47"/>
  <c r="D58" i="47"/>
  <c r="D234" i="47"/>
  <c r="D127" i="47"/>
  <c r="D419" i="47"/>
  <c r="D440" i="47"/>
  <c r="D447" i="47"/>
  <c r="D378" i="47"/>
  <c r="D291" i="47"/>
  <c r="D332" i="47"/>
  <c r="G263" i="47"/>
  <c r="G283" i="47"/>
  <c r="G197" i="47"/>
  <c r="G266" i="47"/>
  <c r="G67" i="47"/>
  <c r="G420" i="47"/>
  <c r="G184" i="47"/>
  <c r="D415" i="47"/>
  <c r="D90" i="47"/>
  <c r="D326" i="47"/>
  <c r="D86" i="47"/>
  <c r="D346" i="47"/>
  <c r="D190" i="47"/>
  <c r="G48" i="47"/>
  <c r="D268" i="47"/>
  <c r="G201" i="47"/>
  <c r="D483" i="47"/>
  <c r="G185" i="47"/>
  <c r="G113" i="47"/>
  <c r="G476" i="47"/>
  <c r="G399" i="47"/>
  <c r="D277" i="47"/>
  <c r="G143" i="47"/>
  <c r="D455" i="47"/>
  <c r="D101" i="47"/>
  <c r="D402" i="47"/>
  <c r="D5" i="47"/>
  <c r="G397" i="47"/>
  <c r="G332" i="47"/>
  <c r="D183" i="47"/>
  <c r="D498" i="47"/>
  <c r="D371" i="47"/>
  <c r="D20" i="47"/>
  <c r="D26" i="47"/>
  <c r="D59" i="47"/>
  <c r="D355" i="47"/>
  <c r="G415" i="47"/>
  <c r="G112" i="47"/>
  <c r="G464" i="47"/>
  <c r="G90" i="47"/>
  <c r="G95" i="47"/>
  <c r="G429" i="47"/>
  <c r="G326" i="47"/>
  <c r="G25" i="47"/>
  <c r="G187" i="47"/>
  <c r="G486" i="47"/>
  <c r="D278" i="47"/>
  <c r="G10" i="47"/>
  <c r="G356" i="47"/>
  <c r="D48" i="47"/>
  <c r="D224" i="47"/>
  <c r="D201" i="47"/>
  <c r="G151" i="47"/>
  <c r="G382" i="47"/>
  <c r="G173" i="47"/>
  <c r="D399" i="47"/>
  <c r="G441" i="47"/>
  <c r="G465" i="47"/>
  <c r="G376" i="47"/>
  <c r="G64" i="47"/>
  <c r="G166" i="47"/>
  <c r="G437" i="47"/>
  <c r="G484" i="47"/>
  <c r="G36" i="47"/>
  <c r="G179" i="47"/>
  <c r="G87" i="47"/>
  <c r="G290" i="47"/>
  <c r="G162" i="47"/>
  <c r="G34" i="47"/>
  <c r="G490" i="47"/>
  <c r="G295" i="47"/>
  <c r="G211" i="47"/>
  <c r="G443" i="47"/>
  <c r="G12" i="47"/>
  <c r="G300" i="47"/>
  <c r="G109" i="47"/>
  <c r="G407" i="47"/>
  <c r="G481" i="47"/>
  <c r="G152" i="47"/>
  <c r="G296" i="47"/>
  <c r="G342" i="47"/>
  <c r="G204" i="47"/>
  <c r="G319" i="47"/>
  <c r="G475" i="47"/>
  <c r="G307" i="47"/>
  <c r="G247" i="47"/>
  <c r="G23" i="47"/>
  <c r="G386" i="47"/>
  <c r="G130" i="47"/>
  <c r="G18" i="47"/>
  <c r="G362" i="47"/>
  <c r="G499" i="47"/>
  <c r="G76" i="47"/>
  <c r="G388" i="47"/>
  <c r="G294" i="47"/>
  <c r="G369" i="47"/>
  <c r="G288" i="47"/>
  <c r="G401" i="47"/>
  <c r="D106" i="47"/>
  <c r="D207" i="47"/>
  <c r="D305" i="47"/>
  <c r="D365" i="47"/>
  <c r="D69" i="47"/>
  <c r="D306" i="47"/>
  <c r="D123" i="47"/>
  <c r="D318" i="47"/>
  <c r="D233" i="47"/>
  <c r="D154" i="47"/>
  <c r="D175" i="47"/>
  <c r="D422" i="47"/>
  <c r="G370" i="47"/>
  <c r="G167" i="47"/>
  <c r="G384" i="47"/>
  <c r="G210" i="47"/>
  <c r="G97" i="47"/>
  <c r="D102" i="47"/>
  <c r="D8" i="47"/>
  <c r="D67" i="47"/>
  <c r="D420" i="47"/>
  <c r="D246" i="47"/>
  <c r="D479" i="47"/>
  <c r="D145" i="47"/>
  <c r="D213" i="47"/>
  <c r="D260" i="47"/>
  <c r="D31" i="47"/>
  <c r="D347" i="47"/>
  <c r="D418" i="47"/>
  <c r="D146" i="47"/>
  <c r="D314" i="47"/>
  <c r="D312" i="47"/>
  <c r="D289" i="47"/>
  <c r="D144" i="47"/>
  <c r="D88" i="47"/>
  <c r="D428" i="47"/>
  <c r="D131" i="47"/>
  <c r="D258" i="47"/>
  <c r="D55" i="47"/>
  <c r="D181" i="47"/>
  <c r="D431" i="47"/>
  <c r="G230" i="47"/>
  <c r="D150" i="47"/>
  <c r="D120" i="47"/>
  <c r="G40" i="47"/>
  <c r="D227" i="47"/>
  <c r="D63" i="47"/>
  <c r="G133" i="47"/>
  <c r="D30" i="47"/>
  <c r="D448" i="47"/>
  <c r="D138" i="47"/>
  <c r="G15" i="47"/>
  <c r="D188" i="47"/>
  <c r="D22" i="47"/>
  <c r="D57" i="47"/>
  <c r="G434" i="47"/>
  <c r="D229" i="47"/>
  <c r="G168" i="47"/>
  <c r="G396" i="47"/>
  <c r="D299" i="47"/>
  <c r="D373" i="47"/>
  <c r="D344" i="47"/>
  <c r="G245" i="47"/>
  <c r="G49" i="47"/>
  <c r="D107" i="47"/>
  <c r="D452" i="47"/>
  <c r="D461" i="47"/>
  <c r="D478" i="47"/>
  <c r="G343" i="47"/>
  <c r="D16" i="47"/>
  <c r="D241" i="47"/>
  <c r="D383" i="47"/>
  <c r="D3" i="47"/>
  <c r="G442" i="47"/>
  <c r="G379" i="47"/>
  <c r="G446" i="47"/>
  <c r="G393" i="47"/>
  <c r="G496" i="47"/>
  <c r="G17" i="47"/>
  <c r="G82" i="47"/>
  <c r="G306" i="47"/>
  <c r="G175" i="47"/>
  <c r="G30" i="47"/>
  <c r="G422" i="47"/>
  <c r="G448" i="47"/>
  <c r="G471" i="47"/>
  <c r="G138" i="47"/>
  <c r="D195" i="47"/>
  <c r="D15" i="47"/>
  <c r="G188" i="47"/>
  <c r="G22" i="47"/>
  <c r="D414" i="47"/>
  <c r="G57" i="47"/>
  <c r="D384" i="47"/>
  <c r="D193" i="47"/>
  <c r="D311" i="47"/>
  <c r="G291" i="47"/>
  <c r="G229" i="47"/>
  <c r="G273" i="47"/>
  <c r="D426" i="47"/>
  <c r="G292" i="47"/>
  <c r="G102" i="47"/>
  <c r="G8" i="47"/>
  <c r="G472" i="47"/>
  <c r="G177" i="47"/>
  <c r="D42" i="47"/>
  <c r="D309" i="47"/>
  <c r="G246" i="47"/>
  <c r="G479" i="47"/>
  <c r="G240" i="47"/>
  <c r="D250" i="47"/>
  <c r="D474" i="47"/>
  <c r="D396" i="47"/>
  <c r="D301" i="47"/>
  <c r="D198" i="47"/>
  <c r="D112" i="47"/>
  <c r="D464" i="47"/>
  <c r="G330" i="47"/>
  <c r="D95" i="47"/>
  <c r="D451" i="47"/>
  <c r="D124" i="47"/>
  <c r="D13" i="47"/>
  <c r="D429" i="47"/>
  <c r="D297" i="47"/>
  <c r="D25" i="47"/>
  <c r="D256" i="47"/>
  <c r="G148" i="47"/>
  <c r="G276" i="47"/>
  <c r="G157" i="47"/>
  <c r="G408" i="47"/>
  <c r="G474" i="47"/>
  <c r="G59" i="47"/>
  <c r="G355" i="47"/>
  <c r="G4" i="47"/>
  <c r="G124" i="47"/>
  <c r="G13" i="47"/>
  <c r="G256" i="47"/>
  <c r="G116" i="47"/>
  <c r="G125" i="47"/>
  <c r="G381" i="47"/>
  <c r="G142" i="47"/>
  <c r="G270" i="47"/>
  <c r="G398" i="47"/>
  <c r="G104" i="47"/>
  <c r="G9" i="47"/>
  <c r="G121" i="47"/>
  <c r="G81" i="47"/>
  <c r="G160" i="47"/>
  <c r="D214" i="47"/>
  <c r="D118" i="47"/>
  <c r="D186" i="47"/>
  <c r="D485" i="47"/>
  <c r="D361" i="47"/>
  <c r="G455" i="47"/>
  <c r="G101" i="47"/>
  <c r="G402" i="47"/>
  <c r="G487" i="47"/>
  <c r="G236" i="47"/>
  <c r="G412" i="47"/>
  <c r="G262" i="47"/>
  <c r="G225" i="47"/>
  <c r="G248" i="47"/>
  <c r="G11" i="47"/>
  <c r="G267" i="47"/>
  <c r="G47" i="47"/>
  <c r="G324" i="47"/>
  <c r="G333" i="47"/>
  <c r="G350" i="47"/>
  <c r="G96" i="47"/>
  <c r="G377" i="47"/>
  <c r="G145" i="47"/>
  <c r="G456" i="47"/>
  <c r="G260" i="47"/>
  <c r="G31" i="47"/>
  <c r="G314" i="47"/>
  <c r="G405" i="47"/>
  <c r="G136" i="47"/>
  <c r="G88" i="47"/>
  <c r="G149" i="47"/>
  <c r="D35" i="47"/>
  <c r="D275" i="47"/>
  <c r="G485" i="47"/>
  <c r="D495" i="47"/>
  <c r="D359" i="47"/>
  <c r="G488" i="47"/>
  <c r="G431" i="47"/>
  <c r="D105" i="47"/>
  <c r="G454" i="47"/>
  <c r="D493" i="47"/>
  <c r="D316" i="47"/>
  <c r="G92" i="47"/>
  <c r="G135" i="47"/>
  <c r="D387" i="47"/>
  <c r="D219" i="47"/>
  <c r="D51" i="47"/>
  <c r="D450" i="47"/>
  <c r="D322" i="47"/>
  <c r="D194" i="47"/>
  <c r="D66" i="47"/>
  <c r="D155" i="47"/>
  <c r="D255" i="47"/>
  <c r="G228" i="47"/>
  <c r="D21" i="47"/>
  <c r="D341" i="47"/>
  <c r="G150" i="47"/>
  <c r="G120" i="47"/>
  <c r="D217" i="47"/>
  <c r="D368" i="47"/>
  <c r="D352" i="47"/>
  <c r="D62" i="47"/>
  <c r="D325" i="47"/>
  <c r="G380" i="47"/>
  <c r="D140" i="47"/>
  <c r="D435" i="47"/>
  <c r="G259" i="47"/>
  <c r="G91" i="47"/>
  <c r="D191" i="47"/>
  <c r="D482" i="47"/>
  <c r="D354" i="47"/>
  <c r="D98" i="47"/>
  <c r="D99" i="47"/>
  <c r="D323" i="47"/>
  <c r="D103" i="47"/>
  <c r="D164" i="47"/>
  <c r="D261" i="47"/>
  <c r="D70" i="47"/>
  <c r="D73" i="47"/>
  <c r="D367" i="47"/>
  <c r="D45" i="47"/>
  <c r="G176" i="47"/>
  <c r="G32" i="47"/>
  <c r="D284" i="47"/>
  <c r="D293" i="47"/>
  <c r="D310" i="47"/>
  <c r="D497" i="47"/>
  <c r="D343" i="47"/>
  <c r="D89" i="47"/>
  <c r="G3" i="47"/>
  <c r="D496" i="47"/>
  <c r="D17" i="47"/>
  <c r="G404" i="47"/>
  <c r="G413" i="47"/>
  <c r="D206" i="47"/>
  <c r="D462" i="47"/>
  <c r="D265" i="47"/>
  <c r="D372" i="47"/>
  <c r="G385" i="47"/>
  <c r="D208" i="47"/>
  <c r="G24" i="47"/>
  <c r="D340" i="47"/>
  <c r="D477" i="47"/>
  <c r="D238" i="47"/>
  <c r="D366" i="47"/>
  <c r="D494" i="47"/>
  <c r="D375" i="47"/>
  <c r="D80" i="47"/>
  <c r="D409" i="47"/>
  <c r="D423" i="47"/>
  <c r="D424" i="47"/>
  <c r="D43" i="47"/>
  <c r="D171" i="47"/>
  <c r="D427" i="47"/>
  <c r="D119" i="47"/>
  <c r="D28" i="47"/>
  <c r="D196" i="47"/>
  <c r="D37" i="47"/>
  <c r="D205" i="47"/>
  <c r="D54" i="47"/>
  <c r="D222" i="47"/>
  <c r="D264" i="47"/>
  <c r="D328" i="47"/>
  <c r="D353" i="47"/>
  <c r="D33" i="47"/>
  <c r="D449" i="47"/>
  <c r="D75" i="47"/>
  <c r="D203" i="47"/>
  <c r="D331" i="47"/>
  <c r="D459" i="47"/>
  <c r="D199" i="47"/>
  <c r="G68" i="47"/>
  <c r="G77" i="47"/>
  <c r="D245" i="47"/>
  <c r="G94" i="47"/>
  <c r="G392" i="47"/>
  <c r="G439" i="47"/>
  <c r="G463" i="47"/>
  <c r="D49" i="47"/>
  <c r="G257" i="47"/>
  <c r="G139" i="47"/>
  <c r="G395" i="47"/>
  <c r="G335" i="47"/>
  <c r="D492" i="47"/>
  <c r="D6" i="47"/>
  <c r="D182" i="47"/>
  <c r="D72" i="47"/>
  <c r="D313" i="47"/>
  <c r="G235" i="47"/>
  <c r="G271" i="47"/>
  <c r="G108" i="47"/>
  <c r="G284" i="47"/>
  <c r="G117" i="47"/>
  <c r="G293" i="47"/>
  <c r="G134" i="47"/>
  <c r="G310" i="47"/>
  <c r="D465" i="47"/>
  <c r="D376" i="47"/>
  <c r="D64" i="47"/>
  <c r="D456" i="47"/>
  <c r="G406" i="47"/>
  <c r="D166" i="47"/>
  <c r="D437" i="47"/>
  <c r="D484" i="47"/>
  <c r="D36" i="47"/>
  <c r="D179" i="47"/>
  <c r="D87" i="47"/>
  <c r="D290" i="47"/>
  <c r="D162" i="47"/>
  <c r="D34" i="47"/>
  <c r="D490" i="47"/>
  <c r="D295" i="47"/>
  <c r="D211" i="47"/>
  <c r="D443" i="47"/>
  <c r="D12" i="47"/>
  <c r="D300" i="47"/>
  <c r="D109" i="47"/>
  <c r="D405" i="47"/>
  <c r="D136" i="47"/>
  <c r="D407" i="47"/>
  <c r="D481" i="47"/>
  <c r="D152" i="47"/>
  <c r="D296" i="47"/>
  <c r="D342" i="47"/>
  <c r="G389" i="47"/>
  <c r="D149" i="47"/>
  <c r="D204" i="47"/>
  <c r="D319" i="47"/>
  <c r="D475" i="47"/>
  <c r="D307" i="47"/>
  <c r="D247" i="47"/>
  <c r="D23" i="47"/>
  <c r="D386" i="47"/>
  <c r="D130" i="47"/>
  <c r="D18" i="47"/>
  <c r="D499" i="47"/>
  <c r="D76" i="47"/>
  <c r="D388" i="47"/>
  <c r="D294" i="47"/>
  <c r="D369" i="47"/>
  <c r="D288" i="47"/>
  <c r="D401" i="47"/>
  <c r="G269" i="47"/>
  <c r="G450" i="47"/>
  <c r="G194" i="47"/>
  <c r="G274" i="47"/>
  <c r="G272" i="47"/>
  <c r="G286" i="47"/>
  <c r="G140" i="47"/>
  <c r="G58" i="47"/>
  <c r="G127" i="47"/>
  <c r="G261" i="47"/>
  <c r="D374" i="47"/>
  <c r="G299" i="47"/>
  <c r="G364" i="47"/>
  <c r="G373" i="47"/>
  <c r="G390" i="47"/>
  <c r="G344" i="47"/>
  <c r="D438" i="47"/>
  <c r="G156" i="47"/>
  <c r="G165" i="47"/>
  <c r="G169" i="47"/>
  <c r="D176" i="47"/>
  <c r="D32" i="47"/>
  <c r="D279" i="47"/>
  <c r="G363" i="47"/>
  <c r="G491" i="47"/>
  <c r="D364" i="47"/>
  <c r="D390" i="47"/>
  <c r="G203" i="47"/>
  <c r="G459" i="47"/>
  <c r="D68" i="47"/>
  <c r="D77" i="47"/>
  <c r="G421" i="47"/>
  <c r="D94" i="47"/>
  <c r="G438" i="47"/>
  <c r="D392" i="47"/>
  <c r="D439" i="47"/>
  <c r="D463" i="47"/>
  <c r="D257" i="47"/>
  <c r="D108" i="47"/>
  <c r="G452" i="47"/>
  <c r="G461" i="47"/>
  <c r="D134" i="47"/>
  <c r="G478" i="47"/>
  <c r="G16" i="47"/>
  <c r="G241" i="47"/>
  <c r="G383" i="47"/>
  <c r="G497" i="47"/>
  <c r="G89" i="47"/>
  <c r="D413" i="47"/>
  <c r="G46" i="47"/>
  <c r="G174" i="47"/>
  <c r="G302" i="47"/>
  <c r="G430" i="47"/>
  <c r="G232" i="47"/>
  <c r="G137" i="47"/>
  <c r="G329" i="47"/>
  <c r="G209" i="47"/>
  <c r="D408" i="47"/>
  <c r="D52" i="47"/>
  <c r="D180" i="47"/>
  <c r="D308" i="47"/>
  <c r="D436" i="47"/>
  <c r="D61" i="47"/>
  <c r="D189" i="47"/>
  <c r="D317" i="47"/>
  <c r="D445" i="47"/>
  <c r="D78" i="47"/>
  <c r="D351" i="47"/>
  <c r="D489" i="47"/>
  <c r="D432" i="47"/>
  <c r="D417" i="47"/>
  <c r="D425" i="47"/>
  <c r="G336" i="47"/>
  <c r="G129" i="47"/>
  <c r="G244" i="47"/>
  <c r="G372" i="47"/>
  <c r="G500" i="47"/>
  <c r="G253" i="47"/>
  <c r="G14" i="47"/>
  <c r="D142" i="47"/>
  <c r="D270" i="47"/>
  <c r="D398" i="47"/>
  <c r="D104" i="47"/>
  <c r="D9" i="47"/>
  <c r="G457" i="47"/>
  <c r="D385" i="47"/>
  <c r="G208" i="47"/>
  <c r="D121" i="47"/>
  <c r="D81" i="47"/>
  <c r="D24" i="47"/>
  <c r="D84" i="47"/>
  <c r="G43" i="47"/>
  <c r="G171" i="47"/>
  <c r="G427" i="47"/>
  <c r="G119" i="47"/>
  <c r="G28" i="47"/>
  <c r="G196" i="47"/>
  <c r="G37" i="47"/>
  <c r="G205" i="47"/>
  <c r="G54" i="47"/>
  <c r="G222" i="47"/>
  <c r="G264" i="47"/>
  <c r="G328" i="47"/>
  <c r="G353" i="47"/>
  <c r="G33" i="47"/>
  <c r="D487" i="47"/>
  <c r="G449" i="47"/>
  <c r="G75" i="47"/>
  <c r="G331" i="47"/>
  <c r="G199" i="47"/>
  <c r="D236" i="47"/>
  <c r="D412" i="47"/>
  <c r="D421" i="47"/>
  <c r="D262" i="47"/>
  <c r="D225" i="47"/>
  <c r="D248" i="47"/>
  <c r="D11" i="47"/>
  <c r="D139" i="47"/>
  <c r="D267" i="47"/>
  <c r="D395" i="47"/>
  <c r="D47" i="47"/>
  <c r="D335" i="47"/>
  <c r="D156" i="47"/>
  <c r="D324" i="47"/>
  <c r="G492" i="47"/>
  <c r="D165" i="47"/>
  <c r="D333" i="47"/>
  <c r="G6" i="47"/>
  <c r="G182" i="47"/>
  <c r="D350" i="47"/>
  <c r="G72" i="47"/>
  <c r="D169" i="47"/>
  <c r="D96" i="47"/>
  <c r="G313" i="47"/>
  <c r="D377" i="47"/>
  <c r="D235" i="47"/>
  <c r="D363" i="47"/>
  <c r="D491" i="47"/>
  <c r="D271" i="47"/>
  <c r="D117" i="47"/>
  <c r="F2" i="50"/>
  <c r="D157" i="47"/>
  <c r="D285" i="47"/>
  <c r="D404" i="47"/>
  <c r="D29" i="47"/>
  <c r="D46" i="47"/>
  <c r="D174" i="47"/>
  <c r="D302" i="47"/>
  <c r="D430" i="47"/>
  <c r="D232" i="47"/>
  <c r="D137" i="47"/>
  <c r="D249" i="47"/>
  <c r="D161" i="47"/>
  <c r="D329" i="47"/>
  <c r="D281" i="47"/>
  <c r="D209" i="47"/>
  <c r="D216" i="47"/>
  <c r="D334" i="47"/>
  <c r="D337" i="47"/>
  <c r="D244" i="47"/>
  <c r="D500" i="47"/>
  <c r="D253" i="47"/>
  <c r="D14" i="47"/>
  <c r="D457" i="47"/>
  <c r="D212" i="47"/>
  <c r="D468" i="47"/>
  <c r="D93" i="47"/>
  <c r="D221" i="47"/>
  <c r="G29" i="47"/>
  <c r="G285" i="47"/>
  <c r="G249" i="47"/>
  <c r="G161" i="47"/>
  <c r="G281" i="47"/>
  <c r="G216" i="47"/>
  <c r="G52" i="47"/>
  <c r="G180" i="47"/>
  <c r="G308" i="47"/>
  <c r="G436" i="47"/>
  <c r="G61" i="47"/>
  <c r="G189" i="47"/>
  <c r="G317" i="47"/>
  <c r="G445" i="47"/>
  <c r="G78" i="47"/>
  <c r="G206" i="47"/>
  <c r="G334" i="47"/>
  <c r="G462" i="47"/>
  <c r="G351" i="47"/>
  <c r="G265" i="47"/>
  <c r="G489" i="47"/>
  <c r="G432" i="47"/>
  <c r="G417" i="47"/>
  <c r="G425" i="47"/>
  <c r="D336" i="47"/>
  <c r="G337" i="47"/>
  <c r="D129" i="47"/>
  <c r="G84" i="47"/>
  <c r="G212" i="47"/>
  <c r="G340" i="47"/>
  <c r="G468" i="47"/>
  <c r="G93" i="47"/>
  <c r="G221" i="47"/>
  <c r="G349" i="47"/>
  <c r="G477" i="47"/>
  <c r="G110" i="47"/>
  <c r="G238" i="47"/>
  <c r="G366" i="47"/>
  <c r="G494" i="47"/>
  <c r="G433" i="47"/>
  <c r="G375" i="47"/>
  <c r="G192" i="47"/>
  <c r="G80" i="47"/>
  <c r="G56" i="47"/>
  <c r="G409" i="47"/>
  <c r="G423" i="47"/>
  <c r="G424" i="47"/>
  <c r="G391" i="47"/>
  <c r="D148" i="47"/>
  <c r="D276" i="47"/>
  <c r="D116" i="47"/>
  <c r="D125" i="47"/>
  <c r="D381" i="47"/>
  <c r="D160" i="47"/>
  <c r="D349" i="47"/>
  <c r="D110" i="47"/>
  <c r="D433" i="47"/>
  <c r="D192" i="47"/>
  <c r="D56" i="47"/>
  <c r="D391" i="47"/>
  <c r="E68" i="50"/>
  <c r="E55" i="50"/>
  <c r="E80" i="50"/>
  <c r="E91" i="50"/>
  <c r="E64" i="50"/>
  <c r="E29" i="50"/>
  <c r="E208" i="50"/>
  <c r="E194" i="50"/>
  <c r="E111" i="50"/>
  <c r="E145" i="50"/>
  <c r="E39" i="50"/>
  <c r="E128" i="50"/>
  <c r="E53" i="50"/>
  <c r="E140" i="50"/>
  <c r="E192" i="50"/>
  <c r="E11" i="50"/>
  <c r="E83" i="50"/>
  <c r="E42" i="50"/>
  <c r="E176" i="50"/>
  <c r="E148" i="50"/>
  <c r="E159" i="50"/>
  <c r="E109" i="50"/>
  <c r="E115" i="50"/>
  <c r="E59" i="50"/>
  <c r="E61" i="50"/>
  <c r="E22" i="50"/>
  <c r="E178" i="50"/>
  <c r="E168" i="50"/>
  <c r="E144" i="50"/>
  <c r="E76" i="50"/>
  <c r="E32" i="50"/>
  <c r="E35" i="50"/>
  <c r="E87" i="50"/>
  <c r="E24" i="50"/>
  <c r="E93" i="50"/>
  <c r="E90" i="50"/>
  <c r="E102" i="50"/>
  <c r="E92" i="50"/>
  <c r="E196" i="50"/>
  <c r="E136" i="50"/>
  <c r="E120" i="50"/>
  <c r="E187" i="50"/>
  <c r="E137" i="50"/>
  <c r="E165" i="50"/>
  <c r="E141" i="50"/>
  <c r="E166" i="50"/>
  <c r="E67" i="50"/>
  <c r="E38" i="50"/>
  <c r="E149" i="50"/>
  <c r="E204" i="50"/>
  <c r="E104" i="50"/>
  <c r="E173" i="50"/>
  <c r="E18" i="50"/>
  <c r="E46" i="50"/>
  <c r="E69" i="50"/>
  <c r="E135" i="50"/>
  <c r="E54" i="50"/>
  <c r="E85" i="50"/>
  <c r="E17" i="50"/>
  <c r="E150" i="50"/>
  <c r="E9" i="50"/>
  <c r="E146" i="50"/>
  <c r="E96" i="50"/>
  <c r="E7" i="50"/>
  <c r="E167" i="50"/>
  <c r="E130" i="50"/>
  <c r="E189" i="50"/>
  <c r="E199" i="50"/>
  <c r="E207" i="50"/>
  <c r="E190" i="50"/>
  <c r="E63" i="50"/>
  <c r="E8" i="50"/>
  <c r="E156" i="50"/>
  <c r="E21" i="50"/>
  <c r="E30" i="50"/>
  <c r="E108" i="50"/>
  <c r="E88" i="50"/>
  <c r="E20" i="50"/>
  <c r="E180" i="50"/>
  <c r="E157" i="50"/>
  <c r="E16" i="50"/>
  <c r="E152" i="50"/>
  <c r="E41" i="50"/>
  <c r="E71" i="50"/>
  <c r="E52" i="50"/>
  <c r="E43" i="50"/>
  <c r="E132" i="50"/>
  <c r="E200" i="50"/>
  <c r="E206" i="50"/>
  <c r="E13" i="50"/>
  <c r="E142" i="50"/>
  <c r="E129" i="50"/>
  <c r="E139" i="50"/>
  <c r="E174" i="50"/>
  <c r="E51" i="50"/>
  <c r="E19" i="50"/>
  <c r="E191" i="50"/>
  <c r="E48" i="50"/>
  <c r="E31" i="50"/>
  <c r="E117" i="50"/>
  <c r="E57" i="50"/>
  <c r="E124" i="50"/>
  <c r="E197" i="50"/>
  <c r="E12" i="50"/>
  <c r="E198" i="50"/>
  <c r="E195" i="50"/>
  <c r="E153" i="50"/>
  <c r="E160" i="50"/>
  <c r="E50" i="50"/>
  <c r="E138" i="50"/>
  <c r="E89" i="50"/>
  <c r="E3" i="50"/>
  <c r="E82" i="50"/>
  <c r="E147" i="50"/>
  <c r="E60" i="50"/>
  <c r="E58" i="50"/>
  <c r="E77" i="50"/>
  <c r="E66" i="50"/>
  <c r="E75" i="50"/>
  <c r="E101" i="50"/>
  <c r="E33" i="50"/>
  <c r="E81" i="50"/>
  <c r="E164" i="50"/>
  <c r="E114" i="50"/>
  <c r="E4" i="50"/>
  <c r="E183" i="50"/>
  <c r="E143" i="50"/>
  <c r="E70" i="50"/>
  <c r="E158" i="50"/>
  <c r="E26" i="50"/>
  <c r="E201" i="50"/>
  <c r="E62" i="50"/>
  <c r="E84" i="50"/>
  <c r="E94" i="50"/>
  <c r="E105" i="50"/>
  <c r="E112" i="50"/>
  <c r="E44" i="50"/>
  <c r="E56" i="50"/>
  <c r="E65" i="50"/>
  <c r="E185" i="50"/>
  <c r="E125" i="50"/>
  <c r="E182" i="50"/>
  <c r="E34" i="50"/>
  <c r="E97" i="50"/>
  <c r="E23" i="50"/>
  <c r="E15" i="50"/>
  <c r="E95" i="50"/>
  <c r="E99" i="50"/>
  <c r="E181" i="50"/>
  <c r="E113" i="50"/>
  <c r="E78" i="50"/>
  <c r="E172" i="50"/>
  <c r="E203" i="50"/>
  <c r="E193" i="50"/>
  <c r="E100" i="50"/>
  <c r="E119" i="50"/>
  <c r="E126" i="50"/>
  <c r="E122" i="50"/>
  <c r="E49" i="50"/>
  <c r="E170" i="50"/>
  <c r="E155" i="50"/>
  <c r="E103" i="50"/>
  <c r="E10" i="50"/>
  <c r="E131" i="50"/>
  <c r="E162" i="50"/>
  <c r="E36" i="50"/>
  <c r="E151" i="50"/>
  <c r="E47" i="50"/>
  <c r="E6" i="50"/>
  <c r="E116" i="50"/>
  <c r="E184" i="50"/>
  <c r="E209" i="50"/>
  <c r="E98" i="50"/>
  <c r="E25" i="50"/>
  <c r="E37" i="50"/>
  <c r="E5" i="50"/>
  <c r="E127" i="50"/>
  <c r="E169" i="50"/>
  <c r="E133" i="50"/>
  <c r="E40" i="50"/>
  <c r="E161" i="50"/>
  <c r="E163" i="50"/>
  <c r="E28" i="50"/>
  <c r="E154" i="50"/>
  <c r="E79" i="50"/>
  <c r="E45" i="50"/>
  <c r="E205" i="50"/>
  <c r="E110" i="50"/>
  <c r="E175" i="50"/>
  <c r="E86" i="50"/>
  <c r="E27" i="50"/>
  <c r="E121" i="50"/>
  <c r="E107" i="50"/>
  <c r="E123" i="50"/>
  <c r="E186" i="50"/>
  <c r="E118" i="50"/>
  <c r="E171" i="50"/>
  <c r="E202" i="50"/>
  <c r="E73" i="50"/>
  <c r="E14" i="50"/>
  <c r="E134" i="50"/>
  <c r="E179" i="50"/>
  <c r="E74" i="50"/>
  <c r="E177" i="50"/>
  <c r="E188" i="50"/>
  <c r="E72" i="50"/>
  <c r="E106" i="50"/>
  <c r="AK93" i="55" l="1"/>
  <c r="L64" i="56" s="1"/>
  <c r="AK70" i="55"/>
  <c r="L41" i="56" s="1"/>
  <c r="F4" i="50"/>
  <c r="F68" i="50"/>
  <c r="AK85" i="55"/>
  <c r="L56" i="56" s="1"/>
  <c r="AK74" i="55"/>
  <c r="L48" i="56" s="1"/>
  <c r="AK65" i="55"/>
  <c r="L36" i="56" s="1"/>
  <c r="AK89" i="55"/>
  <c r="L60" i="56" s="1"/>
  <c r="L51" i="53"/>
  <c r="AK86" i="55"/>
  <c r="L57" i="56" s="1"/>
  <c r="AK79" i="55"/>
  <c r="L50" i="56" s="1"/>
  <c r="AK81" i="55"/>
  <c r="L52" i="56" s="1"/>
  <c r="AK87" i="55"/>
  <c r="L58" i="56" s="1"/>
  <c r="AK77" i="55"/>
  <c r="L47" i="56" s="1"/>
  <c r="AK72" i="55"/>
  <c r="L43" i="56" s="1"/>
  <c r="AK90" i="55"/>
  <c r="L61" i="56" s="1"/>
  <c r="AK71" i="55"/>
  <c r="L42" i="56" s="1"/>
  <c r="AK68" i="55"/>
  <c r="L39" i="56" s="1"/>
  <c r="AK73" i="55"/>
  <c r="L44" i="56" s="1"/>
  <c r="AK75" i="55"/>
  <c r="L45" i="56" s="1"/>
  <c r="AK91" i="55"/>
  <c r="L62" i="56" s="1"/>
  <c r="AK64" i="55"/>
  <c r="L35" i="56" s="1"/>
  <c r="AK67" i="55"/>
  <c r="L38" i="56" s="1"/>
  <c r="AK80" i="55"/>
  <c r="L51" i="56" s="1"/>
  <c r="F3" i="50"/>
  <c r="F25" i="50"/>
  <c r="AK69" i="55"/>
  <c r="L40" i="56" s="1"/>
  <c r="AK92" i="55"/>
  <c r="L63" i="56" s="1"/>
  <c r="L84" i="53"/>
  <c r="F31" i="50"/>
  <c r="F159" i="50"/>
  <c r="F99" i="50"/>
  <c r="F10" i="50"/>
  <c r="F156" i="50"/>
  <c r="F134" i="50"/>
  <c r="F161" i="50"/>
  <c r="F204" i="50"/>
  <c r="F209" i="50"/>
  <c r="F190" i="50"/>
  <c r="F196" i="50"/>
  <c r="F35" i="50"/>
  <c r="F160" i="50"/>
  <c r="F203" i="50"/>
  <c r="F43" i="50"/>
  <c r="F79" i="50"/>
  <c r="F154" i="50"/>
  <c r="F89" i="50"/>
  <c r="F57" i="50"/>
  <c r="F119" i="50"/>
  <c r="F130" i="50"/>
  <c r="F80" i="50"/>
  <c r="F73" i="50"/>
  <c r="F165" i="50"/>
  <c r="F183" i="50"/>
  <c r="F17" i="50"/>
  <c r="F29" i="50"/>
  <c r="F50" i="50"/>
  <c r="F172" i="50"/>
  <c r="F26" i="50"/>
  <c r="F207" i="50"/>
  <c r="F123" i="50"/>
  <c r="F59" i="50"/>
  <c r="F193" i="50"/>
  <c r="F113" i="50"/>
  <c r="F153" i="50"/>
  <c r="F198" i="50"/>
  <c r="F116" i="50"/>
  <c r="F85" i="50"/>
  <c r="F9" i="50"/>
  <c r="F111" i="50"/>
  <c r="F179" i="50"/>
  <c r="F87" i="50"/>
  <c r="F127" i="50"/>
  <c r="F70" i="50"/>
  <c r="F30" i="50"/>
  <c r="F58" i="50"/>
  <c r="F182" i="50"/>
  <c r="F208" i="50"/>
  <c r="F60" i="50"/>
  <c r="F91" i="50"/>
  <c r="F155" i="50"/>
  <c r="F146" i="50"/>
  <c r="F21" i="50"/>
  <c r="F107" i="50"/>
  <c r="F56" i="50"/>
  <c r="F141" i="50"/>
  <c r="F185" i="50"/>
  <c r="F81" i="50"/>
  <c r="F76" i="50"/>
  <c r="F41" i="50"/>
  <c r="F143" i="50"/>
  <c r="F163" i="50"/>
  <c r="F112" i="50"/>
  <c r="F11" i="50"/>
  <c r="F168" i="50"/>
  <c r="F74" i="50"/>
  <c r="F147" i="50"/>
  <c r="F189" i="50"/>
  <c r="F37" i="50"/>
  <c r="F149" i="50"/>
  <c r="F173" i="50"/>
  <c r="F157" i="50"/>
  <c r="F133" i="50"/>
  <c r="F144" i="50"/>
  <c r="F128" i="50"/>
  <c r="F44" i="50"/>
  <c r="F102" i="50"/>
  <c r="F46" i="50"/>
  <c r="F97" i="50"/>
  <c r="F191" i="50"/>
  <c r="F100" i="50"/>
  <c r="F162" i="50"/>
  <c r="F180" i="50"/>
  <c r="F53" i="50"/>
  <c r="F166" i="50"/>
  <c r="F34" i="50"/>
  <c r="F19" i="50"/>
  <c r="F188" i="50"/>
  <c r="F118" i="50"/>
  <c r="F121" i="50"/>
  <c r="F151" i="50"/>
  <c r="F40" i="50"/>
  <c r="F131" i="50"/>
  <c r="F106" i="50"/>
  <c r="F138" i="50"/>
  <c r="F139" i="50"/>
  <c r="F178" i="50"/>
  <c r="F20" i="50"/>
  <c r="F125" i="50"/>
  <c r="F28" i="50"/>
  <c r="F63" i="50"/>
  <c r="F164" i="50"/>
  <c r="F136" i="50"/>
  <c r="F90" i="50"/>
  <c r="F148" i="50"/>
  <c r="F205" i="50"/>
  <c r="F142" i="50"/>
  <c r="F110" i="50"/>
  <c r="F52" i="50"/>
  <c r="F64" i="50"/>
  <c r="F150" i="50"/>
  <c r="F114" i="50"/>
  <c r="F137" i="50"/>
  <c r="F109" i="50"/>
  <c r="F195" i="50"/>
  <c r="F129" i="50"/>
  <c r="F67" i="50"/>
  <c r="F122" i="50"/>
  <c r="F176" i="50"/>
  <c r="F88" i="50"/>
  <c r="F199" i="50"/>
  <c r="F51" i="50"/>
  <c r="F13" i="50"/>
  <c r="F120" i="50"/>
  <c r="F126" i="50"/>
  <c r="F7" i="50"/>
  <c r="F71" i="50"/>
  <c r="F103" i="50"/>
  <c r="F175" i="50"/>
  <c r="F197" i="50"/>
  <c r="F96" i="50"/>
  <c r="F47" i="50"/>
  <c r="F78" i="50"/>
  <c r="F32" i="50"/>
  <c r="F108" i="50"/>
  <c r="F93" i="50"/>
  <c r="F82" i="50"/>
  <c r="F192" i="50"/>
  <c r="F202" i="50"/>
  <c r="F194" i="50"/>
  <c r="F49" i="50"/>
  <c r="F200" i="50"/>
  <c r="F98" i="50"/>
  <c r="F24" i="50"/>
  <c r="F169" i="50"/>
  <c r="F171" i="50"/>
  <c r="F101" i="50"/>
  <c r="F14" i="50"/>
  <c r="F158" i="50"/>
  <c r="F61" i="50"/>
  <c r="F117" i="50"/>
  <c r="AK76" i="55"/>
  <c r="L46" i="56" s="1"/>
  <c r="AK84" i="55"/>
  <c r="L55" i="56" s="1"/>
  <c r="E94" i="53"/>
  <c r="D94" i="53" s="1"/>
  <c r="L94" i="53" s="1"/>
  <c r="W83" i="44"/>
  <c r="L63" i="53"/>
  <c r="L35" i="53"/>
  <c r="L52" i="53"/>
  <c r="L47" i="53"/>
  <c r="T83" i="44"/>
  <c r="E82" i="53"/>
  <c r="D82" i="53" s="1"/>
  <c r="L82" i="53" s="1"/>
  <c r="U81" i="44"/>
  <c r="S77" i="44"/>
  <c r="W77" i="44"/>
  <c r="E17" i="53"/>
  <c r="D17" i="53" s="1"/>
  <c r="L17" i="53" s="1"/>
  <c r="U69" i="44"/>
  <c r="E70" i="53"/>
  <c r="D70" i="53" s="1"/>
  <c r="L70" i="53" s="1"/>
  <c r="E61" i="53"/>
  <c r="D61" i="53" s="1"/>
  <c r="L61" i="53" s="1"/>
  <c r="T90" i="44"/>
  <c r="E26" i="53"/>
  <c r="D26" i="53" s="1"/>
  <c r="L26" i="53" s="1"/>
  <c r="W85" i="44"/>
  <c r="S85" i="44"/>
  <c r="E30" i="53"/>
  <c r="D30" i="53" s="1"/>
  <c r="L30" i="53" s="1"/>
  <c r="S89" i="44"/>
  <c r="W89" i="44"/>
  <c r="E88" i="53"/>
  <c r="D88" i="53" s="1"/>
  <c r="L88" i="53" s="1"/>
  <c r="U87" i="44"/>
  <c r="E72" i="53"/>
  <c r="D72" i="53" s="1"/>
  <c r="L72" i="53" s="1"/>
  <c r="U71" i="44"/>
  <c r="E90" i="53"/>
  <c r="D90" i="53" s="1"/>
  <c r="L90" i="53" s="1"/>
  <c r="U89" i="44"/>
  <c r="E73" i="53"/>
  <c r="D73" i="53" s="1"/>
  <c r="L73" i="53" s="1"/>
  <c r="U72" i="44"/>
  <c r="E20" i="53"/>
  <c r="D20" i="53" s="1"/>
  <c r="L20" i="53" s="1"/>
  <c r="S79" i="44"/>
  <c r="W79" i="44"/>
  <c r="W93" i="44"/>
  <c r="S93" i="44"/>
  <c r="E34" i="53"/>
  <c r="D34" i="53" s="1"/>
  <c r="L34" i="53" s="1"/>
  <c r="E59" i="53"/>
  <c r="D59" i="53" s="1"/>
  <c r="L59" i="53" s="1"/>
  <c r="T88" i="44"/>
  <c r="E18" i="53"/>
  <c r="D18" i="53" s="1"/>
  <c r="L18" i="53" s="1"/>
  <c r="S73" i="44"/>
  <c r="W73" i="44"/>
  <c r="U78" i="44"/>
  <c r="J94" i="44"/>
  <c r="H94" i="55"/>
  <c r="S78" i="55"/>
  <c r="E22" i="53"/>
  <c r="D22" i="53" s="1"/>
  <c r="L22" i="53" s="1"/>
  <c r="W81" i="44"/>
  <c r="S81" i="44"/>
  <c r="U80" i="44"/>
  <c r="E81" i="53"/>
  <c r="D81" i="53" s="1"/>
  <c r="L81" i="53" s="1"/>
  <c r="E55" i="53"/>
  <c r="D55" i="53" s="1"/>
  <c r="L55" i="53" s="1"/>
  <c r="T84" i="44"/>
  <c r="E89" i="53"/>
  <c r="D89" i="53" s="1"/>
  <c r="L89" i="53" s="1"/>
  <c r="U88" i="44"/>
  <c r="E6" i="53"/>
  <c r="D6" i="53" s="1"/>
  <c r="L6" i="53" s="1"/>
  <c r="S65" i="44"/>
  <c r="W65" i="44"/>
  <c r="E38" i="53"/>
  <c r="D38" i="53" s="1"/>
  <c r="L38" i="53" s="1"/>
  <c r="T67" i="44"/>
  <c r="J94" i="55"/>
  <c r="U78" i="55"/>
  <c r="U94" i="55" s="1"/>
  <c r="V78" i="55" s="1"/>
  <c r="E80" i="53"/>
  <c r="D80" i="53" s="1"/>
  <c r="L80" i="53" s="1"/>
  <c r="U79" i="44"/>
  <c r="AL71" i="55"/>
  <c r="L72" i="56" s="1"/>
  <c r="AL88" i="55"/>
  <c r="L89" i="56" s="1"/>
  <c r="AF56" i="55"/>
  <c r="AL93" i="55"/>
  <c r="L94" i="56" s="1"/>
  <c r="AL81" i="55"/>
  <c r="L82" i="56" s="1"/>
  <c r="AL67" i="55"/>
  <c r="L68" i="56" s="1"/>
  <c r="AL84" i="55"/>
  <c r="L85" i="56" s="1"/>
  <c r="AL74" i="55"/>
  <c r="L78" i="56" s="1"/>
  <c r="AL87" i="55"/>
  <c r="L88" i="56" s="1"/>
  <c r="AL65" i="55"/>
  <c r="L66" i="56" s="1"/>
  <c r="AL90" i="55"/>
  <c r="L91" i="56" s="1"/>
  <c r="AL66" i="55"/>
  <c r="L67" i="56" s="1"/>
  <c r="AL64" i="55"/>
  <c r="L65" i="56" s="1"/>
  <c r="AL91" i="55"/>
  <c r="L92" i="56" s="1"/>
  <c r="AL85" i="55"/>
  <c r="L86" i="56" s="1"/>
  <c r="AL89" i="55"/>
  <c r="L90" i="56" s="1"/>
  <c r="AL75" i="55"/>
  <c r="L75" i="56" s="1"/>
  <c r="AL76" i="55"/>
  <c r="L76" i="56" s="1"/>
  <c r="AL86" i="55"/>
  <c r="L87" i="56" s="1"/>
  <c r="AL80" i="55"/>
  <c r="L81" i="56" s="1"/>
  <c r="AL77" i="55"/>
  <c r="L77" i="56" s="1"/>
  <c r="AL69" i="55"/>
  <c r="L70" i="56" s="1"/>
  <c r="AL72" i="55"/>
  <c r="L73" i="56" s="1"/>
  <c r="AL82" i="55"/>
  <c r="L83" i="56" s="1"/>
  <c r="AL92" i="55"/>
  <c r="L93" i="56" s="1"/>
  <c r="AL79" i="55"/>
  <c r="L80" i="56" s="1"/>
  <c r="AL73" i="55"/>
  <c r="L74" i="56" s="1"/>
  <c r="AL68" i="55"/>
  <c r="L69" i="56" s="1"/>
  <c r="AL70" i="55"/>
  <c r="L71" i="56" s="1"/>
  <c r="E25" i="53"/>
  <c r="D25" i="53" s="1"/>
  <c r="L25" i="53" s="1"/>
  <c r="H84" i="44"/>
  <c r="S84" i="44" s="1"/>
  <c r="W84" i="44"/>
  <c r="E27" i="53"/>
  <c r="D27" i="53" s="1"/>
  <c r="L27" i="53" s="1"/>
  <c r="W86" i="44"/>
  <c r="S86" i="44"/>
  <c r="E29" i="53"/>
  <c r="D29" i="53" s="1"/>
  <c r="L29" i="53" s="1"/>
  <c r="W88" i="44"/>
  <c r="S88" i="44"/>
  <c r="U92" i="44"/>
  <c r="E93" i="53"/>
  <c r="D93" i="53" s="1"/>
  <c r="L93" i="53" s="1"/>
  <c r="T69" i="44"/>
  <c r="E40" i="53"/>
  <c r="D40" i="53" s="1"/>
  <c r="L40" i="53" s="1"/>
  <c r="U83" i="44"/>
  <c r="E15" i="53"/>
  <c r="D15" i="53" s="1"/>
  <c r="L15" i="53" s="1"/>
  <c r="S75" i="44"/>
  <c r="W75" i="44"/>
  <c r="E19" i="53"/>
  <c r="D19" i="53" s="1"/>
  <c r="L19" i="53" s="1"/>
  <c r="W78" i="44"/>
  <c r="AG112" i="55"/>
  <c r="E14" i="53"/>
  <c r="D14" i="53" s="1"/>
  <c r="L14" i="53" s="1"/>
  <c r="W74" i="44"/>
  <c r="S74" i="44"/>
  <c r="U70" i="44"/>
  <c r="E71" i="53"/>
  <c r="D71" i="53" s="1"/>
  <c r="L71" i="53" s="1"/>
  <c r="T91" i="44"/>
  <c r="E62" i="53"/>
  <c r="D62" i="53" s="1"/>
  <c r="L62" i="53" s="1"/>
  <c r="E66" i="53"/>
  <c r="D66" i="53" s="1"/>
  <c r="L66" i="53" s="1"/>
  <c r="U65" i="44"/>
  <c r="U85" i="44"/>
  <c r="E86" i="53"/>
  <c r="D86" i="53" s="1"/>
  <c r="L86" i="53" s="1"/>
  <c r="E33" i="53"/>
  <c r="D33" i="53" s="1"/>
  <c r="L33" i="53" s="1"/>
  <c r="W92" i="44"/>
  <c r="S92" i="44"/>
  <c r="AJ70" i="55"/>
  <c r="L11" i="56" s="1"/>
  <c r="AJ92" i="55"/>
  <c r="L33" i="56" s="1"/>
  <c r="AJ87" i="55"/>
  <c r="L28" i="56" s="1"/>
  <c r="AJ73" i="55"/>
  <c r="L18" i="56" s="1"/>
  <c r="AJ77" i="55"/>
  <c r="L17" i="56" s="1"/>
  <c r="AJ67" i="55"/>
  <c r="L8" i="56" s="1"/>
  <c r="AJ89" i="55"/>
  <c r="L30" i="56" s="1"/>
  <c r="AJ85" i="55"/>
  <c r="L26" i="56" s="1"/>
  <c r="AJ86" i="55"/>
  <c r="L27" i="56" s="1"/>
  <c r="AJ69" i="55"/>
  <c r="L10" i="56" s="1"/>
  <c r="AJ66" i="55"/>
  <c r="L7" i="56" s="1"/>
  <c r="AJ64" i="55"/>
  <c r="L5" i="56" s="1"/>
  <c r="AJ91" i="55"/>
  <c r="L32" i="56" s="1"/>
  <c r="AJ76" i="55"/>
  <c r="L16" i="56" s="1"/>
  <c r="AJ79" i="55"/>
  <c r="L20" i="56" s="1"/>
  <c r="AJ72" i="55"/>
  <c r="L13" i="56" s="1"/>
  <c r="AJ74" i="55"/>
  <c r="L14" i="56" s="1"/>
  <c r="AJ75" i="55"/>
  <c r="L15" i="56" s="1"/>
  <c r="AJ84" i="55"/>
  <c r="L25" i="56" s="1"/>
  <c r="AJ82" i="55"/>
  <c r="L23" i="56" s="1"/>
  <c r="AJ80" i="55"/>
  <c r="L21" i="56" s="1"/>
  <c r="AJ81" i="55"/>
  <c r="L22" i="56" s="1"/>
  <c r="AJ93" i="55"/>
  <c r="L34" i="56" s="1"/>
  <c r="AJ68" i="55"/>
  <c r="L9" i="56" s="1"/>
  <c r="AJ65" i="55"/>
  <c r="L6" i="56" s="1"/>
  <c r="AJ88" i="55"/>
  <c r="L29" i="56" s="1"/>
  <c r="AJ71" i="55"/>
  <c r="L12" i="56" s="1"/>
  <c r="AJ90" i="55"/>
  <c r="L31" i="56" s="1"/>
  <c r="U86" i="44"/>
  <c r="E87" i="53"/>
  <c r="D87" i="53" s="1"/>
  <c r="L87" i="53" s="1"/>
  <c r="U74" i="44"/>
  <c r="E78" i="53"/>
  <c r="D78" i="53" s="1"/>
  <c r="L78" i="53" s="1"/>
  <c r="T82" i="44"/>
  <c r="E53" i="53"/>
  <c r="D53" i="53" s="1"/>
  <c r="L53" i="53" s="1"/>
  <c r="W90" i="44"/>
  <c r="S90" i="44"/>
  <c r="E31" i="53"/>
  <c r="D31" i="53" s="1"/>
  <c r="L31" i="53" s="1"/>
  <c r="S91" i="44"/>
  <c r="E32" i="53"/>
  <c r="D32" i="53" s="1"/>
  <c r="L32" i="53" s="1"/>
  <c r="W91" i="44"/>
  <c r="L23" i="53"/>
  <c r="U66" i="44"/>
  <c r="E67" i="53"/>
  <c r="D67" i="53" s="1"/>
  <c r="L67" i="53" s="1"/>
  <c r="U76" i="44"/>
  <c r="E76" i="53"/>
  <c r="D76" i="53" s="1"/>
  <c r="L76" i="53" s="1"/>
  <c r="U77" i="44"/>
  <c r="E77" i="53"/>
  <c r="D77" i="53" s="1"/>
  <c r="L77" i="53" s="1"/>
  <c r="W69" i="44"/>
  <c r="E10" i="53"/>
  <c r="D10" i="53" s="1"/>
  <c r="L10" i="53" s="1"/>
  <c r="S69" i="44"/>
  <c r="E9" i="53"/>
  <c r="D9" i="53" s="1"/>
  <c r="L9" i="53" s="1"/>
  <c r="W68" i="44"/>
  <c r="S68" i="44"/>
  <c r="E37" i="53"/>
  <c r="D37" i="53" s="1"/>
  <c r="L37" i="53" s="1"/>
  <c r="T66" i="44"/>
  <c r="E41" i="53"/>
  <c r="D41" i="53" s="1"/>
  <c r="L41" i="53" s="1"/>
  <c r="T70" i="44"/>
  <c r="E12" i="53"/>
  <c r="D12" i="53" s="1"/>
  <c r="L12" i="53" s="1"/>
  <c r="W71" i="44"/>
  <c r="S71" i="44"/>
  <c r="E57" i="53"/>
  <c r="D57" i="53" s="1"/>
  <c r="L57" i="53" s="1"/>
  <c r="T86" i="44"/>
  <c r="E7" i="53"/>
  <c r="D7" i="53" s="1"/>
  <c r="L7" i="53" s="1"/>
  <c r="W66" i="44"/>
  <c r="S66" i="44"/>
  <c r="S78" i="44"/>
  <c r="H94" i="44"/>
  <c r="W64" i="44"/>
  <c r="AB98" i="44"/>
  <c r="C94" i="44"/>
  <c r="E5" i="53"/>
  <c r="D5" i="53" s="1"/>
  <c r="L5" i="53" s="1"/>
  <c r="S64" i="44"/>
  <c r="E16" i="53"/>
  <c r="D16" i="53" s="1"/>
  <c r="L16" i="53" s="1"/>
  <c r="W76" i="44"/>
  <c r="S76" i="44"/>
  <c r="E85" i="53"/>
  <c r="D85" i="53" s="1"/>
  <c r="L85" i="53" s="1"/>
  <c r="U84" i="44"/>
  <c r="E42" i="53"/>
  <c r="D42" i="53" s="1"/>
  <c r="L42" i="53" s="1"/>
  <c r="T71" i="44"/>
  <c r="E45" i="53"/>
  <c r="D45" i="53" s="1"/>
  <c r="L45" i="53" s="1"/>
  <c r="T75" i="44"/>
  <c r="E60" i="53"/>
  <c r="D60" i="53" s="1"/>
  <c r="L60" i="53" s="1"/>
  <c r="T89" i="44"/>
  <c r="E91" i="53"/>
  <c r="D91" i="53" s="1"/>
  <c r="L91" i="53" s="1"/>
  <c r="U90" i="44"/>
  <c r="L75" i="53"/>
  <c r="AF103" i="44"/>
  <c r="AH103" i="44" s="1"/>
  <c r="C101" i="44"/>
  <c r="T85" i="44"/>
  <c r="E56" i="53"/>
  <c r="D56" i="53" s="1"/>
  <c r="L56" i="53" s="1"/>
  <c r="AA83" i="55"/>
  <c r="AH83" i="55" s="1"/>
  <c r="Z83" i="55"/>
  <c r="AG83" i="55" s="1"/>
  <c r="Y83" i="55"/>
  <c r="E58" i="53"/>
  <c r="D58" i="53" s="1"/>
  <c r="L58" i="53" s="1"/>
  <c r="T87" i="44"/>
  <c r="T74" i="44"/>
  <c r="E48" i="53"/>
  <c r="D48" i="53" s="1"/>
  <c r="L48" i="53" s="1"/>
  <c r="U64" i="44"/>
  <c r="E65" i="53"/>
  <c r="D65" i="53" s="1"/>
  <c r="L65" i="53" s="1"/>
  <c r="E94" i="44"/>
  <c r="AB100" i="44"/>
  <c r="AB112" i="44" s="1"/>
  <c r="E21" i="53"/>
  <c r="D21" i="53" s="1"/>
  <c r="L21" i="53" s="1"/>
  <c r="W80" i="44"/>
  <c r="S80" i="44"/>
  <c r="E43" i="53"/>
  <c r="D43" i="53" s="1"/>
  <c r="L43" i="53" s="1"/>
  <c r="T72" i="44"/>
  <c r="T76" i="44"/>
  <c r="E46" i="53"/>
  <c r="D46" i="53" s="1"/>
  <c r="L46" i="53" s="1"/>
  <c r="E36" i="53"/>
  <c r="D36" i="53" s="1"/>
  <c r="L36" i="53" s="1"/>
  <c r="T65" i="44"/>
  <c r="E28" i="53"/>
  <c r="D28" i="53" s="1"/>
  <c r="L28" i="53" s="1"/>
  <c r="W87" i="44"/>
  <c r="S87" i="44"/>
  <c r="W70" i="44"/>
  <c r="E11" i="53"/>
  <c r="D11" i="53" s="1"/>
  <c r="L11" i="53" s="1"/>
  <c r="S70" i="44"/>
  <c r="E8" i="53"/>
  <c r="D8" i="53" s="1"/>
  <c r="L8" i="53" s="1"/>
  <c r="W67" i="44"/>
  <c r="S67" i="44"/>
  <c r="E92" i="53"/>
  <c r="D92" i="53" s="1"/>
  <c r="L92" i="53" s="1"/>
  <c r="U91" i="44"/>
  <c r="E68" i="53"/>
  <c r="D68" i="53" s="1"/>
  <c r="L68" i="53" s="1"/>
  <c r="U67" i="44"/>
  <c r="T93" i="44"/>
  <c r="E64" i="53"/>
  <c r="D64" i="53" s="1"/>
  <c r="L64" i="53" s="1"/>
  <c r="E50" i="53"/>
  <c r="D50" i="53" s="1"/>
  <c r="L50" i="53" s="1"/>
  <c r="T79" i="44"/>
  <c r="E39" i="53"/>
  <c r="D39" i="53" s="1"/>
  <c r="L39" i="53" s="1"/>
  <c r="T68" i="44"/>
  <c r="T78" i="55"/>
  <c r="T94" i="55" s="1"/>
  <c r="I94" i="55"/>
  <c r="T73" i="44"/>
  <c r="E44" i="53"/>
  <c r="D44" i="53" s="1"/>
  <c r="L44" i="53" s="1"/>
  <c r="U82" i="44"/>
  <c r="Y82" i="44" s="1"/>
  <c r="AF82" i="44" s="1"/>
  <c r="E83" i="53"/>
  <c r="D83" i="53" s="1"/>
  <c r="L83" i="53" s="1"/>
  <c r="E69" i="53"/>
  <c r="D69" i="53" s="1"/>
  <c r="L69" i="53" s="1"/>
  <c r="U68" i="44"/>
  <c r="E74" i="53"/>
  <c r="D74" i="53" s="1"/>
  <c r="L74" i="53" s="1"/>
  <c r="U73" i="44"/>
  <c r="T78" i="44"/>
  <c r="I94" i="44"/>
  <c r="E13" i="53"/>
  <c r="D13" i="53" s="1"/>
  <c r="L13" i="53" s="1"/>
  <c r="W72" i="44"/>
  <c r="S72" i="44"/>
  <c r="L24" i="53"/>
  <c r="F45" i="50"/>
  <c r="F27" i="50"/>
  <c r="F94" i="50"/>
  <c r="F92" i="50"/>
  <c r="F132" i="50"/>
  <c r="F18" i="50"/>
  <c r="F77" i="50"/>
  <c r="F140" i="50"/>
  <c r="F187" i="50"/>
  <c r="F170" i="50"/>
  <c r="F65" i="50"/>
  <c r="F62" i="50"/>
  <c r="F38" i="50"/>
  <c r="F145" i="50"/>
  <c r="F12" i="50"/>
  <c r="F66" i="50"/>
  <c r="F39" i="50"/>
  <c r="F201" i="50"/>
  <c r="F186" i="50"/>
  <c r="F72" i="50"/>
  <c r="F95" i="50"/>
  <c r="F83" i="50"/>
  <c r="F181" i="50"/>
  <c r="F36" i="50"/>
  <c r="F124" i="50"/>
  <c r="F84" i="50"/>
  <c r="F152" i="50"/>
  <c r="F48" i="50"/>
  <c r="F135" i="50"/>
  <c r="F167" i="50"/>
  <c r="F42" i="50"/>
  <c r="F69" i="50"/>
  <c r="F16" i="50"/>
  <c r="F174" i="50"/>
  <c r="F5" i="50"/>
  <c r="F105" i="50"/>
  <c r="F206" i="50"/>
  <c r="F8" i="50"/>
  <c r="F55" i="50"/>
  <c r="F115" i="50"/>
  <c r="F6" i="50"/>
  <c r="F177" i="50"/>
  <c r="F54" i="50"/>
  <c r="F75" i="50"/>
  <c r="F33" i="50"/>
  <c r="F86" i="50"/>
  <c r="F184" i="50"/>
  <c r="F23" i="50"/>
  <c r="F15" i="50"/>
  <c r="F22" i="50"/>
  <c r="F104" i="50"/>
  <c r="V67" i="55" l="1"/>
  <c r="V79" i="55"/>
  <c r="V83" i="55"/>
  <c r="V86" i="55"/>
  <c r="V82" i="55"/>
  <c r="V87" i="55"/>
  <c r="V73" i="55"/>
  <c r="X83" i="44"/>
  <c r="AE83" i="44" s="1"/>
  <c r="V81" i="55"/>
  <c r="V76" i="55"/>
  <c r="V64" i="55"/>
  <c r="V93" i="55"/>
  <c r="V80" i="55"/>
  <c r="V71" i="55"/>
  <c r="V92" i="55"/>
  <c r="V84" i="55"/>
  <c r="V72" i="55"/>
  <c r="V68" i="55"/>
  <c r="V74" i="55"/>
  <c r="V89" i="55"/>
  <c r="V77" i="55"/>
  <c r="V69" i="55"/>
  <c r="V90" i="55"/>
  <c r="Y86" i="44"/>
  <c r="AF86" i="44" s="1"/>
  <c r="E57" i="52" s="1"/>
  <c r="V65" i="55"/>
  <c r="V91" i="55"/>
  <c r="V70" i="55"/>
  <c r="V85" i="55"/>
  <c r="V75" i="55"/>
  <c r="V66" i="55"/>
  <c r="V88" i="55"/>
  <c r="Y80" i="44"/>
  <c r="AF80" i="44" s="1"/>
  <c r="AJ80" i="44" s="1"/>
  <c r="L51" i="52" s="1"/>
  <c r="Y83" i="44"/>
  <c r="AF83" i="44" s="1"/>
  <c r="E54" i="52" s="1"/>
  <c r="E53" i="52"/>
  <c r="AJ82" i="44"/>
  <c r="L53" i="52" s="1"/>
  <c r="Z67" i="44"/>
  <c r="AG67" i="44" s="1"/>
  <c r="Y67" i="44"/>
  <c r="AF67" i="44" s="1"/>
  <c r="X67" i="44"/>
  <c r="X75" i="44"/>
  <c r="Y75" i="44"/>
  <c r="AF75" i="44" s="1"/>
  <c r="Z75" i="44"/>
  <c r="AG75" i="44" s="1"/>
  <c r="Z88" i="44"/>
  <c r="AG88" i="44" s="1"/>
  <c r="Y88" i="44"/>
  <c r="AF88" i="44" s="1"/>
  <c r="Z82" i="44"/>
  <c r="AG82" i="44" s="1"/>
  <c r="S94" i="55"/>
  <c r="Y78" i="55"/>
  <c r="AA78" i="55"/>
  <c r="Z78" i="55"/>
  <c r="AJ83" i="44"/>
  <c r="L54" i="52" s="1"/>
  <c r="Y85" i="44"/>
  <c r="AF85" i="44" s="1"/>
  <c r="Z85" i="44"/>
  <c r="AG85" i="44" s="1"/>
  <c r="X85" i="44"/>
  <c r="Z80" i="44"/>
  <c r="AG80" i="44" s="1"/>
  <c r="X80" i="44"/>
  <c r="AF104" i="44"/>
  <c r="AH104" i="44" s="1"/>
  <c r="C102" i="44"/>
  <c r="E54" i="56"/>
  <c r="D54" i="56" s="1"/>
  <c r="AK83" i="55"/>
  <c r="L54" i="56" s="1"/>
  <c r="J115" i="44"/>
  <c r="AB110" i="44"/>
  <c r="AB101" i="44"/>
  <c r="Z90" i="44"/>
  <c r="AG90" i="44" s="1"/>
  <c r="X90" i="44"/>
  <c r="Y90" i="44"/>
  <c r="AF90" i="44" s="1"/>
  <c r="X84" i="44"/>
  <c r="Y84" i="44"/>
  <c r="AF84" i="44" s="1"/>
  <c r="Z84" i="44"/>
  <c r="AG84" i="44" s="1"/>
  <c r="Y65" i="44"/>
  <c r="AF65" i="44" s="1"/>
  <c r="X65" i="44"/>
  <c r="Z65" i="44"/>
  <c r="AG65" i="44" s="1"/>
  <c r="X81" i="44"/>
  <c r="Y81" i="44"/>
  <c r="AF81" i="44" s="1"/>
  <c r="Z81" i="44"/>
  <c r="AG81" i="44" s="1"/>
  <c r="Y89" i="44"/>
  <c r="AF89" i="44" s="1"/>
  <c r="X89" i="44"/>
  <c r="Z89" i="44"/>
  <c r="AG89" i="44" s="1"/>
  <c r="Y77" i="44"/>
  <c r="AF77" i="44" s="1"/>
  <c r="X77" i="44"/>
  <c r="Z77" i="44"/>
  <c r="AG77" i="44" s="1"/>
  <c r="Z68" i="44"/>
  <c r="AG68" i="44" s="1"/>
  <c r="Y68" i="44"/>
  <c r="AF68" i="44" s="1"/>
  <c r="X68" i="44"/>
  <c r="Z72" i="44"/>
  <c r="AG72" i="44" s="1"/>
  <c r="X72" i="44"/>
  <c r="AL83" i="55"/>
  <c r="L84" i="56" s="1"/>
  <c r="E84" i="56"/>
  <c r="D84" i="56" s="1"/>
  <c r="Y64" i="44"/>
  <c r="AF64" i="44" s="1"/>
  <c r="Z64" i="44"/>
  <c r="AG64" i="44" s="1"/>
  <c r="X64" i="44"/>
  <c r="Y66" i="44"/>
  <c r="AF66" i="44" s="1"/>
  <c r="X66" i="44"/>
  <c r="Z66" i="44"/>
  <c r="AG66" i="44" s="1"/>
  <c r="Z92" i="44"/>
  <c r="AG92" i="44" s="1"/>
  <c r="Y92" i="44"/>
  <c r="AF92" i="44" s="1"/>
  <c r="X74" i="44"/>
  <c r="Y74" i="44"/>
  <c r="AF74" i="44" s="1"/>
  <c r="X92" i="44"/>
  <c r="X82" i="44"/>
  <c r="Z73" i="44"/>
  <c r="AG73" i="44" s="1"/>
  <c r="X73" i="44"/>
  <c r="Y73" i="44"/>
  <c r="AF73" i="44" s="1"/>
  <c r="X79" i="44"/>
  <c r="Z79" i="44"/>
  <c r="AG79" i="44" s="1"/>
  <c r="Y79" i="44"/>
  <c r="AF79" i="44" s="1"/>
  <c r="AF83" i="55"/>
  <c r="AC83" i="55"/>
  <c r="AD83" i="55" s="1"/>
  <c r="C100" i="44"/>
  <c r="AF102" i="44"/>
  <c r="Y78" i="44"/>
  <c r="AF78" i="44" s="1"/>
  <c r="Z78" i="44"/>
  <c r="AG78" i="44" s="1"/>
  <c r="X78" i="44"/>
  <c r="X71" i="44"/>
  <c r="Z71" i="44"/>
  <c r="AG71" i="44" s="1"/>
  <c r="Y72" i="44"/>
  <c r="AF72" i="44" s="1"/>
  <c r="Z70" i="44"/>
  <c r="AG70" i="44" s="1"/>
  <c r="Y70" i="44"/>
  <c r="AF70" i="44" s="1"/>
  <c r="X70" i="44"/>
  <c r="Z87" i="44"/>
  <c r="AG87" i="44" s="1"/>
  <c r="X87" i="44"/>
  <c r="Y87" i="44"/>
  <c r="AF87" i="44" s="1"/>
  <c r="Y76" i="44"/>
  <c r="AF76" i="44" s="1"/>
  <c r="X76" i="44"/>
  <c r="Z76" i="44"/>
  <c r="AG76" i="44" s="1"/>
  <c r="S94" i="44"/>
  <c r="Z69" i="44"/>
  <c r="AG69" i="44" s="1"/>
  <c r="Y69" i="44"/>
  <c r="AF69" i="44" s="1"/>
  <c r="X69" i="44"/>
  <c r="Z91" i="44"/>
  <c r="AG91" i="44" s="1"/>
  <c r="X91" i="44"/>
  <c r="Y91" i="44"/>
  <c r="AF91" i="44" s="1"/>
  <c r="Z74" i="44"/>
  <c r="AG74" i="44" s="1"/>
  <c r="Z86" i="44"/>
  <c r="AG86" i="44" s="1"/>
  <c r="X86" i="44"/>
  <c r="X88" i="44"/>
  <c r="X93" i="44"/>
  <c r="Y93" i="44"/>
  <c r="AF93" i="44" s="1"/>
  <c r="Z93" i="44"/>
  <c r="AG93" i="44" s="1"/>
  <c r="Z83" i="44"/>
  <c r="AG83" i="44" s="1"/>
  <c r="Y71" i="44"/>
  <c r="AF71" i="44" s="1"/>
  <c r="AB83" i="44" l="1"/>
  <c r="AC83" i="44" s="1"/>
  <c r="AJ86" i="44"/>
  <c r="L57" i="52" s="1"/>
  <c r="E51" i="52"/>
  <c r="E87" i="52"/>
  <c r="AK86" i="44"/>
  <c r="L87" i="52" s="1"/>
  <c r="E58" i="52"/>
  <c r="D58" i="52" s="1"/>
  <c r="AJ87" i="44"/>
  <c r="L58" i="52" s="1"/>
  <c r="AE71" i="44"/>
  <c r="AB71" i="44"/>
  <c r="AC71" i="44" s="1"/>
  <c r="AF105" i="44"/>
  <c r="AH102" i="44"/>
  <c r="AE73" i="44"/>
  <c r="AB73" i="44"/>
  <c r="AC73" i="44" s="1"/>
  <c r="AJ66" i="44"/>
  <c r="L37" i="52" s="1"/>
  <c r="E37" i="52"/>
  <c r="D37" i="52" s="1"/>
  <c r="AJ68" i="44"/>
  <c r="L39" i="52" s="1"/>
  <c r="E39" i="52"/>
  <c r="E82" i="52"/>
  <c r="D82" i="52" s="1"/>
  <c r="AK81" i="44"/>
  <c r="L82" i="52" s="1"/>
  <c r="AE65" i="44"/>
  <c r="AB65" i="44"/>
  <c r="AC65" i="44" s="1"/>
  <c r="AE84" i="44"/>
  <c r="AB84" i="44"/>
  <c r="AC84" i="44" s="1"/>
  <c r="E56" i="52"/>
  <c r="AJ85" i="44"/>
  <c r="L56" i="52" s="1"/>
  <c r="AH78" i="55"/>
  <c r="AA94" i="55"/>
  <c r="AC100" i="55"/>
  <c r="AC112" i="55" s="1"/>
  <c r="E75" i="52"/>
  <c r="AK75" i="44"/>
  <c r="L75" i="52" s="1"/>
  <c r="E38" i="52"/>
  <c r="D38" i="52" s="1"/>
  <c r="AJ67" i="44"/>
  <c r="L38" i="52" s="1"/>
  <c r="AJ71" i="44"/>
  <c r="L42" i="52" s="1"/>
  <c r="E42" i="52"/>
  <c r="AE93" i="44"/>
  <c r="AB93" i="44"/>
  <c r="AC93" i="44" s="1"/>
  <c r="E78" i="52"/>
  <c r="D78" i="52" s="1"/>
  <c r="AK74" i="44"/>
  <c r="L78" i="52" s="1"/>
  <c r="AE69" i="44"/>
  <c r="AB69" i="44"/>
  <c r="AC69" i="44" s="1"/>
  <c r="E76" i="52"/>
  <c r="AK76" i="44"/>
  <c r="L76" i="52" s="1"/>
  <c r="AE87" i="44"/>
  <c r="AB87" i="44"/>
  <c r="AC87" i="44" s="1"/>
  <c r="AK70" i="44"/>
  <c r="L71" i="52" s="1"/>
  <c r="E71" i="52"/>
  <c r="D71" i="52" s="1"/>
  <c r="AE78" i="44"/>
  <c r="AB78" i="44"/>
  <c r="AC78" i="44" s="1"/>
  <c r="C103" i="44"/>
  <c r="I100" i="44" s="1"/>
  <c r="I115" i="44"/>
  <c r="AK79" i="44"/>
  <c r="L80" i="52" s="1"/>
  <c r="E80" i="52"/>
  <c r="E74" i="52"/>
  <c r="D74" i="52" s="1"/>
  <c r="AK73" i="44"/>
  <c r="L74" i="52" s="1"/>
  <c r="AI83" i="44"/>
  <c r="L24" i="52" s="1"/>
  <c r="E24" i="52"/>
  <c r="E93" i="52"/>
  <c r="D93" i="52" s="1"/>
  <c r="AK92" i="44"/>
  <c r="L93" i="52" s="1"/>
  <c r="AE64" i="44"/>
  <c r="AB64" i="44"/>
  <c r="E69" i="52"/>
  <c r="AK68" i="44"/>
  <c r="L69" i="52" s="1"/>
  <c r="AK89" i="44"/>
  <c r="L90" i="52" s="1"/>
  <c r="E90" i="52"/>
  <c r="D90" i="52" s="1"/>
  <c r="AJ81" i="44"/>
  <c r="L52" i="52" s="1"/>
  <c r="E52" i="52"/>
  <c r="D52" i="52" s="1"/>
  <c r="AJ65" i="44"/>
  <c r="L36" i="52" s="1"/>
  <c r="E36" i="52"/>
  <c r="AJ90" i="44"/>
  <c r="L61" i="52" s="1"/>
  <c r="E61" i="52"/>
  <c r="D61" i="52" s="1"/>
  <c r="E81" i="52"/>
  <c r="D81" i="52" s="1"/>
  <c r="AK80" i="44"/>
  <c r="L81" i="52" s="1"/>
  <c r="AC78" i="55"/>
  <c r="AC98" i="55"/>
  <c r="Y94" i="55"/>
  <c r="AF78" i="55"/>
  <c r="E83" i="52"/>
  <c r="AK82" i="44"/>
  <c r="L83" i="52" s="1"/>
  <c r="AJ75" i="44"/>
  <c r="L45" i="52" s="1"/>
  <c r="E45" i="52"/>
  <c r="E68" i="52"/>
  <c r="D68" i="52" s="1"/>
  <c r="AK67" i="44"/>
  <c r="L68" i="52" s="1"/>
  <c r="AK91" i="44"/>
  <c r="L92" i="52" s="1"/>
  <c r="E92" i="52"/>
  <c r="AJ79" i="44"/>
  <c r="L50" i="52" s="1"/>
  <c r="E50" i="52"/>
  <c r="AJ92" i="44"/>
  <c r="L63" i="52" s="1"/>
  <c r="E63" i="52"/>
  <c r="AK72" i="44"/>
  <c r="L73" i="52" s="1"/>
  <c r="E73" i="52"/>
  <c r="AJ77" i="44"/>
  <c r="L47" i="52" s="1"/>
  <c r="E47" i="52"/>
  <c r="AE80" i="44"/>
  <c r="AB80" i="44"/>
  <c r="AC80" i="44" s="1"/>
  <c r="AJ91" i="44"/>
  <c r="L62" i="52" s="1"/>
  <c r="E62" i="52"/>
  <c r="D62" i="52" s="1"/>
  <c r="E88" i="52"/>
  <c r="D88" i="52" s="1"/>
  <c r="AK87" i="44"/>
  <c r="L88" i="52" s="1"/>
  <c r="AK78" i="44"/>
  <c r="L79" i="52" s="1"/>
  <c r="E79" i="52"/>
  <c r="D79" i="52" s="1"/>
  <c r="AB79" i="44"/>
  <c r="AC79" i="44" s="1"/>
  <c r="AE79" i="44"/>
  <c r="AB82" i="44"/>
  <c r="AC82" i="44" s="1"/>
  <c r="AE82" i="44"/>
  <c r="E77" i="52"/>
  <c r="AK77" i="44"/>
  <c r="L77" i="52" s="1"/>
  <c r="AB81" i="44"/>
  <c r="AC81" i="44" s="1"/>
  <c r="AE81" i="44"/>
  <c r="E85" i="52"/>
  <c r="AK84" i="44"/>
  <c r="L85" i="52" s="1"/>
  <c r="AE90" i="44"/>
  <c r="AB90" i="44"/>
  <c r="AC90" i="44" s="1"/>
  <c r="I102" i="44"/>
  <c r="K115" i="44"/>
  <c r="AE85" i="44"/>
  <c r="AB85" i="44"/>
  <c r="AC85" i="44" s="1"/>
  <c r="AJ88" i="44"/>
  <c r="L59" i="52" s="1"/>
  <c r="E59" i="52"/>
  <c r="AE75" i="44"/>
  <c r="AB75" i="44"/>
  <c r="AC75" i="44" s="1"/>
  <c r="AJ93" i="44"/>
  <c r="L64" i="52" s="1"/>
  <c r="E64" i="52"/>
  <c r="D64" i="52" s="1"/>
  <c r="E41" i="52"/>
  <c r="D41" i="52" s="1"/>
  <c r="AJ70" i="44"/>
  <c r="L41" i="52" s="1"/>
  <c r="E84" i="52"/>
  <c r="AK83" i="44"/>
  <c r="L84" i="52" s="1"/>
  <c r="AE88" i="44"/>
  <c r="AB88" i="44"/>
  <c r="AC88" i="44" s="1"/>
  <c r="E40" i="52"/>
  <c r="D40" i="52" s="1"/>
  <c r="AJ69" i="44"/>
  <c r="L40" i="52" s="1"/>
  <c r="AE76" i="44"/>
  <c r="AB76" i="44"/>
  <c r="AC76" i="44" s="1"/>
  <c r="AJ72" i="44"/>
  <c r="L43" i="52" s="1"/>
  <c r="E43" i="52"/>
  <c r="AJ74" i="44"/>
  <c r="L48" i="52" s="1"/>
  <c r="E48" i="52"/>
  <c r="D48" i="52" s="1"/>
  <c r="E67" i="52"/>
  <c r="D67" i="52" s="1"/>
  <c r="AK66" i="44"/>
  <c r="L67" i="52" s="1"/>
  <c r="E65" i="52"/>
  <c r="AG94" i="44"/>
  <c r="AK64" i="44"/>
  <c r="AE89" i="44"/>
  <c r="AB89" i="44"/>
  <c r="AC89" i="44" s="1"/>
  <c r="AK93" i="44"/>
  <c r="L94" i="52" s="1"/>
  <c r="E94" i="52"/>
  <c r="AE86" i="44"/>
  <c r="AB86" i="44"/>
  <c r="AC86" i="44" s="1"/>
  <c r="AB91" i="44"/>
  <c r="AC91" i="44" s="1"/>
  <c r="AE91" i="44"/>
  <c r="E70" i="52"/>
  <c r="AK69" i="44"/>
  <c r="L70" i="52" s="1"/>
  <c r="AJ76" i="44"/>
  <c r="L46" i="52" s="1"/>
  <c r="E46" i="52"/>
  <c r="D46" i="52" s="1"/>
  <c r="AE70" i="44"/>
  <c r="AB70" i="44"/>
  <c r="AC70" i="44" s="1"/>
  <c r="E72" i="52"/>
  <c r="AK71" i="44"/>
  <c r="L72" i="52" s="1"/>
  <c r="E49" i="52"/>
  <c r="D49" i="52" s="1"/>
  <c r="AJ78" i="44"/>
  <c r="L49" i="52" s="1"/>
  <c r="AJ83" i="55"/>
  <c r="L24" i="56" s="1"/>
  <c r="E24" i="56"/>
  <c r="D24" i="56" s="1"/>
  <c r="E44" i="52"/>
  <c r="D44" i="52" s="1"/>
  <c r="AJ73" i="44"/>
  <c r="L44" i="52" s="1"/>
  <c r="AE92" i="44"/>
  <c r="AB92" i="44"/>
  <c r="AC92" i="44" s="1"/>
  <c r="AE74" i="44"/>
  <c r="AB74" i="44"/>
  <c r="AC74" i="44" s="1"/>
  <c r="AE66" i="44"/>
  <c r="AB66" i="44"/>
  <c r="AC66" i="44" s="1"/>
  <c r="E35" i="52"/>
  <c r="D35" i="52" s="1"/>
  <c r="AF94" i="44"/>
  <c r="AJ64" i="44"/>
  <c r="AE72" i="44"/>
  <c r="AB72" i="44"/>
  <c r="AC72" i="44" s="1"/>
  <c r="AE68" i="44"/>
  <c r="AB68" i="44"/>
  <c r="AC68" i="44" s="1"/>
  <c r="AE77" i="44"/>
  <c r="AB77" i="44"/>
  <c r="AC77" i="44" s="1"/>
  <c r="AJ89" i="44"/>
  <c r="L60" i="52" s="1"/>
  <c r="E60" i="52"/>
  <c r="D60" i="52" s="1"/>
  <c r="E66" i="52"/>
  <c r="D66" i="52" s="1"/>
  <c r="AK65" i="44"/>
  <c r="L66" i="52" s="1"/>
  <c r="AJ84" i="44"/>
  <c r="L55" i="52" s="1"/>
  <c r="E55" i="52"/>
  <c r="AK90" i="44"/>
  <c r="L91" i="52" s="1"/>
  <c r="E91" i="52"/>
  <c r="AK85" i="44"/>
  <c r="L86" i="52" s="1"/>
  <c r="E86" i="52"/>
  <c r="AG78" i="55"/>
  <c r="Z94" i="55"/>
  <c r="AC99" i="55"/>
  <c r="AC111" i="55" s="1"/>
  <c r="E89" i="52"/>
  <c r="D89" i="52" s="1"/>
  <c r="AK88" i="44"/>
  <c r="L89" i="52" s="1"/>
  <c r="AE67" i="44"/>
  <c r="AB67" i="44"/>
  <c r="AC67" i="44" s="1"/>
  <c r="E14" i="52" l="1"/>
  <c r="AI74" i="44"/>
  <c r="L14" i="52" s="1"/>
  <c r="E21" i="52"/>
  <c r="D21" i="52" s="1"/>
  <c r="AI80" i="44"/>
  <c r="L21" i="52" s="1"/>
  <c r="AD78" i="55"/>
  <c r="AC94" i="55"/>
  <c r="AL78" i="55"/>
  <c r="E79" i="56"/>
  <c r="D79" i="56" s="1"/>
  <c r="AH94" i="55"/>
  <c r="AI84" i="44"/>
  <c r="L25" i="52" s="1"/>
  <c r="E25" i="52"/>
  <c r="E49" i="56"/>
  <c r="D49" i="56" s="1"/>
  <c r="AG94" i="55"/>
  <c r="AK78" i="55"/>
  <c r="E20" i="52"/>
  <c r="AI79" i="44"/>
  <c r="L20" i="52" s="1"/>
  <c r="AC101" i="55"/>
  <c r="AC110" i="55"/>
  <c r="E19" i="52"/>
  <c r="D19" i="52" s="1"/>
  <c r="AI78" i="44"/>
  <c r="L19" i="52" s="1"/>
  <c r="AI69" i="44"/>
  <c r="L10" i="52" s="1"/>
  <c r="E10" i="52"/>
  <c r="AK94" i="44"/>
  <c r="AG111" i="44" s="1"/>
  <c r="AH111" i="44" s="1"/>
  <c r="L65" i="52"/>
  <c r="L35" i="52"/>
  <c r="AJ94" i="44"/>
  <c r="AG110" i="44" s="1"/>
  <c r="AH110" i="44" s="1"/>
  <c r="E7" i="52"/>
  <c r="AI66" i="44"/>
  <c r="L7" i="52" s="1"/>
  <c r="E33" i="52"/>
  <c r="D33" i="52" s="1"/>
  <c r="AI92" i="44"/>
  <c r="L33" i="52" s="1"/>
  <c r="AG104" i="44"/>
  <c r="G102" i="44"/>
  <c r="K116" i="44" s="1"/>
  <c r="E22" i="52"/>
  <c r="D22" i="52" s="1"/>
  <c r="AI81" i="44"/>
  <c r="L22" i="52" s="1"/>
  <c r="E23" i="52"/>
  <c r="AI82" i="44"/>
  <c r="L23" i="52" s="1"/>
  <c r="AF94" i="55"/>
  <c r="AJ78" i="55"/>
  <c r="E19" i="56"/>
  <c r="D19" i="56" s="1"/>
  <c r="AC64" i="44"/>
  <c r="AB94" i="44"/>
  <c r="L115" i="44"/>
  <c r="I101" i="44"/>
  <c r="E11" i="52"/>
  <c r="D11" i="52" s="1"/>
  <c r="AI70" i="44"/>
  <c r="L11" i="52" s="1"/>
  <c r="E27" i="52"/>
  <c r="AI86" i="44"/>
  <c r="L27" i="52" s="1"/>
  <c r="E30" i="52"/>
  <c r="D30" i="52" s="1"/>
  <c r="AI89" i="44"/>
  <c r="L30" i="52" s="1"/>
  <c r="AI87" i="44"/>
  <c r="L28" i="52" s="1"/>
  <c r="E28" i="52"/>
  <c r="D28" i="52" s="1"/>
  <c r="AI93" i="44"/>
  <c r="L34" i="52" s="1"/>
  <c r="E34" i="52"/>
  <c r="AH105" i="44"/>
  <c r="AI102" i="44" s="1"/>
  <c r="AI77" i="44"/>
  <c r="L17" i="52" s="1"/>
  <c r="E17" i="52"/>
  <c r="D17" i="52" s="1"/>
  <c r="AI72" i="44"/>
  <c r="L13" i="52" s="1"/>
  <c r="E13" i="52"/>
  <c r="E32" i="52"/>
  <c r="D32" i="52" s="1"/>
  <c r="AI91" i="44"/>
  <c r="L32" i="52" s="1"/>
  <c r="AI67" i="44"/>
  <c r="L8" i="52" s="1"/>
  <c r="E8" i="52"/>
  <c r="AI68" i="44"/>
  <c r="L9" i="52" s="1"/>
  <c r="E9" i="52"/>
  <c r="G101" i="44"/>
  <c r="J116" i="44" s="1"/>
  <c r="AG103" i="44"/>
  <c r="E16" i="52"/>
  <c r="D16" i="52" s="1"/>
  <c r="AI76" i="44"/>
  <c r="L16" i="52" s="1"/>
  <c r="AI88" i="44"/>
  <c r="L29" i="52" s="1"/>
  <c r="E29" i="52"/>
  <c r="D29" i="52" s="1"/>
  <c r="E15" i="52"/>
  <c r="D15" i="52" s="1"/>
  <c r="AI75" i="44"/>
  <c r="L15" i="52" s="1"/>
  <c r="E26" i="52"/>
  <c r="AI85" i="44"/>
  <c r="L26" i="52" s="1"/>
  <c r="AI90" i="44"/>
  <c r="L31" i="52" s="1"/>
  <c r="E31" i="52"/>
  <c r="AI64" i="44"/>
  <c r="E5" i="52"/>
  <c r="D5" i="52" s="1"/>
  <c r="AE94" i="44"/>
  <c r="E6" i="52"/>
  <c r="AI65" i="44"/>
  <c r="L6" i="52" s="1"/>
  <c r="AI73" i="44"/>
  <c r="L18" i="52" s="1"/>
  <c r="E18" i="52"/>
  <c r="E12" i="52"/>
  <c r="AI71" i="44"/>
  <c r="L12" i="52" s="1"/>
  <c r="L79" i="56" l="1"/>
  <c r="AL94" i="55"/>
  <c r="AH111" i="55" s="1"/>
  <c r="AI111" i="55" s="1"/>
  <c r="AG102" i="44"/>
  <c r="AG105" i="44" s="1"/>
  <c r="G100" i="44"/>
  <c r="AI94" i="44"/>
  <c r="AG109" i="44" s="1"/>
  <c r="L5" i="52"/>
  <c r="AI103" i="44"/>
  <c r="AI104" i="44"/>
  <c r="L19" i="56"/>
  <c r="AJ94" i="55"/>
  <c r="AH109" i="55" s="1"/>
  <c r="AK94" i="55"/>
  <c r="AH110" i="55" s="1"/>
  <c r="AI110" i="55" s="1"/>
  <c r="L49" i="56"/>
  <c r="AD98" i="55"/>
  <c r="AD99" i="55"/>
  <c r="AD100" i="55"/>
  <c r="AC98" i="44"/>
  <c r="AC100" i="44"/>
  <c r="AC99" i="44"/>
  <c r="G100" i="55"/>
  <c r="AH102" i="55"/>
  <c r="G101" i="55"/>
  <c r="J116" i="55" s="1"/>
  <c r="AH103" i="55"/>
  <c r="AI103" i="55" s="1"/>
  <c r="G102" i="55"/>
  <c r="K116" i="55" s="1"/>
  <c r="AH104" i="55"/>
  <c r="AI104" i="55" s="1"/>
  <c r="I116" i="44" l="1"/>
  <c r="G103" i="44"/>
  <c r="L116" i="44" s="1"/>
  <c r="G103" i="55"/>
  <c r="L116" i="55" s="1"/>
  <c r="I116" i="55"/>
  <c r="AH105" i="55"/>
  <c r="AI102" i="55"/>
  <c r="AH112" i="55"/>
  <c r="AI109" i="55"/>
  <c r="AG112" i="44"/>
  <c r="AH109" i="44"/>
  <c r="AI112" i="55" l="1"/>
  <c r="AJ109" i="55" s="1"/>
  <c r="AH112" i="44"/>
  <c r="AI109" i="44" s="1"/>
  <c r="AI105" i="55"/>
  <c r="AJ102" i="55" s="1"/>
  <c r="AI110" i="44" l="1"/>
  <c r="AI111" i="44"/>
  <c r="AH114" i="44"/>
  <c r="AJ104" i="55"/>
  <c r="AJ103" i="55"/>
  <c r="AI114" i="55"/>
  <c r="AJ110" i="55"/>
  <c r="AJ111" i="5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Marte</author>
  </authors>
  <commentList>
    <comment ref="H51" authorId="0" shapeId="0" xr:uid="{00000000-0006-0000-0000-000001000000}">
      <text>
        <r>
          <rPr>
            <b/>
            <sz val="9"/>
            <color indexed="81"/>
            <rFont val="Tahoma"/>
            <family val="2"/>
          </rPr>
          <t>Marte:</t>
        </r>
        <r>
          <rPr>
            <sz val="9"/>
            <color indexed="81"/>
            <rFont val="Tahoma"/>
            <family val="2"/>
          </rPr>
          <t xml:space="preserve">
in 2008
</t>
        </r>
      </text>
    </comment>
    <comment ref="E421" authorId="0" shapeId="0" xr:uid="{00000000-0006-0000-0000-000002000000}">
      <text>
        <r>
          <rPr>
            <b/>
            <sz val="9"/>
            <color indexed="81"/>
            <rFont val="Tahoma"/>
            <family val="2"/>
          </rPr>
          <t>Marte:</t>
        </r>
        <r>
          <rPr>
            <sz val="9"/>
            <color indexed="81"/>
            <rFont val="Tahoma"/>
            <family val="2"/>
          </rPr>
          <t xml:space="preserve">
UK grid reference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Marte</author>
  </authors>
  <commentList>
    <comment ref="A5" authorId="0" shapeId="0" xr:uid="{00000000-0006-0000-0100-000001000000}">
      <text>
        <r>
          <rPr>
            <b/>
            <sz val="9"/>
            <color indexed="81"/>
            <rFont val="Tahoma"/>
            <family val="2"/>
          </rPr>
          <t>Marte:</t>
        </r>
        <r>
          <rPr>
            <sz val="9"/>
            <color indexed="81"/>
            <rFont val="Tahoma"/>
            <family val="2"/>
          </rPr>
          <t xml:space="preserve">
eurostat 2016 data nrg_113a EU 28 + Norwegian Ministry of Petroleum and Energy + Switzerland 14466 Eidgenössisches Departement für Umwelt B E S T E H E N D E UND I M B A U BEFINDLICHE ZENTRALEN (ZUSAMMENSTELLUNG)</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Marte</author>
  </authors>
  <commentList>
    <comment ref="I1" authorId="0" shapeId="0" xr:uid="{00000000-0006-0000-0200-000001000000}">
      <text>
        <r>
          <rPr>
            <b/>
            <sz val="9"/>
            <color indexed="81"/>
            <rFont val="Tahoma"/>
            <family val="2"/>
          </rPr>
          <t xml:space="preserve">Marte: Grand dam 
database
</t>
        </r>
        <r>
          <rPr>
            <sz val="9"/>
            <color indexed="81"/>
            <rFont val="Tahoma"/>
            <family val="2"/>
          </rPr>
          <t xml:space="preserve">
Grand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W. Zappa</author>
    <author>William</author>
    <author>Marte</author>
    <author>Diede</author>
    <author>Microsoft Office User</author>
  </authors>
  <commentList>
    <comment ref="D1" authorId="0" shapeId="0" xr:uid="{00000000-0006-0000-0400-000001000000}">
      <text>
        <r>
          <rPr>
            <b/>
            <sz val="9"/>
            <color indexed="81"/>
            <rFont val="Tahoma"/>
            <family val="2"/>
          </rPr>
          <t>W. Zappa:</t>
        </r>
        <r>
          <rPr>
            <sz val="9"/>
            <color indexed="81"/>
            <rFont val="Tahoma"/>
            <family val="2"/>
          </rPr>
          <t xml:space="preserve">
</t>
        </r>
        <r>
          <rPr>
            <b/>
            <sz val="9"/>
            <color indexed="81"/>
            <rFont val="Tahoma"/>
            <family val="2"/>
          </rPr>
          <t>Pumped hydro storage (PHS):</t>
        </r>
        <r>
          <rPr>
            <sz val="9"/>
            <color indexed="81"/>
            <rFont val="Tahoma"/>
            <family val="2"/>
          </rPr>
          <t xml:space="preserve"> Dispatchable hydro generator with both an upstream reservoir, a downstream reservoir, and the ability to pump water back from the downstream to the upstream reservoir
</t>
        </r>
        <r>
          <rPr>
            <b/>
            <sz val="9"/>
            <color indexed="81"/>
            <rFont val="Tahoma"/>
            <family val="2"/>
          </rPr>
          <t>Storage hydro (STO)</t>
        </r>
        <r>
          <rPr>
            <sz val="9"/>
            <color indexed="81"/>
            <rFont val="Tahoma"/>
            <family val="2"/>
          </rPr>
          <t xml:space="preserve">: Dispatchable hydro generator with an upstream reservoir
</t>
        </r>
        <r>
          <rPr>
            <b/>
            <sz val="9"/>
            <color indexed="81"/>
            <rFont val="Tahoma"/>
            <family val="2"/>
          </rPr>
          <t>Run-of-river (RoR):</t>
        </r>
        <r>
          <rPr>
            <sz val="9"/>
            <color indexed="81"/>
            <rFont val="Tahoma"/>
            <family val="2"/>
          </rPr>
          <t xml:space="preserve"> Hydro generator in a river with no appreciable storage capacity, thus generation is assumed to be non-dispatchable</t>
        </r>
      </text>
    </comment>
    <comment ref="F1" authorId="1" shapeId="0" xr:uid="{00000000-0006-0000-0400-000002000000}">
      <text>
        <r>
          <rPr>
            <b/>
            <sz val="9"/>
            <color indexed="81"/>
            <rFont val="Tahoma"/>
            <family val="2"/>
          </rPr>
          <t>William:</t>
        </r>
        <r>
          <rPr>
            <sz val="9"/>
            <color indexed="81"/>
            <rFont val="Tahoma"/>
            <family val="2"/>
          </rPr>
          <t xml:space="preserve">
My category name, to match Power Plant Input Database</t>
        </r>
      </text>
    </comment>
    <comment ref="AA1" authorId="2" shapeId="0" xr:uid="{00000000-0006-0000-0400-000003000000}">
      <text>
        <r>
          <rPr>
            <b/>
            <sz val="9"/>
            <color indexed="81"/>
            <rFont val="Tahoma"/>
            <family val="2"/>
          </rPr>
          <t>Marte:</t>
        </r>
        <r>
          <rPr>
            <sz val="9"/>
            <color indexed="81"/>
            <rFont val="Tahoma"/>
            <family val="2"/>
          </rPr>
          <t xml:space="preserve">
year?
</t>
        </r>
      </text>
    </comment>
    <comment ref="AL1" authorId="2" shapeId="0" xr:uid="{00000000-0006-0000-0400-000004000000}">
      <text>
        <r>
          <rPr>
            <b/>
            <sz val="9"/>
            <color indexed="81"/>
            <rFont val="Tahoma"/>
            <family val="2"/>
          </rPr>
          <t>Marte:</t>
        </r>
        <r>
          <rPr>
            <sz val="9"/>
            <color indexed="81"/>
            <rFont val="Tahoma"/>
            <family val="2"/>
          </rPr>
          <t xml:space="preserve">
FLOW_ACC_M3/s
160413 NewDavid_data_within_eurodata.xlsx
</t>
        </r>
      </text>
    </comment>
    <comment ref="P3" authorId="3" shapeId="0" xr:uid="{52736E80-4E56-44CC-A921-39401172B1DA}">
      <text>
        <r>
          <rPr>
            <b/>
            <sz val="9"/>
            <color indexed="81"/>
            <rFont val="Tahoma"/>
            <family val="2"/>
          </rPr>
          <t>Diede:</t>
        </r>
        <r>
          <rPr>
            <sz val="9"/>
            <color indexed="81"/>
            <rFont val="Tahoma"/>
            <family val="2"/>
          </rPr>
          <t xml:space="preserve">
Not applicable?</t>
        </r>
      </text>
    </comment>
    <comment ref="AA3" authorId="2" shapeId="0" xr:uid="{00000000-0006-0000-0400-000005000000}">
      <text>
        <r>
          <rPr>
            <b/>
            <sz val="9"/>
            <color indexed="81"/>
            <rFont val="Tahoma"/>
            <family val="2"/>
          </rPr>
          <t>Marte:</t>
        </r>
        <r>
          <rPr>
            <sz val="9"/>
            <color indexed="81"/>
            <rFont val="Tahoma"/>
            <family val="2"/>
          </rPr>
          <t xml:space="preserve">
2007, Enipedia
</t>
        </r>
      </text>
    </comment>
    <comment ref="AH3" authorId="0" shapeId="0" xr:uid="{00000000-0006-0000-0400-000006000000}">
      <text>
        <r>
          <rPr>
            <b/>
            <sz val="9"/>
            <color indexed="81"/>
            <rFont val="Tahoma"/>
            <family val="2"/>
          </rPr>
          <t>W. Zappa:</t>
        </r>
        <r>
          <rPr>
            <sz val="9"/>
            <color indexed="81"/>
            <rFont val="Tahoma"/>
            <family val="2"/>
          </rPr>
          <t xml:space="preserve">
Not in Grand Database</t>
        </r>
      </text>
    </comment>
    <comment ref="AH4" authorId="0" shapeId="0" xr:uid="{00000000-0006-0000-0400-000007000000}">
      <text>
        <r>
          <rPr>
            <b/>
            <sz val="9"/>
            <color indexed="81"/>
            <rFont val="Tahoma"/>
            <family val="2"/>
          </rPr>
          <t>W. Zappa:</t>
        </r>
        <r>
          <rPr>
            <sz val="9"/>
            <color indexed="81"/>
            <rFont val="Tahoma"/>
            <family val="2"/>
          </rPr>
          <t xml:space="preserve">
Not in Grand Database</t>
        </r>
      </text>
    </comment>
    <comment ref="AO4" authorId="2" shapeId="0" xr:uid="{00000000-0006-0000-0400-000008000000}">
      <text>
        <r>
          <rPr>
            <b/>
            <sz val="9"/>
            <color indexed="81"/>
            <rFont val="Tahoma"/>
            <family val="2"/>
          </rPr>
          <t>Marte:</t>
        </r>
        <r>
          <rPr>
            <sz val="9"/>
            <color indexed="81"/>
            <rFont val="Tahoma"/>
            <family val="2"/>
          </rPr>
          <t xml:space="preserve">
Exact location unclear, but it is located in the Our river (wikipedia)</t>
        </r>
      </text>
    </comment>
    <comment ref="U5" authorId="0" shapeId="0" xr:uid="{00000000-0006-0000-0400-000009000000}">
      <text>
        <r>
          <rPr>
            <b/>
            <sz val="9"/>
            <color indexed="81"/>
            <rFont val="Tahoma"/>
            <family val="2"/>
          </rPr>
          <t>W. Zappa:</t>
        </r>
        <r>
          <rPr>
            <sz val="9"/>
            <color indexed="81"/>
            <rFont val="Tahoma"/>
            <family val="2"/>
          </rPr>
          <t xml:space="preserve">
Updated from BFE data</t>
        </r>
      </text>
    </comment>
    <comment ref="D7" authorId="0" shapeId="0" xr:uid="{00000000-0006-0000-0400-00000A000000}">
      <text>
        <r>
          <rPr>
            <b/>
            <sz val="9"/>
            <color indexed="81"/>
            <rFont val="Tahoma"/>
            <family val="2"/>
          </rPr>
          <t>W. Zappa:</t>
        </r>
        <r>
          <rPr>
            <sz val="9"/>
            <color indexed="81"/>
            <rFont val="Tahoma"/>
            <family val="2"/>
          </rPr>
          <t xml:space="preserve">
From ENTSOE detailed capacity by unit classification</t>
        </r>
      </text>
    </comment>
    <comment ref="E7" authorId="0" shapeId="0" xr:uid="{00000000-0006-0000-0400-00000B000000}">
      <text>
        <r>
          <rPr>
            <b/>
            <sz val="9"/>
            <color indexed="81"/>
            <rFont val="Tahoma"/>
            <family val="2"/>
          </rPr>
          <t>W. Zappa:</t>
        </r>
        <r>
          <rPr>
            <sz val="9"/>
            <color indexed="81"/>
            <rFont val="Tahoma"/>
            <family val="2"/>
          </rPr>
          <t xml:space="preserve">
Don't know yet, need LT data from Edwin. Assuming STO for now.</t>
        </r>
      </text>
    </comment>
    <comment ref="P8" authorId="3" shapeId="0" xr:uid="{E8656923-BCEC-4299-AAA8-9700206B0D59}">
      <text>
        <r>
          <rPr>
            <b/>
            <sz val="9"/>
            <color indexed="81"/>
            <rFont val="Tahoma"/>
            <family val="2"/>
          </rPr>
          <t>Diede:</t>
        </r>
        <r>
          <rPr>
            <sz val="9"/>
            <color indexed="81"/>
            <rFont val="Tahoma"/>
            <family val="2"/>
          </rPr>
          <t xml:space="preserve">
Not applicable?</t>
        </r>
      </text>
    </comment>
    <comment ref="AA8" authorId="2" shapeId="0" xr:uid="{00000000-0006-0000-0400-00000C000000}">
      <text>
        <r>
          <rPr>
            <b/>
            <sz val="9"/>
            <color indexed="81"/>
            <rFont val="Tahoma"/>
            <family val="2"/>
          </rPr>
          <t>Marte:</t>
        </r>
        <r>
          <rPr>
            <sz val="9"/>
            <color indexed="81"/>
            <rFont val="Tahoma"/>
            <family val="2"/>
          </rPr>
          <t xml:space="preserve">
2007, Enipedia
</t>
        </r>
      </text>
    </comment>
    <comment ref="AH8" authorId="0" shapeId="0" xr:uid="{00000000-0006-0000-0400-00000D000000}">
      <text>
        <r>
          <rPr>
            <b/>
            <sz val="9"/>
            <color indexed="81"/>
            <rFont val="Tahoma"/>
            <family val="2"/>
          </rPr>
          <t>W. Zappa:</t>
        </r>
        <r>
          <rPr>
            <sz val="9"/>
            <color indexed="81"/>
            <rFont val="Tahoma"/>
            <family val="2"/>
          </rPr>
          <t xml:space="preserve">
Not in Grand Database</t>
        </r>
      </text>
    </comment>
    <comment ref="D9" authorId="0" shapeId="0" xr:uid="{00000000-0006-0000-0400-00000E000000}">
      <text>
        <r>
          <rPr>
            <b/>
            <sz val="9"/>
            <color indexed="81"/>
            <rFont val="Tahoma"/>
            <family val="2"/>
          </rPr>
          <t>W. Zappa:</t>
        </r>
        <r>
          <rPr>
            <sz val="9"/>
            <color indexed="81"/>
            <rFont val="Tahoma"/>
            <family val="2"/>
          </rPr>
          <t xml:space="preserve">
From ENTSOE detailed capacity by unit classification</t>
        </r>
      </text>
    </comment>
    <comment ref="E9" authorId="0" shapeId="0" xr:uid="{00000000-0006-0000-0400-00000F000000}">
      <text>
        <r>
          <rPr>
            <b/>
            <sz val="9"/>
            <color indexed="81"/>
            <rFont val="Tahoma"/>
            <family val="2"/>
          </rPr>
          <t>W. Zappa:</t>
        </r>
        <r>
          <rPr>
            <sz val="9"/>
            <color indexed="81"/>
            <rFont val="Tahoma"/>
            <family val="2"/>
          </rPr>
          <t xml:space="preserve">
Don't know yet, need LT data from Edwin. Assuming STO for now.</t>
        </r>
      </text>
    </comment>
    <comment ref="G9" authorId="2" shapeId="0" xr:uid="{00000000-0006-0000-0400-000010000000}">
      <text>
        <r>
          <rPr>
            <b/>
            <sz val="9"/>
            <color indexed="81"/>
            <rFont val="Tahoma"/>
            <family val="2"/>
          </rPr>
          <t>Marte:</t>
        </r>
        <r>
          <rPr>
            <sz val="9"/>
            <color indexed="81"/>
            <rFont val="Tahoma"/>
            <family val="2"/>
          </rPr>
          <t xml:space="preserve">
Part of the plant is owned by Serbia, this part is not accounted for here
</t>
        </r>
      </text>
    </comment>
    <comment ref="AG10" authorId="2" shapeId="0" xr:uid="{00000000-0006-0000-0400-000011000000}">
      <text>
        <r>
          <rPr>
            <b/>
            <sz val="9"/>
            <color indexed="81"/>
            <rFont val="Tahoma"/>
            <family val="2"/>
          </rPr>
          <t>Marte:</t>
        </r>
        <r>
          <rPr>
            <sz val="9"/>
            <color indexed="81"/>
            <rFont val="Tahoma"/>
            <family val="2"/>
          </rPr>
          <t xml:space="preserve">
taken together because they lay directly next to each other</t>
        </r>
      </text>
    </comment>
    <comment ref="AH10" authorId="0" shapeId="0" xr:uid="{00000000-0006-0000-0400-000012000000}">
      <text>
        <r>
          <rPr>
            <b/>
            <sz val="9"/>
            <color indexed="81"/>
            <rFont val="Tahoma"/>
            <family val="2"/>
          </rPr>
          <t>W. Zappa:</t>
        </r>
        <r>
          <rPr>
            <sz val="9"/>
            <color indexed="81"/>
            <rFont val="Tahoma"/>
            <family val="2"/>
          </rPr>
          <t xml:space="preserve">
Not in Grand Database</t>
        </r>
      </text>
    </comment>
    <comment ref="A11" authorId="0" shapeId="0" xr:uid="{00000000-0006-0000-0400-000013000000}">
      <text>
        <r>
          <rPr>
            <b/>
            <sz val="9"/>
            <color indexed="81"/>
            <rFont val="Tahoma"/>
            <family val="2"/>
          </rPr>
          <t>W. Zappa:</t>
        </r>
        <r>
          <rPr>
            <sz val="9"/>
            <color indexed="81"/>
            <rFont val="Tahoma"/>
            <family val="2"/>
          </rPr>
          <t xml:space="preserve">
Actually 2 plants, Sysima and Langsima</t>
        </r>
      </text>
    </comment>
    <comment ref="E11" authorId="0" shapeId="0" xr:uid="{00000000-0006-0000-0400-000014000000}">
      <text>
        <r>
          <rPr>
            <b/>
            <sz val="9"/>
            <color indexed="81"/>
            <rFont val="Tahoma"/>
            <family val="2"/>
          </rPr>
          <t>W. Zappa:</t>
        </r>
        <r>
          <rPr>
            <sz val="9"/>
            <color indexed="81"/>
            <rFont val="Tahoma"/>
            <family val="2"/>
          </rPr>
          <t xml:space="preserve">
Don't know yet, need LT data from Edwin. Assuming STO for now.</t>
        </r>
      </text>
    </comment>
    <comment ref="AG11" authorId="0" shapeId="0" xr:uid="{00000000-0006-0000-0400-000015000000}">
      <text>
        <r>
          <rPr>
            <b/>
            <sz val="9"/>
            <color indexed="81"/>
            <rFont val="Tahoma"/>
            <family val="2"/>
          </rPr>
          <t>W. Zappa:</t>
        </r>
        <r>
          <rPr>
            <sz val="9"/>
            <color indexed="81"/>
            <rFont val="Tahoma"/>
            <family val="2"/>
          </rPr>
          <t xml:space="preserve">
Also contains lake Rundavatn (Olbogavatnet in Google), but this is much smaller and not in GRAND</t>
        </r>
      </text>
    </comment>
    <comment ref="AP12" authorId="0" shapeId="0" xr:uid="{00000000-0006-0000-0400-000016000000}">
      <text>
        <r>
          <rPr>
            <b/>
            <sz val="9"/>
            <color indexed="81"/>
            <rFont val="Tahoma"/>
            <family val="2"/>
          </rPr>
          <t>W. Zappa:</t>
        </r>
        <r>
          <rPr>
            <sz val="9"/>
            <color indexed="81"/>
            <rFont val="Tahoma"/>
            <family val="2"/>
          </rPr>
          <t xml:space="preserve">
Assuming same
</t>
        </r>
      </text>
    </comment>
    <comment ref="AH14" authorId="0" shapeId="0" xr:uid="{00000000-0006-0000-0400-000017000000}">
      <text>
        <r>
          <rPr>
            <b/>
            <sz val="9"/>
            <color indexed="81"/>
            <rFont val="Tahoma"/>
            <family val="2"/>
          </rPr>
          <t>W. Zappa:</t>
        </r>
        <r>
          <rPr>
            <sz val="9"/>
            <color indexed="81"/>
            <rFont val="Tahoma"/>
            <family val="2"/>
          </rPr>
          <t xml:space="preserve">
Not in Grand Database</t>
        </r>
      </text>
    </comment>
    <comment ref="V15" authorId="2" shapeId="0" xr:uid="{00000000-0006-0000-0400-000018000000}">
      <text>
        <r>
          <rPr>
            <b/>
            <sz val="9"/>
            <color indexed="81"/>
            <rFont val="Tahoma"/>
            <family val="2"/>
          </rPr>
          <t>Marte:</t>
        </r>
        <r>
          <rPr>
            <sz val="9"/>
            <color indexed="81"/>
            <rFont val="Tahoma"/>
            <family val="2"/>
          </rPr>
          <t xml:space="preserve">
assumed equal to turbine cap
</t>
        </r>
      </text>
    </comment>
    <comment ref="AH15" authorId="0" shapeId="0" xr:uid="{00000000-0006-0000-0400-000019000000}">
      <text>
        <r>
          <rPr>
            <b/>
            <sz val="9"/>
            <color indexed="81"/>
            <rFont val="Tahoma"/>
            <family val="2"/>
          </rPr>
          <t>W. Zappa:</t>
        </r>
        <r>
          <rPr>
            <sz val="9"/>
            <color indexed="81"/>
            <rFont val="Tahoma"/>
            <family val="2"/>
          </rPr>
          <t xml:space="preserve">
Not in Grand Database</t>
        </r>
      </text>
    </comment>
    <comment ref="AH16" authorId="0" shapeId="0" xr:uid="{00000000-0006-0000-0400-00001A000000}">
      <text>
        <r>
          <rPr>
            <b/>
            <sz val="9"/>
            <color indexed="81"/>
            <rFont val="Tahoma"/>
            <family val="2"/>
          </rPr>
          <t>W. Zappa:</t>
        </r>
        <r>
          <rPr>
            <sz val="9"/>
            <color indexed="81"/>
            <rFont val="Tahoma"/>
            <family val="2"/>
          </rPr>
          <t xml:space="preserve">
Not in Grand Database,
small balancing reservoir</t>
        </r>
      </text>
    </comment>
    <comment ref="AG17" authorId="2" shapeId="0" xr:uid="{00000000-0006-0000-0400-00001B000000}">
      <text>
        <r>
          <rPr>
            <b/>
            <sz val="9"/>
            <color indexed="81"/>
            <rFont val="Tahoma"/>
            <family val="2"/>
          </rPr>
          <t>Marte:</t>
        </r>
        <r>
          <rPr>
            <sz val="9"/>
            <color indexed="81"/>
            <rFont val="Tahoma"/>
            <family val="2"/>
          </rPr>
          <t xml:space="preserve">
taken together because they lay directly next to each other
</t>
        </r>
      </text>
    </comment>
    <comment ref="AH17" authorId="0" shapeId="0" xr:uid="{00000000-0006-0000-0400-00001C000000}">
      <text>
        <r>
          <rPr>
            <b/>
            <sz val="9"/>
            <color indexed="81"/>
            <rFont val="Tahoma"/>
            <family val="2"/>
          </rPr>
          <t>W. Zappa:</t>
        </r>
        <r>
          <rPr>
            <sz val="9"/>
            <color indexed="81"/>
            <rFont val="Tahoma"/>
            <family val="2"/>
          </rPr>
          <t xml:space="preserve">
Not in Grand Database</t>
        </r>
      </text>
    </comment>
    <comment ref="AH18" authorId="0" shapeId="0" xr:uid="{00000000-0006-0000-0400-00001D000000}">
      <text>
        <r>
          <rPr>
            <b/>
            <sz val="9"/>
            <color indexed="81"/>
            <rFont val="Tahoma"/>
            <family val="2"/>
          </rPr>
          <t>W. Zappa:</t>
        </r>
        <r>
          <rPr>
            <sz val="9"/>
            <color indexed="81"/>
            <rFont val="Tahoma"/>
            <family val="2"/>
          </rPr>
          <t xml:space="preserve">
Not in Grand Database</t>
        </r>
      </text>
    </comment>
    <comment ref="AU18" authorId="2" shapeId="0" xr:uid="{00000000-0006-0000-0400-00001E000000}">
      <text>
        <r>
          <rPr>
            <b/>
            <sz val="9"/>
            <color indexed="81"/>
            <rFont val="Tahoma"/>
            <family val="2"/>
          </rPr>
          <t>Marte:</t>
        </r>
        <r>
          <rPr>
            <sz val="9"/>
            <color indexed="81"/>
            <rFont val="Tahoma"/>
            <family val="2"/>
          </rPr>
          <t xml:space="preserve">
assumed to be same as in turbine mode! estimation
</t>
        </r>
      </text>
    </comment>
    <comment ref="P19" authorId="3" shapeId="0" xr:uid="{1B7F1CA2-12F1-4DAF-9F7B-79D46A520838}">
      <text>
        <r>
          <rPr>
            <b/>
            <sz val="9"/>
            <color indexed="81"/>
            <rFont val="Tahoma"/>
            <family val="2"/>
          </rPr>
          <t>Diede:</t>
        </r>
        <r>
          <rPr>
            <sz val="9"/>
            <color indexed="81"/>
            <rFont val="Tahoma"/>
            <family val="2"/>
          </rPr>
          <t xml:space="preserve">
Location of river</t>
        </r>
      </text>
    </comment>
    <comment ref="AH19" authorId="0" shapeId="0" xr:uid="{00000000-0006-0000-0400-00001F000000}">
      <text>
        <r>
          <rPr>
            <b/>
            <sz val="9"/>
            <color indexed="81"/>
            <rFont val="Tahoma"/>
            <family val="2"/>
          </rPr>
          <t>W. Zappa:</t>
        </r>
        <r>
          <rPr>
            <sz val="9"/>
            <color indexed="81"/>
            <rFont val="Tahoma"/>
            <family val="2"/>
          </rPr>
          <t xml:space="preserve">
Not in Grand Database</t>
        </r>
      </text>
    </comment>
    <comment ref="D20" authorId="0" shapeId="0" xr:uid="{00000000-0006-0000-0400-000020000000}">
      <text>
        <r>
          <rPr>
            <b/>
            <sz val="9"/>
            <color indexed="81"/>
            <rFont val="Tahoma"/>
            <family val="2"/>
          </rPr>
          <t>W. Zappa:</t>
        </r>
        <r>
          <rPr>
            <sz val="9"/>
            <color indexed="81"/>
            <rFont val="Tahoma"/>
            <family val="2"/>
          </rPr>
          <t xml:space="preserve">
From ENTSOE detailed capacity by unit classification</t>
        </r>
      </text>
    </comment>
    <comment ref="E20" authorId="0" shapeId="0" xr:uid="{00000000-0006-0000-0400-000021000000}">
      <text>
        <r>
          <rPr>
            <b/>
            <sz val="9"/>
            <color indexed="81"/>
            <rFont val="Tahoma"/>
            <family val="2"/>
          </rPr>
          <t>W. Zappa:</t>
        </r>
        <r>
          <rPr>
            <sz val="9"/>
            <color indexed="81"/>
            <rFont val="Tahoma"/>
            <family val="2"/>
          </rPr>
          <t xml:space="preserve">
Don't know yet, need LT data from Edwin. Assuming STO for now.</t>
        </r>
      </text>
    </comment>
    <comment ref="AH20" authorId="0" shapeId="0" xr:uid="{00000000-0006-0000-0400-000022000000}">
      <text>
        <r>
          <rPr>
            <b/>
            <sz val="9"/>
            <color indexed="81"/>
            <rFont val="Tahoma"/>
            <family val="2"/>
          </rPr>
          <t>W. Zappa:</t>
        </r>
        <r>
          <rPr>
            <sz val="9"/>
            <color indexed="81"/>
            <rFont val="Tahoma"/>
            <family val="2"/>
          </rPr>
          <t xml:space="preserve">
This could be a special one, several rivers/dams in cascade
Messaure, Ligga, Harsranget, Porjus</t>
        </r>
      </text>
    </comment>
    <comment ref="A21" authorId="0" shapeId="0" xr:uid="{00000000-0006-0000-0400-000023000000}">
      <text>
        <r>
          <rPr>
            <b/>
            <sz val="9"/>
            <color indexed="81"/>
            <rFont val="Tahoma"/>
            <family val="2"/>
          </rPr>
          <t>W. Zappa:</t>
        </r>
        <r>
          <rPr>
            <sz val="9"/>
            <color indexed="81"/>
            <rFont val="Tahoma"/>
            <family val="2"/>
          </rPr>
          <t xml:space="preserve">
Known as Sira-Kvina in Stadkraft list of plants in PDF, but Tonstad on website</t>
        </r>
      </text>
    </comment>
    <comment ref="D21" authorId="0" shapeId="0" xr:uid="{00000000-0006-0000-0400-000024000000}">
      <text>
        <r>
          <rPr>
            <b/>
            <sz val="9"/>
            <color indexed="81"/>
            <rFont val="Tahoma"/>
            <family val="2"/>
          </rPr>
          <t>W. Zappa:</t>
        </r>
        <r>
          <rPr>
            <sz val="9"/>
            <color indexed="81"/>
            <rFont val="Tahoma"/>
            <family val="2"/>
          </rPr>
          <t xml:space="preserve">
From ENTSOE detailed capacity by unit classification</t>
        </r>
      </text>
    </comment>
    <comment ref="E21" authorId="0" shapeId="0" xr:uid="{00000000-0006-0000-0400-000025000000}">
      <text>
        <r>
          <rPr>
            <b/>
            <sz val="9"/>
            <color indexed="81"/>
            <rFont val="Tahoma"/>
            <family val="2"/>
          </rPr>
          <t>W. Zappa:</t>
        </r>
        <r>
          <rPr>
            <sz val="9"/>
            <color indexed="81"/>
            <rFont val="Tahoma"/>
            <family val="2"/>
          </rPr>
          <t xml:space="preserve">
Don't know yet, need LT data from Edwin. Assuming STO for now.</t>
        </r>
      </text>
    </comment>
    <comment ref="U21" authorId="0" shapeId="0" xr:uid="{00000000-0006-0000-0400-000026000000}">
      <text>
        <r>
          <rPr>
            <b/>
            <sz val="9"/>
            <color indexed="81"/>
            <rFont val="Tahoma"/>
            <family val="2"/>
          </rPr>
          <t>W. Zappa:</t>
        </r>
        <r>
          <rPr>
            <sz val="9"/>
            <color indexed="81"/>
            <rFont val="Tahoma"/>
            <family val="2"/>
          </rPr>
          <t xml:space="preserve">
Size increased
https://en.wikipedia.org/wiki/Tonstad_Hydroelectric_Power_Station</t>
        </r>
      </text>
    </comment>
    <comment ref="AA21" authorId="2" shapeId="0" xr:uid="{00000000-0006-0000-0400-000027000000}">
      <text>
        <r>
          <rPr>
            <b/>
            <sz val="9"/>
            <color indexed="81"/>
            <rFont val="Tahoma"/>
            <family val="2"/>
          </rPr>
          <t>Marte:</t>
        </r>
        <r>
          <rPr>
            <sz val="9"/>
            <color indexed="81"/>
            <rFont val="Tahoma"/>
            <family val="2"/>
          </rPr>
          <t xml:space="preserve">
Wikipedia. Maybe too high?</t>
        </r>
      </text>
    </comment>
    <comment ref="AH21" authorId="0" shapeId="0" xr:uid="{00000000-0006-0000-0400-000028000000}">
      <text>
        <r>
          <rPr>
            <b/>
            <sz val="9"/>
            <color indexed="81"/>
            <rFont val="Tahoma"/>
            <family val="2"/>
          </rPr>
          <t>W. Zappa:</t>
        </r>
        <r>
          <rPr>
            <sz val="9"/>
            <color indexed="81"/>
            <rFont val="Tahoma"/>
            <family val="2"/>
          </rPr>
          <t xml:space="preserve">
Not in Grand Database</t>
        </r>
      </text>
    </comment>
    <comment ref="P22" authorId="3" shapeId="0" xr:uid="{7646A555-B139-496E-8199-9917DC9BFCA0}">
      <text>
        <r>
          <rPr>
            <b/>
            <sz val="9"/>
            <color indexed="81"/>
            <rFont val="Tahoma"/>
            <family val="2"/>
          </rPr>
          <t>Diede:</t>
        </r>
        <r>
          <rPr>
            <sz val="9"/>
            <color indexed="81"/>
            <rFont val="Tahoma"/>
            <family val="2"/>
          </rPr>
          <t xml:space="preserve">
Not in map Edwin</t>
        </r>
      </text>
    </comment>
    <comment ref="AA22" authorId="2" shapeId="0" xr:uid="{00000000-0006-0000-0400-000029000000}">
      <text>
        <r>
          <rPr>
            <b/>
            <sz val="9"/>
            <color indexed="81"/>
            <rFont val="Tahoma"/>
            <family val="2"/>
          </rPr>
          <t>Marte:</t>
        </r>
        <r>
          <rPr>
            <sz val="9"/>
            <color indexed="81"/>
            <rFont val="Tahoma"/>
            <family val="2"/>
          </rPr>
          <t xml:space="preserve">
2007, Enipedia
</t>
        </r>
      </text>
    </comment>
    <comment ref="AA23" authorId="2" shapeId="0" xr:uid="{00000000-0006-0000-0400-00002A000000}">
      <text>
        <r>
          <rPr>
            <b/>
            <sz val="9"/>
            <color indexed="81"/>
            <rFont val="Tahoma"/>
            <family val="2"/>
          </rPr>
          <t>Marte:</t>
        </r>
        <r>
          <rPr>
            <sz val="9"/>
            <color indexed="81"/>
            <rFont val="Tahoma"/>
            <family val="2"/>
          </rPr>
          <t xml:space="preserve">
2007, Enipedia</t>
        </r>
      </text>
    </comment>
    <comment ref="AG23" authorId="2" shapeId="0" xr:uid="{00000000-0006-0000-0400-00002B000000}">
      <text>
        <r>
          <rPr>
            <b/>
            <sz val="9"/>
            <color indexed="81"/>
            <rFont val="Tahoma"/>
            <family val="2"/>
          </rPr>
          <t>Marte:</t>
        </r>
        <r>
          <rPr>
            <sz val="9"/>
            <color indexed="81"/>
            <rFont val="Tahoma"/>
            <family val="2"/>
          </rPr>
          <t xml:space="preserve">
names of the two dams withholding the reservoir, reservoir name unknown</t>
        </r>
      </text>
    </comment>
    <comment ref="AH23" authorId="0" shapeId="0" xr:uid="{00000000-0006-0000-0400-00002C000000}">
      <text>
        <r>
          <rPr>
            <b/>
            <sz val="9"/>
            <color indexed="81"/>
            <rFont val="Tahoma"/>
            <family val="2"/>
          </rPr>
          <t>W. Zappa:</t>
        </r>
        <r>
          <rPr>
            <sz val="9"/>
            <color indexed="81"/>
            <rFont val="Tahoma"/>
            <family val="2"/>
          </rPr>
          <t xml:space="preserve">
Not in Grand Database</t>
        </r>
      </text>
    </comment>
    <comment ref="AA24" authorId="2" shapeId="0" xr:uid="{00000000-0006-0000-0400-00002D000000}">
      <text>
        <r>
          <rPr>
            <b/>
            <sz val="9"/>
            <color indexed="81"/>
            <rFont val="Tahoma"/>
            <family val="2"/>
          </rPr>
          <t>Marte:</t>
        </r>
        <r>
          <rPr>
            <sz val="9"/>
            <color indexed="81"/>
            <rFont val="Tahoma"/>
            <family val="2"/>
          </rPr>
          <t xml:space="preserve">
average 1999-2011
</t>
        </r>
      </text>
    </comment>
    <comment ref="AH24" authorId="0" shapeId="0" xr:uid="{00000000-0006-0000-0400-00002E000000}">
      <text>
        <r>
          <rPr>
            <b/>
            <sz val="9"/>
            <color indexed="81"/>
            <rFont val="Tahoma"/>
            <family val="2"/>
          </rPr>
          <t>W. Zappa:</t>
        </r>
        <r>
          <rPr>
            <sz val="9"/>
            <color indexed="81"/>
            <rFont val="Tahoma"/>
            <family val="2"/>
          </rPr>
          <t xml:space="preserve">
Not in Grand Database,
small balancing reservoir</t>
        </r>
      </text>
    </comment>
    <comment ref="D25" authorId="0" shapeId="0" xr:uid="{00000000-0006-0000-0400-00002F000000}">
      <text>
        <r>
          <rPr>
            <b/>
            <sz val="9"/>
            <color indexed="81"/>
            <rFont val="Tahoma"/>
            <family val="2"/>
          </rPr>
          <t>W. Zappa:</t>
        </r>
        <r>
          <rPr>
            <sz val="9"/>
            <color indexed="81"/>
            <rFont val="Tahoma"/>
            <family val="2"/>
          </rPr>
          <t xml:space="preserve">
From ENTSOE detailed capacity by unit classification</t>
        </r>
      </text>
    </comment>
    <comment ref="AA25" authorId="2" shapeId="0" xr:uid="{00000000-0006-0000-0400-000030000000}">
      <text>
        <r>
          <rPr>
            <b/>
            <sz val="9"/>
            <color indexed="81"/>
            <rFont val="Tahoma"/>
            <family val="2"/>
          </rPr>
          <t>Marte:</t>
        </r>
        <r>
          <rPr>
            <sz val="9"/>
            <color indexed="81"/>
            <rFont val="Tahoma"/>
            <family val="2"/>
          </rPr>
          <t xml:space="preserve">
average annual generation 2001-2009
</t>
        </r>
      </text>
    </comment>
    <comment ref="AA26" authorId="2" shapeId="0" xr:uid="{00000000-0006-0000-0400-000031000000}">
      <text>
        <r>
          <rPr>
            <b/>
            <sz val="9"/>
            <color indexed="81"/>
            <rFont val="Tahoma"/>
            <family val="2"/>
          </rPr>
          <t>Marte:</t>
        </r>
        <r>
          <rPr>
            <sz val="9"/>
            <color indexed="81"/>
            <rFont val="Tahoma"/>
            <family val="2"/>
          </rPr>
          <t xml:space="preserve">
average 2009-2011 (GEO)
</t>
        </r>
      </text>
    </comment>
    <comment ref="D28" authorId="0" shapeId="0" xr:uid="{00000000-0006-0000-0400-000032000000}">
      <text>
        <r>
          <rPr>
            <b/>
            <sz val="9"/>
            <color indexed="81"/>
            <rFont val="Tahoma"/>
            <family val="2"/>
          </rPr>
          <t>W. Zappa:</t>
        </r>
        <r>
          <rPr>
            <sz val="9"/>
            <color indexed="81"/>
            <rFont val="Tahoma"/>
            <family val="2"/>
          </rPr>
          <t xml:space="preserve">
From ENTSOE detailed capacity by unit classification</t>
        </r>
      </text>
    </comment>
    <comment ref="E28" authorId="0" shapeId="0" xr:uid="{00000000-0006-0000-0400-000033000000}">
      <text>
        <r>
          <rPr>
            <b/>
            <sz val="9"/>
            <color indexed="81"/>
            <rFont val="Tahoma"/>
            <family val="2"/>
          </rPr>
          <t>W. Zappa:</t>
        </r>
        <r>
          <rPr>
            <sz val="9"/>
            <color indexed="81"/>
            <rFont val="Tahoma"/>
            <family val="2"/>
          </rPr>
          <t xml:space="preserve">
Don't know yet, need LT data from Edwin. Assuming STO for now.</t>
        </r>
      </text>
    </comment>
    <comment ref="AP29" authorId="2" shapeId="0" xr:uid="{00000000-0006-0000-0400-000034000000}">
      <text>
        <r>
          <rPr>
            <b/>
            <sz val="9"/>
            <color indexed="81"/>
            <rFont val="Tahoma"/>
            <family val="2"/>
          </rPr>
          <t>Marte:</t>
        </r>
        <r>
          <rPr>
            <sz val="9"/>
            <color indexed="81"/>
            <rFont val="Tahoma"/>
            <family val="2"/>
          </rPr>
          <t xml:space="preserve">
? ="drain  capacity". spillway capacity is 3039 m3/s. http://www.seprem.es/ficha.php?idpresa=52&amp;p=2</t>
        </r>
      </text>
    </comment>
    <comment ref="AR29" authorId="2" shapeId="0" xr:uid="{00000000-0006-0000-0400-000035000000}">
      <text>
        <r>
          <rPr>
            <b/>
            <sz val="9"/>
            <color indexed="81"/>
            <rFont val="Tahoma"/>
            <family val="2"/>
          </rPr>
          <t>Marte:</t>
        </r>
        <r>
          <rPr>
            <sz val="9"/>
            <color indexed="81"/>
            <rFont val="Tahoma"/>
            <family val="2"/>
          </rPr>
          <t xml:space="preserve">
Marte:
assumed to be same as in turbine mode! estimation</t>
        </r>
      </text>
    </comment>
    <comment ref="W31" authorId="2" shapeId="0" xr:uid="{00000000-0006-0000-0400-000036000000}">
      <text>
        <r>
          <rPr>
            <b/>
            <sz val="9"/>
            <color indexed="81"/>
            <rFont val="Tahoma"/>
            <family val="2"/>
          </rPr>
          <t>Marte:</t>
        </r>
        <r>
          <rPr>
            <sz val="9"/>
            <color indexed="81"/>
            <rFont val="Tahoma"/>
            <family val="2"/>
          </rPr>
          <t xml:space="preserve">
start up time for pumping: 170s</t>
        </r>
      </text>
    </comment>
    <comment ref="AH31" authorId="0" shapeId="0" xr:uid="{00000000-0006-0000-0400-000037000000}">
      <text>
        <r>
          <rPr>
            <b/>
            <sz val="9"/>
            <color indexed="81"/>
            <rFont val="Tahoma"/>
            <family val="2"/>
          </rPr>
          <t>W. Zappa:</t>
        </r>
        <r>
          <rPr>
            <sz val="9"/>
            <color indexed="81"/>
            <rFont val="Tahoma"/>
            <family val="2"/>
          </rPr>
          <t xml:space="preserve">
Not in Grand Database</t>
        </r>
      </text>
    </comment>
    <comment ref="AQ32" authorId="0" shapeId="0" xr:uid="{00000000-0006-0000-0400-000038000000}">
      <text>
        <r>
          <rPr>
            <b/>
            <sz val="9"/>
            <color indexed="81"/>
            <rFont val="Tahoma"/>
            <family val="2"/>
          </rPr>
          <t>W. Zappa:</t>
        </r>
        <r>
          <rPr>
            <sz val="9"/>
            <color indexed="81"/>
            <rFont val="Tahoma"/>
            <family val="2"/>
          </rPr>
          <t xml:space="preserve">
Don't know why this is so low</t>
        </r>
      </text>
    </comment>
    <comment ref="AA33" authorId="2" shapeId="0" xr:uid="{00000000-0006-0000-0400-000039000000}">
      <text>
        <r>
          <rPr>
            <b/>
            <sz val="9"/>
            <color indexed="81"/>
            <rFont val="Tahoma"/>
            <family val="2"/>
          </rPr>
          <t>Marte:</t>
        </r>
        <r>
          <rPr>
            <sz val="9"/>
            <color indexed="81"/>
            <rFont val="Tahoma"/>
            <family val="2"/>
          </rPr>
          <t xml:space="preserve">
excluding pumped storage?
</t>
        </r>
      </text>
    </comment>
    <comment ref="N34" authorId="0" shapeId="0" xr:uid="{00000000-0006-0000-0400-00003A000000}">
      <text>
        <r>
          <rPr>
            <b/>
            <sz val="9"/>
            <color indexed="81"/>
            <rFont val="Tahoma"/>
            <family val="2"/>
          </rPr>
          <t>W. Zappa:</t>
        </r>
        <r>
          <rPr>
            <sz val="9"/>
            <color indexed="81"/>
            <rFont val="Tahoma"/>
            <family val="2"/>
          </rPr>
          <t xml:space="preserve">
Don't know exactly</t>
        </r>
      </text>
    </comment>
    <comment ref="P34" authorId="0" shapeId="0" xr:uid="{79F9F8D0-F2A3-431E-BFD3-2C5511A96838}">
      <text>
        <r>
          <rPr>
            <b/>
            <sz val="9"/>
            <color indexed="81"/>
            <rFont val="Tahoma"/>
            <family val="2"/>
          </rPr>
          <t>W. Zappa:</t>
        </r>
        <r>
          <rPr>
            <sz val="9"/>
            <color indexed="81"/>
            <rFont val="Tahoma"/>
            <family val="2"/>
          </rPr>
          <t xml:space="preserve">
Don't know exactly</t>
        </r>
      </text>
    </comment>
    <comment ref="AH34" authorId="0" shapeId="0" xr:uid="{00000000-0006-0000-0400-00003B000000}">
      <text>
        <r>
          <rPr>
            <b/>
            <sz val="9"/>
            <color indexed="81"/>
            <rFont val="Tahoma"/>
            <family val="2"/>
          </rPr>
          <t>W. Zappa:</t>
        </r>
        <r>
          <rPr>
            <sz val="9"/>
            <color indexed="81"/>
            <rFont val="Tahoma"/>
            <family val="2"/>
          </rPr>
          <t xml:space="preserve">
Not in Grand Database</t>
        </r>
      </text>
    </comment>
    <comment ref="AK34" authorId="0" shapeId="0" xr:uid="{00000000-0006-0000-0400-00003C000000}">
      <text>
        <r>
          <rPr>
            <b/>
            <sz val="9"/>
            <color indexed="81"/>
            <rFont val="Tahoma"/>
            <family val="2"/>
          </rPr>
          <t>W. Zappa:</t>
        </r>
        <r>
          <rPr>
            <sz val="9"/>
            <color indexed="81"/>
            <rFont val="Tahoma"/>
            <family val="2"/>
          </rPr>
          <t xml:space="preserve">
https://no.wikipedia.org/wiki/Malta-Reisseck_vannkraftverk</t>
        </r>
      </text>
    </comment>
    <comment ref="AL34" authorId="0" shapeId="0" xr:uid="{00000000-0006-0000-0400-00003D000000}">
      <text>
        <r>
          <rPr>
            <b/>
            <sz val="9"/>
            <color indexed="81"/>
            <rFont val="Tahoma"/>
            <family val="2"/>
          </rPr>
          <t>W. Zappa:</t>
        </r>
        <r>
          <rPr>
            <sz val="9"/>
            <color indexed="81"/>
            <rFont val="Tahoma"/>
            <family val="2"/>
          </rPr>
          <t xml:space="preserve">
Volume 1.3 Mm3</t>
        </r>
      </text>
    </comment>
    <comment ref="AM34" authorId="0" shapeId="0" xr:uid="{00000000-0006-0000-0400-00003E000000}">
      <text>
        <r>
          <rPr>
            <b/>
            <sz val="9"/>
            <color indexed="81"/>
            <rFont val="Tahoma"/>
            <family val="2"/>
          </rPr>
          <t>W. Zappa:</t>
        </r>
        <r>
          <rPr>
            <sz val="9"/>
            <color indexed="81"/>
            <rFont val="Tahoma"/>
            <family val="2"/>
          </rPr>
          <t xml:space="preserve">
Not in Grand Database</t>
        </r>
      </text>
    </comment>
    <comment ref="AP34" authorId="0" shapeId="0" xr:uid="{00000000-0006-0000-0400-00003F000000}">
      <text>
        <r>
          <rPr>
            <b/>
            <sz val="9"/>
            <color indexed="81"/>
            <rFont val="Tahoma"/>
            <family val="2"/>
          </rPr>
          <t>W. Zappa:</t>
        </r>
        <r>
          <rPr>
            <sz val="9"/>
            <color indexed="81"/>
            <rFont val="Tahoma"/>
            <family val="2"/>
          </rPr>
          <t xml:space="preserve">
Elevation of grosser muhldorfer - turbine elevation
https://www.verbund.com/en-de/about-verbund/power-plants/our-power-plants/reisseck2
http://www.power-technology.com/projects/reisseck-ii-pumped-storage-power-plant-carinthia/reisseck-ii-pumped-storage-power-plant-carinthia1.html</t>
        </r>
      </text>
    </comment>
    <comment ref="AA35" authorId="2" shapeId="0" xr:uid="{00000000-0006-0000-0400-000040000000}">
      <text>
        <r>
          <rPr>
            <b/>
            <sz val="9"/>
            <color indexed="81"/>
            <rFont val="Tahoma"/>
            <family val="2"/>
          </rPr>
          <t>Marte:</t>
        </r>
        <r>
          <rPr>
            <sz val="9"/>
            <color indexed="81"/>
            <rFont val="Tahoma"/>
            <family val="2"/>
          </rPr>
          <t xml:space="preserve">
2010
</t>
        </r>
      </text>
    </comment>
    <comment ref="AH35" authorId="0" shapeId="0" xr:uid="{00000000-0006-0000-0400-000041000000}">
      <text>
        <r>
          <rPr>
            <b/>
            <sz val="9"/>
            <color indexed="81"/>
            <rFont val="Tahoma"/>
            <family val="2"/>
          </rPr>
          <t>W. Zappa:</t>
        </r>
        <r>
          <rPr>
            <sz val="9"/>
            <color indexed="81"/>
            <rFont val="Tahoma"/>
            <family val="2"/>
          </rPr>
          <t xml:space="preserve">
Not in Grand Database,
small balancing reservoir</t>
        </r>
      </text>
    </comment>
    <comment ref="D36" authorId="0" shapeId="0" xr:uid="{00000000-0006-0000-0400-000042000000}">
      <text>
        <r>
          <rPr>
            <b/>
            <sz val="9"/>
            <color indexed="81"/>
            <rFont val="Tahoma"/>
            <family val="2"/>
          </rPr>
          <t>W. Zappa:</t>
        </r>
        <r>
          <rPr>
            <sz val="9"/>
            <color indexed="81"/>
            <rFont val="Tahoma"/>
            <family val="2"/>
          </rPr>
          <t xml:space="preserve">
From ENTSOE detailed capacity by unit classification</t>
        </r>
      </text>
    </comment>
    <comment ref="E36" authorId="0" shapeId="0" xr:uid="{00000000-0006-0000-0400-000043000000}">
      <text>
        <r>
          <rPr>
            <b/>
            <sz val="9"/>
            <color indexed="81"/>
            <rFont val="Tahoma"/>
            <family val="2"/>
          </rPr>
          <t>W. Zappa:</t>
        </r>
        <r>
          <rPr>
            <sz val="9"/>
            <color indexed="81"/>
            <rFont val="Tahoma"/>
            <family val="2"/>
          </rPr>
          <t xml:space="preserve">
Don't know yet, need LT data from Edwin. Assuming STO for now.</t>
        </r>
      </text>
    </comment>
    <comment ref="AA36" authorId="2" shapeId="0" xr:uid="{00000000-0006-0000-0400-000044000000}">
      <text>
        <r>
          <rPr>
            <b/>
            <sz val="9"/>
            <color indexed="81"/>
            <rFont val="Tahoma"/>
            <family val="2"/>
          </rPr>
          <t>Marte:</t>
        </r>
        <r>
          <rPr>
            <sz val="9"/>
            <color indexed="81"/>
            <rFont val="Tahoma"/>
            <family val="2"/>
          </rPr>
          <t xml:space="preserve">
average 2000-2009. https://www.seas.sk/data/contentlink/cfakepathhydro-power-plants-slovakia-2010-en.pdf</t>
        </r>
      </text>
    </comment>
    <comment ref="AH36" authorId="0" shapeId="0" xr:uid="{00000000-0006-0000-0400-000045000000}">
      <text>
        <r>
          <rPr>
            <b/>
            <sz val="9"/>
            <color indexed="81"/>
            <rFont val="Tahoma"/>
            <family val="2"/>
          </rPr>
          <t>W. Zappa:</t>
        </r>
        <r>
          <rPr>
            <sz val="9"/>
            <color indexed="81"/>
            <rFont val="Tahoma"/>
            <family val="2"/>
          </rPr>
          <t xml:space="preserve">
WZ added</t>
        </r>
      </text>
    </comment>
    <comment ref="AA37" authorId="2" shapeId="0" xr:uid="{00000000-0006-0000-0400-000046000000}">
      <text>
        <r>
          <rPr>
            <b/>
            <sz val="9"/>
            <color indexed="81"/>
            <rFont val="Tahoma"/>
            <family val="2"/>
          </rPr>
          <t>Marte:</t>
        </r>
        <r>
          <rPr>
            <sz val="9"/>
            <color indexed="81"/>
            <rFont val="Tahoma"/>
            <family val="2"/>
          </rPr>
          <t xml:space="preserve">
2007, Enipedia</t>
        </r>
      </text>
    </comment>
    <comment ref="AH37" authorId="0" shapeId="0" xr:uid="{00000000-0006-0000-0400-000047000000}">
      <text>
        <r>
          <rPr>
            <b/>
            <sz val="9"/>
            <color indexed="81"/>
            <rFont val="Tahoma"/>
            <family val="2"/>
          </rPr>
          <t>W. Zappa:</t>
        </r>
        <r>
          <rPr>
            <sz val="9"/>
            <color indexed="81"/>
            <rFont val="Tahoma"/>
            <family val="2"/>
          </rPr>
          <t xml:space="preserve">
Not in Grand Database,
small balancing reservoir</t>
        </r>
      </text>
    </comment>
    <comment ref="P38" authorId="3" shapeId="0" xr:uid="{69DBABE9-C6D0-4124-B033-1B43ED8EA25B}">
      <text>
        <r>
          <rPr>
            <b/>
            <sz val="9"/>
            <color indexed="81"/>
            <rFont val="Tahoma"/>
            <family val="2"/>
          </rPr>
          <t>Diede:</t>
        </r>
        <r>
          <rPr>
            <sz val="9"/>
            <color indexed="81"/>
            <rFont val="Tahoma"/>
            <family val="2"/>
          </rPr>
          <t xml:space="preserve">
Not applicable?</t>
        </r>
      </text>
    </comment>
    <comment ref="V39" authorId="2" shapeId="0" xr:uid="{00000000-0006-0000-0400-000048000000}">
      <text>
        <r>
          <rPr>
            <b/>
            <sz val="9"/>
            <color indexed="81"/>
            <rFont val="Tahoma"/>
            <family val="2"/>
          </rPr>
          <t>Marte:</t>
        </r>
        <r>
          <rPr>
            <sz val="9"/>
            <color indexed="81"/>
            <rFont val="Tahoma"/>
            <family val="2"/>
          </rPr>
          <t xml:space="preserve">
assumed equal to turbine cap</t>
        </r>
      </text>
    </comment>
    <comment ref="AA40" authorId="2" shapeId="0" xr:uid="{00000000-0006-0000-0400-000049000000}">
      <text>
        <r>
          <rPr>
            <b/>
            <sz val="9"/>
            <color indexed="81"/>
            <rFont val="Tahoma"/>
            <family val="2"/>
          </rPr>
          <t>Marte:</t>
        </r>
        <r>
          <rPr>
            <sz val="9"/>
            <color indexed="81"/>
            <rFont val="Tahoma"/>
            <family val="2"/>
          </rPr>
          <t xml:space="preserve">
2007, Enipedia
</t>
        </r>
      </text>
    </comment>
    <comment ref="AQ40" authorId="2" shapeId="0" xr:uid="{00000000-0006-0000-0400-00004A000000}">
      <text>
        <r>
          <rPr>
            <b/>
            <sz val="9"/>
            <color indexed="81"/>
            <rFont val="Tahoma"/>
            <family val="2"/>
          </rPr>
          <t>Marte:</t>
        </r>
        <r>
          <rPr>
            <sz val="9"/>
            <color indexed="81"/>
            <rFont val="Tahoma"/>
            <family val="2"/>
          </rPr>
          <t xml:space="preserve">
La Muela I and II tap from same reservoir
</t>
        </r>
      </text>
    </comment>
    <comment ref="E41" authorId="0" shapeId="0" xr:uid="{00000000-0006-0000-0400-00004B000000}">
      <text>
        <r>
          <rPr>
            <b/>
            <sz val="9"/>
            <color indexed="81"/>
            <rFont val="Tahoma"/>
            <family val="2"/>
          </rPr>
          <t>W. Zappa:</t>
        </r>
        <r>
          <rPr>
            <sz val="9"/>
            <color indexed="81"/>
            <rFont val="Tahoma"/>
            <family val="2"/>
          </rPr>
          <t xml:space="preserve">
Don't know yet, need LT data from Edwin. Assuming STO for now.</t>
        </r>
      </text>
    </comment>
    <comment ref="AA41" authorId="2" shapeId="0" xr:uid="{00000000-0006-0000-0400-00004C000000}">
      <text>
        <r>
          <rPr>
            <b/>
            <sz val="9"/>
            <color indexed="81"/>
            <rFont val="Tahoma"/>
            <family val="2"/>
          </rPr>
          <t>Marte:</t>
        </r>
        <r>
          <rPr>
            <sz val="9"/>
            <color indexed="81"/>
            <rFont val="Tahoma"/>
            <family val="2"/>
          </rPr>
          <t xml:space="preserve">
in 2008
</t>
        </r>
      </text>
    </comment>
    <comment ref="AH41" authorId="0" shapeId="0" xr:uid="{00000000-0006-0000-0400-00004D000000}">
      <text>
        <r>
          <rPr>
            <b/>
            <sz val="9"/>
            <color indexed="81"/>
            <rFont val="Tahoma"/>
            <family val="2"/>
          </rPr>
          <t>W. Zappa:</t>
        </r>
        <r>
          <rPr>
            <sz val="9"/>
            <color indexed="81"/>
            <rFont val="Tahoma"/>
            <family val="2"/>
          </rPr>
          <t xml:space="preserve">
Not in Grand Database,
small balancing reservoir</t>
        </r>
      </text>
    </comment>
    <comment ref="D42" authorId="0" shapeId="0" xr:uid="{00000000-0006-0000-0400-00004E000000}">
      <text>
        <r>
          <rPr>
            <b/>
            <sz val="9"/>
            <color indexed="81"/>
            <rFont val="Tahoma"/>
            <family val="2"/>
          </rPr>
          <t>W. Zappa:</t>
        </r>
        <r>
          <rPr>
            <sz val="9"/>
            <color indexed="81"/>
            <rFont val="Tahoma"/>
            <family val="2"/>
          </rPr>
          <t xml:space="preserve">
From ENTSOE detailed capacity by unit classification</t>
        </r>
      </text>
    </comment>
    <comment ref="E42" authorId="0" shapeId="0" xr:uid="{00000000-0006-0000-0400-00004F000000}">
      <text>
        <r>
          <rPr>
            <b/>
            <sz val="9"/>
            <color indexed="81"/>
            <rFont val="Tahoma"/>
            <family val="2"/>
          </rPr>
          <t>W. Zappa:</t>
        </r>
        <r>
          <rPr>
            <sz val="9"/>
            <color indexed="81"/>
            <rFont val="Tahoma"/>
            <family val="2"/>
          </rPr>
          <t xml:space="preserve">
Don't know yet, need LT data from Edwin. Assuming STO for now.</t>
        </r>
      </text>
    </comment>
    <comment ref="P42" authorId="3" shapeId="0" xr:uid="{2AC0D079-FE3E-4505-A656-3A631D8F23CA}">
      <text>
        <r>
          <rPr>
            <b/>
            <sz val="9"/>
            <color indexed="81"/>
            <rFont val="Tahoma"/>
            <family val="2"/>
          </rPr>
          <t>Diede:</t>
        </r>
        <r>
          <rPr>
            <sz val="9"/>
            <color indexed="81"/>
            <rFont val="Tahoma"/>
            <family val="2"/>
          </rPr>
          <t xml:space="preserve">
Not applicable?</t>
        </r>
      </text>
    </comment>
    <comment ref="D43" authorId="0" shapeId="0" xr:uid="{00000000-0006-0000-0400-000050000000}">
      <text>
        <r>
          <rPr>
            <b/>
            <sz val="9"/>
            <color indexed="81"/>
            <rFont val="Tahoma"/>
            <family val="2"/>
          </rPr>
          <t>W. Zappa:</t>
        </r>
        <r>
          <rPr>
            <sz val="9"/>
            <color indexed="81"/>
            <rFont val="Tahoma"/>
            <family val="2"/>
          </rPr>
          <t xml:space="preserve">
From ENTSOE detailed capacity by unit classification</t>
        </r>
      </text>
    </comment>
    <comment ref="E43" authorId="0" shapeId="0" xr:uid="{00000000-0006-0000-0400-000051000000}">
      <text>
        <r>
          <rPr>
            <b/>
            <sz val="9"/>
            <color indexed="81"/>
            <rFont val="Tahoma"/>
            <family val="2"/>
          </rPr>
          <t>W. Zappa:</t>
        </r>
        <r>
          <rPr>
            <sz val="9"/>
            <color indexed="81"/>
            <rFont val="Tahoma"/>
            <family val="2"/>
          </rPr>
          <t xml:space="preserve">
Don't know yet, need LT data from Edwin. Assuming STO for now.</t>
        </r>
      </text>
    </comment>
    <comment ref="AH43" authorId="0" shapeId="0" xr:uid="{00000000-0006-0000-0400-000052000000}">
      <text>
        <r>
          <rPr>
            <b/>
            <sz val="9"/>
            <color indexed="81"/>
            <rFont val="Tahoma"/>
            <family val="2"/>
          </rPr>
          <t>W. Zappa:</t>
        </r>
        <r>
          <rPr>
            <sz val="9"/>
            <color indexed="81"/>
            <rFont val="Tahoma"/>
            <family val="2"/>
          </rPr>
          <t xml:space="preserve">
Not in Grand Database</t>
        </r>
      </text>
    </comment>
    <comment ref="AK43" authorId="2" shapeId="0" xr:uid="{00000000-0006-0000-0400-000053000000}">
      <text>
        <r>
          <rPr>
            <b/>
            <sz val="9"/>
            <color indexed="81"/>
            <rFont val="Tahoma"/>
            <family val="2"/>
          </rPr>
          <t>Marte:</t>
        </r>
        <r>
          <rPr>
            <sz val="9"/>
            <color indexed="81"/>
            <rFont val="Tahoma"/>
            <family val="2"/>
          </rPr>
          <t xml:space="preserve">
Volume withhold could not be found, pure run of river without storage is assumed
</t>
        </r>
      </text>
    </comment>
    <comment ref="AA44" authorId="2" shapeId="0" xr:uid="{00000000-0006-0000-0400-000054000000}">
      <text>
        <r>
          <rPr>
            <b/>
            <sz val="9"/>
            <color indexed="81"/>
            <rFont val="Tahoma"/>
            <family val="2"/>
          </rPr>
          <t>Marte:</t>
        </r>
        <r>
          <rPr>
            <sz val="9"/>
            <color indexed="81"/>
            <rFont val="Tahoma"/>
            <family val="2"/>
          </rPr>
          <t xml:space="preserve">
excluding pumped storage?
</t>
        </r>
      </text>
    </comment>
    <comment ref="AH44" authorId="3" shapeId="0" xr:uid="{C6BB533F-D68F-4765-966C-0041BA2D7CA3}">
      <text>
        <r>
          <rPr>
            <b/>
            <sz val="9"/>
            <color indexed="81"/>
            <rFont val="Tahoma"/>
            <family val="2"/>
          </rPr>
          <t>Diede:</t>
        </r>
        <r>
          <rPr>
            <sz val="9"/>
            <color indexed="81"/>
            <rFont val="Tahoma"/>
            <family val="2"/>
          </rPr>
          <t xml:space="preserve">
Shouldn't this be 3298?</t>
        </r>
      </text>
    </comment>
    <comment ref="AA47" authorId="2" shapeId="0" xr:uid="{00000000-0006-0000-0400-000055000000}">
      <text>
        <r>
          <rPr>
            <b/>
            <sz val="9"/>
            <color indexed="81"/>
            <rFont val="Tahoma"/>
            <family val="2"/>
          </rPr>
          <t>Marte:</t>
        </r>
        <r>
          <rPr>
            <sz val="9"/>
            <color indexed="81"/>
            <rFont val="Tahoma"/>
            <family val="2"/>
          </rPr>
          <t xml:space="preserve">
2020 estimation enipedia (2007 not yet available)
</t>
        </r>
      </text>
    </comment>
    <comment ref="AH47" authorId="0" shapeId="0" xr:uid="{00000000-0006-0000-0400-000056000000}">
      <text>
        <r>
          <rPr>
            <b/>
            <sz val="9"/>
            <color indexed="81"/>
            <rFont val="Tahoma"/>
            <family val="2"/>
          </rPr>
          <t>W. Zappa:</t>
        </r>
        <r>
          <rPr>
            <sz val="9"/>
            <color indexed="81"/>
            <rFont val="Tahoma"/>
            <family val="2"/>
          </rPr>
          <t xml:space="preserve">
Not in Grand Database</t>
        </r>
      </text>
    </comment>
    <comment ref="D50" authorId="0" shapeId="0" xr:uid="{00000000-0006-0000-0400-000057000000}">
      <text>
        <r>
          <rPr>
            <b/>
            <sz val="9"/>
            <color indexed="81"/>
            <rFont val="Tahoma"/>
            <family val="2"/>
          </rPr>
          <t>W. Zappa:</t>
        </r>
        <r>
          <rPr>
            <sz val="9"/>
            <color indexed="81"/>
            <rFont val="Tahoma"/>
            <family val="2"/>
          </rPr>
          <t xml:space="preserve">
Assuming STO, as no pump capacity reported, and location is on a lake</t>
        </r>
      </text>
    </comment>
    <comment ref="E50" authorId="0" shapeId="0" xr:uid="{00000000-0006-0000-0400-000058000000}">
      <text>
        <r>
          <rPr>
            <b/>
            <sz val="9"/>
            <color indexed="81"/>
            <rFont val="Tahoma"/>
            <family val="2"/>
          </rPr>
          <t>W. Zappa:</t>
        </r>
        <r>
          <rPr>
            <sz val="9"/>
            <color indexed="81"/>
            <rFont val="Tahoma"/>
            <family val="2"/>
          </rPr>
          <t xml:space="preserve">
Don't know yet, need LT data from Edwin. Assuming STO for now.</t>
        </r>
      </text>
    </comment>
    <comment ref="AA50" authorId="2" shapeId="0" xr:uid="{00000000-0006-0000-0400-000059000000}">
      <text>
        <r>
          <rPr>
            <b/>
            <sz val="9"/>
            <color indexed="81"/>
            <rFont val="Tahoma"/>
            <family val="2"/>
          </rPr>
          <t>Marte:</t>
        </r>
        <r>
          <rPr>
            <sz val="9"/>
            <color indexed="81"/>
            <rFont val="Tahoma"/>
            <family val="2"/>
          </rPr>
          <t xml:space="preserve">
power production potential at design (GEO)
</t>
        </r>
      </text>
    </comment>
    <comment ref="AH51" authorId="0" shapeId="0" xr:uid="{00000000-0006-0000-0400-00005A000000}">
      <text>
        <r>
          <rPr>
            <b/>
            <sz val="9"/>
            <color indexed="81"/>
            <rFont val="Tahoma"/>
            <family val="2"/>
          </rPr>
          <t>W. Zappa:</t>
        </r>
        <r>
          <rPr>
            <sz val="9"/>
            <color indexed="81"/>
            <rFont val="Tahoma"/>
            <family val="2"/>
          </rPr>
          <t xml:space="preserve">
Not in Grand Database</t>
        </r>
      </text>
    </comment>
    <comment ref="AH52" authorId="0" shapeId="0" xr:uid="{00000000-0006-0000-0400-00005B000000}">
      <text>
        <r>
          <rPr>
            <b/>
            <sz val="9"/>
            <color indexed="81"/>
            <rFont val="Tahoma"/>
            <family val="2"/>
          </rPr>
          <t>W. Zappa:</t>
        </r>
        <r>
          <rPr>
            <sz val="9"/>
            <color indexed="81"/>
            <rFont val="Tahoma"/>
            <family val="2"/>
          </rPr>
          <t xml:space="preserve">
Not in Grand Database</t>
        </r>
      </text>
    </comment>
    <comment ref="AH53" authorId="0" shapeId="0" xr:uid="{00000000-0006-0000-0400-00005C000000}">
      <text>
        <r>
          <rPr>
            <b/>
            <sz val="9"/>
            <color indexed="81"/>
            <rFont val="Tahoma"/>
            <family val="2"/>
          </rPr>
          <t>W. Zappa:</t>
        </r>
        <r>
          <rPr>
            <sz val="9"/>
            <color indexed="81"/>
            <rFont val="Tahoma"/>
            <family val="2"/>
          </rPr>
          <t xml:space="preserve">
Not in Grand Database,
small balancing reservoir</t>
        </r>
      </text>
    </comment>
    <comment ref="AK53" authorId="2" shapeId="0" xr:uid="{00000000-0006-0000-0400-00005D000000}">
      <text>
        <r>
          <rPr>
            <b/>
            <sz val="9"/>
            <color indexed="81"/>
            <rFont val="Tahoma"/>
            <family val="2"/>
          </rPr>
          <t>Marte:</t>
        </r>
        <r>
          <rPr>
            <sz val="9"/>
            <color indexed="81"/>
            <rFont val="Tahoma"/>
            <family val="2"/>
          </rPr>
          <t xml:space="preserve">
total = 2.3 MCM, active = 2.0 MCM (wikipedia)</t>
        </r>
      </text>
    </comment>
    <comment ref="AH54" authorId="0" shapeId="0" xr:uid="{00000000-0006-0000-0400-00005E000000}">
      <text>
        <r>
          <rPr>
            <b/>
            <sz val="9"/>
            <color indexed="81"/>
            <rFont val="Tahoma"/>
            <family val="2"/>
          </rPr>
          <t>W. Zappa:</t>
        </r>
        <r>
          <rPr>
            <sz val="9"/>
            <color indexed="81"/>
            <rFont val="Tahoma"/>
            <family val="2"/>
          </rPr>
          <t xml:space="preserve">
Not in Grand Database,
small balancing reservoir</t>
        </r>
      </text>
    </comment>
    <comment ref="D55" authorId="0" shapeId="0" xr:uid="{00000000-0006-0000-0400-00005F000000}">
      <text>
        <r>
          <rPr>
            <b/>
            <sz val="9"/>
            <color indexed="81"/>
            <rFont val="Tahoma"/>
            <family val="2"/>
          </rPr>
          <t>W. Zappa:</t>
        </r>
        <r>
          <rPr>
            <sz val="9"/>
            <color indexed="81"/>
            <rFont val="Tahoma"/>
            <family val="2"/>
          </rPr>
          <t xml:space="preserve">
Assuming RoR as no pump capacity reported, and location is on a river</t>
        </r>
      </text>
    </comment>
    <comment ref="AA55" authorId="2" shapeId="0" xr:uid="{00000000-0006-0000-0400-000060000000}">
      <text>
        <r>
          <rPr>
            <b/>
            <sz val="9"/>
            <color indexed="81"/>
            <rFont val="Tahoma"/>
            <family val="2"/>
          </rPr>
          <t>Marte:</t>
        </r>
        <r>
          <rPr>
            <sz val="9"/>
            <color indexed="81"/>
            <rFont val="Tahoma"/>
            <family val="2"/>
          </rPr>
          <t xml:space="preserve">
average 2010-2014
</t>
        </r>
      </text>
    </comment>
    <comment ref="AH55" authorId="0" shapeId="0" xr:uid="{00000000-0006-0000-0400-000061000000}">
      <text>
        <r>
          <rPr>
            <b/>
            <sz val="9"/>
            <color indexed="81"/>
            <rFont val="Tahoma"/>
            <family val="2"/>
          </rPr>
          <t>W. Zappa:</t>
        </r>
        <r>
          <rPr>
            <sz val="9"/>
            <color indexed="81"/>
            <rFont val="Tahoma"/>
            <family val="2"/>
          </rPr>
          <t xml:space="preserve">
Not in Grand Database,
small balancing reservoir</t>
        </r>
      </text>
    </comment>
    <comment ref="AK55" authorId="2" shapeId="0" xr:uid="{00000000-0006-0000-0400-000062000000}">
      <text>
        <r>
          <rPr>
            <b/>
            <sz val="9"/>
            <color indexed="81"/>
            <rFont val="Tahoma"/>
            <family val="2"/>
          </rPr>
          <t>Marte:</t>
        </r>
        <r>
          <rPr>
            <sz val="9"/>
            <color indexed="81"/>
            <rFont val="Tahoma"/>
            <family val="2"/>
          </rPr>
          <t xml:space="preserve">
Volume withhold could not be found, pure run of river without storage is assumed
</t>
        </r>
      </text>
    </comment>
    <comment ref="D56" authorId="0" shapeId="0" xr:uid="{00000000-0006-0000-0400-000063000000}">
      <text>
        <r>
          <rPr>
            <b/>
            <sz val="9"/>
            <color indexed="81"/>
            <rFont val="Tahoma"/>
            <family val="2"/>
          </rPr>
          <t>W. Zappa:</t>
        </r>
        <r>
          <rPr>
            <sz val="9"/>
            <color indexed="81"/>
            <rFont val="Tahoma"/>
            <family val="2"/>
          </rPr>
          <t xml:space="preserve">
From ENTSOE detailed capacity by unit classification</t>
        </r>
      </text>
    </comment>
    <comment ref="E56" authorId="0" shapeId="0" xr:uid="{00000000-0006-0000-0400-000064000000}">
      <text>
        <r>
          <rPr>
            <b/>
            <sz val="9"/>
            <color indexed="81"/>
            <rFont val="Tahoma"/>
            <family val="2"/>
          </rPr>
          <t>W. Zappa:</t>
        </r>
        <r>
          <rPr>
            <sz val="9"/>
            <color indexed="81"/>
            <rFont val="Tahoma"/>
            <family val="2"/>
          </rPr>
          <t xml:space="preserve">
Don't know yet, need LT data from Edwin. Assuming STO for now.</t>
        </r>
      </text>
    </comment>
    <comment ref="P56" authorId="3" shapeId="0" xr:uid="{A9BBFFF7-6CA2-474E-8BC7-7FFD1E3B4C49}">
      <text>
        <r>
          <rPr>
            <b/>
            <sz val="9"/>
            <color indexed="81"/>
            <rFont val="Tahoma"/>
            <family val="2"/>
          </rPr>
          <t>Diede:</t>
        </r>
        <r>
          <rPr>
            <sz val="9"/>
            <color indexed="81"/>
            <rFont val="Tahoma"/>
            <family val="2"/>
          </rPr>
          <t xml:space="preserve">
Not applicable?</t>
        </r>
      </text>
    </comment>
    <comment ref="AH57" authorId="0" shapeId="0" xr:uid="{00000000-0006-0000-0400-000065000000}">
      <text>
        <r>
          <rPr>
            <b/>
            <sz val="9"/>
            <color indexed="81"/>
            <rFont val="Tahoma"/>
            <family val="2"/>
          </rPr>
          <t>W. Zappa:</t>
        </r>
        <r>
          <rPr>
            <sz val="9"/>
            <color indexed="81"/>
            <rFont val="Tahoma"/>
            <family val="2"/>
          </rPr>
          <t xml:space="preserve">
WZ added</t>
        </r>
      </text>
    </comment>
    <comment ref="AH58" authorId="0" shapeId="0" xr:uid="{00000000-0006-0000-0400-000066000000}">
      <text>
        <r>
          <rPr>
            <b/>
            <sz val="9"/>
            <color indexed="81"/>
            <rFont val="Tahoma"/>
            <family val="2"/>
          </rPr>
          <t>W. Zappa:</t>
        </r>
        <r>
          <rPr>
            <sz val="9"/>
            <color indexed="81"/>
            <rFont val="Tahoma"/>
            <family val="2"/>
          </rPr>
          <t xml:space="preserve">
WZ added</t>
        </r>
      </text>
    </comment>
    <comment ref="AH59" authorId="0" shapeId="0" xr:uid="{00000000-0006-0000-0400-000067000000}">
      <text>
        <r>
          <rPr>
            <b/>
            <sz val="9"/>
            <color indexed="81"/>
            <rFont val="Tahoma"/>
            <family val="2"/>
          </rPr>
          <t>W. Zappa:</t>
        </r>
        <r>
          <rPr>
            <sz val="9"/>
            <color indexed="81"/>
            <rFont val="Tahoma"/>
            <family val="2"/>
          </rPr>
          <t xml:space="preserve">
Not in Grand Database</t>
        </r>
      </text>
    </comment>
    <comment ref="U60" authorId="2" shapeId="0" xr:uid="{00000000-0006-0000-0400-000068000000}">
      <text>
        <r>
          <rPr>
            <b/>
            <sz val="9"/>
            <color indexed="81"/>
            <rFont val="Tahoma"/>
            <family val="2"/>
          </rPr>
          <t>Marte:</t>
        </r>
        <r>
          <rPr>
            <sz val="9"/>
            <color indexed="81"/>
            <rFont val="Tahoma"/>
            <family val="2"/>
          </rPr>
          <t xml:space="preserve">
A 300 MW extension to this Power Plant is under construction</t>
        </r>
      </text>
    </comment>
    <comment ref="AH60" authorId="0" shapeId="0" xr:uid="{00000000-0006-0000-0400-000069000000}">
      <text>
        <r>
          <rPr>
            <b/>
            <sz val="9"/>
            <color indexed="81"/>
            <rFont val="Tahoma"/>
            <family val="2"/>
          </rPr>
          <t>W. Zappa:</t>
        </r>
        <r>
          <rPr>
            <sz val="9"/>
            <color indexed="81"/>
            <rFont val="Tahoma"/>
            <family val="2"/>
          </rPr>
          <t xml:space="preserve">
Not in Grand Database</t>
        </r>
      </text>
    </comment>
    <comment ref="D62" authorId="0" shapeId="0" xr:uid="{00000000-0006-0000-0400-00006A000000}">
      <text>
        <r>
          <rPr>
            <b/>
            <sz val="9"/>
            <color indexed="81"/>
            <rFont val="Tahoma"/>
            <family val="2"/>
          </rPr>
          <t>W. Zappa:</t>
        </r>
        <r>
          <rPr>
            <sz val="9"/>
            <color indexed="81"/>
            <rFont val="Tahoma"/>
            <family val="2"/>
          </rPr>
          <t xml:space="preserve">
From ENTSOE detailed capacity by unit classification</t>
        </r>
      </text>
    </comment>
    <comment ref="E62" authorId="0" shapeId="0" xr:uid="{00000000-0006-0000-0400-00006B000000}">
      <text>
        <r>
          <rPr>
            <b/>
            <sz val="9"/>
            <color indexed="81"/>
            <rFont val="Tahoma"/>
            <family val="2"/>
          </rPr>
          <t>W. Zappa:</t>
        </r>
        <r>
          <rPr>
            <sz val="9"/>
            <color indexed="81"/>
            <rFont val="Tahoma"/>
            <family val="2"/>
          </rPr>
          <t xml:space="preserve">
Don't know yet, need LT data from Edwin. Assuming STO for now.</t>
        </r>
      </text>
    </comment>
    <comment ref="D63" authorId="0" shapeId="0" xr:uid="{00000000-0006-0000-0400-00006C000000}">
      <text>
        <r>
          <rPr>
            <b/>
            <sz val="9"/>
            <color indexed="81"/>
            <rFont val="Tahoma"/>
            <family val="2"/>
          </rPr>
          <t>W. Zappa:</t>
        </r>
        <r>
          <rPr>
            <sz val="9"/>
            <color indexed="81"/>
            <rFont val="Tahoma"/>
            <family val="2"/>
          </rPr>
          <t xml:space="preserve">
From ENTSOE detailed capacity by unit classification</t>
        </r>
      </text>
    </comment>
    <comment ref="E63" authorId="0" shapeId="0" xr:uid="{00000000-0006-0000-0400-00006D000000}">
      <text>
        <r>
          <rPr>
            <b/>
            <sz val="9"/>
            <color indexed="81"/>
            <rFont val="Tahoma"/>
            <family val="2"/>
          </rPr>
          <t>W. Zappa:</t>
        </r>
        <r>
          <rPr>
            <sz val="9"/>
            <color indexed="81"/>
            <rFont val="Tahoma"/>
            <family val="2"/>
          </rPr>
          <t xml:space="preserve">
Don't know yet, need LT data from Edwin. Assuming STO for now.</t>
        </r>
      </text>
    </comment>
    <comment ref="AA64" authorId="2" shapeId="0" xr:uid="{00000000-0006-0000-0400-00006E000000}">
      <text>
        <r>
          <rPr>
            <b/>
            <sz val="9"/>
            <color indexed="81"/>
            <rFont val="Tahoma"/>
            <family val="2"/>
          </rPr>
          <t>Marte:</t>
        </r>
        <r>
          <rPr>
            <sz val="9"/>
            <color indexed="81"/>
            <rFont val="Tahoma"/>
            <family val="2"/>
          </rPr>
          <t xml:space="preserve">
GEO
</t>
        </r>
      </text>
    </comment>
    <comment ref="AH64" authorId="0" shapeId="0" xr:uid="{00000000-0006-0000-0400-00006F000000}">
      <text>
        <r>
          <rPr>
            <b/>
            <sz val="9"/>
            <color indexed="81"/>
            <rFont val="Tahoma"/>
            <family val="2"/>
          </rPr>
          <t>W. Zappa:</t>
        </r>
        <r>
          <rPr>
            <sz val="9"/>
            <color indexed="81"/>
            <rFont val="Tahoma"/>
            <family val="2"/>
          </rPr>
          <t xml:space="preserve">
Not in Grand Database,
small balancing reservoir</t>
        </r>
      </text>
    </comment>
    <comment ref="AK64" authorId="2" shapeId="0" xr:uid="{00000000-0006-0000-0400-000070000000}">
      <text>
        <r>
          <rPr>
            <b/>
            <sz val="9"/>
            <color indexed="81"/>
            <rFont val="Tahoma"/>
            <family val="2"/>
          </rPr>
          <t>Marte:</t>
        </r>
        <r>
          <rPr>
            <sz val="9"/>
            <color indexed="81"/>
            <rFont val="Tahoma"/>
            <family val="2"/>
          </rPr>
          <t xml:space="preserve">
maybe total, not active? (wikipedia). GEO says 4.8 MCM total.</t>
        </r>
      </text>
    </comment>
    <comment ref="AH65" authorId="0" shapeId="0" xr:uid="{00000000-0006-0000-0400-000071000000}">
      <text>
        <r>
          <rPr>
            <b/>
            <sz val="9"/>
            <color indexed="81"/>
            <rFont val="Tahoma"/>
            <family val="2"/>
          </rPr>
          <t>W. Zappa:</t>
        </r>
        <r>
          <rPr>
            <sz val="9"/>
            <color indexed="81"/>
            <rFont val="Tahoma"/>
            <family val="2"/>
          </rPr>
          <t xml:space="preserve">
Not in Grand Database,
small balancing reservoir</t>
        </r>
      </text>
    </comment>
    <comment ref="D66" authorId="0" shapeId="0" xr:uid="{00000000-0006-0000-0400-000072000000}">
      <text>
        <r>
          <rPr>
            <b/>
            <sz val="9"/>
            <color indexed="81"/>
            <rFont val="Tahoma"/>
            <family val="2"/>
          </rPr>
          <t>W. Zappa:</t>
        </r>
        <r>
          <rPr>
            <sz val="9"/>
            <color indexed="81"/>
            <rFont val="Tahoma"/>
            <family val="2"/>
          </rPr>
          <t xml:space="preserve">
From ENTSOE detailed capacity by unit classification</t>
        </r>
      </text>
    </comment>
    <comment ref="E66" authorId="0" shapeId="0" xr:uid="{00000000-0006-0000-0400-000073000000}">
      <text>
        <r>
          <rPr>
            <b/>
            <sz val="9"/>
            <color indexed="81"/>
            <rFont val="Tahoma"/>
            <family val="2"/>
          </rPr>
          <t>W. Zappa:</t>
        </r>
        <r>
          <rPr>
            <sz val="9"/>
            <color indexed="81"/>
            <rFont val="Tahoma"/>
            <family val="2"/>
          </rPr>
          <t xml:space="preserve">
Don't know yet, need LT data from Edwin. Assuming STO for now.</t>
        </r>
      </text>
    </comment>
    <comment ref="AA66" authorId="2" shapeId="0" xr:uid="{00000000-0006-0000-0400-000074000000}">
      <text>
        <r>
          <rPr>
            <b/>
            <sz val="9"/>
            <color indexed="81"/>
            <rFont val="Tahoma"/>
            <family val="2"/>
          </rPr>
          <t>Marte:</t>
        </r>
        <r>
          <rPr>
            <sz val="9"/>
            <color indexed="81"/>
            <rFont val="Tahoma"/>
            <family val="2"/>
          </rPr>
          <t xml:space="preserve">
power potential at design (GEO)</t>
        </r>
      </text>
    </comment>
    <comment ref="V68" authorId="2" shapeId="0" xr:uid="{00000000-0006-0000-0400-000075000000}">
      <text>
        <r>
          <rPr>
            <b/>
            <sz val="9"/>
            <color indexed="81"/>
            <rFont val="Tahoma"/>
            <family val="2"/>
          </rPr>
          <t>Marte:</t>
        </r>
        <r>
          <rPr>
            <sz val="9"/>
            <color indexed="81"/>
            <rFont val="Tahoma"/>
            <family val="2"/>
          </rPr>
          <t xml:space="preserve">
assumed equal to turbine cap</t>
        </r>
      </text>
    </comment>
    <comment ref="AH68" authorId="0" shapeId="0" xr:uid="{00000000-0006-0000-0400-000076000000}">
      <text>
        <r>
          <rPr>
            <b/>
            <sz val="9"/>
            <color indexed="81"/>
            <rFont val="Tahoma"/>
            <family val="2"/>
          </rPr>
          <t>W. Zappa:</t>
        </r>
        <r>
          <rPr>
            <sz val="9"/>
            <color indexed="81"/>
            <rFont val="Tahoma"/>
            <family val="2"/>
          </rPr>
          <t xml:space="preserve">
Not in Grand Database</t>
        </r>
      </text>
    </comment>
    <comment ref="S69" authorId="2" shapeId="0" xr:uid="{00000000-0006-0000-0400-000077000000}">
      <text>
        <r>
          <rPr>
            <b/>
            <sz val="9"/>
            <color indexed="81"/>
            <rFont val="Tahoma"/>
            <family val="2"/>
          </rPr>
          <t>Marte:</t>
        </r>
        <r>
          <rPr>
            <sz val="9"/>
            <color indexed="81"/>
            <rFont val="Tahoma"/>
            <family val="2"/>
          </rPr>
          <t xml:space="preserve">
not found. assumed same as number of turbines.</t>
        </r>
      </text>
    </comment>
    <comment ref="AA69" authorId="2" shapeId="0" xr:uid="{00000000-0006-0000-0400-000078000000}">
      <text>
        <r>
          <rPr>
            <b/>
            <sz val="9"/>
            <color indexed="81"/>
            <rFont val="Tahoma"/>
            <family val="2"/>
          </rPr>
          <t>Marte:</t>
        </r>
        <r>
          <rPr>
            <sz val="9"/>
            <color indexed="81"/>
            <rFont val="Tahoma"/>
            <family val="2"/>
          </rPr>
          <t xml:space="preserve">
2007 (enipedia)
</t>
        </r>
      </text>
    </comment>
    <comment ref="AH69" authorId="0" shapeId="0" xr:uid="{00000000-0006-0000-0400-000079000000}">
      <text>
        <r>
          <rPr>
            <b/>
            <sz val="9"/>
            <color indexed="81"/>
            <rFont val="Tahoma"/>
            <family val="2"/>
          </rPr>
          <t>W. Zappa:</t>
        </r>
        <r>
          <rPr>
            <sz val="9"/>
            <color indexed="81"/>
            <rFont val="Tahoma"/>
            <family val="2"/>
          </rPr>
          <t xml:space="preserve">
Not in Grand Database,
small balancing reservoir</t>
        </r>
      </text>
    </comment>
    <comment ref="AF70" authorId="2" shapeId="0" xr:uid="{00000000-0006-0000-0400-00007A000000}">
      <text>
        <r>
          <rPr>
            <b/>
            <sz val="9"/>
            <color indexed="81"/>
            <rFont val="Tahoma"/>
            <family val="2"/>
          </rPr>
          <t>Marte:</t>
        </r>
        <r>
          <rPr>
            <sz val="9"/>
            <color indexed="81"/>
            <rFont val="Tahoma"/>
            <family val="2"/>
          </rPr>
          <t xml:space="preserve">
Commission Picote II</t>
        </r>
      </text>
    </comment>
    <comment ref="K71" authorId="2" shapeId="0" xr:uid="{00000000-0006-0000-0400-00007B000000}">
      <text>
        <r>
          <rPr>
            <b/>
            <sz val="9"/>
            <color indexed="81"/>
            <rFont val="Tahoma"/>
            <family val="2"/>
          </rPr>
          <t>Marte:</t>
        </r>
        <r>
          <rPr>
            <sz val="9"/>
            <color indexed="81"/>
            <rFont val="Tahoma"/>
            <family val="2"/>
          </rPr>
          <t xml:space="preserve">
Tierfehd Limmern, Hintersand and Umwälzwerk taken together (Statistik der wasserkraftanlagen der Schweiz)
</t>
        </r>
      </text>
    </comment>
    <comment ref="S71" authorId="2" shapeId="0" xr:uid="{00000000-0006-0000-0400-00007C000000}">
      <text>
        <r>
          <rPr>
            <b/>
            <sz val="9"/>
            <color indexed="81"/>
            <rFont val="Tahoma"/>
            <family val="2"/>
          </rPr>
          <t>Marte:</t>
        </r>
        <r>
          <rPr>
            <sz val="9"/>
            <color indexed="81"/>
            <rFont val="Tahoma"/>
            <family val="2"/>
          </rPr>
          <t xml:space="preserve">
not found. assumed same as number of turbines.</t>
        </r>
      </text>
    </comment>
    <comment ref="AG71" authorId="2" shapeId="0" xr:uid="{00000000-0006-0000-0400-00007D000000}">
      <text>
        <r>
          <rPr>
            <b/>
            <sz val="9"/>
            <color indexed="81"/>
            <rFont val="Tahoma"/>
            <family val="2"/>
          </rPr>
          <t>Marte:</t>
        </r>
        <r>
          <rPr>
            <sz val="9"/>
            <color indexed="81"/>
            <rFont val="Tahoma"/>
            <family val="2"/>
          </rPr>
          <t xml:space="preserve">
also: "Lake Hintersand" according to wikipedia, but coords could not be found (capacity 0.11 MCM, so small compared to Limmern). Left out here. https://en.wikipedia.org/wiki/Linth%E2%80%93Limmern_Power_Stations</t>
        </r>
      </text>
    </comment>
    <comment ref="AH73" authorId="0" shapeId="0" xr:uid="{00000000-0006-0000-0400-00007E000000}">
      <text>
        <r>
          <rPr>
            <b/>
            <sz val="9"/>
            <color indexed="81"/>
            <rFont val="Tahoma"/>
            <family val="2"/>
          </rPr>
          <t>W. Zappa:</t>
        </r>
        <r>
          <rPr>
            <sz val="9"/>
            <color indexed="81"/>
            <rFont val="Tahoma"/>
            <family val="2"/>
          </rPr>
          <t xml:space="preserve">
WZ added</t>
        </r>
      </text>
    </comment>
    <comment ref="D74" authorId="0" shapeId="0" xr:uid="{00000000-0006-0000-0400-00007F000000}">
      <text>
        <r>
          <rPr>
            <b/>
            <sz val="9"/>
            <color indexed="81"/>
            <rFont val="Tahoma"/>
            <family val="2"/>
          </rPr>
          <t>W. Zappa:</t>
        </r>
        <r>
          <rPr>
            <sz val="9"/>
            <color indexed="81"/>
            <rFont val="Tahoma"/>
            <family val="2"/>
          </rPr>
          <t xml:space="preserve">
From ENTSOE detailed capacity by unit classification</t>
        </r>
      </text>
    </comment>
    <comment ref="E74" authorId="0" shapeId="0" xr:uid="{00000000-0006-0000-0400-000080000000}">
      <text>
        <r>
          <rPr>
            <b/>
            <sz val="9"/>
            <color indexed="81"/>
            <rFont val="Tahoma"/>
            <family val="2"/>
          </rPr>
          <t>W. Zappa:</t>
        </r>
        <r>
          <rPr>
            <sz val="9"/>
            <color indexed="81"/>
            <rFont val="Tahoma"/>
            <family val="2"/>
          </rPr>
          <t xml:space="preserve">
Don't know yet, need LT data from Edwin. Assuming STO for now.</t>
        </r>
      </text>
    </comment>
    <comment ref="AA74" authorId="2" shapeId="0" xr:uid="{00000000-0006-0000-0400-000081000000}">
      <text>
        <r>
          <rPr>
            <b/>
            <sz val="9"/>
            <color indexed="81"/>
            <rFont val="Tahoma"/>
            <family val="2"/>
          </rPr>
          <t>Marte:</t>
        </r>
        <r>
          <rPr>
            <sz val="9"/>
            <color indexed="81"/>
            <rFont val="Tahoma"/>
            <family val="2"/>
          </rPr>
          <t xml:space="preserve">
2007 (enipedia)
</t>
        </r>
      </text>
    </comment>
    <comment ref="D75" authorId="0" shapeId="0" xr:uid="{00000000-0006-0000-0400-000082000000}">
      <text>
        <r>
          <rPr>
            <b/>
            <sz val="9"/>
            <color indexed="81"/>
            <rFont val="Tahoma"/>
            <family val="2"/>
          </rPr>
          <t>W. Zappa:</t>
        </r>
        <r>
          <rPr>
            <sz val="9"/>
            <color indexed="81"/>
            <rFont val="Tahoma"/>
            <family val="2"/>
          </rPr>
          <t xml:space="preserve">
From ENTSOE detailed capacity by unit classification</t>
        </r>
      </text>
    </comment>
    <comment ref="E75" authorId="0" shapeId="0" xr:uid="{00000000-0006-0000-0400-000083000000}">
      <text>
        <r>
          <rPr>
            <b/>
            <sz val="9"/>
            <color indexed="81"/>
            <rFont val="Tahoma"/>
            <family val="2"/>
          </rPr>
          <t>W. Zappa:</t>
        </r>
        <r>
          <rPr>
            <sz val="9"/>
            <color indexed="81"/>
            <rFont val="Tahoma"/>
            <family val="2"/>
          </rPr>
          <t xml:space="preserve">
Don't know yet, need LT data from Edwin. Assuming STO for now.</t>
        </r>
      </text>
    </comment>
    <comment ref="AH75" authorId="0" shapeId="0" xr:uid="{00000000-0006-0000-0400-000084000000}">
      <text>
        <r>
          <rPr>
            <b/>
            <sz val="9"/>
            <color indexed="81"/>
            <rFont val="Tahoma"/>
            <family val="2"/>
          </rPr>
          <t>W. Zappa:</t>
        </r>
        <r>
          <rPr>
            <sz val="9"/>
            <color indexed="81"/>
            <rFont val="Tahoma"/>
            <family val="2"/>
          </rPr>
          <t xml:space="preserve">
Not in Grand Database</t>
        </r>
      </text>
    </comment>
    <comment ref="AF76" authorId="2" shapeId="0" xr:uid="{00000000-0006-0000-0400-000085000000}">
      <text>
        <r>
          <rPr>
            <b/>
            <sz val="9"/>
            <color indexed="81"/>
            <rFont val="Tahoma"/>
            <family val="2"/>
          </rPr>
          <t>Marte:</t>
        </r>
        <r>
          <rPr>
            <sz val="9"/>
            <color indexed="81"/>
            <rFont val="Tahoma"/>
            <family val="2"/>
          </rPr>
          <t xml:space="preserve">
commission Bemposta II
</t>
        </r>
      </text>
    </comment>
    <comment ref="AA77" authorId="2" shapeId="0" xr:uid="{00000000-0006-0000-0400-000086000000}">
      <text>
        <r>
          <rPr>
            <b/>
            <sz val="9"/>
            <color indexed="81"/>
            <rFont val="Tahoma"/>
            <family val="2"/>
          </rPr>
          <t>Marte:</t>
        </r>
        <r>
          <rPr>
            <sz val="9"/>
            <color indexed="81"/>
            <rFont val="Tahoma"/>
            <family val="2"/>
          </rPr>
          <t xml:space="preserve">
2007 (enipedia)
</t>
        </r>
      </text>
    </comment>
    <comment ref="AH77" authorId="0" shapeId="0" xr:uid="{00000000-0006-0000-0400-000087000000}">
      <text>
        <r>
          <rPr>
            <b/>
            <sz val="9"/>
            <color indexed="81"/>
            <rFont val="Tahoma"/>
            <family val="2"/>
          </rPr>
          <t>W. Zappa:</t>
        </r>
        <r>
          <rPr>
            <sz val="9"/>
            <color indexed="81"/>
            <rFont val="Tahoma"/>
            <family val="2"/>
          </rPr>
          <t xml:space="preserve">
Not in Grand Database,
small balancing reservoir</t>
        </r>
      </text>
    </comment>
    <comment ref="D79" authorId="0" shapeId="0" xr:uid="{00000000-0006-0000-0400-000088000000}">
      <text>
        <r>
          <rPr>
            <b/>
            <sz val="9"/>
            <color indexed="81"/>
            <rFont val="Tahoma"/>
            <family val="2"/>
          </rPr>
          <t>W. Zappa:</t>
        </r>
        <r>
          <rPr>
            <sz val="9"/>
            <color indexed="81"/>
            <rFont val="Tahoma"/>
            <family val="2"/>
          </rPr>
          <t xml:space="preserve">
From ENTSOE detailed capacity by unit classification</t>
        </r>
      </text>
    </comment>
    <comment ref="AA79" authorId="2" shapeId="0" xr:uid="{00000000-0006-0000-0400-000089000000}">
      <text>
        <r>
          <rPr>
            <b/>
            <sz val="9"/>
            <color indexed="81"/>
            <rFont val="Tahoma"/>
            <family val="2"/>
          </rPr>
          <t>Marte:</t>
        </r>
        <r>
          <rPr>
            <sz val="9"/>
            <color indexed="81"/>
            <rFont val="Tahoma"/>
            <family val="2"/>
          </rPr>
          <t xml:space="preserve">
average 2001-2009 (GEO)</t>
        </r>
      </text>
    </comment>
    <comment ref="V80" authorId="2" shapeId="0" xr:uid="{00000000-0006-0000-0400-00008A000000}">
      <text>
        <r>
          <rPr>
            <b/>
            <sz val="9"/>
            <color indexed="81"/>
            <rFont val="Tahoma"/>
            <family val="2"/>
          </rPr>
          <t>Marte:</t>
        </r>
        <r>
          <rPr>
            <sz val="9"/>
            <color indexed="81"/>
            <rFont val="Tahoma"/>
            <family val="2"/>
          </rPr>
          <t xml:space="preserve">
assumed equal to turbine cap
</t>
        </r>
      </text>
    </comment>
    <comment ref="AH80" authorId="0" shapeId="0" xr:uid="{00000000-0006-0000-0400-00008B000000}">
      <text>
        <r>
          <rPr>
            <b/>
            <sz val="9"/>
            <color indexed="81"/>
            <rFont val="Tahoma"/>
            <family val="2"/>
          </rPr>
          <t>W. Zappa:</t>
        </r>
        <r>
          <rPr>
            <sz val="9"/>
            <color indexed="81"/>
            <rFont val="Tahoma"/>
            <family val="2"/>
          </rPr>
          <t xml:space="preserve">
Not in Grand Database,
small balancing reservoir</t>
        </r>
      </text>
    </comment>
    <comment ref="AM80" authorId="0" shapeId="0" xr:uid="{00000000-0006-0000-0400-00008C000000}">
      <text>
        <r>
          <rPr>
            <b/>
            <sz val="9"/>
            <color indexed="81"/>
            <rFont val="Tahoma"/>
            <family val="2"/>
          </rPr>
          <t>W. Zappa:</t>
        </r>
        <r>
          <rPr>
            <sz val="9"/>
            <color indexed="81"/>
            <rFont val="Tahoma"/>
            <family val="2"/>
          </rPr>
          <t xml:space="preserve">
WZ added</t>
        </r>
      </text>
    </comment>
    <comment ref="N81" authorId="2" shapeId="0" xr:uid="{00000000-0006-0000-0400-00008D000000}">
      <text>
        <r>
          <rPr>
            <b/>
            <sz val="9"/>
            <color indexed="81"/>
            <rFont val="Tahoma"/>
            <family val="2"/>
          </rPr>
          <t>Marte:</t>
        </r>
        <r>
          <rPr>
            <sz val="9"/>
            <color indexed="81"/>
            <rFont val="Tahoma"/>
            <family val="2"/>
          </rPr>
          <t xml:space="preserve">
coordinates of Kaunertal (village) - exact location of power plant not found</t>
        </r>
      </text>
    </comment>
    <comment ref="P82" authorId="3" shapeId="0" xr:uid="{5BD5ECE8-B917-4C08-8070-872A67F1B573}">
      <text>
        <r>
          <rPr>
            <b/>
            <sz val="9"/>
            <color indexed="81"/>
            <rFont val="Tahoma"/>
            <family val="2"/>
          </rPr>
          <t>Diede:</t>
        </r>
        <r>
          <rPr>
            <sz val="9"/>
            <color indexed="81"/>
            <rFont val="Tahoma"/>
            <family val="2"/>
          </rPr>
          <t xml:space="preserve">
Not clear</t>
        </r>
      </text>
    </comment>
    <comment ref="AG82" authorId="2" shapeId="0" xr:uid="{00000000-0006-0000-0400-00008E000000}">
      <text>
        <r>
          <rPr>
            <b/>
            <sz val="9"/>
            <color indexed="81"/>
            <rFont val="Tahoma"/>
            <family val="2"/>
          </rPr>
          <t>Marte:</t>
        </r>
        <r>
          <rPr>
            <sz val="9"/>
            <color indexed="81"/>
            <rFont val="Tahoma"/>
            <family val="2"/>
          </rPr>
          <t xml:space="preserve">
partly supplied by melting water from glaciers via La Borgne de Ferpècle and La Borgne d'Arolla</t>
        </r>
      </text>
    </comment>
    <comment ref="D85" authorId="0" shapeId="0" xr:uid="{00000000-0006-0000-0400-00008F000000}">
      <text>
        <r>
          <rPr>
            <b/>
            <sz val="9"/>
            <color indexed="81"/>
            <rFont val="Tahoma"/>
            <family val="2"/>
          </rPr>
          <t>W. Zappa:</t>
        </r>
        <r>
          <rPr>
            <sz val="9"/>
            <color indexed="81"/>
            <rFont val="Tahoma"/>
            <family val="2"/>
          </rPr>
          <t xml:space="preserve">
From ENTSOE detailed capacity by unit classification</t>
        </r>
      </text>
    </comment>
    <comment ref="E85" authorId="0" shapeId="0" xr:uid="{00000000-0006-0000-0400-000090000000}">
      <text>
        <r>
          <rPr>
            <b/>
            <sz val="9"/>
            <color indexed="81"/>
            <rFont val="Tahoma"/>
            <family val="2"/>
          </rPr>
          <t>W. Zappa:</t>
        </r>
        <r>
          <rPr>
            <sz val="9"/>
            <color indexed="81"/>
            <rFont val="Tahoma"/>
            <family val="2"/>
          </rPr>
          <t xml:space="preserve">
Don't know yet, need LT data from Edwin. Assuming STO for now.</t>
        </r>
      </text>
    </comment>
    <comment ref="AH85" authorId="0" shapeId="0" xr:uid="{00000000-0006-0000-0400-000091000000}">
      <text>
        <r>
          <rPr>
            <b/>
            <sz val="9"/>
            <color indexed="81"/>
            <rFont val="Tahoma"/>
            <family val="2"/>
          </rPr>
          <t>W. Zappa:</t>
        </r>
        <r>
          <rPr>
            <sz val="9"/>
            <color indexed="81"/>
            <rFont val="Tahoma"/>
            <family val="2"/>
          </rPr>
          <t xml:space="preserve">
Not in Grand Database</t>
        </r>
      </text>
    </comment>
    <comment ref="AK85" authorId="2" shapeId="0" xr:uid="{00000000-0006-0000-0400-000092000000}">
      <text>
        <r>
          <rPr>
            <b/>
            <sz val="9"/>
            <color indexed="81"/>
            <rFont val="Tahoma"/>
            <family val="2"/>
          </rPr>
          <t>Marte:</t>
        </r>
        <r>
          <rPr>
            <sz val="9"/>
            <color indexed="81"/>
            <rFont val="Tahoma"/>
            <family val="2"/>
          </rPr>
          <t xml:space="preserve">
total volume (wikipedia)
</t>
        </r>
      </text>
    </comment>
    <comment ref="AH86" authorId="0" shapeId="0" xr:uid="{00000000-0006-0000-0400-000093000000}">
      <text>
        <r>
          <rPr>
            <b/>
            <sz val="9"/>
            <color indexed="81"/>
            <rFont val="Tahoma"/>
            <family val="2"/>
          </rPr>
          <t>W. Zappa:</t>
        </r>
        <r>
          <rPr>
            <sz val="9"/>
            <color indexed="81"/>
            <rFont val="Tahoma"/>
            <family val="2"/>
          </rPr>
          <t xml:space="preserve">
Not in Grand Database</t>
        </r>
      </text>
    </comment>
    <comment ref="AF87" authorId="2" shapeId="0" xr:uid="{00000000-0006-0000-0400-000094000000}">
      <text>
        <r>
          <rPr>
            <b/>
            <sz val="9"/>
            <color indexed="81"/>
            <rFont val="Tahoma"/>
            <family val="2"/>
          </rPr>
          <t>Marte:</t>
        </r>
        <r>
          <rPr>
            <sz val="9"/>
            <color indexed="81"/>
            <rFont val="Tahoma"/>
            <family val="2"/>
          </rPr>
          <t xml:space="preserve">
commission Miranda II</t>
        </r>
      </text>
    </comment>
    <comment ref="D88" authorId="0" shapeId="0" xr:uid="{00000000-0006-0000-0400-000095000000}">
      <text>
        <r>
          <rPr>
            <b/>
            <sz val="9"/>
            <color indexed="81"/>
            <rFont val="Tahoma"/>
            <family val="2"/>
          </rPr>
          <t>W. Zappa:</t>
        </r>
        <r>
          <rPr>
            <sz val="9"/>
            <color indexed="81"/>
            <rFont val="Tahoma"/>
            <family val="2"/>
          </rPr>
          <t xml:space="preserve">
Assuming RoR as no pump capacity reported, and location is on a river</t>
        </r>
      </text>
    </comment>
    <comment ref="E88" authorId="0" shapeId="0" xr:uid="{00000000-0006-0000-0400-000096000000}">
      <text>
        <r>
          <rPr>
            <b/>
            <sz val="9"/>
            <color indexed="81"/>
            <rFont val="Tahoma"/>
            <family val="2"/>
          </rPr>
          <t>W. Zappa:</t>
        </r>
        <r>
          <rPr>
            <sz val="9"/>
            <color indexed="81"/>
            <rFont val="Tahoma"/>
            <family val="2"/>
          </rPr>
          <t xml:space="preserve">
Don't know yet, need LT data from Edwin. Assuming STO for now.</t>
        </r>
      </text>
    </comment>
    <comment ref="V90" authorId="2" shapeId="0" xr:uid="{00000000-0006-0000-0400-000097000000}">
      <text>
        <r>
          <rPr>
            <b/>
            <sz val="9"/>
            <color indexed="81"/>
            <rFont val="Tahoma"/>
            <family val="2"/>
          </rPr>
          <t>Marte:</t>
        </r>
        <r>
          <rPr>
            <sz val="9"/>
            <color indexed="81"/>
            <rFont val="Tahoma"/>
            <family val="2"/>
          </rPr>
          <t xml:space="preserve">
assumed equal to turbine cap</t>
        </r>
      </text>
    </comment>
    <comment ref="A92" authorId="3" shapeId="0" xr:uid="{3D27B967-C7FD-4EFC-9459-536D0189282A}">
      <text>
        <r>
          <rPr>
            <b/>
            <sz val="9"/>
            <color indexed="81"/>
            <rFont val="Tahoma"/>
            <family val="2"/>
          </rPr>
          <t>Diede:</t>
        </r>
        <r>
          <rPr>
            <sz val="9"/>
            <color indexed="81"/>
            <rFont val="Tahoma"/>
            <family val="2"/>
          </rPr>
          <t xml:space="preserve">
Two sackingen?</t>
        </r>
      </text>
    </comment>
    <comment ref="P92" authorId="3" shapeId="0" xr:uid="{B95C2E08-974A-4291-8A2D-2415D0B03945}">
      <text>
        <r>
          <rPr>
            <b/>
            <sz val="9"/>
            <color indexed="81"/>
            <rFont val="Tahoma"/>
            <family val="2"/>
          </rPr>
          <t>Diede:</t>
        </r>
        <r>
          <rPr>
            <sz val="9"/>
            <color indexed="81"/>
            <rFont val="Tahoma"/>
            <family val="2"/>
          </rPr>
          <t xml:space="preserve">
Hmm is this applicable?</t>
        </r>
      </text>
    </comment>
    <comment ref="AG92" authorId="0" shapeId="0" xr:uid="{00000000-0006-0000-0400-000098000000}">
      <text>
        <r>
          <rPr>
            <b/>
            <sz val="9"/>
            <color indexed="81"/>
            <rFont val="Tahoma"/>
            <family val="2"/>
          </rPr>
          <t>W. Zappa:</t>
        </r>
        <r>
          <rPr>
            <sz val="9"/>
            <color indexed="81"/>
            <rFont val="Tahoma"/>
            <family val="2"/>
          </rPr>
          <t xml:space="preserve">
Not in Grand Database</t>
        </r>
      </text>
    </comment>
    <comment ref="AH92" authorId="0" shapeId="0" xr:uid="{00000000-0006-0000-0400-000099000000}">
      <text>
        <r>
          <rPr>
            <b/>
            <sz val="9"/>
            <color indexed="81"/>
            <rFont val="Tahoma"/>
            <family val="2"/>
          </rPr>
          <t>W. Zappa:</t>
        </r>
        <r>
          <rPr>
            <sz val="9"/>
            <color indexed="81"/>
            <rFont val="Tahoma"/>
            <family val="2"/>
          </rPr>
          <t xml:space="preserve">
Not in Grand Database,
small balancing reservoir</t>
        </r>
      </text>
    </comment>
    <comment ref="P93" authorId="3" shapeId="0" xr:uid="{42ACA63C-E196-4408-AF3B-865284E295A7}">
      <text>
        <r>
          <rPr>
            <b/>
            <sz val="9"/>
            <color indexed="81"/>
            <rFont val="Tahoma"/>
            <family val="2"/>
          </rPr>
          <t>Diede:</t>
        </r>
        <r>
          <rPr>
            <sz val="9"/>
            <color indexed="81"/>
            <rFont val="Tahoma"/>
            <family val="2"/>
          </rPr>
          <t xml:space="preserve">
Not applicable</t>
        </r>
      </text>
    </comment>
    <comment ref="W93" authorId="2" shapeId="0" xr:uid="{00000000-0006-0000-0400-00009A000000}">
      <text>
        <r>
          <rPr>
            <b/>
            <sz val="9"/>
            <color indexed="81"/>
            <rFont val="Tahoma"/>
            <family val="2"/>
          </rPr>
          <t>Marte:</t>
        </r>
        <r>
          <rPr>
            <sz val="9"/>
            <color indexed="81"/>
            <rFont val="Tahoma"/>
            <family val="2"/>
          </rPr>
          <t xml:space="preserve">
not mentioned if it is black start or spinning reserve
</t>
        </r>
      </text>
    </comment>
    <comment ref="AH93" authorId="0" shapeId="0" xr:uid="{00000000-0006-0000-0400-00009B000000}">
      <text>
        <r>
          <rPr>
            <b/>
            <sz val="9"/>
            <color indexed="81"/>
            <rFont val="Tahoma"/>
            <family val="2"/>
          </rPr>
          <t>W. Zappa:</t>
        </r>
        <r>
          <rPr>
            <sz val="9"/>
            <color indexed="81"/>
            <rFont val="Tahoma"/>
            <family val="2"/>
          </rPr>
          <t xml:space="preserve">
Not in Grand Database</t>
        </r>
      </text>
    </comment>
    <comment ref="AM93" authorId="0" shapeId="0" xr:uid="{00000000-0006-0000-0400-00009C000000}">
      <text>
        <r>
          <rPr>
            <b/>
            <sz val="9"/>
            <color indexed="81"/>
            <rFont val="Tahoma"/>
            <family val="2"/>
          </rPr>
          <t>W. Zappa:</t>
        </r>
        <r>
          <rPr>
            <sz val="9"/>
            <color indexed="81"/>
            <rFont val="Tahoma"/>
            <family val="2"/>
          </rPr>
          <t xml:space="preserve">
Not in Grand Database,
small balancing reservoir</t>
        </r>
      </text>
    </comment>
    <comment ref="AH94" authorId="0" shapeId="0" xr:uid="{00000000-0006-0000-0400-00009D000000}">
      <text>
        <r>
          <rPr>
            <b/>
            <sz val="9"/>
            <color indexed="81"/>
            <rFont val="Tahoma"/>
            <family val="2"/>
          </rPr>
          <t>W. Zappa:</t>
        </r>
        <r>
          <rPr>
            <sz val="9"/>
            <color indexed="81"/>
            <rFont val="Tahoma"/>
            <family val="2"/>
          </rPr>
          <t xml:space="preserve">
Not in Grand Database</t>
        </r>
      </text>
    </comment>
    <comment ref="AK94" authorId="2" shapeId="0" xr:uid="{00000000-0006-0000-0400-00009E000000}">
      <text>
        <r>
          <rPr>
            <b/>
            <sz val="9"/>
            <color indexed="81"/>
            <rFont val="Tahoma"/>
            <family val="2"/>
          </rPr>
          <t>Marte:</t>
        </r>
        <r>
          <rPr>
            <sz val="9"/>
            <color indexed="81"/>
            <rFont val="Tahoma"/>
            <family val="2"/>
          </rPr>
          <t xml:space="preserve">
Estimation! Area 3,27 km2 (wikipedia (italian)), 10 m water difference allowed (assumption)</t>
        </r>
      </text>
    </comment>
    <comment ref="AA95" authorId="2" shapeId="0" xr:uid="{00000000-0006-0000-0400-00009F000000}">
      <text>
        <r>
          <rPr>
            <b/>
            <sz val="9"/>
            <color indexed="81"/>
            <rFont val="Tahoma"/>
            <family val="2"/>
          </rPr>
          <t>Marte:</t>
        </r>
        <r>
          <rPr>
            <sz val="9"/>
            <color indexed="81"/>
            <rFont val="Tahoma"/>
            <family val="2"/>
          </rPr>
          <t xml:space="preserve">
2007 (GEO)</t>
        </r>
      </text>
    </comment>
    <comment ref="AH95" authorId="0" shapeId="0" xr:uid="{00000000-0006-0000-0400-0000A0000000}">
      <text>
        <r>
          <rPr>
            <b/>
            <sz val="9"/>
            <color indexed="81"/>
            <rFont val="Tahoma"/>
            <family val="2"/>
          </rPr>
          <t>W. Zappa:</t>
        </r>
        <r>
          <rPr>
            <sz val="9"/>
            <color indexed="81"/>
            <rFont val="Tahoma"/>
            <family val="2"/>
          </rPr>
          <t xml:space="preserve">
Not in Grand Database</t>
        </r>
      </text>
    </comment>
    <comment ref="AK95" authorId="2" shapeId="0" xr:uid="{00000000-0006-0000-0400-0000A1000000}">
      <text>
        <r>
          <rPr>
            <b/>
            <sz val="9"/>
            <color indexed="81"/>
            <rFont val="Tahoma"/>
            <family val="2"/>
          </rPr>
          <t>Marte:</t>
        </r>
        <r>
          <rPr>
            <sz val="9"/>
            <color indexed="81"/>
            <rFont val="Tahoma"/>
            <family val="2"/>
          </rPr>
          <t xml:space="preserve">
Estimation! Could not be found. Estimated very small: no significant broader part in canal can be seen in google.maps., except for navigation lock</t>
        </r>
      </text>
    </comment>
    <comment ref="D97" authorId="0" shapeId="0" xr:uid="{00000000-0006-0000-0400-0000A2000000}">
      <text>
        <r>
          <rPr>
            <b/>
            <sz val="9"/>
            <color indexed="81"/>
            <rFont val="Tahoma"/>
            <family val="2"/>
          </rPr>
          <t>W. Zappa:</t>
        </r>
        <r>
          <rPr>
            <sz val="9"/>
            <color indexed="81"/>
            <rFont val="Tahoma"/>
            <family val="2"/>
          </rPr>
          <t xml:space="preserve">
Assuming RoR as no pump capacity reported, and location is on a river</t>
        </r>
      </text>
    </comment>
    <comment ref="I97" authorId="2" shapeId="0" xr:uid="{00000000-0006-0000-0400-0000A3000000}">
      <text>
        <r>
          <rPr>
            <b/>
            <sz val="9"/>
            <color indexed="81"/>
            <rFont val="Tahoma"/>
            <family val="2"/>
          </rPr>
          <t>Marte:</t>
        </r>
        <r>
          <rPr>
            <sz val="9"/>
            <color indexed="81"/>
            <rFont val="Tahoma"/>
            <family val="2"/>
          </rPr>
          <t xml:space="preserve">
?</t>
        </r>
      </text>
    </comment>
    <comment ref="AH97" authorId="0" shapeId="0" xr:uid="{00000000-0006-0000-0400-0000A4000000}">
      <text>
        <r>
          <rPr>
            <b/>
            <sz val="9"/>
            <color indexed="81"/>
            <rFont val="Tahoma"/>
            <family val="2"/>
          </rPr>
          <t>W. Zappa:</t>
        </r>
        <r>
          <rPr>
            <sz val="9"/>
            <color indexed="81"/>
            <rFont val="Tahoma"/>
            <family val="2"/>
          </rPr>
          <t xml:space="preserve">
Not in Grand Database</t>
        </r>
      </text>
    </comment>
    <comment ref="AA99" authorId="2" shapeId="0" xr:uid="{00000000-0006-0000-0400-0000A5000000}">
      <text>
        <r>
          <rPr>
            <b/>
            <sz val="9"/>
            <color indexed="81"/>
            <rFont val="Tahoma"/>
            <family val="2"/>
          </rPr>
          <t>Marte:</t>
        </r>
        <r>
          <rPr>
            <sz val="9"/>
            <color indexed="81"/>
            <rFont val="Tahoma"/>
            <family val="2"/>
          </rPr>
          <t xml:space="preserve">
1998
</t>
        </r>
      </text>
    </comment>
    <comment ref="D100" authorId="0" shapeId="0" xr:uid="{00000000-0006-0000-0400-0000A6000000}">
      <text>
        <r>
          <rPr>
            <b/>
            <sz val="9"/>
            <color indexed="81"/>
            <rFont val="Tahoma"/>
            <family val="2"/>
          </rPr>
          <t>W. Zappa:</t>
        </r>
        <r>
          <rPr>
            <sz val="9"/>
            <color indexed="81"/>
            <rFont val="Tahoma"/>
            <family val="2"/>
          </rPr>
          <t xml:space="preserve">
From ENTSOE detailed capacity by unit classification</t>
        </r>
      </text>
    </comment>
    <comment ref="E100" authorId="0" shapeId="0" xr:uid="{00000000-0006-0000-0400-0000A7000000}">
      <text>
        <r>
          <rPr>
            <b/>
            <sz val="9"/>
            <color indexed="81"/>
            <rFont val="Tahoma"/>
            <family val="2"/>
          </rPr>
          <t>W. Zappa:</t>
        </r>
        <r>
          <rPr>
            <sz val="9"/>
            <color indexed="81"/>
            <rFont val="Tahoma"/>
            <family val="2"/>
          </rPr>
          <t xml:space="preserve">
Don't know yet, need LT data from Edwin. Assuming STO for now.</t>
        </r>
      </text>
    </comment>
    <comment ref="G100" authorId="2" shapeId="0" xr:uid="{00000000-0006-0000-0400-0000A8000000}">
      <text>
        <r>
          <rPr>
            <b/>
            <sz val="9"/>
            <color indexed="81"/>
            <rFont val="Tahoma"/>
            <family val="2"/>
          </rPr>
          <t>Marte:</t>
        </r>
        <r>
          <rPr>
            <sz val="9"/>
            <color indexed="81"/>
            <rFont val="Tahoma"/>
            <family val="2"/>
          </rPr>
          <t xml:space="preserve">
Part of the plant is owned by Serbia, this part is not accounted for here</t>
        </r>
      </text>
    </comment>
    <comment ref="D101" authorId="0" shapeId="0" xr:uid="{00000000-0006-0000-0400-0000A9000000}">
      <text>
        <r>
          <rPr>
            <b/>
            <sz val="9"/>
            <color indexed="81"/>
            <rFont val="Tahoma"/>
            <family val="2"/>
          </rPr>
          <t>W. Zappa:</t>
        </r>
        <r>
          <rPr>
            <sz val="9"/>
            <color indexed="81"/>
            <rFont val="Tahoma"/>
            <family val="2"/>
          </rPr>
          <t xml:space="preserve">
From ENTSOE detailed capacity by unit classification</t>
        </r>
      </text>
    </comment>
    <comment ref="E101" authorId="0" shapeId="0" xr:uid="{00000000-0006-0000-0400-0000AA000000}">
      <text>
        <r>
          <rPr>
            <b/>
            <sz val="9"/>
            <color indexed="81"/>
            <rFont val="Tahoma"/>
            <family val="2"/>
          </rPr>
          <t>W. Zappa:</t>
        </r>
        <r>
          <rPr>
            <sz val="9"/>
            <color indexed="81"/>
            <rFont val="Tahoma"/>
            <family val="2"/>
          </rPr>
          <t xml:space="preserve">
Don't know yet, need LT data from Edwin. Assuming STO for now.</t>
        </r>
      </text>
    </comment>
    <comment ref="AH101" authorId="0" shapeId="0" xr:uid="{00000000-0006-0000-0400-0000AB000000}">
      <text>
        <r>
          <rPr>
            <b/>
            <sz val="9"/>
            <color indexed="81"/>
            <rFont val="Tahoma"/>
            <family val="2"/>
          </rPr>
          <t>W. Zappa:</t>
        </r>
        <r>
          <rPr>
            <sz val="9"/>
            <color indexed="81"/>
            <rFont val="Tahoma"/>
            <family val="2"/>
          </rPr>
          <t xml:space="preserve">
Not in Grand Database</t>
        </r>
      </text>
    </comment>
    <comment ref="D102" authorId="0" shapeId="0" xr:uid="{00000000-0006-0000-0400-0000AC000000}">
      <text>
        <r>
          <rPr>
            <b/>
            <sz val="9"/>
            <color indexed="81"/>
            <rFont val="Tahoma"/>
            <family val="2"/>
          </rPr>
          <t>W. Zappa:</t>
        </r>
        <r>
          <rPr>
            <sz val="9"/>
            <color indexed="81"/>
            <rFont val="Tahoma"/>
            <family val="2"/>
          </rPr>
          <t xml:space="preserve">
From ENTSOE detailed capacity by unit classification</t>
        </r>
      </text>
    </comment>
    <comment ref="E102" authorId="0" shapeId="0" xr:uid="{00000000-0006-0000-0400-0000AD000000}">
      <text>
        <r>
          <rPr>
            <b/>
            <sz val="9"/>
            <color indexed="81"/>
            <rFont val="Tahoma"/>
            <family val="2"/>
          </rPr>
          <t>W. Zappa:</t>
        </r>
        <r>
          <rPr>
            <sz val="9"/>
            <color indexed="81"/>
            <rFont val="Tahoma"/>
            <family val="2"/>
          </rPr>
          <t xml:space="preserve">
No storage observed, assume RoR</t>
        </r>
      </text>
    </comment>
    <comment ref="AG102" authorId="2" shapeId="0" xr:uid="{00000000-0006-0000-0400-0000AE000000}">
      <text>
        <r>
          <rPr>
            <b/>
            <sz val="9"/>
            <color indexed="81"/>
            <rFont val="Tahoma"/>
            <family val="2"/>
          </rPr>
          <t>Marte:</t>
        </r>
        <r>
          <rPr>
            <sz val="9"/>
            <color indexed="81"/>
            <rFont val="Tahoma"/>
            <family val="2"/>
          </rPr>
          <t xml:space="preserve">
small balancing reservoir? not found. Treated as RoR without reservoir storage</t>
        </r>
      </text>
    </comment>
    <comment ref="AH102" authorId="0" shapeId="0" xr:uid="{00000000-0006-0000-0400-0000AF000000}">
      <text>
        <r>
          <rPr>
            <b/>
            <sz val="9"/>
            <color indexed="81"/>
            <rFont val="Tahoma"/>
            <family val="2"/>
          </rPr>
          <t>W. Zappa:</t>
        </r>
        <r>
          <rPr>
            <sz val="9"/>
            <color indexed="81"/>
            <rFont val="Tahoma"/>
            <family val="2"/>
          </rPr>
          <t xml:space="preserve">
Not in Grand Database</t>
        </r>
      </text>
    </comment>
    <comment ref="AK102" authorId="2" shapeId="0" xr:uid="{00000000-0006-0000-0400-0000B0000000}">
      <text>
        <r>
          <rPr>
            <b/>
            <sz val="9"/>
            <color indexed="81"/>
            <rFont val="Tahoma"/>
            <family val="2"/>
          </rPr>
          <t>Marte:</t>
        </r>
        <r>
          <rPr>
            <sz val="9"/>
            <color indexed="81"/>
            <rFont val="Tahoma"/>
            <family val="2"/>
          </rPr>
          <t xml:space="preserve">
Volume withhold could not be found, pure run of river without storage is assumed
</t>
        </r>
      </text>
    </comment>
    <comment ref="V105" authorId="2" shapeId="0" xr:uid="{00000000-0006-0000-0400-0000B1000000}">
      <text>
        <r>
          <rPr>
            <b/>
            <sz val="9"/>
            <color indexed="81"/>
            <rFont val="Tahoma"/>
            <family val="2"/>
          </rPr>
          <t>Marte:</t>
        </r>
        <r>
          <rPr>
            <sz val="9"/>
            <color indexed="81"/>
            <rFont val="Tahoma"/>
            <family val="2"/>
          </rPr>
          <t xml:space="preserve">
assumed equal to turbine cap
</t>
        </r>
      </text>
    </comment>
    <comment ref="D106" authorId="0" shapeId="0" xr:uid="{00000000-0006-0000-0400-0000B2000000}">
      <text>
        <r>
          <rPr>
            <b/>
            <sz val="9"/>
            <color indexed="81"/>
            <rFont val="Tahoma"/>
            <family val="2"/>
          </rPr>
          <t>W. Zappa:</t>
        </r>
        <r>
          <rPr>
            <sz val="9"/>
            <color indexed="81"/>
            <rFont val="Tahoma"/>
            <family val="2"/>
          </rPr>
          <t xml:space="preserve">
From ENTSOE detailed capacity by unit classification</t>
        </r>
      </text>
    </comment>
    <comment ref="E106" authorId="0" shapeId="0" xr:uid="{00000000-0006-0000-0400-0000B3000000}">
      <text>
        <r>
          <rPr>
            <b/>
            <sz val="9"/>
            <color indexed="81"/>
            <rFont val="Tahoma"/>
            <family val="2"/>
          </rPr>
          <t>W. Zappa:</t>
        </r>
        <r>
          <rPr>
            <sz val="9"/>
            <color indexed="81"/>
            <rFont val="Tahoma"/>
            <family val="2"/>
          </rPr>
          <t xml:space="preserve">
Don't know yet, need LT data from Edwin. Assuming STO for now.</t>
        </r>
      </text>
    </comment>
    <comment ref="T106" authorId="2" shapeId="0" xr:uid="{00000000-0006-0000-0400-0000B4000000}">
      <text>
        <r>
          <rPr>
            <b/>
            <sz val="9"/>
            <color indexed="81"/>
            <rFont val="Tahoma"/>
            <family val="2"/>
          </rPr>
          <t>Marte:</t>
        </r>
        <r>
          <rPr>
            <sz val="9"/>
            <color indexed="81"/>
            <rFont val="Tahoma"/>
            <family val="2"/>
          </rPr>
          <t xml:space="preserve">
?
</t>
        </r>
      </text>
    </comment>
    <comment ref="AA106" authorId="2" shapeId="0" xr:uid="{00000000-0006-0000-0400-0000B5000000}">
      <text>
        <r>
          <rPr>
            <b/>
            <sz val="9"/>
            <color indexed="81"/>
            <rFont val="Tahoma"/>
            <family val="2"/>
          </rPr>
          <t>Marte:</t>
        </r>
        <r>
          <rPr>
            <sz val="9"/>
            <color indexed="81"/>
            <rFont val="Tahoma"/>
            <family val="2"/>
          </rPr>
          <t xml:space="preserve">
average 2001-2009 (GEO)
</t>
        </r>
      </text>
    </comment>
    <comment ref="AA107" authorId="2" shapeId="0" xr:uid="{00000000-0006-0000-0400-0000B6000000}">
      <text>
        <r>
          <rPr>
            <b/>
            <sz val="9"/>
            <color indexed="81"/>
            <rFont val="Tahoma"/>
            <family val="2"/>
          </rPr>
          <t>Marte:</t>
        </r>
        <r>
          <rPr>
            <sz val="9"/>
            <color indexed="81"/>
            <rFont val="Tahoma"/>
            <family val="2"/>
          </rPr>
          <t xml:space="preserve">
2007 (enipedia)
</t>
        </r>
      </text>
    </comment>
    <comment ref="U108" authorId="0" shapeId="0" xr:uid="{00000000-0006-0000-0400-0000B7000000}">
      <text>
        <r>
          <rPr>
            <b/>
            <sz val="9"/>
            <color indexed="81"/>
            <rFont val="Tahoma"/>
            <family val="2"/>
          </rPr>
          <t>W. Zappa:</t>
        </r>
        <r>
          <rPr>
            <sz val="9"/>
            <color indexed="81"/>
            <rFont val="Tahoma"/>
            <family val="2"/>
          </rPr>
          <t xml:space="preserve">
Updated from BFE data</t>
        </r>
      </text>
    </comment>
    <comment ref="D111" authorId="0" shapeId="0" xr:uid="{00000000-0006-0000-0400-0000B8000000}">
      <text>
        <r>
          <rPr>
            <b/>
            <sz val="9"/>
            <color indexed="81"/>
            <rFont val="Tahoma"/>
            <family val="2"/>
          </rPr>
          <t>W. Zappa:</t>
        </r>
        <r>
          <rPr>
            <sz val="9"/>
            <color indexed="81"/>
            <rFont val="Tahoma"/>
            <family val="2"/>
          </rPr>
          <t xml:space="preserve">
Guess, no storage observed</t>
        </r>
      </text>
    </comment>
    <comment ref="AA111" authorId="2" shapeId="0" xr:uid="{00000000-0006-0000-0400-0000B9000000}">
      <text>
        <r>
          <rPr>
            <b/>
            <sz val="9"/>
            <color indexed="81"/>
            <rFont val="Tahoma"/>
            <family val="2"/>
          </rPr>
          <t>Marte:</t>
        </r>
        <r>
          <rPr>
            <sz val="9"/>
            <color indexed="81"/>
            <rFont val="Tahoma"/>
            <family val="2"/>
          </rPr>
          <t xml:space="preserve">
2007 (enipedia)</t>
        </r>
      </text>
    </comment>
    <comment ref="AH111" authorId="0" shapeId="0" xr:uid="{00000000-0006-0000-0400-0000BA000000}">
      <text>
        <r>
          <rPr>
            <b/>
            <sz val="9"/>
            <color indexed="81"/>
            <rFont val="Tahoma"/>
            <family val="2"/>
          </rPr>
          <t>W. Zappa:</t>
        </r>
        <r>
          <rPr>
            <sz val="9"/>
            <color indexed="81"/>
            <rFont val="Tahoma"/>
            <family val="2"/>
          </rPr>
          <t xml:space="preserve">
WZ change from 3334/3312 based on ArcGIS and viewing map</t>
        </r>
      </text>
    </comment>
    <comment ref="D112" authorId="0" shapeId="0" xr:uid="{00000000-0006-0000-0400-0000BB000000}">
      <text>
        <r>
          <rPr>
            <b/>
            <sz val="9"/>
            <color indexed="81"/>
            <rFont val="Tahoma"/>
            <family val="2"/>
          </rPr>
          <t>W. Zappa:</t>
        </r>
        <r>
          <rPr>
            <sz val="9"/>
            <color indexed="81"/>
            <rFont val="Tahoma"/>
            <family val="2"/>
          </rPr>
          <t xml:space="preserve">
From ENTSOE detailed capacity by unit classification</t>
        </r>
      </text>
    </comment>
    <comment ref="E112" authorId="0" shapeId="0" xr:uid="{00000000-0006-0000-0400-0000BC000000}">
      <text>
        <r>
          <rPr>
            <b/>
            <sz val="9"/>
            <color indexed="81"/>
            <rFont val="Tahoma"/>
            <family val="2"/>
          </rPr>
          <t>W. Zappa:</t>
        </r>
        <r>
          <rPr>
            <sz val="9"/>
            <color indexed="81"/>
            <rFont val="Tahoma"/>
            <family val="2"/>
          </rPr>
          <t xml:space="preserve">
Don't know yet, need LT data from Edwin. Assuming STO for now.</t>
        </r>
      </text>
    </comment>
    <comment ref="AG112" authorId="0" shapeId="0" xr:uid="{00000000-0006-0000-0400-0000BD000000}">
      <text>
        <r>
          <rPr>
            <b/>
            <sz val="9"/>
            <color indexed="81"/>
            <rFont val="Tahoma"/>
            <family val="2"/>
          </rPr>
          <t>W. Zappa:</t>
        </r>
        <r>
          <rPr>
            <sz val="9"/>
            <color indexed="81"/>
            <rFont val="Tahoma"/>
            <family val="2"/>
          </rPr>
          <t xml:space="preserve">
Not in Grand Database</t>
        </r>
      </text>
    </comment>
    <comment ref="AH112" authorId="0" shapeId="0" xr:uid="{00000000-0006-0000-0400-0000BE000000}">
      <text>
        <r>
          <rPr>
            <b/>
            <sz val="9"/>
            <color indexed="81"/>
            <rFont val="Tahoma"/>
            <family val="2"/>
          </rPr>
          <t>W. Zappa:</t>
        </r>
        <r>
          <rPr>
            <sz val="9"/>
            <color indexed="81"/>
            <rFont val="Tahoma"/>
            <family val="2"/>
          </rPr>
          <t xml:space="preserve">
Not in Grand Database</t>
        </r>
      </text>
    </comment>
    <comment ref="AK112" authorId="2" shapeId="0" xr:uid="{00000000-0006-0000-0400-0000BF000000}">
      <text>
        <r>
          <rPr>
            <b/>
            <sz val="9"/>
            <color indexed="81"/>
            <rFont val="Tahoma"/>
            <family val="2"/>
          </rPr>
          <t>Marte:</t>
        </r>
        <r>
          <rPr>
            <sz val="9"/>
            <color indexed="81"/>
            <rFont val="Tahoma"/>
            <family val="2"/>
          </rPr>
          <t xml:space="preserve">
Based on total Magasinkapasiteit for Aurland II</t>
        </r>
      </text>
    </comment>
    <comment ref="AP112" authorId="0" shapeId="0" xr:uid="{00000000-0006-0000-0400-0000C0000000}">
      <text>
        <r>
          <rPr>
            <b/>
            <sz val="9"/>
            <color indexed="81"/>
            <rFont val="Tahoma"/>
            <family val="2"/>
          </rPr>
          <t>W. Zappa:</t>
        </r>
        <r>
          <rPr>
            <sz val="9"/>
            <color indexed="81"/>
            <rFont val="Tahoma"/>
            <family val="2"/>
          </rPr>
          <t xml:space="preserve">
Apparently two different heights of 110 and 480 m
Using avg
http://www.e-co.no/filestore/Aurland_brosjyre2010.pdf</t>
        </r>
      </text>
    </comment>
    <comment ref="AK114" authorId="0" shapeId="0" xr:uid="{00000000-0006-0000-0400-0000C1000000}">
      <text>
        <r>
          <rPr>
            <b/>
            <sz val="9"/>
            <color indexed="81"/>
            <rFont val="Tahoma"/>
            <family val="2"/>
          </rPr>
          <t>W. Zappa:</t>
        </r>
        <r>
          <rPr>
            <sz val="9"/>
            <color indexed="81"/>
            <rFont val="Tahoma"/>
            <family val="2"/>
          </rPr>
          <t xml:space="preserve">
GRAND</t>
        </r>
      </text>
    </comment>
    <comment ref="AH115" authorId="0" shapeId="0" xr:uid="{00000000-0006-0000-0400-0000C2000000}">
      <text>
        <r>
          <rPr>
            <b/>
            <sz val="9"/>
            <color indexed="81"/>
            <rFont val="Tahoma"/>
            <family val="2"/>
          </rPr>
          <t>W. Zappa:</t>
        </r>
        <r>
          <rPr>
            <sz val="9"/>
            <color indexed="81"/>
            <rFont val="Tahoma"/>
            <family val="2"/>
          </rPr>
          <t xml:space="preserve">
Not in Grand Database</t>
        </r>
      </text>
    </comment>
    <comment ref="AK115" authorId="2" shapeId="0" xr:uid="{00000000-0006-0000-0400-0000C3000000}">
      <text>
        <r>
          <rPr>
            <b/>
            <sz val="9"/>
            <color indexed="81"/>
            <rFont val="Tahoma"/>
            <family val="2"/>
          </rPr>
          <t>Marte:</t>
        </r>
        <r>
          <rPr>
            <sz val="9"/>
            <color indexed="81"/>
            <rFont val="Tahoma"/>
            <family val="2"/>
          </rPr>
          <t xml:space="preserve">
=deltaH*Area</t>
        </r>
      </text>
    </comment>
    <comment ref="AH116" authorId="0" shapeId="0" xr:uid="{00000000-0006-0000-0400-0000C4000000}">
      <text>
        <r>
          <rPr>
            <b/>
            <sz val="9"/>
            <color indexed="81"/>
            <rFont val="Tahoma"/>
            <family val="2"/>
          </rPr>
          <t>W. Zappa:</t>
        </r>
        <r>
          <rPr>
            <sz val="9"/>
            <color indexed="81"/>
            <rFont val="Tahoma"/>
            <family val="2"/>
          </rPr>
          <t xml:space="preserve">
Not in Grand Database</t>
        </r>
      </text>
    </comment>
    <comment ref="AH117" authorId="0" shapeId="0" xr:uid="{00000000-0006-0000-0400-0000C5000000}">
      <text>
        <r>
          <rPr>
            <b/>
            <sz val="9"/>
            <color indexed="81"/>
            <rFont val="Tahoma"/>
            <family val="2"/>
          </rPr>
          <t>W. Zappa:</t>
        </r>
        <r>
          <rPr>
            <sz val="9"/>
            <color indexed="81"/>
            <rFont val="Tahoma"/>
            <family val="2"/>
          </rPr>
          <t xml:space="preserve">
Not in Grand Database</t>
        </r>
      </text>
    </comment>
    <comment ref="AH118" authorId="0" shapeId="0" xr:uid="{00000000-0006-0000-0400-0000C6000000}">
      <text>
        <r>
          <rPr>
            <b/>
            <sz val="9"/>
            <color indexed="81"/>
            <rFont val="Tahoma"/>
            <family val="2"/>
          </rPr>
          <t>W. Zappa:</t>
        </r>
        <r>
          <rPr>
            <sz val="9"/>
            <color indexed="81"/>
            <rFont val="Tahoma"/>
            <family val="2"/>
          </rPr>
          <t xml:space="preserve">
Not in Grand Database</t>
        </r>
      </text>
    </comment>
    <comment ref="D119" authorId="0" shapeId="0" xr:uid="{00000000-0006-0000-0400-0000C7000000}">
      <text>
        <r>
          <rPr>
            <b/>
            <sz val="9"/>
            <color indexed="81"/>
            <rFont val="Tahoma"/>
            <family val="2"/>
          </rPr>
          <t>W. Zappa:</t>
        </r>
        <r>
          <rPr>
            <sz val="9"/>
            <color indexed="81"/>
            <rFont val="Tahoma"/>
            <family val="2"/>
          </rPr>
          <t xml:space="preserve">
From ENTSOE detailed capacity by unit classification</t>
        </r>
      </text>
    </comment>
    <comment ref="E119" authorId="0" shapeId="0" xr:uid="{00000000-0006-0000-0400-0000C8000000}">
      <text>
        <r>
          <rPr>
            <b/>
            <sz val="9"/>
            <color indexed="81"/>
            <rFont val="Tahoma"/>
            <family val="2"/>
          </rPr>
          <t>W. Zappa:</t>
        </r>
        <r>
          <rPr>
            <sz val="9"/>
            <color indexed="81"/>
            <rFont val="Tahoma"/>
            <family val="2"/>
          </rPr>
          <t xml:space="preserve">
Don't know yet, need LT data from Edwin. Assuming STO for now.</t>
        </r>
      </text>
    </comment>
    <comment ref="AH119" authorId="0" shapeId="0" xr:uid="{00000000-0006-0000-0400-0000C9000000}">
      <text>
        <r>
          <rPr>
            <b/>
            <sz val="9"/>
            <color indexed="81"/>
            <rFont val="Tahoma"/>
            <family val="2"/>
          </rPr>
          <t>W. Zappa:</t>
        </r>
        <r>
          <rPr>
            <sz val="9"/>
            <color indexed="81"/>
            <rFont val="Tahoma"/>
            <family val="2"/>
          </rPr>
          <t xml:space="preserve">
Not in Grand Database</t>
        </r>
      </text>
    </comment>
    <comment ref="V120" authorId="2" shapeId="0" xr:uid="{00000000-0006-0000-0400-0000CA000000}">
      <text>
        <r>
          <rPr>
            <b/>
            <sz val="9"/>
            <color indexed="81"/>
            <rFont val="Tahoma"/>
            <family val="2"/>
          </rPr>
          <t>Marte:</t>
        </r>
        <r>
          <rPr>
            <sz val="9"/>
            <color indexed="81"/>
            <rFont val="Tahoma"/>
            <family val="2"/>
          </rPr>
          <t xml:space="preserve">
assumed equal to turbine cap
</t>
        </r>
      </text>
    </comment>
    <comment ref="AH120" authorId="0" shapeId="0" xr:uid="{00000000-0006-0000-0400-0000CB000000}">
      <text>
        <r>
          <rPr>
            <b/>
            <sz val="9"/>
            <color indexed="81"/>
            <rFont val="Tahoma"/>
            <family val="2"/>
          </rPr>
          <t>W. Zappa:</t>
        </r>
        <r>
          <rPr>
            <sz val="9"/>
            <color indexed="81"/>
            <rFont val="Tahoma"/>
            <family val="2"/>
          </rPr>
          <t xml:space="preserve">
WZ added</t>
        </r>
      </text>
    </comment>
    <comment ref="P121" authorId="3" shapeId="0" xr:uid="{2E4E5E6B-44E5-4F7D-AF8E-4ADF79296DE0}">
      <text>
        <r>
          <rPr>
            <b/>
            <sz val="9"/>
            <color indexed="81"/>
            <rFont val="Tahoma"/>
            <family val="2"/>
          </rPr>
          <t>Diede:</t>
        </r>
        <r>
          <rPr>
            <sz val="9"/>
            <color indexed="81"/>
            <rFont val="Tahoma"/>
            <family val="2"/>
          </rPr>
          <t xml:space="preserve">
Not applicable?</t>
        </r>
      </text>
    </comment>
    <comment ref="AH121" authorId="0" shapeId="0" xr:uid="{00000000-0006-0000-0400-0000CC000000}">
      <text>
        <r>
          <rPr>
            <b/>
            <sz val="9"/>
            <color indexed="81"/>
            <rFont val="Tahoma"/>
            <family val="2"/>
          </rPr>
          <t>W. Zappa:</t>
        </r>
        <r>
          <rPr>
            <sz val="9"/>
            <color indexed="81"/>
            <rFont val="Tahoma"/>
            <family val="2"/>
          </rPr>
          <t xml:space="preserve">
Not in Grand Database</t>
        </r>
      </text>
    </comment>
    <comment ref="U123" authorId="4" shapeId="0" xr:uid="{00000000-0006-0000-0400-0000CE000000}">
      <text>
        <r>
          <rPr>
            <b/>
            <sz val="10"/>
            <color indexed="81"/>
            <rFont val="Calibri"/>
            <family val="2"/>
          </rPr>
          <t>Small but largest RoR in UK</t>
        </r>
      </text>
    </comment>
    <comment ref="AA123" authorId="4" shapeId="0" xr:uid="{00000000-0006-0000-0400-0000CF000000}">
      <text>
        <r>
          <rPr>
            <b/>
            <sz val="10"/>
            <color indexed="81"/>
            <rFont val="Calibri"/>
            <family val="2"/>
          </rPr>
          <t>Average https://en.wikipedia.org/wiki/Beeston_Hydro#cite_note-4</t>
        </r>
      </text>
    </comment>
    <comment ref="AK124" authorId="4" shapeId="0" xr:uid="{00000000-0006-0000-0400-0000D0000000}">
      <text>
        <r>
          <rPr>
            <b/>
            <sz val="10"/>
            <color indexed="81"/>
            <rFont val="Calibri"/>
            <family val="2"/>
          </rPr>
          <t>https://ipfs.io/ipfs/QmXoypizjW3WknFiJnKLwHCnL72vedxjQkDDP1mXWo6uco/wiki/List_of_dams_and_reservoirs_in_Austria.html</t>
        </r>
      </text>
    </comment>
    <comment ref="AA125" authorId="3" shapeId="0" xr:uid="{6DD27B86-74EC-48C2-BAFA-F21767DCA89F}">
      <text>
        <r>
          <rPr>
            <b/>
            <sz val="9"/>
            <color indexed="81"/>
            <rFont val="Tahoma"/>
            <family val="2"/>
          </rPr>
          <t>Diede:</t>
        </r>
        <r>
          <rPr>
            <sz val="9"/>
            <color indexed="81"/>
            <rFont val="Tahoma"/>
            <family val="2"/>
          </rPr>
          <t xml:space="preserve">
2007 Enipedia</t>
        </r>
      </text>
    </comment>
    <comment ref="AK125" authorId="3" shapeId="0" xr:uid="{8E9988DE-A9C8-4E37-818E-4775D2F83E87}">
      <text>
        <r>
          <rPr>
            <b/>
            <sz val="9"/>
            <color indexed="81"/>
            <rFont val="Tahoma"/>
            <family val="2"/>
          </rPr>
          <t>Diede:</t>
        </r>
        <r>
          <rPr>
            <sz val="9"/>
            <color indexed="81"/>
            <rFont val="Tahoma"/>
            <family val="2"/>
          </rPr>
          <t xml:space="preserve">
https://books.google.nl/books?id=dMpuAX8PptQC&amp;pg=PA55&amp;lpg=PA55&amp;dq=volume+retenue+utile+chastang&amp;source=bl&amp;ots=9ulI0ZaCi8&amp;sig=9ZeJcZ9MG5y9AWem_3-bSuCu0B4&amp;hl=nl&amp;sa=X&amp;ved=0ahUKEwiAysyNic3YAhVKJsAKHWzWCMIQ6AEIJzAA#v=onepage&amp;q=volume%20retenue%20utile%20chastang&amp;f=false
&gt; volume utile 150?</t>
        </r>
      </text>
    </comment>
    <comment ref="AK126" authorId="3" shapeId="0" xr:uid="{C71CF873-13F4-4705-9518-E73BE6F88B1F}">
      <text>
        <r>
          <rPr>
            <b/>
            <sz val="9"/>
            <color indexed="81"/>
            <rFont val="Tahoma"/>
            <family val="2"/>
          </rPr>
          <t>Diede:</t>
        </r>
        <r>
          <rPr>
            <sz val="9"/>
            <color indexed="81"/>
            <rFont val="Tahoma"/>
            <family val="2"/>
          </rPr>
          <t xml:space="preserve">
31 km lengte, 16 m rivier hoogte en 355 meter dambreedte gemiddeld?
&gt;
https://ipfs.io/ipfs/QmXoypizjW3WknFiJnKLwHCnL72vedxjQkDDP1mXWo6uco/wiki/List_of_dams_and_reservoirs_in_Austria.html</t>
        </r>
      </text>
    </comment>
    <comment ref="AR126" authorId="3" shapeId="0" xr:uid="{4E9FBF0D-F05E-4960-B505-1E4B8AFB25D7}">
      <text>
        <r>
          <rPr>
            <b/>
            <sz val="9"/>
            <color indexed="81"/>
            <rFont val="Tahoma"/>
            <family val="2"/>
          </rPr>
          <t>Diede:</t>
        </r>
        <r>
          <rPr>
            <sz val="9"/>
            <color indexed="81"/>
            <rFont val="Tahoma"/>
            <family val="2"/>
          </rPr>
          <t xml:space="preserve">
350 per turbine</t>
        </r>
      </text>
    </comment>
    <comment ref="AK127" authorId="3" shapeId="0" xr:uid="{0A34C157-A719-4090-B2C9-158F5EEB6A30}">
      <text>
        <r>
          <rPr>
            <b/>
            <sz val="9"/>
            <color indexed="81"/>
            <rFont val="Tahoma"/>
            <family val="2"/>
          </rPr>
          <t>Diede:</t>
        </r>
        <r>
          <rPr>
            <sz val="9"/>
            <color indexed="81"/>
            <rFont val="Tahoma"/>
            <family val="2"/>
          </rPr>
          <t xml:space="preserve">
?
</t>
        </r>
      </text>
    </comment>
    <comment ref="U129" authorId="3" shapeId="0" xr:uid="{D4FC90C1-8C33-4996-A4C3-7A15E7AFAB0F}">
      <text>
        <r>
          <rPr>
            <b/>
            <sz val="9"/>
            <color indexed="81"/>
            <rFont val="Tahoma"/>
            <family val="2"/>
          </rPr>
          <t>Diede:</t>
        </r>
        <r>
          <rPr>
            <sz val="9"/>
            <color indexed="81"/>
            <rFont val="Tahoma"/>
            <family val="2"/>
          </rPr>
          <t xml:space="preserve">
Solberg I 108 MW
Solberg II 100 MW</t>
        </r>
      </text>
    </comment>
    <comment ref="AK132" authorId="3" shapeId="0" xr:uid="{22930CA1-281A-482C-880A-05C3FC5A1DE5}">
      <text>
        <r>
          <rPr>
            <b/>
            <sz val="9"/>
            <color indexed="81"/>
            <rFont val="Tahoma"/>
            <family val="2"/>
          </rPr>
          <t>Diede:</t>
        </r>
        <r>
          <rPr>
            <sz val="9"/>
            <color indexed="81"/>
            <rFont val="Tahoma"/>
            <family val="2"/>
          </rPr>
          <t xml:space="preserve">
http://www.a-nossa-energia.edp.pt/centros_produtores/info_tecnica.php?item_id=57&amp;cp_type=&amp;section_type=info_tecnica</t>
        </r>
      </text>
    </comment>
    <comment ref="AP132" authorId="3" shapeId="0" xr:uid="{A02A7BD4-DDF7-4446-A275-545836847D8C}">
      <text>
        <r>
          <rPr>
            <b/>
            <sz val="9"/>
            <color indexed="81"/>
            <rFont val="Tahoma"/>
            <family val="2"/>
          </rPr>
          <t>Diede:</t>
        </r>
        <r>
          <rPr>
            <sz val="9"/>
            <color indexed="81"/>
            <rFont val="Tahoma"/>
            <family val="2"/>
          </rPr>
          <t xml:space="preserve">
Maximum head 31,5, minimum head 15,5 according to EDP</t>
        </r>
      </text>
    </comment>
    <comment ref="AZ132" authorId="3" shapeId="0" xr:uid="{EB8FEFC0-BF7C-4479-BCA6-4FD5CFAF5CDF}">
      <text>
        <r>
          <rPr>
            <b/>
            <sz val="9"/>
            <color indexed="81"/>
            <rFont val="Tahoma"/>
            <family val="2"/>
          </rPr>
          <t>Diede:</t>
        </r>
        <r>
          <rPr>
            <sz val="9"/>
            <color indexed="81"/>
            <rFont val="Tahoma"/>
            <family val="2"/>
          </rPr>
          <t xml:space="preserve">
According to GEO</t>
        </r>
      </text>
    </comment>
    <comment ref="AK133" authorId="3" shapeId="0" xr:uid="{5926505A-B1A8-4D6B-B28B-1F74EA249018}">
      <text>
        <r>
          <rPr>
            <b/>
            <sz val="9"/>
            <color indexed="81"/>
            <rFont val="Tahoma"/>
            <family val="2"/>
          </rPr>
          <t>Diede:</t>
        </r>
        <r>
          <rPr>
            <sz val="9"/>
            <color indexed="81"/>
            <rFont val="Tahoma"/>
            <family val="2"/>
          </rPr>
          <t xml:space="preserve">
</t>
        </r>
      </text>
    </comment>
    <comment ref="AR133" authorId="3" shapeId="0" xr:uid="{3C48856A-B495-48CF-AF2E-77F6AC7D5659}">
      <text>
        <r>
          <rPr>
            <b/>
            <sz val="9"/>
            <color indexed="81"/>
            <rFont val="Tahoma"/>
            <family val="2"/>
          </rPr>
          <t>Diede:</t>
        </r>
        <r>
          <rPr>
            <sz val="9"/>
            <color indexed="81"/>
            <rFont val="Tahoma"/>
            <family val="2"/>
          </rPr>
          <t xml:space="preserve">
Not sure if this is max or average..</t>
        </r>
      </text>
    </comment>
    <comment ref="AZ133" authorId="3" shapeId="0" xr:uid="{CDC2BD54-CAAD-482F-9763-A3C1032AA355}">
      <text>
        <r>
          <rPr>
            <b/>
            <sz val="9"/>
            <color indexed="81"/>
            <rFont val="Tahoma"/>
            <family val="2"/>
          </rPr>
          <t>Diede:</t>
        </r>
        <r>
          <rPr>
            <sz val="9"/>
            <color indexed="81"/>
            <rFont val="Tahoma"/>
            <family val="2"/>
          </rPr>
          <t xml:space="preserve">
According to GEO</t>
        </r>
      </text>
    </comment>
    <comment ref="AR134" authorId="3" shapeId="0" xr:uid="{A293024A-26FF-4074-AE7C-24B513C6F469}">
      <text>
        <r>
          <rPr>
            <b/>
            <sz val="9"/>
            <color indexed="81"/>
            <rFont val="Tahoma"/>
            <family val="2"/>
          </rPr>
          <t>Diede:</t>
        </r>
        <r>
          <rPr>
            <sz val="9"/>
            <color indexed="81"/>
            <rFont val="Tahoma"/>
            <family val="2"/>
          </rPr>
          <t xml:space="preserve">
Not sure if this is max or average</t>
        </r>
      </text>
    </comment>
    <comment ref="AA135" authorId="3" shapeId="0" xr:uid="{935E6281-75F0-42D6-86B6-E12D0C018372}">
      <text>
        <r>
          <rPr>
            <b/>
            <sz val="9"/>
            <color indexed="81"/>
            <rFont val="Tahoma"/>
            <family val="2"/>
          </rPr>
          <t>Diede:</t>
        </r>
        <r>
          <rPr>
            <sz val="9"/>
            <color indexed="81"/>
            <rFont val="Tahoma"/>
            <family val="2"/>
          </rPr>
          <t xml:space="preserve">
GEO</t>
        </r>
      </text>
    </comment>
    <comment ref="AV135" authorId="3" shapeId="0" xr:uid="{7858BCD3-AA71-416B-9368-76897F4CBE2E}">
      <text>
        <r>
          <rPr>
            <b/>
            <sz val="9"/>
            <color indexed="81"/>
            <rFont val="Tahoma"/>
            <family val="2"/>
          </rPr>
          <t>Diede:</t>
        </r>
        <r>
          <rPr>
            <sz val="9"/>
            <color indexed="81"/>
            <rFont val="Tahoma"/>
            <family val="2"/>
          </rPr>
          <t xml:space="preserve">
Don't know which way</t>
        </r>
      </text>
    </comment>
    <comment ref="AP136" authorId="3" shapeId="0" xr:uid="{01F1FD6D-BAB6-4BC2-A5FC-E1DB4C437E94}">
      <text>
        <r>
          <rPr>
            <b/>
            <sz val="9"/>
            <color indexed="81"/>
            <rFont val="Tahoma"/>
            <family val="2"/>
          </rPr>
          <t>Diede:</t>
        </r>
        <r>
          <rPr>
            <sz val="9"/>
            <color indexed="81"/>
            <rFont val="Tahoma"/>
            <family val="2"/>
          </rPr>
          <t xml:space="preserve">
Seems to high?</t>
        </r>
      </text>
    </comment>
    <comment ref="AK137" authorId="3" shapeId="0" xr:uid="{C26D001C-599F-48DC-B206-F14FDBB0EE6C}">
      <text>
        <r>
          <rPr>
            <b/>
            <sz val="9"/>
            <color indexed="81"/>
            <rFont val="Tahoma"/>
            <family val="2"/>
          </rPr>
          <t>Diede:</t>
        </r>
        <r>
          <rPr>
            <sz val="9"/>
            <color indexed="81"/>
            <rFont val="Tahoma"/>
            <family val="2"/>
          </rPr>
          <t xml:space="preserve">
http://www.barrages-cfbr.eu/Vallabregues.html
Check, is this the volume of the dam or the volume of the reservoir?</t>
        </r>
      </text>
    </comment>
    <comment ref="AP137" authorId="3" shapeId="0" xr:uid="{57168A27-7CA7-43C5-A67F-E0CF6A55C497}">
      <text>
        <r>
          <rPr>
            <b/>
            <sz val="9"/>
            <color indexed="81"/>
            <rFont val="Tahoma"/>
            <family val="2"/>
          </rPr>
          <t>Diede:</t>
        </r>
        <r>
          <rPr>
            <sz val="9"/>
            <color indexed="81"/>
            <rFont val="Tahoma"/>
            <family val="2"/>
          </rPr>
          <t xml:space="preserve">
Max head</t>
        </r>
      </text>
    </comment>
    <comment ref="AK138" authorId="3" shapeId="0" xr:uid="{E758D0DC-71FD-41D0-8A53-FF64319EC496}">
      <text>
        <r>
          <rPr>
            <b/>
            <sz val="9"/>
            <color indexed="81"/>
            <rFont val="Tahoma"/>
            <family val="2"/>
          </rPr>
          <t>Diede:</t>
        </r>
        <r>
          <rPr>
            <sz val="9"/>
            <color indexed="81"/>
            <rFont val="Tahoma"/>
            <family val="2"/>
          </rPr>
          <t xml:space="preserve">
https://ipfs.io/ipfs/QmXoypizjW3WknFiJnKLwHCnL72vedxjQkDDP1mXWo6uco/wiki/List_of_dams_and_reservoirs_in_Austria.html</t>
        </r>
      </text>
    </comment>
    <comment ref="AR138" authorId="3" shapeId="0" xr:uid="{EE73BBB6-D6A8-4A9D-8BAC-17963E62D802}">
      <text>
        <r>
          <rPr>
            <b/>
            <sz val="9"/>
            <color indexed="81"/>
            <rFont val="Tahoma"/>
            <family val="2"/>
          </rPr>
          <t>Diede:</t>
        </r>
        <r>
          <rPr>
            <sz val="9"/>
            <color indexed="81"/>
            <rFont val="Tahoma"/>
            <family val="2"/>
          </rPr>
          <t xml:space="preserve">
Nominal flow rate</t>
        </r>
      </text>
    </comment>
    <comment ref="AP139" authorId="3" shapeId="0" xr:uid="{CA6DF4F9-3139-458C-8758-566398DB0E16}">
      <text>
        <r>
          <rPr>
            <b/>
            <sz val="9"/>
            <color indexed="81"/>
            <rFont val="Tahoma"/>
            <family val="2"/>
          </rPr>
          <t>Diede:</t>
        </r>
        <r>
          <rPr>
            <sz val="9"/>
            <color indexed="81"/>
            <rFont val="Tahoma"/>
            <family val="2"/>
          </rPr>
          <t xml:space="preserve">
Max head is 37, min head is 20 m
other source mentions average fall height: 31 m:
http://www.centrodeinformacao.ren.pt/PT/publicacoes/PublicacoesGerais/Hidroelectricidade%20em%20Portugal%20-%20Mem%C3%B3ria%20e%20desafio.pdf </t>
        </r>
      </text>
    </comment>
    <comment ref="AZ139" authorId="3" shapeId="0" xr:uid="{11EB402B-9454-4D57-A506-5DF0317138DF}">
      <text>
        <r>
          <rPr>
            <b/>
            <sz val="9"/>
            <color indexed="81"/>
            <rFont val="Tahoma"/>
            <family val="2"/>
          </rPr>
          <t>Diede:</t>
        </r>
        <r>
          <rPr>
            <sz val="9"/>
            <color indexed="81"/>
            <rFont val="Tahoma"/>
            <family val="2"/>
          </rPr>
          <t xml:space="preserve">
According to GEO</t>
        </r>
      </text>
    </comment>
    <comment ref="AK141" authorId="3" shapeId="0" xr:uid="{8E570B5E-6B7D-4BE7-994E-8B0A07BA946B}">
      <text>
        <r>
          <rPr>
            <b/>
            <sz val="9"/>
            <color indexed="81"/>
            <rFont val="Tahoma"/>
            <family val="2"/>
          </rPr>
          <t>Diede:</t>
        </r>
        <r>
          <rPr>
            <sz val="9"/>
            <color indexed="81"/>
            <rFont val="Tahoma"/>
            <family val="2"/>
          </rPr>
          <t xml:space="preserve">
https://ipfs.io/ipfs/QmXoypizjW3WknFiJnKLwHCnL72vedxjQkDDP1mXWo6uco/wiki/List_of_dams_and_reservoirs_in_Austria.html</t>
        </r>
      </text>
    </comment>
    <comment ref="AZ141" authorId="3" shapeId="0" xr:uid="{1F188AEC-9029-4001-BCA7-1585D77B3B26}">
      <text>
        <r>
          <rPr>
            <b/>
            <sz val="9"/>
            <color indexed="81"/>
            <rFont val="Tahoma"/>
            <family val="2"/>
          </rPr>
          <t>Diede:</t>
        </r>
        <r>
          <rPr>
            <sz val="9"/>
            <color indexed="81"/>
            <rFont val="Tahoma"/>
            <family val="2"/>
          </rPr>
          <t xml:space="preserve">
According to GEO</t>
        </r>
      </text>
    </comment>
    <comment ref="AP142" authorId="3" shapeId="0" xr:uid="{3BDFAC84-DD9B-49C7-A2D6-C6D356E90943}">
      <text>
        <r>
          <rPr>
            <b/>
            <sz val="9"/>
            <color indexed="81"/>
            <rFont val="Tahoma"/>
            <family val="2"/>
          </rPr>
          <t xml:space="preserve">Diede:
</t>
        </r>
        <r>
          <rPr>
            <sz val="9"/>
            <color indexed="81"/>
            <rFont val="Tahoma"/>
            <family val="2"/>
          </rPr>
          <t>EDP reported:
21,6 maximum
15,5 minimum</t>
        </r>
      </text>
    </comment>
    <comment ref="AP144" authorId="3" shapeId="0" xr:uid="{AC6121C9-31B8-4333-93AD-AA0ADD2AE51C}">
      <text>
        <r>
          <rPr>
            <b/>
            <sz val="9"/>
            <color indexed="81"/>
            <rFont val="Tahoma"/>
            <family val="2"/>
          </rPr>
          <t>Diede:</t>
        </r>
        <r>
          <rPr>
            <sz val="9"/>
            <color indexed="81"/>
            <rFont val="Tahoma"/>
            <family val="2"/>
          </rPr>
          <t xml:space="preserve">
Or 26?</t>
        </r>
      </text>
    </comment>
    <comment ref="AZ144" authorId="3" shapeId="0" xr:uid="{08680B35-05A6-45AC-84FB-F72F556AAF67}">
      <text>
        <r>
          <rPr>
            <b/>
            <sz val="9"/>
            <color indexed="81"/>
            <rFont val="Tahoma"/>
            <family val="2"/>
          </rPr>
          <t>Diede:</t>
        </r>
        <r>
          <rPr>
            <sz val="9"/>
            <color indexed="81"/>
            <rFont val="Tahoma"/>
            <family val="2"/>
          </rPr>
          <t xml:space="preserve">
According to GEO</t>
        </r>
      </text>
    </comment>
    <comment ref="AK145" authorId="3" shapeId="0" xr:uid="{227BD9E5-1E0F-489E-802E-78E91304C31A}">
      <text>
        <r>
          <rPr>
            <b/>
            <sz val="9"/>
            <color indexed="81"/>
            <rFont val="Tahoma"/>
            <family val="2"/>
          </rPr>
          <t>Diede:</t>
        </r>
        <r>
          <rPr>
            <sz val="9"/>
            <color indexed="81"/>
            <rFont val="Tahoma"/>
            <family val="2"/>
          </rPr>
          <t xml:space="preserve">
https://en.wikipedia.org/wiki/List_of_dams_and_reservoirs_in_Austria</t>
        </r>
      </text>
    </comment>
    <comment ref="AK147" authorId="3" shapeId="0" xr:uid="{FD777AB3-CEC0-48A6-880E-9BBF4E2B0761}">
      <text>
        <r>
          <rPr>
            <b/>
            <sz val="9"/>
            <color indexed="81"/>
            <rFont val="Tahoma"/>
            <family val="2"/>
          </rPr>
          <t>Diede:</t>
        </r>
        <r>
          <rPr>
            <sz val="9"/>
            <color indexed="81"/>
            <rFont val="Tahoma"/>
            <family val="2"/>
          </rPr>
          <t xml:space="preserve">
GEO reports area's, but can they be used?</t>
        </r>
      </text>
    </comment>
    <comment ref="AK152" authorId="3" shapeId="0" xr:uid="{E6B92A51-678B-448B-B563-0D7B3920EE3B}">
      <text>
        <r>
          <rPr>
            <b/>
            <sz val="9"/>
            <color indexed="81"/>
            <rFont val="Tahoma"/>
            <family val="2"/>
          </rPr>
          <t>Diede:</t>
        </r>
        <r>
          <rPr>
            <sz val="9"/>
            <color indexed="81"/>
            <rFont val="Tahoma"/>
            <family val="2"/>
          </rPr>
          <t xml:space="preserve">
Surface area 1,9 sq km according to GEO</t>
        </r>
      </text>
    </comment>
    <comment ref="AA154" authorId="3" shapeId="0" xr:uid="{86AE2991-5AE0-4E7F-AF3E-4BFEE58053EC}">
      <text>
        <r>
          <rPr>
            <b/>
            <sz val="9"/>
            <color indexed="81"/>
            <rFont val="Tahoma"/>
            <charset val="1"/>
          </rPr>
          <t>Diede:</t>
        </r>
        <r>
          <rPr>
            <sz val="9"/>
            <color indexed="81"/>
            <rFont val="Tahoma"/>
            <charset val="1"/>
          </rPr>
          <t xml:space="preserve">
GEO</t>
        </r>
      </text>
    </comment>
    <comment ref="AK154" authorId="3" shapeId="0" xr:uid="{952E58AD-9CC7-4468-AB68-855EA7CC5561}">
      <text>
        <r>
          <rPr>
            <b/>
            <sz val="9"/>
            <color indexed="81"/>
            <rFont val="Tahoma"/>
            <family val="2"/>
          </rPr>
          <t>Diede:</t>
        </r>
        <r>
          <rPr>
            <sz val="9"/>
            <color indexed="81"/>
            <rFont val="Tahoma"/>
            <family val="2"/>
          </rPr>
          <t xml:space="preserve">
http://www.barrages-cfbr.eu/-Champagne-Ardenne-.html
Is this volume reservoir for station or barrage?</t>
        </r>
      </text>
    </comment>
    <comment ref="AR154" authorId="3" shapeId="0" xr:uid="{82D1A128-30A5-4308-A50D-AC53C0F2AB2D}">
      <text>
        <r>
          <rPr>
            <b/>
            <sz val="9"/>
            <color indexed="81"/>
            <rFont val="Tahoma"/>
            <charset val="1"/>
          </rPr>
          <t>Diede:</t>
        </r>
        <r>
          <rPr>
            <sz val="9"/>
            <color indexed="81"/>
            <rFont val="Tahoma"/>
            <charset val="1"/>
          </rPr>
          <t xml:space="preserve">
https://fr.wikipedia.org/wiki/Centrale_de_Kembs</t>
        </r>
      </text>
    </comment>
    <comment ref="AZ154" authorId="3" shapeId="0" xr:uid="{04579E42-915A-40C4-8DE3-D7DC31003E02}">
      <text>
        <r>
          <rPr>
            <b/>
            <sz val="9"/>
            <color indexed="81"/>
            <rFont val="Tahoma"/>
            <family val="2"/>
          </rPr>
          <t>Diede:</t>
        </r>
        <r>
          <rPr>
            <sz val="9"/>
            <color indexed="81"/>
            <rFont val="Tahoma"/>
            <family val="2"/>
          </rPr>
          <t xml:space="preserve">
https://www.edf.fr/groupe-edf/producteur-industriel/energies-renouvelables/hydraulique/edf-hydraulique-alsace-vosges/une-nouvelle-centrale-hydroelectrique-a-kembs </t>
        </r>
      </text>
    </comment>
    <comment ref="P155" authorId="3" shapeId="0" xr:uid="{A8B2B33A-ACA7-42CB-8256-134C8A46EBD4}">
      <text>
        <r>
          <rPr>
            <b/>
            <sz val="9"/>
            <color indexed="81"/>
            <rFont val="Tahoma"/>
            <family val="2"/>
          </rPr>
          <t>Diede:</t>
        </r>
        <r>
          <rPr>
            <sz val="9"/>
            <color indexed="81"/>
            <rFont val="Tahoma"/>
            <family val="2"/>
          </rPr>
          <t xml:space="preserve">
Not in Map Edwin</t>
        </r>
      </text>
    </comment>
    <comment ref="AK156" authorId="3" shapeId="0" xr:uid="{6D79BFB9-5FC0-465A-8416-503516820711}">
      <text>
        <r>
          <rPr>
            <b/>
            <sz val="9"/>
            <color indexed="81"/>
            <rFont val="Tahoma"/>
            <family val="2"/>
          </rPr>
          <t>Diede:</t>
        </r>
        <r>
          <rPr>
            <sz val="9"/>
            <color indexed="81"/>
            <rFont val="Tahoma"/>
            <family val="2"/>
          </rPr>
          <t xml:space="preserve">
Lakes contains 17.1 million M3. 4,5 mM3 can be used. Length lake is 7 km, area is 3,46 km2</t>
        </r>
      </text>
    </comment>
    <comment ref="AX156" authorId="3" shapeId="0" xr:uid="{EC4EA9D8-36D1-4484-B7B5-B549E41E8A45}">
      <text>
        <r>
          <rPr>
            <b/>
            <sz val="9"/>
            <color indexed="81"/>
            <rFont val="Tahoma"/>
            <family val="2"/>
          </rPr>
          <t xml:space="preserve">Diede:
</t>
        </r>
        <r>
          <rPr>
            <sz val="9"/>
            <color indexed="81"/>
            <rFont val="Tahoma"/>
            <family val="2"/>
          </rPr>
          <t xml:space="preserve">Spilling capacity of the Markovci Dam
</t>
        </r>
      </text>
    </comment>
    <comment ref="AX158" authorId="3" shapeId="0" xr:uid="{EA1B46C2-E49A-41E9-9EFC-632A69C7C2A3}">
      <text>
        <r>
          <rPr>
            <b/>
            <sz val="9"/>
            <color indexed="81"/>
            <rFont val="Tahoma"/>
            <family val="2"/>
          </rPr>
          <t>Diede:</t>
        </r>
        <r>
          <rPr>
            <sz val="9"/>
            <color indexed="81"/>
            <rFont val="Tahoma"/>
            <family val="2"/>
          </rPr>
          <t xml:space="preserve">
Spillway capacity of Melje dam (not of the plant itsel
f)
</t>
        </r>
      </text>
    </comment>
    <comment ref="AK160" authorId="3" shapeId="0" xr:uid="{17652606-E991-4838-BE90-E804EB48A587}">
      <text>
        <r>
          <rPr>
            <b/>
            <sz val="9"/>
            <color indexed="81"/>
            <rFont val="Tahoma"/>
            <family val="2"/>
          </rPr>
          <t>Diede:</t>
        </r>
        <r>
          <rPr>
            <sz val="9"/>
            <color indexed="81"/>
            <rFont val="Tahoma"/>
            <family val="2"/>
          </rPr>
          <t xml:space="preserve">
</t>
        </r>
      </text>
    </comment>
    <comment ref="AK161" authorId="3" shapeId="0" xr:uid="{8822461E-57D9-4E39-BBC6-2C1D9603CC1E}">
      <text>
        <r>
          <rPr>
            <b/>
            <sz val="9"/>
            <color indexed="81"/>
            <rFont val="Tahoma"/>
            <family val="2"/>
          </rPr>
          <t>Diede:</t>
        </r>
        <r>
          <rPr>
            <sz val="9"/>
            <color indexed="81"/>
            <rFont val="Tahoma"/>
            <family val="2"/>
          </rPr>
          <t xml:space="preserve">
Reservoir is 8,6 km long. Reservoir contains 4,2 mM3 of which 0,9 mM3 can be used</t>
        </r>
      </text>
    </comment>
    <comment ref="AK162" authorId="3" shapeId="0" xr:uid="{BA4D5AEC-6373-4F3A-856F-A5DC26116800}">
      <text>
        <r>
          <rPr>
            <b/>
            <sz val="9"/>
            <color indexed="81"/>
            <rFont val="Tahoma"/>
            <family val="2"/>
          </rPr>
          <t>Diede:</t>
        </r>
        <r>
          <rPr>
            <sz val="9"/>
            <color indexed="81"/>
            <rFont val="Tahoma"/>
            <family val="2"/>
          </rPr>
          <t xml:space="preserve">
Reservoir is 12,7 km long. 10,5 million m3 capacity. 1.4 mM3 can be used</t>
        </r>
      </text>
    </comment>
    <comment ref="AK163" authorId="3" shapeId="0" xr:uid="{DC183022-097E-4FE9-8D04-8C93B2DDBD5D}">
      <text>
        <r>
          <rPr>
            <b/>
            <sz val="9"/>
            <color indexed="81"/>
            <rFont val="Tahoma"/>
            <family val="2"/>
          </rPr>
          <t>Diede:</t>
        </r>
        <r>
          <rPr>
            <sz val="9"/>
            <color indexed="81"/>
            <rFont val="Tahoma"/>
            <family val="2"/>
          </rPr>
          <t xml:space="preserve">
Reservoir length is 13,1 km and contains 10,3 mM3. Of which 2,2 mM3 can be used</t>
        </r>
      </text>
    </comment>
    <comment ref="AK164" authorId="3" shapeId="0" xr:uid="{A5C8A920-FAF7-495B-A5FF-D3F60E8F0C60}">
      <text>
        <r>
          <rPr>
            <b/>
            <sz val="9"/>
            <color indexed="81"/>
            <rFont val="Tahoma"/>
            <family val="2"/>
          </rPr>
          <t xml:space="preserve">Diede:
</t>
        </r>
        <r>
          <rPr>
            <sz val="9"/>
            <color indexed="81"/>
            <rFont val="Tahoma"/>
            <family val="2"/>
          </rPr>
          <t>Length reservoir is 11,9 km. Contains 7,1 Mm3 and usuable capacity is 1,8 Mm3</t>
        </r>
      </text>
    </comment>
    <comment ref="AK165" authorId="3" shapeId="0" xr:uid="{F6E6FC2D-31BB-400C-A12E-441ACF4753BC}">
      <text>
        <r>
          <rPr>
            <b/>
            <sz val="9"/>
            <color indexed="81"/>
            <rFont val="Tahoma"/>
            <family val="2"/>
          </rPr>
          <t>Diede:</t>
        </r>
        <r>
          <rPr>
            <sz val="9"/>
            <color indexed="81"/>
            <rFont val="Tahoma"/>
            <family val="2"/>
          </rPr>
          <t xml:space="preserve">
Reservoir contains 5,6 Mm3 of water. What is usuable capacity? </t>
        </r>
      </text>
    </comment>
    <comment ref="AA167" authorId="3" shapeId="0" xr:uid="{CC27DBC7-1610-42AA-939B-86EDA64799FA}">
      <text>
        <r>
          <rPr>
            <b/>
            <sz val="9"/>
            <color indexed="81"/>
            <rFont val="Tahoma"/>
            <family val="2"/>
          </rPr>
          <t>Diede:</t>
        </r>
        <r>
          <rPr>
            <sz val="9"/>
            <color indexed="81"/>
            <rFont val="Tahoma"/>
            <family val="2"/>
          </rPr>
          <t xml:space="preserve">
In years 1971-2000: 550 to 1043 GWh</t>
        </r>
      </text>
    </comment>
    <comment ref="AK167" authorId="3" shapeId="0" xr:uid="{511C9A3B-C5FF-4007-A1AB-4C07D2A834C3}">
      <text>
        <r>
          <rPr>
            <sz val="9"/>
            <color indexed="81"/>
            <rFont val="Tahoma"/>
            <family val="2"/>
          </rPr>
          <t>According to academic source: 270 Mm3. 
'30 Mm3 is 56.6% of reservoir's useful capacity) 
https://www.researchgate.net/profile/Michal_Habel2/publication/266072268_Dynamics_of_the_Vistula_River_channel_deformations_downstream_of_the_Wloclawek_Reservoir/links/542424610cf26120b7a71ebe/Dynamics-of-the-Vistula-River-channel-deformations-downstream-of-the-Wloclawek-Reservoir.pdf
Retention time 5.2 days</t>
        </r>
      </text>
    </comment>
    <comment ref="AP167" authorId="3" shapeId="0" xr:uid="{3D7170B6-73AD-498D-BC6C-1C1E09152838}">
      <text>
        <r>
          <rPr>
            <b/>
            <sz val="9"/>
            <color indexed="81"/>
            <rFont val="Tahoma"/>
            <family val="2"/>
          </rPr>
          <t>Diede:</t>
        </r>
        <r>
          <rPr>
            <sz val="9"/>
            <color indexed="81"/>
            <rFont val="Tahoma"/>
            <family val="2"/>
          </rPr>
          <t xml:space="preserve">
Nominal fall</t>
        </r>
      </text>
    </comment>
    <comment ref="U168" authorId="3" shapeId="0" xr:uid="{099F62B3-3CAF-4379-BD58-835031887C02}">
      <text>
        <r>
          <rPr>
            <b/>
            <sz val="9"/>
            <color indexed="81"/>
            <rFont val="Tahoma"/>
            <family val="2"/>
          </rPr>
          <t>Diede:</t>
        </r>
        <r>
          <rPr>
            <sz val="9"/>
            <color indexed="81"/>
            <rFont val="Tahoma"/>
            <family val="2"/>
          </rPr>
          <t xml:space="preserve">
4*37,5 
1*122</t>
        </r>
      </text>
    </comment>
    <comment ref="AK168" authorId="3" shapeId="0" xr:uid="{BB262090-62F2-4461-BC31-D1F998F8FBF3}">
      <text>
        <r>
          <rPr>
            <b/>
            <sz val="9"/>
            <color indexed="81"/>
            <rFont val="Tahoma"/>
            <family val="2"/>
          </rPr>
          <t xml:space="preserve">Diede:
</t>
        </r>
        <r>
          <rPr>
            <sz val="9"/>
            <color indexed="81"/>
            <rFont val="Tahoma"/>
            <family val="2"/>
          </rPr>
          <t xml:space="preserve">Retained water volume, not sure if it is usable capacity
https://structurae.net/structures/mareges-dam
</t>
        </r>
      </text>
    </comment>
    <comment ref="AP168" authorId="3" shapeId="0" xr:uid="{E4EB0F13-D75F-403B-A31C-885BEE2E9DDC}">
      <text>
        <r>
          <rPr>
            <b/>
            <sz val="9"/>
            <color indexed="81"/>
            <rFont val="Tahoma"/>
            <family val="2"/>
          </rPr>
          <t>Diede:</t>
        </r>
        <r>
          <rPr>
            <sz val="9"/>
            <color indexed="81"/>
            <rFont val="Tahoma"/>
            <family val="2"/>
          </rPr>
          <t xml:space="preserve">
https://fr.wikipedia.org/wiki/Barrage_de_Marèges#cite_note-5</t>
        </r>
      </text>
    </comment>
    <comment ref="AK171" authorId="3" shapeId="0" xr:uid="{9B8F4EFA-53E8-40B7-B839-4FF2E57785FD}">
      <text>
        <r>
          <rPr>
            <b/>
            <sz val="9"/>
            <color indexed="81"/>
            <rFont val="Tahoma"/>
            <family val="2"/>
          </rPr>
          <t>Diede:</t>
        </r>
        <r>
          <rPr>
            <sz val="9"/>
            <color indexed="81"/>
            <rFont val="Tahoma"/>
            <family val="2"/>
          </rPr>
          <t xml:space="preserve">
This is the max volume. In reality it is smaller
http://www.gaccsouth.com/fileadmin/ahk_atlanta/Dokumente/Events/Event_Houston_Projects/Hydropower/AHK-Nashville_Hydropower_20160301_Traebing.pdf
</t>
        </r>
      </text>
    </comment>
    <comment ref="AK172" authorId="3" shapeId="0" xr:uid="{5E972FB3-EA4E-40B4-B7BC-421053463BCA}">
      <text>
        <r>
          <rPr>
            <b/>
            <sz val="9"/>
            <color indexed="81"/>
            <rFont val="Tahoma"/>
            <family val="2"/>
          </rPr>
          <t>Diede:</t>
        </r>
        <r>
          <rPr>
            <sz val="9"/>
            <color indexed="81"/>
            <rFont val="Tahoma"/>
            <family val="2"/>
          </rPr>
          <t xml:space="preserve">
https://en.wikipedia.org/wiki/List_of_dams_and_reservoirs_in_Austria</t>
        </r>
      </text>
    </comment>
    <comment ref="AP172" authorId="3" shapeId="0" xr:uid="{6AEBE1FE-03A9-4E64-9C18-72FB8F960629}">
      <text>
        <r>
          <rPr>
            <b/>
            <sz val="9"/>
            <color indexed="81"/>
            <rFont val="Tahoma"/>
            <family val="2"/>
          </rPr>
          <t>Diede:</t>
        </r>
        <r>
          <rPr>
            <sz val="9"/>
            <color indexed="81"/>
            <rFont val="Tahoma"/>
            <family val="2"/>
          </rPr>
          <t xml:space="preserve">
Mean gross head</t>
        </r>
      </text>
    </comment>
    <comment ref="AP174" authorId="3" shapeId="0" xr:uid="{CCA1BC85-A235-41A1-B398-D1E5A262AFE1}">
      <text>
        <r>
          <rPr>
            <b/>
            <sz val="9"/>
            <color indexed="81"/>
            <rFont val="Tahoma"/>
            <family val="2"/>
          </rPr>
          <t>Diede:</t>
        </r>
        <r>
          <rPr>
            <sz val="9"/>
            <color indexed="81"/>
            <rFont val="Tahoma"/>
            <family val="2"/>
          </rPr>
          <t xml:space="preserve">
Maximum head 12,6
Minimum head 6,8</t>
        </r>
      </text>
    </comment>
    <comment ref="AV174" authorId="3" shapeId="0" xr:uid="{6C0DAA84-C091-4EF2-B8E6-2F61587FDA1A}">
      <text>
        <r>
          <rPr>
            <b/>
            <sz val="9"/>
            <color indexed="81"/>
            <rFont val="Tahoma"/>
            <family val="2"/>
          </rPr>
          <t>Diede:</t>
        </r>
        <r>
          <rPr>
            <sz val="9"/>
            <color indexed="81"/>
            <rFont val="Tahoma"/>
            <family val="2"/>
          </rPr>
          <t xml:space="preserve">
but other river joins after Carrapatelo</t>
        </r>
      </text>
    </comment>
    <comment ref="AH177" authorId="3" shapeId="0" xr:uid="{730F6A5C-02BA-4CD8-903B-BB78307658FA}">
      <text>
        <r>
          <rPr>
            <b/>
            <sz val="9"/>
            <color indexed="81"/>
            <rFont val="Tahoma"/>
            <family val="2"/>
          </rPr>
          <t>Diede:</t>
        </r>
        <r>
          <rPr>
            <sz val="9"/>
            <color indexed="81"/>
            <rFont val="Tahoma"/>
            <family val="2"/>
          </rPr>
          <t xml:space="preserve">
Not sure</t>
        </r>
      </text>
    </comment>
    <comment ref="AA178" authorId="3" shapeId="0" xr:uid="{9E0698E8-87D5-43C3-9AFF-FB64654C9C32}">
      <text>
        <r>
          <rPr>
            <b/>
            <sz val="9"/>
            <color indexed="81"/>
            <rFont val="Tahoma"/>
            <family val="2"/>
          </rPr>
          <t>Diede:</t>
        </r>
        <r>
          <rPr>
            <sz val="9"/>
            <color indexed="81"/>
            <rFont val="Tahoma"/>
            <family val="2"/>
          </rPr>
          <t xml:space="preserve">
Based on GEO</t>
        </r>
      </text>
    </comment>
    <comment ref="AR178" authorId="3" shapeId="0" xr:uid="{1D490D1C-DD76-4144-B742-442E7AEE0EC5}">
      <text>
        <r>
          <rPr>
            <b/>
            <sz val="9"/>
            <color indexed="81"/>
            <rFont val="Tahoma"/>
            <family val="2"/>
          </rPr>
          <t>Diede:</t>
        </r>
        <r>
          <rPr>
            <sz val="9"/>
            <color indexed="81"/>
            <rFont val="Tahoma"/>
            <family val="2"/>
          </rPr>
          <t xml:space="preserve">
Or total 376?</t>
        </r>
      </text>
    </comment>
    <comment ref="AK179" authorId="3" shapeId="0" xr:uid="{2BC14685-75B2-4527-9B8D-D86AA2B79829}">
      <text>
        <r>
          <rPr>
            <b/>
            <sz val="9"/>
            <color indexed="81"/>
            <rFont val="Tahoma"/>
            <family val="2"/>
          </rPr>
          <t>Diede:</t>
        </r>
        <r>
          <rPr>
            <sz val="9"/>
            <color indexed="81"/>
            <rFont val="Tahoma"/>
            <family val="2"/>
          </rPr>
          <t xml:space="preserve">
Max 603 m
Min 580 m</t>
        </r>
      </text>
    </comment>
    <comment ref="AK180" authorId="3" shapeId="0" xr:uid="{2C22048E-7B21-44B7-A751-C8F220853E57}">
      <text>
        <r>
          <rPr>
            <b/>
            <sz val="9"/>
            <color indexed="81"/>
            <rFont val="Tahoma"/>
            <family val="2"/>
          </rPr>
          <t>Diede:</t>
        </r>
        <r>
          <rPr>
            <sz val="9"/>
            <color indexed="81"/>
            <rFont val="Tahoma"/>
            <family val="2"/>
          </rPr>
          <t xml:space="preserve">
Max 606 m
Min 602 m</t>
        </r>
      </text>
    </comment>
    <comment ref="AK181" authorId="3" shapeId="0" xr:uid="{E0E80A4A-C6F1-4168-AC1D-64A81713BE83}">
      <text>
        <r>
          <rPr>
            <b/>
            <sz val="9"/>
            <color indexed="81"/>
            <rFont val="Tahoma"/>
            <family val="2"/>
          </rPr>
          <t>Diede:</t>
        </r>
        <r>
          <rPr>
            <sz val="9"/>
            <color indexed="81"/>
            <rFont val="Tahoma"/>
            <family val="2"/>
          </rPr>
          <t xml:space="preserve">
Max 945 above sea level
Min 940,6 above sea level</t>
        </r>
      </text>
    </comment>
    <comment ref="AH182" authorId="3" shapeId="0" xr:uid="{ED7EB919-E076-4498-B435-025659D0D6C6}">
      <text>
        <r>
          <rPr>
            <b/>
            <sz val="9"/>
            <color indexed="81"/>
            <rFont val="Tahoma"/>
            <family val="2"/>
          </rPr>
          <t>Diede:</t>
        </r>
        <r>
          <rPr>
            <sz val="9"/>
            <color indexed="81"/>
            <rFont val="Tahoma"/>
            <family val="2"/>
          </rPr>
          <t xml:space="preserve">
Not in GranD</t>
        </r>
      </text>
    </comment>
    <comment ref="AH183" authorId="3" shapeId="0" xr:uid="{646721D0-BA2A-4443-BEE4-D5004A7314BE}">
      <text>
        <r>
          <rPr>
            <b/>
            <sz val="9"/>
            <color indexed="81"/>
            <rFont val="Tahoma"/>
            <family val="2"/>
          </rPr>
          <t>Diede:</t>
        </r>
        <r>
          <rPr>
            <sz val="9"/>
            <color indexed="81"/>
            <rFont val="Tahoma"/>
            <family val="2"/>
          </rPr>
          <t xml:space="preserve">
Not in GranD</t>
        </r>
      </text>
    </comment>
    <comment ref="AR183" authorId="3" shapeId="0" xr:uid="{7CEE41A5-2930-47AA-BE03-ACC10CFA39FE}">
      <text>
        <r>
          <rPr>
            <b/>
            <sz val="9"/>
            <color indexed="81"/>
            <rFont val="Tahoma"/>
            <family val="2"/>
          </rPr>
          <t>Diede:</t>
        </r>
        <r>
          <rPr>
            <sz val="9"/>
            <color indexed="81"/>
            <rFont val="Tahoma"/>
            <family val="2"/>
          </rPr>
          <t xml:space="preserve">
Ausbauwassermenge</t>
        </r>
      </text>
    </comment>
    <comment ref="A187" authorId="3" shapeId="0" xr:uid="{B4E5873E-E5CA-4A1A-A8A8-DB1F2627DC63}">
      <text>
        <r>
          <rPr>
            <b/>
            <sz val="9"/>
            <color indexed="81"/>
            <rFont val="Tahoma"/>
            <family val="2"/>
          </rPr>
          <t>Diede:</t>
        </r>
        <r>
          <rPr>
            <sz val="9"/>
            <color indexed="81"/>
            <rFont val="Tahoma"/>
            <family val="2"/>
          </rPr>
          <t xml:space="preserve">
Bit confused if this is the old or new station? The new seems more a STO one?</t>
        </r>
      </text>
    </comment>
    <comment ref="AK189" authorId="3" shapeId="0" xr:uid="{1D172400-446E-47DB-ADF2-2455B187BB46}">
      <text>
        <r>
          <rPr>
            <b/>
            <sz val="9"/>
            <color indexed="81"/>
            <rFont val="Tahoma"/>
            <family val="2"/>
          </rPr>
          <t>Diede:</t>
        </r>
        <r>
          <rPr>
            <sz val="9"/>
            <color indexed="81"/>
            <rFont val="Tahoma"/>
            <family val="2"/>
          </rPr>
          <t xml:space="preserve">
http://www.sciencedirect.com/science/article/pii/S0301479717303213</t>
        </r>
      </text>
    </comment>
    <comment ref="AA192" authorId="3" shapeId="0" xr:uid="{004F9D5D-9856-4BDB-9BDA-8E78C8AB50D6}">
      <text>
        <r>
          <rPr>
            <b/>
            <sz val="9"/>
            <color indexed="81"/>
            <rFont val="Tahoma"/>
            <family val="2"/>
          </rPr>
          <t>Diede:</t>
        </r>
        <r>
          <rPr>
            <sz val="9"/>
            <color indexed="81"/>
            <rFont val="Tahoma"/>
            <family val="2"/>
          </rPr>
          <t xml:space="preserve">
2006-2015</t>
        </r>
      </text>
    </comment>
    <comment ref="N193" authorId="3" shapeId="0" xr:uid="{0FE379FC-A6E5-4552-882C-671C979A10ED}">
      <text>
        <r>
          <rPr>
            <b/>
            <sz val="9"/>
            <color indexed="81"/>
            <rFont val="Tahoma"/>
            <family val="2"/>
          </rPr>
          <t>Diede:</t>
        </r>
        <r>
          <rPr>
            <sz val="9"/>
            <color indexed="81"/>
            <rFont val="Tahoma"/>
            <family val="2"/>
          </rPr>
          <t xml:space="preserve">
Same as Svelgfoss</t>
        </r>
      </text>
    </comment>
    <comment ref="AA193" authorId="3" shapeId="0" xr:uid="{7C1D3457-E86F-4D2E-AB4D-54AEF5B23ABA}">
      <text>
        <r>
          <rPr>
            <b/>
            <sz val="9"/>
            <color indexed="81"/>
            <rFont val="Tahoma"/>
            <family val="2"/>
          </rPr>
          <t>Diede:</t>
        </r>
        <r>
          <rPr>
            <sz val="9"/>
            <color indexed="81"/>
            <rFont val="Tahoma"/>
            <family val="2"/>
          </rPr>
          <t xml:space="preserve">
In 2009</t>
        </r>
      </text>
    </comment>
    <comment ref="AK194" authorId="3" shapeId="0" xr:uid="{7EBFF8E2-5566-4179-8246-D8A8CC3A1CD1}">
      <text>
        <r>
          <rPr>
            <b/>
            <sz val="9"/>
            <color indexed="81"/>
            <rFont val="Tahoma"/>
            <family val="2"/>
          </rPr>
          <t>Diede:</t>
        </r>
        <r>
          <rPr>
            <sz val="9"/>
            <color indexed="81"/>
            <rFont val="Tahoma"/>
            <family val="2"/>
          </rPr>
          <t xml:space="preserve">
https://en.wikipedia.org/wiki/List_of_dams_and_reservoirs_in_Austria</t>
        </r>
      </text>
    </comment>
    <comment ref="AA196" authorId="3" shapeId="0" xr:uid="{60D4CF05-EEB1-4DF7-A576-84D221033BE5}">
      <text>
        <r>
          <rPr>
            <b/>
            <sz val="9"/>
            <color indexed="81"/>
            <rFont val="Tahoma"/>
            <family val="2"/>
          </rPr>
          <t>Diede:</t>
        </r>
        <r>
          <rPr>
            <sz val="9"/>
            <color indexed="81"/>
            <rFont val="Tahoma"/>
            <family val="2"/>
          </rPr>
          <t xml:space="preserve">
https://sv.wikipedia.org/wiki/Olidans_kraftverk</t>
        </r>
      </text>
    </comment>
    <comment ref="AA197" authorId="3" shapeId="0" xr:uid="{7ADFF99C-FA98-4128-9224-A3366C1684FF}">
      <text>
        <r>
          <rPr>
            <b/>
            <sz val="9"/>
            <color indexed="81"/>
            <rFont val="Tahoma"/>
            <family val="2"/>
          </rPr>
          <t>Diede:</t>
        </r>
        <r>
          <rPr>
            <sz val="9"/>
            <color indexed="81"/>
            <rFont val="Tahoma"/>
            <family val="2"/>
          </rPr>
          <t xml:space="preserve">
http://evolution.skf.com/a-steady-flow/</t>
        </r>
      </text>
    </comment>
    <comment ref="AK198" authorId="3" shapeId="0" xr:uid="{21EB5DC6-6AB1-4E4A-B88B-68BB21E46B9C}">
      <text>
        <r>
          <rPr>
            <b/>
            <sz val="9"/>
            <color indexed="81"/>
            <rFont val="Tahoma"/>
            <family val="2"/>
          </rPr>
          <t>Diede:</t>
        </r>
        <r>
          <rPr>
            <sz val="9"/>
            <color indexed="81"/>
            <rFont val="Tahoma"/>
            <family val="2"/>
          </rPr>
          <t xml:space="preserve">
Regulation amplitude 1,7 meter</t>
        </r>
      </text>
    </comment>
    <comment ref="AK199" authorId="3" shapeId="0" xr:uid="{A185C022-9188-4794-A7A7-AEFE811FCABB}">
      <text>
        <r>
          <rPr>
            <b/>
            <sz val="9"/>
            <color indexed="81"/>
            <rFont val="Tahoma"/>
            <family val="2"/>
          </rPr>
          <t xml:space="preserve">Diede:
</t>
        </r>
        <r>
          <rPr>
            <sz val="9"/>
            <color indexed="81"/>
            <rFont val="Tahoma"/>
            <family val="2"/>
          </rPr>
          <t>Useful amplitude:
7,3-6,4 = 0,9</t>
        </r>
      </text>
    </comment>
    <comment ref="P200" authorId="3" shapeId="0" xr:uid="{2B4A6084-A2A2-4152-9A14-CD9692D42A8F}">
      <text>
        <r>
          <rPr>
            <b/>
            <sz val="9"/>
            <color indexed="81"/>
            <rFont val="Tahoma"/>
            <family val="2"/>
          </rPr>
          <t>Diede:</t>
        </r>
        <r>
          <rPr>
            <sz val="9"/>
            <color indexed="81"/>
            <rFont val="Tahoma"/>
            <family val="2"/>
          </rPr>
          <t xml:space="preserve">
Not in map Edwin</t>
        </r>
      </text>
    </comment>
    <comment ref="N202" authorId="3" shapeId="0" xr:uid="{C442B4AC-D292-4FFD-82A6-5B3D4BE6B067}">
      <text>
        <r>
          <rPr>
            <b/>
            <sz val="9"/>
            <color indexed="81"/>
            <rFont val="Tahoma"/>
            <family val="2"/>
          </rPr>
          <t>Diede:</t>
        </r>
        <r>
          <rPr>
            <sz val="9"/>
            <color indexed="81"/>
            <rFont val="Tahoma"/>
            <family val="2"/>
          </rPr>
          <t xml:space="preserve">
Now the coordinates of powerhouse underground. Maybe use intake? To get inflows from Edwin</t>
        </r>
      </text>
    </comment>
    <comment ref="AK210" authorId="3" shapeId="0" xr:uid="{E2D1DA95-4157-462B-A311-6DC31FE94405}">
      <text>
        <r>
          <rPr>
            <b/>
            <sz val="9"/>
            <color indexed="81"/>
            <rFont val="Tahoma"/>
            <family val="2"/>
          </rPr>
          <t>Diede:</t>
        </r>
        <r>
          <rPr>
            <sz val="9"/>
            <color indexed="81"/>
            <rFont val="Tahoma"/>
            <family val="2"/>
          </rPr>
          <t xml:space="preserve">
Same as Kuonis storage plant?</t>
        </r>
      </text>
    </comment>
    <comment ref="AA212" authorId="3" shapeId="0" xr:uid="{1CA6A1E6-4216-4DA6-A120-60C3FDE5FE96}">
      <text>
        <r>
          <rPr>
            <b/>
            <sz val="9"/>
            <color indexed="81"/>
            <rFont val="Tahoma"/>
            <family val="2"/>
          </rPr>
          <t>Diede:</t>
        </r>
        <r>
          <rPr>
            <sz val="9"/>
            <color indexed="81"/>
            <rFont val="Tahoma"/>
            <family val="2"/>
          </rPr>
          <t xml:space="preserve">
12000 homes
</t>
        </r>
      </text>
    </comment>
    <comment ref="AA213" authorId="3" shapeId="0" xr:uid="{ADDDDA6A-95C2-474D-AF58-DB9167821DE3}">
      <text>
        <r>
          <rPr>
            <b/>
            <sz val="9"/>
            <color indexed="81"/>
            <rFont val="Tahoma"/>
            <family val="2"/>
          </rPr>
          <t>Diede:</t>
        </r>
        <r>
          <rPr>
            <sz val="9"/>
            <color indexed="81"/>
            <rFont val="Tahoma"/>
            <family val="2"/>
          </rPr>
          <t xml:space="preserve">
26000 homes</t>
        </r>
      </text>
    </comment>
    <comment ref="A224" authorId="3" shapeId="0" xr:uid="{80461AA8-0E19-44A8-A065-5263F84A162F}">
      <text>
        <r>
          <rPr>
            <b/>
            <sz val="9"/>
            <color indexed="81"/>
            <rFont val="Tahoma"/>
            <charset val="1"/>
          </rPr>
          <t>Diede:</t>
        </r>
        <r>
          <rPr>
            <sz val="9"/>
            <color indexed="81"/>
            <rFont val="Tahoma"/>
            <charset val="1"/>
          </rPr>
          <t xml:space="preserve">
In ENTSO-E named Montelimar</t>
        </r>
      </text>
    </comment>
    <comment ref="A225" authorId="3" shapeId="0" xr:uid="{42F9A79D-CACC-4290-AE72-48F1C50F5D32}">
      <text>
        <r>
          <rPr>
            <b/>
            <sz val="9"/>
            <color indexed="81"/>
            <rFont val="Tahoma"/>
            <charset val="1"/>
          </rPr>
          <t>Diede:</t>
        </r>
        <r>
          <rPr>
            <sz val="9"/>
            <color indexed="81"/>
            <rFont val="Tahoma"/>
            <charset val="1"/>
          </rPr>
          <t xml:space="preserve">
Actually two: centrale Avignon and Sauveterre (126 and 52 MW respectively)</t>
        </r>
      </text>
    </comment>
    <comment ref="AK226" authorId="3" shapeId="0" xr:uid="{3F462A4D-66F7-41B8-87A7-BDA4D004061A}">
      <text>
        <r>
          <rPr>
            <b/>
            <sz val="9"/>
            <color indexed="81"/>
            <rFont val="Tahoma"/>
            <charset val="1"/>
          </rPr>
          <t>Diede:</t>
        </r>
        <r>
          <rPr>
            <sz val="9"/>
            <color indexed="81"/>
            <rFont val="Tahoma"/>
            <charset val="1"/>
          </rPr>
          <t xml:space="preserve">
https://fr.wikipedia.org/wiki/Barrage_de_Couesques
or:
http://adour-garonne.eaufrance.fr/data/ficheSTQL?stql=O77-5013&amp;panel=desc?
</t>
        </r>
      </text>
    </comment>
    <comment ref="AA233" authorId="3" shapeId="0" xr:uid="{97377099-FAE1-4CAB-ADAC-C429A74A7207}">
      <text>
        <r>
          <rPr>
            <b/>
            <sz val="9"/>
            <color indexed="81"/>
            <rFont val="Tahoma"/>
            <charset val="1"/>
          </rPr>
          <t>Diede:</t>
        </r>
        <r>
          <rPr>
            <sz val="9"/>
            <color indexed="81"/>
            <rFont val="Tahoma"/>
            <charset val="1"/>
          </rPr>
          <t xml:space="preserve">
Fortum's share. Co-owned</t>
        </r>
      </text>
    </comment>
    <comment ref="AK233" authorId="3" shapeId="0" xr:uid="{7866C0C6-81A2-4272-BAC2-C9B1E0A2F3B1}">
      <text>
        <r>
          <rPr>
            <b/>
            <sz val="9"/>
            <color indexed="81"/>
            <rFont val="Tahoma"/>
            <charset val="1"/>
          </rPr>
          <t>Diede:</t>
        </r>
        <r>
          <rPr>
            <sz val="9"/>
            <color indexed="81"/>
            <rFont val="Tahoma"/>
            <charset val="1"/>
          </rPr>
          <t xml:space="preserve">
https://www.svk.se/siteassets/jobba-har/dokument/analysis-of-a-load-frequency-control-implementation-in-swedish-run-of-river-hydropower-stations---andreas-westberg---svk.pdf</t>
        </r>
      </text>
    </comment>
    <comment ref="AK234" authorId="3" shapeId="0" xr:uid="{1102825F-8B26-48C8-9FBB-D45D74CC87A9}">
      <text>
        <r>
          <rPr>
            <b/>
            <sz val="9"/>
            <color indexed="81"/>
            <rFont val="Tahoma"/>
            <family val="2"/>
          </rPr>
          <t>Diede:</t>
        </r>
        <r>
          <rPr>
            <sz val="9"/>
            <color indexed="81"/>
            <rFont val="Tahoma"/>
            <family val="2"/>
          </rPr>
          <t xml:space="preserve">
https://www.svk.se/siteassets/jobba-har/dokument/analysis-of-a-load-frequency-control-implementation-in-swedish-run-of-river-hydropower-stations---andreas-westberg---svk.pdf</t>
        </r>
      </text>
    </comment>
    <comment ref="AR235" authorId="3" shapeId="0" xr:uid="{6DB82119-D1BE-48B5-9CE2-694B491C33E5}">
      <text>
        <r>
          <rPr>
            <b/>
            <sz val="9"/>
            <color indexed="81"/>
            <rFont val="Tahoma"/>
            <family val="2"/>
          </rPr>
          <t>Diede:</t>
        </r>
        <r>
          <rPr>
            <sz val="9"/>
            <color indexed="81"/>
            <rFont val="Tahoma"/>
            <family val="2"/>
          </rPr>
          <t xml:space="preserve">
Or is 419 total: https://powerplants.vattenfall.com/midskog</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Microsoft Office User</author>
  </authors>
  <commentList>
    <comment ref="C18" authorId="0" shapeId="0" xr:uid="{00000000-0006-0000-0500-000001000000}">
      <text>
        <r>
          <rPr>
            <b/>
            <sz val="10"/>
            <color indexed="81"/>
            <rFont val="Calibri"/>
            <family val="2"/>
          </rPr>
          <t>Are Calusia and Orichella included?
http://www.ewra.net/ew/pdf/EW_2012_37_05.pdf</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William</author>
    <author>W. Zappa</author>
  </authors>
  <commentList>
    <comment ref="B1" authorId="0" shapeId="0" xr:uid="{00000000-0006-0000-0600-000001000000}">
      <text>
        <r>
          <rPr>
            <b/>
            <sz val="9"/>
            <color indexed="81"/>
            <rFont val="Tahoma"/>
            <family val="2"/>
          </rPr>
          <t>William:</t>
        </r>
        <r>
          <rPr>
            <sz val="9"/>
            <color indexed="81"/>
            <rFont val="Tahoma"/>
            <family val="2"/>
          </rPr>
          <t xml:space="preserve">
Primary head storage taken from Generator Sheet automatically. Additional storage names need to be copied manually</t>
        </r>
      </text>
    </comment>
    <comment ref="L1" authorId="1" shapeId="0" xr:uid="{00000000-0006-0000-0600-000002000000}">
      <text>
        <r>
          <rPr>
            <b/>
            <sz val="9"/>
            <color indexed="81"/>
            <rFont val="Tahoma"/>
            <family val="2"/>
          </rPr>
          <t>W. Zappa:</t>
        </r>
        <r>
          <rPr>
            <sz val="9"/>
            <color indexed="81"/>
            <rFont val="Tahoma"/>
            <family val="2"/>
          </rPr>
          <t xml:space="preserve">
If the tail storage is not known, or could be a river, make a 'dummy' tail storage from plant name with subscript '_lower'. This ensure each hydro plant, whether storage or RoR, has lower dam. However, only PHS have pumping capacity defined.
Having a tail should also permit spilling.
For dummy tails, do not define max volume.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W. Zappa</author>
  </authors>
  <commentList>
    <comment ref="A1" authorId="0" shapeId="0" xr:uid="{00000000-0006-0000-0700-000001000000}">
      <text>
        <r>
          <rPr>
            <b/>
            <sz val="9"/>
            <color indexed="81"/>
            <rFont val="Tahoma"/>
            <family val="2"/>
          </rPr>
          <t>W. Zappa:</t>
        </r>
        <r>
          <rPr>
            <sz val="9"/>
            <color indexed="81"/>
            <rFont val="Tahoma"/>
            <family val="2"/>
          </rPr>
          <t xml:space="preserve">
Unique stations from Marte's sheet 'Generators'</t>
        </r>
      </text>
    </comment>
    <comment ref="G1" authorId="0" shapeId="0" xr:uid="{00000000-0006-0000-0700-000002000000}">
      <text>
        <r>
          <rPr>
            <b/>
            <sz val="9"/>
            <color indexed="81"/>
            <rFont val="Tahoma"/>
            <family val="2"/>
          </rPr>
          <t>W. Zappa:</t>
        </r>
        <r>
          <rPr>
            <sz val="9"/>
            <color indexed="81"/>
            <rFont val="Tahoma"/>
            <family val="2"/>
          </rPr>
          <t xml:space="preserve">
Generators with multiple head storages are separated by ;</t>
        </r>
      </text>
    </comment>
    <comment ref="J1" authorId="0" shapeId="0" xr:uid="{00000000-0006-0000-0700-000003000000}">
      <text>
        <r>
          <rPr>
            <b/>
            <sz val="9"/>
            <color indexed="81"/>
            <rFont val="Tahoma"/>
            <family val="2"/>
          </rPr>
          <t>W. Zappa:</t>
        </r>
        <r>
          <rPr>
            <sz val="9"/>
            <color indexed="81"/>
            <rFont val="Tahoma"/>
            <family val="2"/>
          </rPr>
          <t xml:space="preserve">
Power station latitude</t>
        </r>
      </text>
    </comment>
    <comment ref="K1" authorId="0" shapeId="0" xr:uid="{00000000-0006-0000-0700-000004000000}">
      <text>
        <r>
          <rPr>
            <b/>
            <sz val="9"/>
            <color indexed="81"/>
            <rFont val="Tahoma"/>
            <family val="2"/>
          </rPr>
          <t>W. Zappa:</t>
        </r>
        <r>
          <rPr>
            <sz val="9"/>
            <color indexed="81"/>
            <rFont val="Tahoma"/>
            <family val="2"/>
          </rPr>
          <t xml:space="preserve">
Power station longitude</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William</author>
    <author>W. Zappa</author>
  </authors>
  <commentList>
    <comment ref="C1" authorId="0" shapeId="0" xr:uid="{00000000-0006-0000-0800-000001000000}">
      <text>
        <r>
          <rPr>
            <b/>
            <sz val="9"/>
            <color indexed="81"/>
            <rFont val="Tahoma"/>
            <family val="2"/>
          </rPr>
          <t>William:</t>
        </r>
        <r>
          <rPr>
            <sz val="9"/>
            <color indexed="81"/>
            <rFont val="Tahoma"/>
            <family val="2"/>
          </rPr>
          <t xml:space="preserve">
Number of generator units in Plexos</t>
        </r>
      </text>
    </comment>
    <comment ref="D1" authorId="1" shapeId="0" xr:uid="{00000000-0006-0000-0800-000002000000}">
      <text>
        <r>
          <rPr>
            <b/>
            <sz val="9"/>
            <color indexed="81"/>
            <rFont val="Tahoma"/>
            <family val="2"/>
          </rPr>
          <t>W. Zappa:</t>
        </r>
        <r>
          <rPr>
            <sz val="9"/>
            <color indexed="81"/>
            <rFont val="Tahoma"/>
            <family val="2"/>
          </rPr>
          <t xml:space="preserve">
Plexos defines capacity per generator unit (MW)
</t>
        </r>
      </text>
    </comment>
    <comment ref="G1" authorId="1" shapeId="0" xr:uid="{00000000-0006-0000-0800-000003000000}">
      <text>
        <r>
          <rPr>
            <b/>
            <sz val="9"/>
            <color indexed="81"/>
            <rFont val="Tahoma"/>
            <family val="2"/>
          </rPr>
          <t>W. Zappa:</t>
        </r>
        <r>
          <rPr>
            <sz val="9"/>
            <color indexed="81"/>
            <rFont val="Tahoma"/>
            <family val="2"/>
          </rPr>
          <t xml:space="preserve">
Capacity per pumping unit (MW)</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 authorId="0" shapeId="0" xr:uid="{00000000-0006-0000-0900-000001000000}">
      <text>
        <r>
          <rPr>
            <b/>
            <sz val="9"/>
            <color indexed="81"/>
            <rFont val="Tahoma"/>
            <family val="2"/>
          </rPr>
          <t>William:</t>
        </r>
        <r>
          <rPr>
            <sz val="9"/>
            <color indexed="81"/>
            <rFont val="Tahoma"/>
            <family val="2"/>
          </rPr>
          <t xml:space="preserve">
Copy list of head storages and tail storages from Generator-Storage Assignmnet sheet. 
Note: Take care of secondary head storages, insert them after the main (feeding) storage</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William</author>
    <author>W. Zappa</author>
  </authors>
  <commentList>
    <comment ref="A1" authorId="0" shapeId="0" xr:uid="{00000000-0006-0000-0A00-000001000000}">
      <text>
        <r>
          <rPr>
            <b/>
            <sz val="9"/>
            <color indexed="81"/>
            <rFont val="Tahoma"/>
            <family val="2"/>
          </rPr>
          <t>William:</t>
        </r>
        <r>
          <rPr>
            <sz val="9"/>
            <color indexed="81"/>
            <rFont val="Tahoma"/>
            <family val="2"/>
          </rPr>
          <t xml:space="preserve">
Copy from </t>
        </r>
      </text>
    </comment>
    <comment ref="C1" authorId="1" shapeId="0" xr:uid="{00000000-0006-0000-0A00-000002000000}">
      <text>
        <r>
          <rPr>
            <b/>
            <sz val="9"/>
            <color indexed="81"/>
            <rFont val="Tahoma"/>
            <family val="2"/>
          </rPr>
          <t>W. Zappa:</t>
        </r>
        <r>
          <rPr>
            <sz val="9"/>
            <color indexed="81"/>
            <rFont val="Tahoma"/>
            <family val="2"/>
          </rPr>
          <t xml:space="preserve">
Two types of storage:
</t>
        </r>
        <r>
          <rPr>
            <b/>
            <sz val="9"/>
            <color indexed="81"/>
            <rFont val="Tahoma"/>
            <family val="2"/>
          </rPr>
          <t>Individual</t>
        </r>
        <r>
          <rPr>
            <sz val="9"/>
            <color indexed="81"/>
            <rFont val="Tahoma"/>
            <family val="2"/>
          </rPr>
          <t xml:space="preserve"> storage (modelling a specific single storage existing in reality with only 1 unit). Each individual storage can have specific particular properties, which are input on the 'Storage - Properties' sheet.
or
</t>
        </r>
        <r>
          <rPr>
            <b/>
            <sz val="9"/>
            <color indexed="81"/>
            <rFont val="Tahoma"/>
            <family val="2"/>
          </rPr>
          <t xml:space="preserve">
</t>
        </r>
        <r>
          <rPr>
            <sz val="9"/>
            <color indexed="81"/>
            <rFont val="Tahoma"/>
            <family val="2"/>
          </rPr>
          <t xml:space="preserve">Storage indicates a </t>
        </r>
        <r>
          <rPr>
            <b/>
            <sz val="9"/>
            <color indexed="81"/>
            <rFont val="Tahoma"/>
            <family val="2"/>
          </rPr>
          <t>class</t>
        </r>
        <r>
          <rPr>
            <sz val="9"/>
            <color indexed="81"/>
            <rFont val="Tahoma"/>
            <family val="2"/>
          </rPr>
          <t xml:space="preserve"> of storage objects which will be used to model any number of representative storage These all have the same uniform identical properties.
Storages are linked to particular generators 
</t>
        </r>
      </text>
    </comment>
    <comment ref="F1" authorId="1" shapeId="0" xr:uid="{00000000-0006-0000-0A00-000003000000}">
      <text>
        <r>
          <rPr>
            <b/>
            <sz val="9"/>
            <color indexed="81"/>
            <rFont val="Tahoma"/>
            <family val="2"/>
          </rPr>
          <t>W. Zappa:</t>
        </r>
        <r>
          <rPr>
            <sz val="9"/>
            <color indexed="81"/>
            <rFont val="Tahoma"/>
            <family val="2"/>
          </rPr>
          <t xml:space="preserve">
How to position storage relative to generator
</t>
        </r>
        <r>
          <rPr>
            <b/>
            <sz val="9"/>
            <color indexed="81"/>
            <rFont val="Tahoma"/>
            <family val="2"/>
          </rPr>
          <t>Head</t>
        </r>
        <r>
          <rPr>
            <sz val="9"/>
            <color indexed="81"/>
            <rFont val="Tahoma"/>
            <family val="2"/>
          </rPr>
          <t xml:space="preserve"> storage, means that storage is upstream of the generator, and generator draws on energy from the head storage. Head storages can also receive natural inflow.
or
</t>
        </r>
        <r>
          <rPr>
            <b/>
            <sz val="9"/>
            <color indexed="81"/>
            <rFont val="Tahoma"/>
            <family val="2"/>
          </rPr>
          <t xml:space="preserve">
Tail</t>
        </r>
        <r>
          <rPr>
            <sz val="9"/>
            <color indexed="81"/>
            <rFont val="Tahoma"/>
            <family val="2"/>
          </rPr>
          <t xml:space="preserve"> storage indicates downstream reservoir.</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W. Zappa</author>
    <author>William</author>
  </authors>
  <commentList>
    <comment ref="A1" authorId="0" shapeId="0" xr:uid="{00000000-0006-0000-0B00-000001000000}">
      <text>
        <r>
          <rPr>
            <b/>
            <sz val="9"/>
            <color indexed="81"/>
            <rFont val="Tahoma"/>
            <family val="2"/>
          </rPr>
          <t>W. Zappa:</t>
        </r>
        <r>
          <rPr>
            <sz val="9"/>
            <color indexed="81"/>
            <rFont val="Tahoma"/>
            <family val="2"/>
          </rPr>
          <t xml:space="preserve">
Unique stations from Marte's sheet 'Generators'</t>
        </r>
      </text>
    </comment>
    <comment ref="B1" authorId="1" shapeId="0" xr:uid="{00000000-0006-0000-0B00-000002000000}">
      <text>
        <r>
          <rPr>
            <b/>
            <sz val="9"/>
            <color indexed="81"/>
            <rFont val="Tahoma"/>
            <family val="2"/>
          </rPr>
          <t>William:</t>
        </r>
        <r>
          <rPr>
            <sz val="9"/>
            <color indexed="81"/>
            <rFont val="Tahoma"/>
            <family val="2"/>
          </rPr>
          <t xml:space="preserve">
GWh
For now, leaving tail storage capacity blank</t>
        </r>
      </text>
    </comment>
    <comment ref="C1" authorId="1" shapeId="0" xr:uid="{00000000-0006-0000-0B00-000003000000}">
      <text>
        <r>
          <rPr>
            <b/>
            <sz val="9"/>
            <color indexed="81"/>
            <rFont val="Tahoma"/>
            <family val="2"/>
          </rPr>
          <t>William:</t>
        </r>
        <r>
          <rPr>
            <sz val="9"/>
            <color indexed="81"/>
            <rFont val="Tahoma"/>
            <family val="2"/>
          </rPr>
          <t xml:space="preserve">
GWh
For now, leaving tail storage capacity blank</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W. Zappa</author>
  </authors>
  <commentList>
    <comment ref="D6" authorId="0" shapeId="0" xr:uid="{00000000-0006-0000-0D00-000001000000}">
      <text>
        <r>
          <rPr>
            <b/>
            <sz val="9"/>
            <color indexed="81"/>
            <rFont val="Tahoma"/>
            <family val="2"/>
          </rPr>
          <t>W. Zappa:</t>
        </r>
        <r>
          <rPr>
            <sz val="9"/>
            <color indexed="81"/>
            <rFont val="Tahoma"/>
            <family val="2"/>
          </rPr>
          <t xml:space="preserve">
Production run-of-river plus
production of storage and pumped storage minus
70% of pumped energy.</t>
        </r>
      </text>
    </comment>
    <comment ref="B24" authorId="0" shapeId="0" xr:uid="{00000000-0006-0000-0D00-000002000000}">
      <text>
        <r>
          <rPr>
            <b/>
            <sz val="9"/>
            <color indexed="81"/>
            <rFont val="Tahoma"/>
            <family val="2"/>
          </rPr>
          <t>W. Zappa:</t>
        </r>
        <r>
          <rPr>
            <sz val="9"/>
            <color indexed="81"/>
            <rFont val="Tahoma"/>
            <family val="2"/>
          </rPr>
          <t xml:space="preserve">
ENTSOE doesn't seem to include  Kruonis Pumped Storage Plant (900 MW)</t>
        </r>
      </text>
    </comment>
    <comment ref="I24" authorId="0" shapeId="0" xr:uid="{00000000-0006-0000-0D00-000003000000}">
      <text>
        <r>
          <rPr>
            <b/>
            <sz val="9"/>
            <color indexed="81"/>
            <rFont val="Tahoma"/>
            <family val="2"/>
          </rPr>
          <t>W. Zappa:</t>
        </r>
        <r>
          <rPr>
            <sz val="9"/>
            <color indexed="81"/>
            <rFont val="Tahoma"/>
            <family val="2"/>
          </rPr>
          <t xml:space="preserve">
ENTSOE doesn't seem to include  Kruonis Pumped Storage Plant (900 MW)</t>
        </r>
      </text>
    </comment>
    <comment ref="AC53" authorId="0" shapeId="0" xr:uid="{00000000-0006-0000-0D00-000004000000}">
      <text>
        <r>
          <rPr>
            <b/>
            <sz val="9"/>
            <color indexed="81"/>
            <rFont val="Tahoma"/>
            <family val="2"/>
          </rPr>
          <t>W. Zappa:</t>
        </r>
        <r>
          <rPr>
            <sz val="9"/>
            <color indexed="81"/>
            <rFont val="Tahoma"/>
            <family val="2"/>
          </rPr>
          <t xml:space="preserve">
Detailed list of plants by type from transparency database</t>
        </r>
      </text>
    </comment>
    <comment ref="H61" authorId="0" shapeId="0" xr:uid="{00000000-0006-0000-0D00-000005000000}">
      <text>
        <r>
          <rPr>
            <b/>
            <sz val="9"/>
            <color indexed="81"/>
            <rFont val="Tahoma"/>
            <family val="2"/>
          </rPr>
          <t>W. Zappa:</t>
        </r>
        <r>
          <rPr>
            <sz val="9"/>
            <color indexed="81"/>
            <rFont val="Tahoma"/>
            <family val="2"/>
          </rPr>
          <t xml:space="preserve">
E.g. total installed NO capacity is 31.3 GW
https://www.ssb.no/en/energi-og-industri/statistikker/elektrisitet/aar</t>
        </r>
      </text>
    </comment>
    <comment ref="M62" authorId="0" shapeId="0" xr:uid="{00000000-0006-0000-0D00-000006000000}">
      <text>
        <r>
          <rPr>
            <b/>
            <sz val="9"/>
            <color indexed="81"/>
            <rFont val="Tahoma"/>
            <family val="2"/>
          </rPr>
          <t>W. Zappa:</t>
        </r>
        <r>
          <rPr>
            <sz val="9"/>
            <color indexed="81"/>
            <rFont val="Tahoma"/>
            <family val="2"/>
          </rPr>
          <t xml:space="preserve">
https://www.worldenergy.org/wp-content/uploads/2017/03/WEResources_Hydropower_2016.pdf</t>
        </r>
      </text>
    </comment>
    <comment ref="S62" authorId="0" shapeId="0" xr:uid="{00000000-0006-0000-0D00-000007000000}">
      <text>
        <r>
          <rPr>
            <b/>
            <sz val="9"/>
            <color indexed="81"/>
            <rFont val="Tahoma"/>
            <family val="2"/>
          </rPr>
          <t>W. Zappa:</t>
        </r>
        <r>
          <rPr>
            <sz val="9"/>
            <color indexed="81"/>
            <rFont val="Tahoma"/>
            <family val="2"/>
          </rPr>
          <t xml:space="preserve">
If negative, means by database has more  of one type of plant than in ENTSOE database</t>
        </r>
      </text>
    </comment>
    <comment ref="W62" authorId="0" shapeId="0" xr:uid="{00000000-0006-0000-0D00-000008000000}">
      <text>
        <r>
          <rPr>
            <b/>
            <sz val="9"/>
            <color indexed="81"/>
            <rFont val="Tahoma"/>
            <family val="2"/>
          </rPr>
          <t>W. Zappa:</t>
        </r>
        <r>
          <rPr>
            <sz val="9"/>
            <color indexed="81"/>
            <rFont val="Tahoma"/>
            <family val="2"/>
          </rPr>
          <t xml:space="preserve">
Check is made to ensure that if the total capacity of individual plants in the ENTSOE database exceeds the capacity reported in Eurostat for that country, added capacity is scaled down to match Eurostat</t>
        </r>
      </text>
    </comment>
    <comment ref="AE62" authorId="0" shapeId="0" xr:uid="{00000000-0006-0000-0D00-000009000000}">
      <text>
        <r>
          <rPr>
            <b/>
            <sz val="9"/>
            <color indexed="81"/>
            <rFont val="Tahoma"/>
            <family val="2"/>
          </rPr>
          <t>W. Zappa:</t>
        </r>
        <r>
          <rPr>
            <sz val="9"/>
            <color indexed="81"/>
            <rFont val="Tahoma"/>
            <family val="2"/>
          </rPr>
          <t xml:space="preserve">
Check is made to ensure that if the total capacity of individual plants in the ENTSOE database exceeds the capacity reported in Eurostat for that country, added capacity is scaled down to match Eurostat</t>
        </r>
      </text>
    </comment>
    <comment ref="AI62" authorId="0" shapeId="0" xr:uid="{00000000-0006-0000-0D00-00000A000000}">
      <text>
        <r>
          <rPr>
            <b/>
            <sz val="9"/>
            <color indexed="81"/>
            <rFont val="Tahoma"/>
            <family val="2"/>
          </rPr>
          <t>W. Zappa:</t>
        </r>
        <r>
          <rPr>
            <sz val="9"/>
            <color indexed="81"/>
            <rFont val="Tahoma"/>
            <family val="2"/>
          </rPr>
          <t xml:space="preserve">
Check is made to ensure that if the total capacity of individual plants in the ENTSOE database exceeds the capacity reported in Eurostat for that country, added capacity is scaled down to match Eurostat</t>
        </r>
      </text>
    </comment>
    <comment ref="M71" authorId="0" shapeId="0" xr:uid="{00000000-0006-0000-0D00-00000B000000}">
      <text>
        <r>
          <rPr>
            <b/>
            <sz val="9"/>
            <color indexed="81"/>
            <rFont val="Tahoma"/>
            <family val="2"/>
          </rPr>
          <t>W. Zappa:</t>
        </r>
        <r>
          <rPr>
            <sz val="9"/>
            <color indexed="81"/>
            <rFont val="Tahoma"/>
            <family val="2"/>
          </rPr>
          <t xml:space="preserve">
actually 9</t>
        </r>
      </text>
    </comment>
    <comment ref="M72" authorId="0" shapeId="0" xr:uid="{00000000-0006-0000-0D00-00000C000000}">
      <text>
        <r>
          <rPr>
            <b/>
            <sz val="9"/>
            <color indexed="81"/>
            <rFont val="Tahoma"/>
            <family val="2"/>
          </rPr>
          <t>W. Zappa:</t>
        </r>
        <r>
          <rPr>
            <sz val="9"/>
            <color indexed="81"/>
            <rFont val="Tahoma"/>
            <family val="2"/>
          </rPr>
          <t xml:space="preserve">
actually 8</t>
        </r>
      </text>
    </comment>
    <comment ref="H78" authorId="0" shapeId="0" xr:uid="{00000000-0006-0000-0D00-00000D000000}">
      <text>
        <r>
          <rPr>
            <b/>
            <sz val="9"/>
            <color indexed="81"/>
            <rFont val="Tahoma"/>
            <family val="2"/>
          </rPr>
          <t>W. Zappa:</t>
        </r>
        <r>
          <rPr>
            <sz val="9"/>
            <color indexed="81"/>
            <rFont val="Tahoma"/>
            <family val="2"/>
          </rPr>
          <t xml:space="preserve">
Overwrote, missing from ENTSOE</t>
        </r>
      </text>
    </comment>
    <comment ref="M79" authorId="0" shapeId="0" xr:uid="{00000000-0006-0000-0D00-00000E000000}">
      <text>
        <r>
          <rPr>
            <b/>
            <sz val="9"/>
            <color indexed="81"/>
            <rFont val="Tahoma"/>
            <family val="2"/>
          </rPr>
          <t>W. Zappa:</t>
        </r>
        <r>
          <rPr>
            <sz val="9"/>
            <color indexed="81"/>
            <rFont val="Tahoma"/>
            <family val="2"/>
          </rPr>
          <t xml:space="preserve">
actually 58</t>
        </r>
      </text>
    </comment>
    <comment ref="B82" authorId="0" shapeId="0" xr:uid="{00000000-0006-0000-0D00-00000F000000}">
      <text>
        <r>
          <rPr>
            <b/>
            <sz val="9"/>
            <color indexed="81"/>
            <rFont val="Tahoma"/>
            <family val="2"/>
          </rPr>
          <t>W. Zappa:</t>
        </r>
        <r>
          <rPr>
            <sz val="9"/>
            <color indexed="81"/>
            <rFont val="Tahoma"/>
            <family val="2"/>
          </rPr>
          <t xml:space="preserve">
ENTSOE doesn't seem to include  Kruonis Pumped Storage Plant (900 MW)</t>
        </r>
      </text>
    </comment>
    <comment ref="G82" authorId="0" shapeId="0" xr:uid="{00000000-0006-0000-0D00-000010000000}">
      <text>
        <r>
          <rPr>
            <b/>
            <sz val="9"/>
            <color indexed="81"/>
            <rFont val="Tahoma"/>
            <family val="2"/>
          </rPr>
          <t>W. Zappa:</t>
        </r>
        <r>
          <rPr>
            <sz val="9"/>
            <color indexed="81"/>
            <rFont val="Tahoma"/>
            <family val="2"/>
          </rPr>
          <t xml:space="preserve">
ENTSOE doesn't seem to include  Kruonis Pumped Storage Plant (900 MW)</t>
        </r>
      </text>
    </comment>
    <comment ref="R82" authorId="0" shapeId="0" xr:uid="{00000000-0006-0000-0D00-000011000000}">
      <text>
        <r>
          <rPr>
            <b/>
            <sz val="9"/>
            <color indexed="81"/>
            <rFont val="Tahoma"/>
            <family val="2"/>
          </rPr>
          <t>W. Zappa:</t>
        </r>
        <r>
          <rPr>
            <sz val="9"/>
            <color indexed="81"/>
            <rFont val="Tahoma"/>
            <family val="2"/>
          </rPr>
          <t xml:space="preserve">
ENTSOE doesn't seem to include  Kruonis Pumped Storage Plant (900 MW)</t>
        </r>
      </text>
    </comment>
    <comment ref="J83" authorId="0" shapeId="0" xr:uid="{00000000-0006-0000-0D00-000012000000}">
      <text>
        <r>
          <rPr>
            <b/>
            <sz val="9"/>
            <color indexed="81"/>
            <rFont val="Tahoma"/>
            <family val="2"/>
          </rPr>
          <t>W. Zappa:</t>
        </r>
        <r>
          <rPr>
            <sz val="9"/>
            <color indexed="81"/>
            <rFont val="Tahoma"/>
            <family val="2"/>
          </rPr>
          <t xml:space="preserve">
Overwrote, missing from ENTSOE</t>
        </r>
      </text>
    </comment>
    <comment ref="H84" authorId="0" shapeId="0" xr:uid="{00000000-0006-0000-0D00-000013000000}">
      <text>
        <r>
          <rPr>
            <b/>
            <sz val="9"/>
            <color indexed="81"/>
            <rFont val="Tahoma"/>
            <family val="2"/>
          </rPr>
          <t>W. Zappa:</t>
        </r>
        <r>
          <rPr>
            <sz val="9"/>
            <color indexed="81"/>
            <rFont val="Tahoma"/>
            <family val="2"/>
          </rPr>
          <t xml:space="preserve">
Overwrote, very close</t>
        </r>
      </text>
    </comment>
    <comment ref="M86" authorId="0" shapeId="0" xr:uid="{00000000-0006-0000-0D00-000014000000}">
      <text>
        <r>
          <rPr>
            <b/>
            <sz val="9"/>
            <color indexed="81"/>
            <rFont val="Tahoma"/>
            <family val="2"/>
          </rPr>
          <t>W. Zappa:</t>
        </r>
        <r>
          <rPr>
            <sz val="9"/>
            <color indexed="81"/>
            <rFont val="Tahoma"/>
            <family val="2"/>
          </rPr>
          <t xml:space="preserve">
actually 37</t>
        </r>
      </text>
    </comment>
    <comment ref="AB97" authorId="0" shapeId="0" xr:uid="{00000000-0006-0000-0D00-000015000000}">
      <text>
        <r>
          <rPr>
            <b/>
            <sz val="9"/>
            <color indexed="81"/>
            <rFont val="Tahoma"/>
            <family val="2"/>
          </rPr>
          <t>W. Zappa:</t>
        </r>
        <r>
          <rPr>
            <sz val="9"/>
            <color indexed="81"/>
            <rFont val="Tahoma"/>
            <family val="2"/>
          </rPr>
          <t xml:space="preserve">
Including base database and addition of ENTSOE-plants</t>
        </r>
      </text>
    </comment>
    <comment ref="AB103" authorId="0" shapeId="0" xr:uid="{00000000-0006-0000-0D00-000016000000}">
      <text>
        <r>
          <rPr>
            <b/>
            <sz val="9"/>
            <color indexed="81"/>
            <rFont val="Tahoma"/>
            <family val="2"/>
          </rPr>
          <t>W. Zappa:</t>
        </r>
        <r>
          <rPr>
            <sz val="9"/>
            <color indexed="81"/>
            <rFont val="Tahoma"/>
            <family val="2"/>
          </rPr>
          <t xml:space="preserve">
Including database, ENTSO-E plants + missing capacity to makeup Eurostat figures</t>
        </r>
      </text>
    </comment>
    <comment ref="B105" authorId="0" shapeId="0" xr:uid="{00000000-0006-0000-0D00-000017000000}">
      <text>
        <r>
          <rPr>
            <b/>
            <sz val="9"/>
            <color indexed="81"/>
            <rFont val="Tahoma"/>
            <family val="2"/>
          </rPr>
          <t>W. Zappa:</t>
        </r>
        <r>
          <rPr>
            <sz val="9"/>
            <color indexed="81"/>
            <rFont val="Tahoma"/>
            <family val="2"/>
          </rPr>
          <t xml:space="preserve">
From Transparency Platform, 'Installed Capacity per production unit'</t>
        </r>
      </text>
    </comment>
    <comment ref="B132" authorId="0" shapeId="0" xr:uid="{00000000-0006-0000-0D00-000018000000}">
      <text>
        <r>
          <rPr>
            <b/>
            <sz val="9"/>
            <color indexed="81"/>
            <rFont val="Tahoma"/>
            <family val="2"/>
          </rPr>
          <t>W. Zappa:</t>
        </r>
        <r>
          <rPr>
            <sz val="9"/>
            <color indexed="81"/>
            <rFont val="Tahoma"/>
            <family val="2"/>
          </rPr>
          <t xml:space="preserve">
Renamed to GB, as minimal hydro in NI</t>
        </r>
      </text>
    </comment>
    <comment ref="C140" authorId="0" shapeId="0" xr:uid="{00000000-0006-0000-0D00-000019000000}">
      <text>
        <r>
          <rPr>
            <b/>
            <sz val="9"/>
            <color indexed="81"/>
            <rFont val="Tahoma"/>
            <family val="2"/>
          </rPr>
          <t>W. Zappa:</t>
        </r>
        <r>
          <rPr>
            <sz val="9"/>
            <color indexed="81"/>
            <rFont val="Tahoma"/>
            <family val="2"/>
          </rPr>
          <t xml:space="preserve">
http://www.bfe.admin.ch/themen/00490/00491/index.html?lang=en&amp;dossier_id=01049</t>
        </r>
      </text>
    </comment>
    <comment ref="B155" authorId="0" shapeId="0" xr:uid="{00000000-0006-0000-0D00-00001A000000}">
      <text>
        <r>
          <rPr>
            <b/>
            <sz val="9"/>
            <color indexed="81"/>
            <rFont val="Tahoma"/>
            <family val="2"/>
          </rPr>
          <t>W. Zappa:</t>
        </r>
        <r>
          <rPr>
            <sz val="9"/>
            <color indexed="81"/>
            <rFont val="Tahoma"/>
            <family val="2"/>
          </rPr>
          <t xml:space="preserve">
ENTSOE doesn't seem to include  Kruonis Pumped Storage Plant (900 MW)</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W. Zappa</author>
  </authors>
  <commentList>
    <comment ref="E4" authorId="0" shapeId="0" xr:uid="{00000000-0006-0000-0E00-000001000000}">
      <text>
        <r>
          <rPr>
            <b/>
            <sz val="9"/>
            <color indexed="81"/>
            <rFont val="Tahoma"/>
            <family val="2"/>
          </rPr>
          <t>W. Zappa:</t>
        </r>
        <r>
          <rPr>
            <sz val="9"/>
            <color indexed="81"/>
            <rFont val="Tahoma"/>
            <family val="2"/>
          </rPr>
          <t xml:space="preserve">
Select only those rows for which units &gt; 0</t>
        </r>
      </text>
    </comment>
    <comment ref="L4" authorId="0" shapeId="0" xr:uid="{00000000-0006-0000-0E00-000002000000}">
      <text>
        <r>
          <rPr>
            <b/>
            <sz val="9"/>
            <color indexed="81"/>
            <rFont val="Tahoma"/>
            <family val="2"/>
          </rPr>
          <t>W. Zappa:</t>
        </r>
        <r>
          <rPr>
            <sz val="9"/>
            <color indexed="81"/>
            <rFont val="Tahoma"/>
            <family val="2"/>
          </rPr>
          <t xml:space="preserve">
Select only those rows for which units &gt; 0</t>
        </r>
      </text>
    </comment>
    <comment ref="P4" authorId="0" shapeId="0" xr:uid="{00000000-0006-0000-0E00-000003000000}">
      <text>
        <r>
          <rPr>
            <b/>
            <sz val="9"/>
            <color indexed="81"/>
            <rFont val="Tahoma"/>
            <family val="2"/>
          </rPr>
          <t>W. Zappa:</t>
        </r>
        <r>
          <rPr>
            <sz val="9"/>
            <color indexed="81"/>
            <rFont val="Tahoma"/>
            <family val="2"/>
          </rPr>
          <t xml:space="preserve">
Select only those rows for which units &gt; 0</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W. Zappa</author>
  </authors>
  <commentList>
    <comment ref="E4" authorId="0" shapeId="0" xr:uid="{00000000-0006-0000-0F00-000001000000}">
      <text>
        <r>
          <rPr>
            <b/>
            <sz val="9"/>
            <color indexed="81"/>
            <rFont val="Tahoma"/>
            <family val="2"/>
          </rPr>
          <t>W. Zappa:</t>
        </r>
        <r>
          <rPr>
            <sz val="9"/>
            <color indexed="81"/>
            <rFont val="Tahoma"/>
            <family val="2"/>
          </rPr>
          <t xml:space="preserve">
Select only those rows for which units &gt; 0</t>
        </r>
      </text>
    </comment>
    <comment ref="L4" authorId="0" shapeId="0" xr:uid="{00000000-0006-0000-0F00-000002000000}">
      <text>
        <r>
          <rPr>
            <b/>
            <sz val="9"/>
            <color indexed="81"/>
            <rFont val="Tahoma"/>
            <family val="2"/>
          </rPr>
          <t>W. Zappa:</t>
        </r>
        <r>
          <rPr>
            <sz val="9"/>
            <color indexed="81"/>
            <rFont val="Tahoma"/>
            <family val="2"/>
          </rPr>
          <t xml:space="preserve">
Select only those rows for which units &gt; 0</t>
        </r>
      </text>
    </comment>
    <comment ref="P4" authorId="0" shapeId="0" xr:uid="{00000000-0006-0000-0F00-000003000000}">
      <text>
        <r>
          <rPr>
            <b/>
            <sz val="9"/>
            <color indexed="81"/>
            <rFont val="Tahoma"/>
            <family val="2"/>
          </rPr>
          <t>W. Zappa:</t>
        </r>
        <r>
          <rPr>
            <sz val="9"/>
            <color indexed="81"/>
            <rFont val="Tahoma"/>
            <family val="2"/>
          </rPr>
          <t xml:space="preserve">
Select only those rows for which units &gt; 0</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W. Zappa</author>
  </authors>
  <commentList>
    <comment ref="B4" authorId="0" shapeId="0" xr:uid="{00000000-0006-0000-1000-000001000000}">
      <text>
        <r>
          <rPr>
            <b/>
            <sz val="9"/>
            <color indexed="81"/>
            <rFont val="Tahoma"/>
            <family val="2"/>
          </rPr>
          <t>W. Zappa:</t>
        </r>
        <r>
          <rPr>
            <sz val="9"/>
            <color indexed="81"/>
            <rFont val="Tahoma"/>
            <family val="2"/>
          </rPr>
          <t xml:space="preserve">
Once in the transparency platform, go to the 'Generation' tab then click "Installed Capacity Per Production Unit", then you can select only the 3 types of hydro plants</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W. Zappa</author>
  </authors>
  <commentList>
    <comment ref="D6" authorId="0" shapeId="0" xr:uid="{00000000-0006-0000-1100-000001000000}">
      <text>
        <r>
          <rPr>
            <b/>
            <sz val="9"/>
            <color indexed="81"/>
            <rFont val="Tahoma"/>
            <family val="2"/>
          </rPr>
          <t>W. Zappa:</t>
        </r>
        <r>
          <rPr>
            <sz val="9"/>
            <color indexed="81"/>
            <rFont val="Tahoma"/>
            <family val="2"/>
          </rPr>
          <t xml:space="preserve">
Production run-of-river plus
production of storage and pumped storage minus
70% of pumped energy.</t>
        </r>
      </text>
    </comment>
    <comment ref="B24" authorId="0" shapeId="0" xr:uid="{00000000-0006-0000-1100-000002000000}">
      <text>
        <r>
          <rPr>
            <b/>
            <sz val="9"/>
            <color indexed="81"/>
            <rFont val="Tahoma"/>
            <family val="2"/>
          </rPr>
          <t>W. Zappa:</t>
        </r>
        <r>
          <rPr>
            <sz val="9"/>
            <color indexed="81"/>
            <rFont val="Tahoma"/>
            <family val="2"/>
          </rPr>
          <t xml:space="preserve">
ENTSOE doesn't seem to include  Kruonis Pumped Storage Plant (900 MW)</t>
        </r>
      </text>
    </comment>
    <comment ref="I24" authorId="0" shapeId="0" xr:uid="{00000000-0006-0000-1100-000003000000}">
      <text>
        <r>
          <rPr>
            <b/>
            <sz val="9"/>
            <color indexed="81"/>
            <rFont val="Tahoma"/>
            <family val="2"/>
          </rPr>
          <t>W. Zappa:</t>
        </r>
        <r>
          <rPr>
            <sz val="9"/>
            <color indexed="81"/>
            <rFont val="Tahoma"/>
            <family val="2"/>
          </rPr>
          <t xml:space="preserve">
ENTSOE doesn't seem to include  Kruonis Pumped Storage Plant (900 MW)</t>
        </r>
      </text>
    </comment>
    <comment ref="AD53" authorId="0" shapeId="0" xr:uid="{00000000-0006-0000-1100-000004000000}">
      <text>
        <r>
          <rPr>
            <b/>
            <sz val="9"/>
            <color indexed="81"/>
            <rFont val="Tahoma"/>
            <family val="2"/>
          </rPr>
          <t>W. Zappa:</t>
        </r>
        <r>
          <rPr>
            <sz val="9"/>
            <color indexed="81"/>
            <rFont val="Tahoma"/>
            <family val="2"/>
          </rPr>
          <t xml:space="preserve">
Detailed list of plants by type from transparency database</t>
        </r>
      </text>
    </comment>
    <comment ref="H61" authorId="0" shapeId="0" xr:uid="{00000000-0006-0000-1100-000005000000}">
      <text>
        <r>
          <rPr>
            <b/>
            <sz val="9"/>
            <color indexed="81"/>
            <rFont val="Tahoma"/>
            <family val="2"/>
          </rPr>
          <t>W. Zappa:</t>
        </r>
        <r>
          <rPr>
            <sz val="9"/>
            <color indexed="81"/>
            <rFont val="Tahoma"/>
            <family val="2"/>
          </rPr>
          <t xml:space="preserve">
E.g. total installed NO capacity is 31.3 GW
https://www.ssb.no/en/energi-og-industri/statistikker/elektrisitet/aar</t>
        </r>
      </text>
    </comment>
    <comment ref="M62" authorId="0" shapeId="0" xr:uid="{00000000-0006-0000-1100-000006000000}">
      <text>
        <r>
          <rPr>
            <b/>
            <sz val="9"/>
            <color indexed="81"/>
            <rFont val="Tahoma"/>
            <family val="2"/>
          </rPr>
          <t>W. Zappa:</t>
        </r>
        <r>
          <rPr>
            <sz val="9"/>
            <color indexed="81"/>
            <rFont val="Tahoma"/>
            <family val="2"/>
          </rPr>
          <t xml:space="preserve">
https://www.worldenergy.org/wp-content/uploads/2017/03/WEResources_Hydropower_2016.pdf</t>
        </r>
      </text>
    </comment>
    <comment ref="S62" authorId="0" shapeId="0" xr:uid="{00000000-0006-0000-1100-000007000000}">
      <text>
        <r>
          <rPr>
            <b/>
            <sz val="9"/>
            <color indexed="81"/>
            <rFont val="Tahoma"/>
            <family val="2"/>
          </rPr>
          <t>W. Zappa:</t>
        </r>
        <r>
          <rPr>
            <sz val="9"/>
            <color indexed="81"/>
            <rFont val="Tahoma"/>
            <family val="2"/>
          </rPr>
          <t xml:space="preserve">
If negative, means by database has more  of one type of plant than in ENTSOE database</t>
        </r>
      </text>
    </comment>
    <comment ref="X62" authorId="0" shapeId="0" xr:uid="{00000000-0006-0000-1100-000008000000}">
      <text>
        <r>
          <rPr>
            <b/>
            <sz val="9"/>
            <color indexed="81"/>
            <rFont val="Tahoma"/>
            <family val="2"/>
          </rPr>
          <t>W. Zappa:</t>
        </r>
        <r>
          <rPr>
            <sz val="9"/>
            <color indexed="81"/>
            <rFont val="Tahoma"/>
            <family val="2"/>
          </rPr>
          <t xml:space="preserve">
Check is made to ensure that if the total capacity of individual plants in the ENTSOE database exceeds the capacity reported in Eurostat for that country, added capacity is scaled down to match Eurostat</t>
        </r>
      </text>
    </comment>
    <comment ref="AF62" authorId="0" shapeId="0" xr:uid="{00000000-0006-0000-1100-000009000000}">
      <text>
        <r>
          <rPr>
            <b/>
            <sz val="9"/>
            <color indexed="81"/>
            <rFont val="Tahoma"/>
            <family val="2"/>
          </rPr>
          <t>W. Zappa:</t>
        </r>
        <r>
          <rPr>
            <sz val="9"/>
            <color indexed="81"/>
            <rFont val="Tahoma"/>
            <family val="2"/>
          </rPr>
          <t xml:space="preserve">
Check is made to ensure that if the total capacity of individual plants in the ENTSOE database exceeds the capacity reported in Eurostat for that country, added capacity is scaled down to match Eurostat</t>
        </r>
      </text>
    </comment>
    <comment ref="AJ62" authorId="0" shapeId="0" xr:uid="{00000000-0006-0000-1100-00000A000000}">
      <text>
        <r>
          <rPr>
            <b/>
            <sz val="9"/>
            <color indexed="81"/>
            <rFont val="Tahoma"/>
            <family val="2"/>
          </rPr>
          <t>W. Zappa:</t>
        </r>
        <r>
          <rPr>
            <sz val="9"/>
            <color indexed="81"/>
            <rFont val="Tahoma"/>
            <family val="2"/>
          </rPr>
          <t xml:space="preserve">
Check is made to ensure that if the total capacity of individual plants in the ENTSOE database exceeds the capacity reported in Eurostat for that country, added capacity is scaled down to match Eurostat</t>
        </r>
      </text>
    </comment>
    <comment ref="M71" authorId="0" shapeId="0" xr:uid="{00000000-0006-0000-1100-00000B000000}">
      <text>
        <r>
          <rPr>
            <b/>
            <sz val="9"/>
            <color indexed="81"/>
            <rFont val="Tahoma"/>
            <family val="2"/>
          </rPr>
          <t>W. Zappa:</t>
        </r>
        <r>
          <rPr>
            <sz val="9"/>
            <color indexed="81"/>
            <rFont val="Tahoma"/>
            <family val="2"/>
          </rPr>
          <t xml:space="preserve">
actually 9</t>
        </r>
      </text>
    </comment>
    <comment ref="M72" authorId="0" shapeId="0" xr:uid="{00000000-0006-0000-1100-00000C000000}">
      <text>
        <r>
          <rPr>
            <b/>
            <sz val="9"/>
            <color indexed="81"/>
            <rFont val="Tahoma"/>
            <family val="2"/>
          </rPr>
          <t>W. Zappa:</t>
        </r>
        <r>
          <rPr>
            <sz val="9"/>
            <color indexed="81"/>
            <rFont val="Tahoma"/>
            <family val="2"/>
          </rPr>
          <t xml:space="preserve">
actually 8</t>
        </r>
      </text>
    </comment>
    <comment ref="H78" authorId="0" shapeId="0" xr:uid="{00000000-0006-0000-1100-00000D000000}">
      <text>
        <r>
          <rPr>
            <b/>
            <sz val="9"/>
            <color indexed="81"/>
            <rFont val="Tahoma"/>
            <family val="2"/>
          </rPr>
          <t>W. Zappa:</t>
        </r>
        <r>
          <rPr>
            <sz val="9"/>
            <color indexed="81"/>
            <rFont val="Tahoma"/>
            <family val="2"/>
          </rPr>
          <t xml:space="preserve">
Overwrote, missing from ENTSOE</t>
        </r>
      </text>
    </comment>
    <comment ref="M79" authorId="0" shapeId="0" xr:uid="{00000000-0006-0000-1100-00000E000000}">
      <text>
        <r>
          <rPr>
            <b/>
            <sz val="9"/>
            <color indexed="81"/>
            <rFont val="Tahoma"/>
            <family val="2"/>
          </rPr>
          <t>W. Zappa:</t>
        </r>
        <r>
          <rPr>
            <sz val="9"/>
            <color indexed="81"/>
            <rFont val="Tahoma"/>
            <family val="2"/>
          </rPr>
          <t xml:space="preserve">
actually 58</t>
        </r>
      </text>
    </comment>
    <comment ref="B82" authorId="0" shapeId="0" xr:uid="{00000000-0006-0000-1100-00000F000000}">
      <text>
        <r>
          <rPr>
            <b/>
            <sz val="9"/>
            <color indexed="81"/>
            <rFont val="Tahoma"/>
            <family val="2"/>
          </rPr>
          <t>W. Zappa:</t>
        </r>
        <r>
          <rPr>
            <sz val="9"/>
            <color indexed="81"/>
            <rFont val="Tahoma"/>
            <family val="2"/>
          </rPr>
          <t xml:space="preserve">
ENTSOE doesn't seem to include  Kruonis Pumped Storage Plant (900 MW)</t>
        </r>
      </text>
    </comment>
    <comment ref="G82" authorId="0" shapeId="0" xr:uid="{00000000-0006-0000-1100-000010000000}">
      <text>
        <r>
          <rPr>
            <b/>
            <sz val="9"/>
            <color indexed="81"/>
            <rFont val="Tahoma"/>
            <family val="2"/>
          </rPr>
          <t>W. Zappa:</t>
        </r>
        <r>
          <rPr>
            <sz val="9"/>
            <color indexed="81"/>
            <rFont val="Tahoma"/>
            <family val="2"/>
          </rPr>
          <t xml:space="preserve">
ENTSOE doesn't seem to include  Kruonis Pumped Storage Plant (900 MW)</t>
        </r>
      </text>
    </comment>
    <comment ref="R82" authorId="0" shapeId="0" xr:uid="{00000000-0006-0000-1100-000011000000}">
      <text>
        <r>
          <rPr>
            <b/>
            <sz val="9"/>
            <color indexed="81"/>
            <rFont val="Tahoma"/>
            <family val="2"/>
          </rPr>
          <t>W. Zappa:</t>
        </r>
        <r>
          <rPr>
            <sz val="9"/>
            <color indexed="81"/>
            <rFont val="Tahoma"/>
            <family val="2"/>
          </rPr>
          <t xml:space="preserve">
ENTSOE doesn't seem to include  Kruonis Pumped Storage Plant (900 MW)</t>
        </r>
      </text>
    </comment>
    <comment ref="J83" authorId="0" shapeId="0" xr:uid="{00000000-0006-0000-1100-000012000000}">
      <text>
        <r>
          <rPr>
            <b/>
            <sz val="9"/>
            <color indexed="81"/>
            <rFont val="Tahoma"/>
            <family val="2"/>
          </rPr>
          <t>W. Zappa:</t>
        </r>
        <r>
          <rPr>
            <sz val="9"/>
            <color indexed="81"/>
            <rFont val="Tahoma"/>
            <family val="2"/>
          </rPr>
          <t xml:space="preserve">
Overwrote, missing from ENTSOE</t>
        </r>
      </text>
    </comment>
    <comment ref="H84" authorId="0" shapeId="0" xr:uid="{00000000-0006-0000-1100-000013000000}">
      <text>
        <r>
          <rPr>
            <b/>
            <sz val="9"/>
            <color indexed="81"/>
            <rFont val="Tahoma"/>
            <family val="2"/>
          </rPr>
          <t>W. Zappa:</t>
        </r>
        <r>
          <rPr>
            <sz val="9"/>
            <color indexed="81"/>
            <rFont val="Tahoma"/>
            <family val="2"/>
          </rPr>
          <t xml:space="preserve">
Overwrote, very close</t>
        </r>
      </text>
    </comment>
    <comment ref="M86" authorId="0" shapeId="0" xr:uid="{00000000-0006-0000-1100-000014000000}">
      <text>
        <r>
          <rPr>
            <b/>
            <sz val="9"/>
            <color indexed="81"/>
            <rFont val="Tahoma"/>
            <family val="2"/>
          </rPr>
          <t>W. Zappa:</t>
        </r>
        <r>
          <rPr>
            <sz val="9"/>
            <color indexed="81"/>
            <rFont val="Tahoma"/>
            <family val="2"/>
          </rPr>
          <t xml:space="preserve">
actually 37</t>
        </r>
      </text>
    </comment>
    <comment ref="AC97" authorId="0" shapeId="0" xr:uid="{00000000-0006-0000-1100-000015000000}">
      <text>
        <r>
          <rPr>
            <b/>
            <sz val="9"/>
            <color indexed="81"/>
            <rFont val="Tahoma"/>
            <family val="2"/>
          </rPr>
          <t>W. Zappa:</t>
        </r>
        <r>
          <rPr>
            <sz val="9"/>
            <color indexed="81"/>
            <rFont val="Tahoma"/>
            <family val="2"/>
          </rPr>
          <t xml:space="preserve">
Including base database and addition of ENTSOE-plants</t>
        </r>
      </text>
    </comment>
    <comment ref="AC103" authorId="0" shapeId="0" xr:uid="{00000000-0006-0000-1100-000016000000}">
      <text>
        <r>
          <rPr>
            <b/>
            <sz val="9"/>
            <color indexed="81"/>
            <rFont val="Tahoma"/>
            <family val="2"/>
          </rPr>
          <t>W. Zappa:</t>
        </r>
        <r>
          <rPr>
            <sz val="9"/>
            <color indexed="81"/>
            <rFont val="Tahoma"/>
            <family val="2"/>
          </rPr>
          <t xml:space="preserve">
Including database, ENTSO-E plants + missing capacity to makeup Eurostat figures</t>
        </r>
      </text>
    </comment>
    <comment ref="B105" authorId="0" shapeId="0" xr:uid="{00000000-0006-0000-1100-000017000000}">
      <text>
        <r>
          <rPr>
            <b/>
            <sz val="9"/>
            <color indexed="81"/>
            <rFont val="Tahoma"/>
            <family val="2"/>
          </rPr>
          <t>W. Zappa:</t>
        </r>
        <r>
          <rPr>
            <sz val="9"/>
            <color indexed="81"/>
            <rFont val="Tahoma"/>
            <family val="2"/>
          </rPr>
          <t xml:space="preserve">
From Transparency Platform, 'Installed Capacity per production unit'</t>
        </r>
      </text>
    </comment>
    <comment ref="B132" authorId="0" shapeId="0" xr:uid="{00000000-0006-0000-1100-000018000000}">
      <text>
        <r>
          <rPr>
            <b/>
            <sz val="9"/>
            <color indexed="81"/>
            <rFont val="Tahoma"/>
            <family val="2"/>
          </rPr>
          <t>W. Zappa:</t>
        </r>
        <r>
          <rPr>
            <sz val="9"/>
            <color indexed="81"/>
            <rFont val="Tahoma"/>
            <family val="2"/>
          </rPr>
          <t xml:space="preserve">
Renamed to GB, as minimal hydro in NI</t>
        </r>
      </text>
    </comment>
    <comment ref="C140" authorId="0" shapeId="0" xr:uid="{00000000-0006-0000-1100-000019000000}">
      <text>
        <r>
          <rPr>
            <b/>
            <sz val="9"/>
            <color indexed="81"/>
            <rFont val="Tahoma"/>
            <family val="2"/>
          </rPr>
          <t>W. Zappa:</t>
        </r>
        <r>
          <rPr>
            <sz val="9"/>
            <color indexed="81"/>
            <rFont val="Tahoma"/>
            <family val="2"/>
          </rPr>
          <t xml:space="preserve">
http://www.bfe.admin.ch/themen/00490/00491/index.html?lang=en&amp;dossier_id=01049</t>
        </r>
      </text>
    </comment>
    <comment ref="B155" authorId="0" shapeId="0" xr:uid="{00000000-0006-0000-1100-00001A000000}">
      <text>
        <r>
          <rPr>
            <b/>
            <sz val="9"/>
            <color indexed="81"/>
            <rFont val="Tahoma"/>
            <family val="2"/>
          </rPr>
          <t>W. Zappa:</t>
        </r>
        <r>
          <rPr>
            <sz val="9"/>
            <color indexed="81"/>
            <rFont val="Tahoma"/>
            <family val="2"/>
          </rPr>
          <t xml:space="preserve">
ENTSOE doesn't seem to include  Kruonis Pumped Storage Plant (900 MW)</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W. Zappa</author>
  </authors>
  <commentList>
    <comment ref="E4" authorId="0" shapeId="0" xr:uid="{00000000-0006-0000-1200-000001000000}">
      <text>
        <r>
          <rPr>
            <b/>
            <sz val="9"/>
            <color indexed="81"/>
            <rFont val="Tahoma"/>
            <family val="2"/>
          </rPr>
          <t>W. Zappa:</t>
        </r>
        <r>
          <rPr>
            <sz val="9"/>
            <color indexed="81"/>
            <rFont val="Tahoma"/>
            <family val="2"/>
          </rPr>
          <t xml:space="preserve">
Select only those rows for which units &gt; 0</t>
        </r>
      </text>
    </comment>
    <comment ref="L4" authorId="0" shapeId="0" xr:uid="{00000000-0006-0000-1200-000002000000}">
      <text>
        <r>
          <rPr>
            <b/>
            <sz val="9"/>
            <color indexed="81"/>
            <rFont val="Tahoma"/>
            <family val="2"/>
          </rPr>
          <t>W. Zappa:</t>
        </r>
        <r>
          <rPr>
            <sz val="9"/>
            <color indexed="81"/>
            <rFont val="Tahoma"/>
            <family val="2"/>
          </rPr>
          <t xml:space="preserve">
Select only those rows for which units &gt; 0</t>
        </r>
      </text>
    </comment>
    <comment ref="P4" authorId="0" shapeId="0" xr:uid="{00000000-0006-0000-1200-000003000000}">
      <text>
        <r>
          <rPr>
            <b/>
            <sz val="9"/>
            <color indexed="81"/>
            <rFont val="Tahoma"/>
            <family val="2"/>
          </rPr>
          <t>W. Zappa:</t>
        </r>
        <r>
          <rPr>
            <sz val="9"/>
            <color indexed="81"/>
            <rFont val="Tahoma"/>
            <family val="2"/>
          </rPr>
          <t xml:space="preserve">
Select only those rows for which units &gt; 0</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W. Zappa</author>
  </authors>
  <commentList>
    <comment ref="Q20" authorId="0" shapeId="0" xr:uid="{00000000-0006-0000-1300-000001000000}">
      <text>
        <r>
          <rPr>
            <b/>
            <sz val="9"/>
            <color indexed="81"/>
            <rFont val="Tahoma"/>
            <family val="2"/>
          </rPr>
          <t>W. Zappa:</t>
        </r>
        <r>
          <rPr>
            <sz val="9"/>
            <color indexed="81"/>
            <rFont val="Tahoma"/>
            <family val="2"/>
          </rPr>
          <t xml:space="preserve">
ENTSOE doesn't seem to include  Kruonis Pumped Storage Plant (900 MW)</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W. Zappa</author>
  </authors>
  <commentList>
    <comment ref="V26" authorId="0" shapeId="0" xr:uid="{00000000-0006-0000-1500-000001000000}">
      <text>
        <r>
          <rPr>
            <b/>
            <sz val="9"/>
            <color indexed="81"/>
            <rFont val="Tahoma"/>
            <family val="2"/>
          </rPr>
          <t>W. Zappa:</t>
        </r>
        <r>
          <rPr>
            <sz val="9"/>
            <color indexed="81"/>
            <rFont val="Tahoma"/>
            <family val="2"/>
          </rPr>
          <t xml:space="preserve">
ENTSOE doesn't seem to include  Kruonis Pumped Storage Plant (900 MW)</t>
        </r>
      </text>
    </comment>
  </commentList>
</comments>
</file>

<file path=xl/sharedStrings.xml><?xml version="1.0" encoding="utf-8"?>
<sst xmlns="http://schemas.openxmlformats.org/spreadsheetml/2006/main" count="12551" uniqueCount="3824">
  <si>
    <t>Belgium</t>
  </si>
  <si>
    <t>Bulgaria</t>
  </si>
  <si>
    <t>Czech Republic</t>
  </si>
  <si>
    <t>Germany</t>
  </si>
  <si>
    <t>Ireland</t>
  </si>
  <si>
    <t>Greece</t>
  </si>
  <si>
    <t>Spain</t>
  </si>
  <si>
    <t>France</t>
  </si>
  <si>
    <t>Croatia</t>
  </si>
  <si>
    <t>Italy</t>
  </si>
  <si>
    <t>Latvia</t>
  </si>
  <si>
    <t>Luxembourg</t>
  </si>
  <si>
    <t>Netherlands</t>
  </si>
  <si>
    <t>Austria</t>
  </si>
  <si>
    <t>Poland</t>
  </si>
  <si>
    <t>Portugal</t>
  </si>
  <si>
    <t>Romania</t>
  </si>
  <si>
    <t>Slovenia</t>
  </si>
  <si>
    <t>Slovakia</t>
  </si>
  <si>
    <t>Finland</t>
  </si>
  <si>
    <t>Sweden</t>
  </si>
  <si>
    <t>Norway</t>
  </si>
  <si>
    <t>Switzerland</t>
  </si>
  <si>
    <t>Carinthia</t>
  </si>
  <si>
    <t>Kühtai</t>
  </si>
  <si>
    <t>Koelnbrein</t>
  </si>
  <si>
    <t>RES+PHS</t>
  </si>
  <si>
    <t>Galgenbichl</t>
  </si>
  <si>
    <t>http://www.verbund.com/pp/de/pumpspeicherkraftwerk/malta-hauptstufe</t>
  </si>
  <si>
    <t>RoR</t>
  </si>
  <si>
    <t>NaN</t>
  </si>
  <si>
    <t>Unknown</t>
  </si>
  <si>
    <t>http://www.verbund.com/pp/de/pumpspeicherkraftwerk/malta-oberstufe</t>
  </si>
  <si>
    <t>Sellrain-Silz</t>
  </si>
  <si>
    <t>Silz</t>
  </si>
  <si>
    <t>Finstertal</t>
  </si>
  <si>
    <t>https://www.hs-mainz.de/fileadmin/content/fb1/pdf/Bau/Exkursionen/Kraftwerksgruppe_Sellrain-Silz.pdf</t>
  </si>
  <si>
    <t>https://de.wikipedia.org/wiki/Kraftwerksgruppe_Sellrain-Silz#cite_note-tiwag-1</t>
  </si>
  <si>
    <t>Zillergruendel</t>
  </si>
  <si>
    <t>http://www.verbund.com/pp/de/pumpspeicherkraftwerk/haeusling</t>
  </si>
  <si>
    <t>https://en.wikipedia.org/wiki/Zillergr%C3%BCndl_Dam</t>
  </si>
  <si>
    <t>Country</t>
  </si>
  <si>
    <t>Francis</t>
  </si>
  <si>
    <t>https://www.engie-electrabel.be/assets/be/corporate/documents/12018_Coo_Folder_NL_LR.pdf</t>
  </si>
  <si>
    <t>Pelton</t>
  </si>
  <si>
    <t>Chaira</t>
  </si>
  <si>
    <t>Belmeken</t>
  </si>
  <si>
    <t>http://carma.org/plant/detail/7793</t>
  </si>
  <si>
    <t>https://en.wikipedia.org/wiki/Chaira_Hydro_Power_Plant</t>
  </si>
  <si>
    <t>Belmeken-Sestrimo-Chaira</t>
  </si>
  <si>
    <t>Coo-Trois-Ponts</t>
  </si>
  <si>
    <t>https://en.wikipedia.org/wiki/Coo-Trois-Ponts_Hydroelectric_Power_Station</t>
  </si>
  <si>
    <t>Zakučac Hydroelectric Power Plant</t>
  </si>
  <si>
    <t>Dlouhé Stráně Hydro Power Plant</t>
  </si>
  <si>
    <t>Loučná nad Desnou</t>
  </si>
  <si>
    <t>50.084298°N 17.1810293°E</t>
  </si>
  <si>
    <t>pumped-storage</t>
  </si>
  <si>
    <t>ČEZ</t>
  </si>
  <si>
    <t>Dalešice Hydro Power Plant</t>
  </si>
  <si>
    <t>Kramolín</t>
  </si>
  <si>
    <t>49.1242473°N 16.1243677°E</t>
  </si>
  <si>
    <t>Station</t>
  </si>
  <si>
    <t>Location</t>
  </si>
  <si>
    <t>Coordinates</t>
  </si>
  <si>
    <t>type</t>
  </si>
  <si>
    <t>Capacity (MW)</t>
  </si>
  <si>
    <t>Status</t>
  </si>
  <si>
    <t>Electrabel</t>
  </si>
  <si>
    <t>Coo-Trois-Ponts Hydroelectric Power Station</t>
  </si>
  <si>
    <t>Stavelot</t>
  </si>
  <si>
    <t>50°23′12″N 5°51′26″E</t>
  </si>
  <si>
    <t>Pumped storage</t>
  </si>
  <si>
    <t>Operational</t>
  </si>
  <si>
    <t>Lampiris</t>
  </si>
  <si>
    <t>Plate Taille</t>
  </si>
  <si>
    <t>Lake Eau d'Heure</t>
  </si>
  <si>
    <t>50°11′19″N 4°23′11″E</t>
  </si>
  <si>
    <t>Bévercé</t>
  </si>
  <si>
    <t>Malmedy</t>
  </si>
  <si>
    <t>50°26′20″N 6°02′20″E</t>
  </si>
  <si>
    <t>classical</t>
  </si>
  <si>
    <t>Bütgenbach</t>
  </si>
  <si>
    <t>50°26′10″N 6°12′37″E</t>
  </si>
  <si>
    <t>Heid-de-Goreux</t>
  </si>
  <si>
    <t>Aywaille</t>
  </si>
  <si>
    <t>50°27′22″N 5°43′04″E</t>
  </si>
  <si>
    <t>La-Vierre</t>
  </si>
  <si>
    <t>Chiny</t>
  </si>
  <si>
    <t>49°43′59″N 5°22′37″E</t>
  </si>
  <si>
    <t>EDF Luminus</t>
  </si>
  <si>
    <t>Ampsin-Neuville</t>
  </si>
  <si>
    <t>Amay</t>
  </si>
  <si>
    <t>50°32′03″N 5°17′48″E</t>
  </si>
  <si>
    <t>Ivoz-Ramet</t>
  </si>
  <si>
    <t>Liège</t>
  </si>
  <si>
    <t>50°35′35″N 5°27′41″E</t>
  </si>
  <si>
    <t>Andenne</t>
  </si>
  <si>
    <t>50°29′31″N 5°04′12″E</t>
  </si>
  <si>
    <t>Monsin</t>
  </si>
  <si>
    <t>50°39′11″N 5°37′53″E</t>
  </si>
  <si>
    <t>Lixhe</t>
  </si>
  <si>
    <t>Visé</t>
  </si>
  <si>
    <t>50°45′06″N 5°41′16″E</t>
  </si>
  <si>
    <t>Floriffoux</t>
  </si>
  <si>
    <t>Namur</t>
  </si>
  <si>
    <t>50°26′48″N 4°46′25″E</t>
  </si>
  <si>
    <t>Grands-Malades</t>
  </si>
  <si>
    <t>50°27′57″N 4°53′58″E</t>
  </si>
  <si>
    <t>Operationa</t>
  </si>
  <si>
    <t>Aleko Hydro Power Plant</t>
  </si>
  <si>
    <t>Aleko Konstantinovo</t>
  </si>
  <si>
    <t>42.1194263°N 24.2889798°E</t>
  </si>
  <si>
    <t>Batak Hydro Power Plant</t>
  </si>
  <si>
    <t>Batak</t>
  </si>
  <si>
    <t>42.020685°N 24.201529°E</t>
  </si>
  <si>
    <t>Belmeken Hydro Power Plant</t>
  </si>
  <si>
    <t>Sestrimo</t>
  </si>
  <si>
    <t>42.1995137°N 23.8579917°E</t>
  </si>
  <si>
    <t>Chaira Hydro Power Plant</t>
  </si>
  <si>
    <t>42.1589498°N 23.8708448°E</t>
  </si>
  <si>
    <t>Devin Hydro Power Plant</t>
  </si>
  <si>
    <t>Devin</t>
  </si>
  <si>
    <t>41.7201526°N 24.424957°E</t>
  </si>
  <si>
    <t>Gorna Arda Hydro Power Plant</t>
  </si>
  <si>
    <t>Under Construction</t>
  </si>
  <si>
    <t>Ivailovgrad Hydroelectric Power Station</t>
  </si>
  <si>
    <t>Lambuh</t>
  </si>
  <si>
    <t>41.5837352°N 26.1074424°E</t>
  </si>
  <si>
    <t>Kardzhali Hydroelectric Power Station</t>
  </si>
  <si>
    <t>Kardzhali</t>
  </si>
  <si>
    <t>41.6334391°N 25.339998°E</t>
  </si>
  <si>
    <t>Krichim Hydro Power Plant</t>
  </si>
  <si>
    <t>Krichim</t>
  </si>
  <si>
    <t>41.9917775°N 24.4680333°E</t>
  </si>
  <si>
    <t>Momina Klisura Hydroelectric Power Station</t>
  </si>
  <si>
    <t>Momina Klisura</t>
  </si>
  <si>
    <t>42.231944°N 23.949444°E</t>
  </si>
  <si>
    <t>Orphey Hydroelectric Power Station</t>
  </si>
  <si>
    <t>Osikovo</t>
  </si>
  <si>
    <t>41.9403077°N 24.4467902°E</t>
  </si>
  <si>
    <t>Peshtera Hydroelectric Power Station</t>
  </si>
  <si>
    <t>Peshtera</t>
  </si>
  <si>
    <t>42.016325°N 24.2617822°E</t>
  </si>
  <si>
    <t>Studen Kladenets Hydroelectric Power Station</t>
  </si>
  <si>
    <t>Studen Kladenets</t>
  </si>
  <si>
    <t>41.6194768°N 25.6414569°E</t>
  </si>
  <si>
    <t>Sestrimo Hydro Power Plant</t>
  </si>
  <si>
    <t>42.2083672°N 23.9158201°E</t>
  </si>
  <si>
    <t>Teshel Hydro Power Plant</t>
  </si>
  <si>
    <t>Gyovren</t>
  </si>
  <si>
    <t>41.6637673°N 24.3409181°E</t>
  </si>
  <si>
    <t>Tsankov Kamak Hydro Power Plant</t>
  </si>
  <si>
    <t>Mihalkovo</t>
  </si>
  <si>
    <t>41.8221821°N 24.4420481°E</t>
  </si>
  <si>
    <t>Under construction</t>
  </si>
  <si>
    <t>Vacha Hydro Power Plant I &amp; II</t>
  </si>
  <si>
    <t> ?</t>
  </si>
  <si>
    <t>Dubrovnik Hydroelectric Power Plant</t>
  </si>
  <si>
    <t>Dubrovnik</t>
  </si>
  <si>
    <t>Lepenica</t>
  </si>
  <si>
    <t>Velebit</t>
  </si>
  <si>
    <t>Senj Hydroelectric Power Plant</t>
  </si>
  <si>
    <t>Senj</t>
  </si>
  <si>
    <t>Vinodol Hydroelectric Power Plant</t>
  </si>
  <si>
    <t>Vinodol</t>
  </si>
  <si>
    <t>Zakučac</t>
  </si>
  <si>
    <t>Orlík Hydro Power Plant</t>
  </si>
  <si>
    <t>Solenice</t>
  </si>
  <si>
    <t>49.6068444°N 14.1812253°E</t>
  </si>
  <si>
    <t>conventional</t>
  </si>
  <si>
    <t>Slapy Hydro Power Plant</t>
  </si>
  <si>
    <t>Štěchovice</t>
  </si>
  <si>
    <t>49.8235461°N 14.4345009°E</t>
  </si>
  <si>
    <t>Lipno Hydro Power Plant</t>
  </si>
  <si>
    <t>Lipno nad Vltavou</t>
  </si>
  <si>
    <t>48.6329937°N 14.2399335°E</t>
  </si>
  <si>
    <t>Kamýk nad Vltavou</t>
  </si>
  <si>
    <t>Štěchovice Hydro Power Plant</t>
  </si>
  <si>
    <t>Ústí nad Labem</t>
  </si>
  <si>
    <t>run-of-the-river</t>
  </si>
  <si>
    <t>Vranov Hydro Power Plant</t>
  </si>
  <si>
    <t>Vranov nad Dyjí</t>
  </si>
  <si>
    <t>E.ON Trend</t>
  </si>
  <si>
    <t>Imatra Dam</t>
  </si>
  <si>
    <t>Imatra</t>
  </si>
  <si>
    <t>61.1667966°N 28.7746954°E</t>
  </si>
  <si>
    <t>Petäjäskoski Dam</t>
  </si>
  <si>
    <t>Rovaniemi</t>
  </si>
  <si>
    <t>66.27164°N 25.339816°E</t>
  </si>
  <si>
    <t>Taivalkoski Dam</t>
  </si>
  <si>
    <t>Keminmaa</t>
  </si>
  <si>
    <t>65.932788°N 24.70600°E</t>
  </si>
  <si>
    <t>Grand'Maison Dam</t>
  </si>
  <si>
    <t>Isère</t>
  </si>
  <si>
    <t>Charmes Dam</t>
  </si>
  <si>
    <t>Beauchastel</t>
  </si>
  <si>
    <t>44.823757°N 4.811239°E</t>
  </si>
  <si>
    <t>Bort-les-Orgues Dam</t>
  </si>
  <si>
    <t>Bort-les-Orgues</t>
  </si>
  <si>
    <t>45.413289°N 2.497512°E</t>
  </si>
  <si>
    <t>La Roche de Glun Dam</t>
  </si>
  <si>
    <t>Bourg lès Valence</t>
  </si>
  <si>
    <t>45.010397°N 4.839448°E</t>
  </si>
  <si>
    <t>Caderousse dam</t>
  </si>
  <si>
    <t>Caderousse</t>
  </si>
  <si>
    <t>44.095934°N 4.723075°E</t>
  </si>
  <si>
    <t>Chastang Dam</t>
  </si>
  <si>
    <t>Belvedere</t>
  </si>
  <si>
    <t>45.151825°N 2.010005°E</t>
  </si>
  <si>
    <t>Rochemaure Dam</t>
  </si>
  <si>
    <t>Chateauneuf du Rhône</t>
  </si>
  <si>
    <t>44.592568°N 4.726374°E</t>
  </si>
  <si>
    <t>Donzère-Mondragon (Bollène) dam</t>
  </si>
  <si>
    <t>Saint-Pierre de Senos</t>
  </si>
  <si>
    <t>44.303735°N 4.742425°E</t>
  </si>
  <si>
    <t>Eguzon dam</t>
  </si>
  <si>
    <t>Éguzon-Chantôme</t>
  </si>
  <si>
    <t>46.454778°N 1.612759°E</t>
  </si>
  <si>
    <t>Génissiat Dam</t>
  </si>
  <si>
    <t>Génissiat</t>
  </si>
  <si>
    <t>46.052714°N 5.812862°E</t>
  </si>
  <si>
    <t>l'Aigle Dam</t>
  </si>
  <si>
    <t>Aynes</t>
  </si>
  <si>
    <t>45.243727°N 2.224817°E</t>
  </si>
  <si>
    <t>Marèges Dam</t>
  </si>
  <si>
    <t>Marèges</t>
  </si>
  <si>
    <t>45.391798°N 2.364335°E</t>
  </si>
  <si>
    <t>Monteynard Power Station</t>
  </si>
  <si>
    <t>La Motte Saint Martin</t>
  </si>
  <si>
    <t>44.961181°N 5.688751°E</t>
  </si>
  <si>
    <t>Pouget Power Station</t>
  </si>
  <si>
    <t>Mas Audran</t>
  </si>
  <si>
    <t>43.656035°N 3.401803°E</t>
  </si>
  <si>
    <t>La Bâthie Power Station</t>
  </si>
  <si>
    <t>Boudin</t>
  </si>
  <si>
    <t>45.685437°N 6.622497°E</t>
  </si>
  <si>
    <t>Sarrans dam</t>
  </si>
  <si>
    <t>Sarrans</t>
  </si>
  <si>
    <t>44.829479°N 2.740515°E</t>
  </si>
  <si>
    <t>Saulce sur Rhône (Loriol Le Pouzin Dam)</t>
  </si>
  <si>
    <t>Le Pouzin</t>
  </si>
  <si>
    <t>44.737391°N 4.763410°E</t>
  </si>
  <si>
    <t>Serre-Ponçon Power Station</t>
  </si>
  <si>
    <t>Rousset</t>
  </si>
  <si>
    <t>44.471644°N 6.270618°E</t>
  </si>
  <si>
    <t>Tignes Dam (Brevieres/Malgovert)</t>
  </si>
  <si>
    <t>Tignes</t>
  </si>
  <si>
    <t>45.494815°N 6.932142°E</t>
  </si>
  <si>
    <t>Vallorcine Power Station (Emosson Dam)</t>
  </si>
  <si>
    <t>Vallorcine</t>
  </si>
  <si>
    <t>46°04′03″N 6°55′56″E</t>
  </si>
  <si>
    <t>Vogelgrun Power Station</t>
  </si>
  <si>
    <t>Vogelgrun</t>
  </si>
  <si>
    <t>48.020257°N 7.573829°E</t>
  </si>
  <si>
    <t>Vouglans Dam</t>
  </si>
  <si>
    <t>Vouglans</t>
  </si>
  <si>
    <t>46.397417°N 5.665560°E</t>
  </si>
  <si>
    <t>Revin Pumped Storage Power Plant</t>
  </si>
  <si>
    <t>Revin</t>
  </si>
  <si>
    <t>49.925556°N 4.613333°E</t>
  </si>
  <si>
    <t>Bad Abbach Power Station</t>
  </si>
  <si>
    <t>Bad Abbach</t>
  </si>
  <si>
    <t>48.94638809°N 12.01305556°E</t>
  </si>
  <si>
    <t>Aufkirchen Power Station</t>
  </si>
  <si>
    <t>Aufkirchen</t>
  </si>
  <si>
    <t>48.3052492°N 11.8577135°E</t>
  </si>
  <si>
    <t>Bad Säckingen Power Station</t>
  </si>
  <si>
    <t>Bad Säckingen</t>
  </si>
  <si>
    <t>47.5577658°N 7.956714°E</t>
  </si>
  <si>
    <t>Bergheim Power Station</t>
  </si>
  <si>
    <t>48.7507492°N 11.2729812°E</t>
  </si>
  <si>
    <t>Bertoldsheim Power Station</t>
  </si>
  <si>
    <t>Rennertshofen</t>
  </si>
  <si>
    <t>48.735722°N 11.0208321°E</t>
  </si>
  <si>
    <t>Bettenberg Power Station</t>
  </si>
  <si>
    <t>Nagold</t>
  </si>
  <si>
    <t>48.600881°N 8.73715°E</t>
  </si>
  <si>
    <t>Bittenbrunn Power Station</t>
  </si>
  <si>
    <t>Bittenbrunn</t>
  </si>
  <si>
    <t>48.7344448°N 11.1436504°E</t>
  </si>
  <si>
    <t>Dettingen Power Station</t>
  </si>
  <si>
    <t>Dettingen</t>
  </si>
  <si>
    <t>48.112167°N 10.133225°E</t>
  </si>
  <si>
    <t>Eitting Power Station</t>
  </si>
  <si>
    <t>Eitting</t>
  </si>
  <si>
    <t>48.3589581°N 11.8827975°E</t>
  </si>
  <si>
    <t>Fankel Power Station</t>
  </si>
  <si>
    <t>Fankel</t>
  </si>
  <si>
    <t>50.124044°N 7.227222°E</t>
  </si>
  <si>
    <t>Forggensee Dam</t>
  </si>
  <si>
    <t>Rosshaupten</t>
  </si>
  <si>
    <t>47.6542518°N 10.7497251°E</t>
  </si>
  <si>
    <t>Iffezheim Power Station</t>
  </si>
  <si>
    <t>Iffezheim</t>
  </si>
  <si>
    <t>48.8327607°N 8.1104851°E</t>
  </si>
  <si>
    <t>Ingolstadt Hydroelectric Power Station</t>
  </si>
  <si>
    <t>Ingolstadt</t>
  </si>
  <si>
    <t>48.7503672°N 11.4119518°E</t>
  </si>
  <si>
    <t>Kachlet Power Station</t>
  </si>
  <si>
    <t>Passau</t>
  </si>
  <si>
    <t>48.5791554°N 13.4073865°E</t>
  </si>
  <si>
    <t>Koblenz Power Station</t>
  </si>
  <si>
    <t>Koblenz</t>
  </si>
  <si>
    <t>50.365783°N 7.581553°E</t>
  </si>
  <si>
    <t>Laufenburg Power Station</t>
  </si>
  <si>
    <t>Laufenburg</t>
  </si>
  <si>
    <t>47.5566146°N 8.0480593°E</t>
  </si>
  <si>
    <t>Möhne Dam</t>
  </si>
  <si>
    <t>Günne</t>
  </si>
  <si>
    <t>51.4896339°N 8.0589706°E</t>
  </si>
  <si>
    <t>Mühlhausen Power Station</t>
  </si>
  <si>
    <t>Mühlacker</t>
  </si>
  <si>
    <t>48.933664°N 8.90195°E</t>
  </si>
  <si>
    <t>Pfrombach Power Station</t>
  </si>
  <si>
    <t>Pfrombach</t>
  </si>
  <si>
    <t>48.4413727°N 11.9928968°E</t>
  </si>
  <si>
    <t>Rheinfelden Power Station</t>
  </si>
  <si>
    <t>Rheinfelden</t>
  </si>
  <si>
    <t>47.5700403°N 7.8126848°E</t>
  </si>
  <si>
    <t>Ryburg-Schwörstadt Power Station</t>
  </si>
  <si>
    <t>Schwörstadt</t>
  </si>
  <si>
    <t>47.5868403°N 7.8338555°E</t>
  </si>
  <si>
    <t>Serrig Power Station</t>
  </si>
  <si>
    <t>Serrig</t>
  </si>
  <si>
    <t>49.566669°N 6.592558°E</t>
  </si>
  <si>
    <t>Walchensee Hydroelectric Power Station</t>
  </si>
  <si>
    <t>Kochel am See</t>
  </si>
  <si>
    <t>47.6298189°N 11.3374454°E</t>
  </si>
  <si>
    <t>Wendefurth Power Station</t>
  </si>
  <si>
    <t>Wendefurth</t>
  </si>
  <si>
    <t>51.7390417°N 10.9071493°E</t>
  </si>
  <si>
    <t>Wyhlen Dam</t>
  </si>
  <si>
    <t>Grenzach-Wyhlen</t>
  </si>
  <si>
    <t>47.5389195°N 7.7076817°E</t>
  </si>
  <si>
    <t>Schärding-Neuhaus Power Station</t>
  </si>
  <si>
    <t>Neuhaus am Inn</t>
  </si>
  <si>
    <t>48.4354009°N 13.4388113°E</t>
  </si>
  <si>
    <t>Sylvenstein Dam</t>
  </si>
  <si>
    <t>Langleger</t>
  </si>
  <si>
    <t>47.5863428°N 11.549651°E</t>
  </si>
  <si>
    <t>Söse Dam</t>
  </si>
  <si>
    <t>Osterode am Harz</t>
  </si>
  <si>
    <t>51.7386962°N 10.310626°E</t>
  </si>
  <si>
    <t>Albbecken Pumped Storage Station ( Witznau Pumped Storage Station)</t>
  </si>
  <si>
    <t>Witznau</t>
  </si>
  <si>
    <t>47.6878681°N 8.2514513°E</t>
  </si>
  <si>
    <t>Bleiloch Pumped Storage Station</t>
  </si>
  <si>
    <t>Remptendorf</t>
  </si>
  <si>
    <t>50.5252824°N 11.7150521°E</t>
  </si>
  <si>
    <t>Dhron Valley Dam</t>
  </si>
  <si>
    <t>Heidenburg</t>
  </si>
  <si>
    <t>49.796274°N 6.8985558°E</t>
  </si>
  <si>
    <t>Since 1995 no pump operation</t>
  </si>
  <si>
    <t>Erzhausen Pumped Storage Station</t>
  </si>
  <si>
    <t>Erzhausen</t>
  </si>
  <si>
    <t>51.8986677°N 9.9248707°E</t>
  </si>
  <si>
    <t>Geesthacht Pumped Storage Station</t>
  </si>
  <si>
    <t>Geesthacht</t>
  </si>
  <si>
    <t>53.4191238°N 10.3936458°E</t>
  </si>
  <si>
    <t>Glems Pumped Storage Station</t>
  </si>
  <si>
    <t>Glems</t>
  </si>
  <si>
    <t>48.5051789°N 9.2872453°E</t>
  </si>
  <si>
    <t>Goldisthal Pumped Storage Station</t>
  </si>
  <si>
    <t>Goldisthal</t>
  </si>
  <si>
    <t>50.5080843°N 11.0044706°E</t>
  </si>
  <si>
    <t>Happurg Pumped Storage Station</t>
  </si>
  <si>
    <t>Happurg</t>
  </si>
  <si>
    <t>49.4870295°N 11.4747262°E</t>
  </si>
  <si>
    <t>Häusern Pumped Storage Station</t>
  </si>
  <si>
    <t>Häusern</t>
  </si>
  <si>
    <t>47.7553855°N 8.1883067°E</t>
  </si>
  <si>
    <t>Hohenwarte II Pumped Storage Station</t>
  </si>
  <si>
    <t>Hohenwarte</t>
  </si>
  <si>
    <t>50.6040914°N 11.4749408°E</t>
  </si>
  <si>
    <t>Hotzenwald Pumped Storage Station</t>
  </si>
  <si>
    <t>Wehr</t>
  </si>
  <si>
    <t>47.6523655°N 7.9256701°E</t>
  </si>
  <si>
    <t>Koepchenwerk Pumped Storage Station</t>
  </si>
  <si>
    <t>Herdecke</t>
  </si>
  <si>
    <t>51.411363°N 7.4541378°E</t>
  </si>
  <si>
    <t>Langenprozelten Pumped Storage Station</t>
  </si>
  <si>
    <t>Langenprozelten</t>
  </si>
  <si>
    <t>50.0531314°N 9.5813522°E</t>
  </si>
  <si>
    <t>Leitzach Pumped Storage Station</t>
  </si>
  <si>
    <t>Vagen</t>
  </si>
  <si>
    <t>47.8740619°N 11.8701214°E</t>
  </si>
  <si>
    <t>Markersbach Pumped Storage Station</t>
  </si>
  <si>
    <t>Markersbach</t>
  </si>
  <si>
    <t>50.5175266°N 12.8806436°E</t>
  </si>
  <si>
    <t>Mittweida Pumped Storage Station</t>
  </si>
  <si>
    <t>Mittweida</t>
  </si>
  <si>
    <t>50.9895028°N 13.0066431°E</t>
  </si>
  <si>
    <t>Defunct</t>
  </si>
  <si>
    <t>Niederwartha Pumped Storage Station</t>
  </si>
  <si>
    <t>Niederwartha</t>
  </si>
  <si>
    <t>51.0913301°N 13.6100435°E</t>
  </si>
  <si>
    <t>Oder Valley Dam</t>
  </si>
  <si>
    <t>Bad Lauterberg</t>
  </si>
  <si>
    <t>51.6460663°N 10.5031013°E</t>
  </si>
  <si>
    <t>Ortenberg-Lissberg Pumped Storage Station</t>
  </si>
  <si>
    <t>Ortenberg</t>
  </si>
  <si>
    <t>50.3763118°N 9.092592°E</t>
  </si>
  <si>
    <t>Reisach Pumped Storage Station</t>
  </si>
  <si>
    <t>Reisach</t>
  </si>
  <si>
    <t>49.530104°N 12.2845924°E</t>
  </si>
  <si>
    <t>Rönkhausen Pumped Storage Station</t>
  </si>
  <si>
    <t>Rönkhausen-Glinge</t>
  </si>
  <si>
    <t>51.2247664°N 7.9933155°E</t>
  </si>
  <si>
    <t>Rudolf-Fettweis-Power Plant</t>
  </si>
  <si>
    <t>Forbach</t>
  </si>
  <si>
    <t>48.6685328°N 8.3530855°E</t>
  </si>
  <si>
    <t>Rusel Power Plant</t>
  </si>
  <si>
    <t>Deggendorf-Mietraching</t>
  </si>
  <si>
    <t>48.8592093°N 13.0070293°E</t>
  </si>
  <si>
    <t>Säckingen Pumped Storage Station</t>
  </si>
  <si>
    <t>47.5656065°N 7.9536295°E</t>
  </si>
  <si>
    <t>Tanzmühle Pumped Storage Station</t>
  </si>
  <si>
    <t>Döllnitz</t>
  </si>
  <si>
    <t>49.5521595°N 12.281127°E</t>
  </si>
  <si>
    <t>Waldeck I Pumped Storage Station</t>
  </si>
  <si>
    <t>Hemfurth-Edersee</t>
  </si>
  <si>
    <t>51.1661452°N 9.0463078°E</t>
  </si>
  <si>
    <t>Waldeck II Pumped Storage Station</t>
  </si>
  <si>
    <t>51.1665488°N 9.0465868°E</t>
  </si>
  <si>
    <t>Waldshut Pumped Storage Station</t>
  </si>
  <si>
    <t>Waldshut</t>
  </si>
  <si>
    <t>47.6176199°N 8.192625°E</t>
  </si>
  <si>
    <t>Warmutsgund Pumped Storage Station</t>
  </si>
  <si>
    <t>Obersdorf</t>
  </si>
  <si>
    <t>47.3495674°N 10.2657473°E</t>
  </si>
  <si>
    <t>Wendefurth Pumped Storage Station</t>
  </si>
  <si>
    <t>51.7390151°N 10.9072566°E</t>
  </si>
  <si>
    <t>Wisenta Pumped Storage Station</t>
  </si>
  <si>
    <t>Crispendorf</t>
  </si>
  <si>
    <t>50.5763182°N 11.7171872°E</t>
  </si>
  <si>
    <t>Kastraki Dam</t>
  </si>
  <si>
    <t>Kastraki</t>
  </si>
  <si>
    <t>38°44′30.69″N 21°21′51.05″E</t>
  </si>
  <si>
    <t>Kremasta Dam</t>
  </si>
  <si>
    <t>Kremasta Sykias</t>
  </si>
  <si>
    <t>38.8839511°N 21.4937961°E</t>
  </si>
  <si>
    <t>Ladon Dam</t>
  </si>
  <si>
    <t>Arcadia</t>
  </si>
  <si>
    <t>37.7577°N 21.9716°E</t>
  </si>
  <si>
    <t>Plastiras Dam</t>
  </si>
  <si>
    <t>Karditsa</t>
  </si>
  <si>
    <t>39.235556°N 21.746389°E</t>
  </si>
  <si>
    <t>Stratos Dam</t>
  </si>
  <si>
    <t>Stratos</t>
  </si>
  <si>
    <t>38.6758027°N 21.3258898°E</t>
  </si>
  <si>
    <t>Thisavros Dam</t>
  </si>
  <si>
    <t>Drama</t>
  </si>
  <si>
    <t>41.354444°N 24.366944°E</t>
  </si>
  <si>
    <t>Anarget</t>
  </si>
  <si>
    <t>County Donegal</t>
  </si>
  <si>
    <t>Ashgrove</t>
  </si>
  <si>
    <t>County Kerry</t>
  </si>
  <si>
    <t>Ardnacrusha</t>
  </si>
  <si>
    <t>County Clare</t>
  </si>
  <si>
    <t>Ballisodare</t>
  </si>
  <si>
    <t>County Sligo</t>
  </si>
  <si>
    <t>Belmont</t>
  </si>
  <si>
    <t>County Offaly</t>
  </si>
  <si>
    <t>Bennetsbridge</t>
  </si>
  <si>
    <t>County Kilkenny</t>
  </si>
  <si>
    <t>Boyle</t>
  </si>
  <si>
    <t>County Roscommon</t>
  </si>
  <si>
    <t>Carrigadrohid</t>
  </si>
  <si>
    <t>County Cork</t>
  </si>
  <si>
    <t>[4]</t>
  </si>
  <si>
    <t>Castlegrace</t>
  </si>
  <si>
    <t>County Tipperary</t>
  </si>
  <si>
    <t>Cathaleens Falls</t>
  </si>
  <si>
    <t>Celbridge</t>
  </si>
  <si>
    <t>County Kildare</t>
  </si>
  <si>
    <t>Cliff</t>
  </si>
  <si>
    <t>Collooney</t>
  </si>
  <si>
    <t>Cottoners</t>
  </si>
  <si>
    <t>Edergole</t>
  </si>
  <si>
    <t>Glenlough</t>
  </si>
  <si>
    <t>Holy Cross</t>
  </si>
  <si>
    <t>Inch Mills</t>
  </si>
  <si>
    <t>Inniscarra</t>
  </si>
  <si>
    <t>Milford</t>
  </si>
  <si>
    <t>County Carlow</t>
  </si>
  <si>
    <t>Owenbeg</t>
  </si>
  <si>
    <t>Poulaphuca</t>
  </si>
  <si>
    <t>County Wicklow</t>
  </si>
  <si>
    <t>Golden Falls</t>
  </si>
  <si>
    <t>Leixlip</t>
  </si>
  <si>
    <t>Turlough Hill</t>
  </si>
  <si>
    <t>RES/RoR</t>
  </si>
  <si>
    <t>A2A</t>
  </si>
  <si>
    <t>Grosio</t>
  </si>
  <si>
    <t>Premadio</t>
  </si>
  <si>
    <t>Valdidentro</t>
  </si>
  <si>
    <t>Timpagrande</t>
  </si>
  <si>
    <t>Cotronei</t>
  </si>
  <si>
    <t>Orichella</t>
  </si>
  <si>
    <t>San Giovanni in Fiore</t>
  </si>
  <si>
    <t>CVA[1]</t>
  </si>
  <si>
    <t>Valpelline</t>
  </si>
  <si>
    <t>Edipower</t>
  </si>
  <si>
    <t>Mese</t>
  </si>
  <si>
    <t>Somplago</t>
  </si>
  <si>
    <t>Cavazzo Carnico</t>
  </si>
  <si>
    <t>Edison</t>
  </si>
  <si>
    <t>Venina</t>
  </si>
  <si>
    <t>Piateda</t>
  </si>
  <si>
    <t>Endesa Italia</t>
  </si>
  <si>
    <t>Galleto</t>
  </si>
  <si>
    <t>Terni</t>
  </si>
  <si>
    <t>Enel</t>
  </si>
  <si>
    <t>Mucone 1</t>
  </si>
  <si>
    <t>Acri</t>
  </si>
  <si>
    <t>Edolo</t>
  </si>
  <si>
    <t>46°10′15″N 10°20′52″E</t>
  </si>
  <si>
    <t>Domenico Cimarosa</t>
  </si>
  <si>
    <t>Presenzano</t>
  </si>
  <si>
    <t>41°22′53″N 14°5′25″E</t>
  </si>
  <si>
    <t>San Fiorano</t>
  </si>
  <si>
    <t>Sellero</t>
  </si>
  <si>
    <t>San Giacomo</t>
  </si>
  <si>
    <t>Fano Adriano</t>
  </si>
  <si>
    <t>Provvidenza</t>
  </si>
  <si>
    <t>L'Aquila</t>
  </si>
  <si>
    <t>Luigi Einaudi</t>
  </si>
  <si>
    <t>Entracque</t>
  </si>
  <si>
    <t>44°13′29″N 07°23′10″E</t>
  </si>
  <si>
    <t>Montorio</t>
  </si>
  <si>
    <t>Montorio al Vomano</t>
  </si>
  <si>
    <t>Roncovalgrande</t>
  </si>
  <si>
    <t>Maccagno</t>
  </si>
  <si>
    <t>46°04′10″N 8°43′55″E</t>
  </si>
  <si>
    <t>Sonico</t>
  </si>
  <si>
    <t>CVA</t>
  </si>
  <si>
    <t>Centrale di Avise</t>
  </si>
  <si>
    <t>Avise</t>
  </si>
  <si>
    <t>Centrale idroelettrica di Torrite</t>
  </si>
  <si>
    <t>Castelnuovo di Garfagnana</t>
  </si>
  <si>
    <t>Centrale di Andonno</t>
  </si>
  <si>
    <t>Roccavione</t>
  </si>
  <si>
    <t>Centrale di Mezzocorona</t>
  </si>
  <si>
    <t>Mezzocorona</t>
  </si>
  <si>
    <t>Centrale di Campore Basso</t>
  </si>
  <si>
    <t>Torino</t>
  </si>
  <si>
    <t>Centrale di Ardenno</t>
  </si>
  <si>
    <t>Sondrio</t>
  </si>
  <si>
    <t>Centrale di Pian Rocca</t>
  </si>
  <si>
    <t>Borgo a Mozzano</t>
  </si>
  <si>
    <t>Centrale idroelettrica Mucone 2</t>
  </si>
  <si>
    <t>Luzzi</t>
  </si>
  <si>
    <t>Centrale di Montjovet</t>
  </si>
  <si>
    <t>Montjovet</t>
  </si>
  <si>
    <t>Centrale di Isola Serafini</t>
  </si>
  <si>
    <t>Monticelli d'Ongina</t>
  </si>
  <si>
    <t>Centrale di Calusia</t>
  </si>
  <si>
    <t>Caccuri</t>
  </si>
  <si>
    <t>Centrale di Lovero</t>
  </si>
  <si>
    <t>Lovero</t>
  </si>
  <si>
    <t>Società Idroelettrica Medio Adige(SIMA)</t>
  </si>
  <si>
    <t>Centrale di Bussolengo</t>
  </si>
  <si>
    <t>Bussolengo</t>
  </si>
  <si>
    <t>Centrale idroelettrica Palazzo 2</t>
  </si>
  <si>
    <t>Orsomarso</t>
  </si>
  <si>
    <t>Centrale di Morasco</t>
  </si>
  <si>
    <t>Formazza</t>
  </si>
  <si>
    <t>Centrale di Pont-Saint-Martin</t>
  </si>
  <si>
    <t>Pont-Saint-Martin</t>
  </si>
  <si>
    <t>Centrale di Gallicano</t>
  </si>
  <si>
    <t>Gallicano</t>
  </si>
  <si>
    <t>Centrale di Signayes</t>
  </si>
  <si>
    <t>Aosta</t>
  </si>
  <si>
    <t>Centrale di Ponte Caffaro</t>
  </si>
  <si>
    <t>Bagolino</t>
  </si>
  <si>
    <t>Centrale di Quart</t>
  </si>
  <si>
    <t>Nus</t>
  </si>
  <si>
    <t>Centrale di Pallanzeno</t>
  </si>
  <si>
    <t>Pallanzeno</t>
  </si>
  <si>
    <t>Centrale di Magisano</t>
  </si>
  <si>
    <t>Magisano</t>
  </si>
  <si>
    <t>Centrale di Covalou</t>
  </si>
  <si>
    <t>Antey-Saint-André</t>
  </si>
  <si>
    <t>Centrale di Crego</t>
  </si>
  <si>
    <t>Crodo</t>
  </si>
  <si>
    <t>Centrale di Albi</t>
  </si>
  <si>
    <t>Albi</t>
  </si>
  <si>
    <t>Centrale di Campo Moro</t>
  </si>
  <si>
    <t>Centrale di Brossasco</t>
  </si>
  <si>
    <t>Brossasco</t>
  </si>
  <si>
    <t>Centrale di Capodiponte</t>
  </si>
  <si>
    <t>Ascoli Piceno</t>
  </si>
  <si>
    <t>Centrale di Isollaz</t>
  </si>
  <si>
    <t>Challand-Saint-Victor</t>
  </si>
  <si>
    <t>Centrale Esterle</t>
  </si>
  <si>
    <t>Cornate d'Adda - Porto d'Adda</t>
  </si>
  <si>
    <t>Centrale di Teglia</t>
  </si>
  <si>
    <t>Pontremoli</t>
  </si>
  <si>
    <t>Centrale di Stazzona</t>
  </si>
  <si>
    <t>Villa di Tirano</t>
  </si>
  <si>
    <t>Centrale di Chavonne</t>
  </si>
  <si>
    <t>Villeneuve</t>
  </si>
  <si>
    <t>Centrale di Châtillon</t>
  </si>
  <si>
    <t>Châtillon</t>
  </si>
  <si>
    <t>Centrale di Casteldelfino</t>
  </si>
  <si>
    <t>Casteldelfino</t>
  </si>
  <si>
    <t>Centrale di Champagne 2</t>
  </si>
  <si>
    <t>Centrale di Venamartello</t>
  </si>
  <si>
    <t>Acquasanta Terme</t>
  </si>
  <si>
    <t>Centrale di Zuino</t>
  </si>
  <si>
    <t>Gaby</t>
  </si>
  <si>
    <t>Centrale di Battiggio</t>
  </si>
  <si>
    <t>Bannio Anzino</t>
  </si>
  <si>
    <t>Centrale di Ligonchio</t>
  </si>
  <si>
    <t>Ligonchio</t>
  </si>
  <si>
    <t>Centrale di Quincinetto</t>
  </si>
  <si>
    <t>Quincinetto</t>
  </si>
  <si>
    <t>Centrale di Verampio</t>
  </si>
  <si>
    <t>SEL / Edison</t>
  </si>
  <si>
    <t>Prati di Vizze</t>
  </si>
  <si>
    <t>Val di Vizze</t>
  </si>
  <si>
    <t>Centrale di Castelbello</t>
  </si>
  <si>
    <t>Castelbello-Ciardes</t>
  </si>
  <si>
    <t>Centrale di Satriano 2</t>
  </si>
  <si>
    <t>Satriano</t>
  </si>
  <si>
    <t>Centrale ENEL di Castelnuovo</t>
  </si>
  <si>
    <t>Centrale di Soverzene</t>
  </si>
  <si>
    <t>Pieve di Cadore</t>
  </si>
  <si>
    <t>Centrale di Braulio</t>
  </si>
  <si>
    <t>Bormio</t>
  </si>
  <si>
    <t>Centrale di Hône 1</t>
  </si>
  <si>
    <t>Hône</t>
  </si>
  <si>
    <t>Centrale di Les Perrères</t>
  </si>
  <si>
    <t>Valtournenche</t>
  </si>
  <si>
    <t>Centrale di Satriano 1</t>
  </si>
  <si>
    <t>Centrale di Corfino</t>
  </si>
  <si>
    <t>Pieve Fosciana</t>
  </si>
  <si>
    <t>Centrale idroelettrica di Sillano 2</t>
  </si>
  <si>
    <t>Sillano</t>
  </si>
  <si>
    <t>Centrale di Fabbriche</t>
  </si>
  <si>
    <t>Vagli Sotto</t>
  </si>
  <si>
    <t>Centrale idroelettrica di Sillano 1</t>
  </si>
  <si>
    <t>Enel Green Power</t>
  </si>
  <si>
    <t>Centrale di Sillico</t>
  </si>
  <si>
    <t>Centrale di Ascoli Porta Romana</t>
  </si>
  <si>
    <t>Centrale Bertini</t>
  </si>
  <si>
    <t>Centrale di S. Damiano Macra</t>
  </si>
  <si>
    <t>S. Damiano Macra</t>
  </si>
  <si>
    <t>Centrale di Porto della Torre</t>
  </si>
  <si>
    <t>Somma Lombardo</t>
  </si>
  <si>
    <t>Centrale di Gressoney</t>
  </si>
  <si>
    <t>Gressoney-La-Trinité</t>
  </si>
  <si>
    <t>Centrale di Champagne 1</t>
  </si>
  <si>
    <t>Centrale di Hône 2</t>
  </si>
  <si>
    <t>Centrale idroelettrica Coscile 1</t>
  </si>
  <si>
    <t>San Basile</t>
  </si>
  <si>
    <t>Centrale di Fucine</t>
  </si>
  <si>
    <t>Viù</t>
  </si>
  <si>
    <t>Idroelettriche Riunite S.p.a.</t>
  </si>
  <si>
    <t>Nuova Ceretti</t>
  </si>
  <si>
    <t>Montecrestese</t>
  </si>
  <si>
    <t>Centrale di Fedio</t>
  </si>
  <si>
    <t>Demonte</t>
  </si>
  <si>
    <t>Sistemi di Energia</t>
  </si>
  <si>
    <t>Centrala Piancone</t>
  </si>
  <si>
    <t>Portula</t>
  </si>
  <si>
    <t>Štěchovice Pumped Storage Power Station (cs)</t>
  </si>
  <si>
    <t>Kamýk Hydro Power Plant (cs)</t>
  </si>
  <si>
    <t>Střekov Hydro Power Plant (cs)</t>
  </si>
  <si>
    <t>Pļaviņas Hydroelectric Power Station</t>
  </si>
  <si>
    <t>Aizkraukle</t>
  </si>
  <si>
    <t>56.5822027°N 25.2373123°E</t>
  </si>
  <si>
    <t>Riga Hydroelectric Power Plant</t>
  </si>
  <si>
    <t>Salaspils</t>
  </si>
  <si>
    <t>56.8513187°N 24.2720389°E</t>
  </si>
  <si>
    <t>Ķegums Hydroelectric Power Station</t>
  </si>
  <si>
    <t>Ķegums</t>
  </si>
  <si>
    <t>56.7406744°N 24.710784°E</t>
  </si>
  <si>
    <t>Aiviekste Hydroelectric Power Station</t>
  </si>
  <si>
    <t>Vianden</t>
  </si>
  <si>
    <t>49°57′08″N 6°10′38″E</t>
  </si>
  <si>
    <t>annual generation (GWh)</t>
  </si>
  <si>
    <t>SEO</t>
  </si>
  <si>
    <t>NUON</t>
  </si>
  <si>
    <t>Essent</t>
  </si>
  <si>
    <t>Amerongen</t>
  </si>
  <si>
    <t>Hagestein</t>
  </si>
  <si>
    <t>Alta Hydroelectric Power Station</t>
  </si>
  <si>
    <t>Alta</t>
  </si>
  <si>
    <t>69.7050116°N 23.8187027°E</t>
  </si>
  <si>
    <t>Aura Hydroelectric Power Station</t>
  </si>
  <si>
    <t>Sunndal</t>
  </si>
  <si>
    <t>Aurland Hydroelectric Power Station</t>
  </si>
  <si>
    <t>Aurland</t>
  </si>
  <si>
    <t>Brandåa Hydroelectric Power Station</t>
  </si>
  <si>
    <t>Rindal</t>
  </si>
  <si>
    <t>Bratsberg Hydroelectric Power Station</t>
  </si>
  <si>
    <t>Trondheim</t>
  </si>
  <si>
    <t>Brokke Hydroelectric Power Station</t>
  </si>
  <si>
    <t>Valle</t>
  </si>
  <si>
    <t>Byrte Hydroelectric Power Station</t>
  </si>
  <si>
    <t>Tokke</t>
  </si>
  <si>
    <t>Evanger Hydroelectric Power Station</t>
  </si>
  <si>
    <t>Voss</t>
  </si>
  <si>
    <t>Finndøla Hydroelectric Power Station</t>
  </si>
  <si>
    <t>Fyresdal</t>
  </si>
  <si>
    <t>Fortun Hydroelectric Power Station</t>
  </si>
  <si>
    <t>Luster</t>
  </si>
  <si>
    <t>Gryta Hydroelectric Power Station</t>
  </si>
  <si>
    <t>Hjartdøla Hydroelectric Power Station</t>
  </si>
  <si>
    <t>Hjartdal</t>
  </si>
  <si>
    <t>Hol I Hydroelectric Power Station</t>
  </si>
  <si>
    <t>Hol</t>
  </si>
  <si>
    <t>Holen Hydroelectric Power Station</t>
  </si>
  <si>
    <t>Bykle</t>
  </si>
  <si>
    <t>Hylen Hydroelectric Power Station</t>
  </si>
  <si>
    <t>Suldal</t>
  </si>
  <si>
    <t>Kobbelv Hydroelectric Power Station</t>
  </si>
  <si>
    <t>Sørfold</t>
  </si>
  <si>
    <t>Kvilldal Hydroelectric Power Station</t>
  </si>
  <si>
    <t>59.484444°N 6.672222°E ; 59.528889°N 6.6538889°E</t>
  </si>
  <si>
    <t>Kysinga Hydroelectric Power Station</t>
  </si>
  <si>
    <t>Lysebotn Hydroelectric Power Station</t>
  </si>
  <si>
    <t>Forsand</t>
  </si>
  <si>
    <t>Matre Hydroelectric Power Station</t>
  </si>
  <si>
    <t>Masfjorden</t>
  </si>
  <si>
    <t>Mauranger Hydroelectric Power Station</t>
  </si>
  <si>
    <t>Kvinnherad</t>
  </si>
  <si>
    <t>Mår Hydroelectric Power Station</t>
  </si>
  <si>
    <t>Tinn</t>
  </si>
  <si>
    <t>Nea Hydroelectric Power Station</t>
  </si>
  <si>
    <t>Tydal</t>
  </si>
  <si>
    <t>Nes Hydroelectric Power Station</t>
  </si>
  <si>
    <t>Nes</t>
  </si>
  <si>
    <t>Nore Hydroelectric Power Station</t>
  </si>
  <si>
    <t>Nore og Uvdal</t>
  </si>
  <si>
    <t>Nygårds Hydroelectric Power Station</t>
  </si>
  <si>
    <t>Narvik</t>
  </si>
  <si>
    <t>68.4758333°N 17.6258333°E</t>
  </si>
  <si>
    <t>Øyberget Hydroelectric Power Station</t>
  </si>
  <si>
    <t>Skjåk</t>
  </si>
  <si>
    <t>Rana Hydroelectric Power Station</t>
  </si>
  <si>
    <t>Rana</t>
  </si>
  <si>
    <t>Saurdal Hydroelectric Power Station</t>
  </si>
  <si>
    <t>Sildvik Hydroelectric Power Station</t>
  </si>
  <si>
    <t>68.4108333°N 17.8008333°E</t>
  </si>
  <si>
    <t>Sima Hydroelectric Power Station</t>
  </si>
  <si>
    <t>Eidfjord</t>
  </si>
  <si>
    <t>Svartisen Hydroelectric Power Station</t>
  </si>
  <si>
    <t>Meløy</t>
  </si>
  <si>
    <t>Svelgfoss Hydroelectric Power Station</t>
  </si>
  <si>
    <t>Notodden</t>
  </si>
  <si>
    <t>Såheim Hydroelectric Power Station</t>
  </si>
  <si>
    <t>Rjukan</t>
  </si>
  <si>
    <t>Tjodan Hydroelectric Power Station</t>
  </si>
  <si>
    <t>Tokke Hydroelectric Power Station</t>
  </si>
  <si>
    <t>Tonstad Hydroelectric Power Station</t>
  </si>
  <si>
    <t>Tonstad</t>
  </si>
  <si>
    <t>Tunnsjødal Hydroelectric Power Station</t>
  </si>
  <si>
    <t>Namsskogan</t>
  </si>
  <si>
    <t>Tyin Hydroelectric Power Station</t>
  </si>
  <si>
    <t>Årdal</t>
  </si>
  <si>
    <t>Tyssedal Hydroelectric Power Station</t>
  </si>
  <si>
    <t>Odda</t>
  </si>
  <si>
    <t>Museum</t>
  </si>
  <si>
    <t>Solhom Hydroelectric Power Station</t>
  </si>
  <si>
    <t>Kvinesdal</t>
  </si>
  <si>
    <t>Tjørhom Hydroelectric Power Station</t>
  </si>
  <si>
    <t>Sirdal</t>
  </si>
  <si>
    <t>Duge Hydroelectric Power Station</t>
  </si>
  <si>
    <t>Åna-Sira Hydroelectric Power Station</t>
  </si>
  <si>
    <t>Flekkefjord</t>
  </si>
  <si>
    <t>Kvinen Hydroelectric Power Station</t>
  </si>
  <si>
    <t>Roskrepp Hydroelectric Power Station</t>
  </si>
  <si>
    <t>Vamma Hydroelectric Power Station</t>
  </si>
  <si>
    <t>Østfold</t>
  </si>
  <si>
    <t>Vinje Hydroelectric Power Station</t>
  </si>
  <si>
    <t>Vinje</t>
  </si>
  <si>
    <t>Total cap country (MW)</t>
  </si>
  <si>
    <t>Dychów</t>
  </si>
  <si>
    <t>Lubuskie</t>
  </si>
  <si>
    <t>[37]</t>
  </si>
  <si>
    <t>Grajówka</t>
  </si>
  <si>
    <t>[38]</t>
  </si>
  <si>
    <t>Niedzica</t>
  </si>
  <si>
    <t>Małopolskie</t>
  </si>
  <si>
    <t>[39]</t>
  </si>
  <si>
    <t>Rożnów</t>
  </si>
  <si>
    <t>[40]</t>
  </si>
  <si>
    <t>Włocławek</t>
  </si>
  <si>
    <t>Kujawsko-Pomorskie</t>
  </si>
  <si>
    <t>[41]</t>
  </si>
  <si>
    <t>Ref</t>
  </si>
  <si>
    <t>Aguieira Dam</t>
  </si>
  <si>
    <t>Coimbra</t>
  </si>
  <si>
    <t>Pumped-storage</t>
  </si>
  <si>
    <t>40.340200°N 8.197000°W</t>
  </si>
  <si>
    <t>Alto Lindoso Dam</t>
  </si>
  <si>
    <t>Viana do Castelo</t>
  </si>
  <si>
    <t>41.872835°N 8.204075°W</t>
  </si>
  <si>
    <t>Alqueva Dam</t>
  </si>
  <si>
    <t>38.195562°N 7.497708°W</t>
  </si>
  <si>
    <t>Bemposta Dam</t>
  </si>
  <si>
    <t>Bragança</t>
  </si>
  <si>
    <t>Run-of-the-river</t>
  </si>
  <si>
    <t>41.300991°N 6.470025°W</t>
  </si>
  <si>
    <t>Cabril Dam</t>
  </si>
  <si>
    <t>Conventional</t>
  </si>
  <si>
    <t>39.917270°N 8.132440°W</t>
  </si>
  <si>
    <t>Carrapatelo Dam</t>
  </si>
  <si>
    <t>41.084871°N 8.130218°W</t>
  </si>
  <si>
    <t>Castelo de Bode Dam</t>
  </si>
  <si>
    <t>Santarém</t>
  </si>
  <si>
    <t>39.543772°N 8.319936°W</t>
  </si>
  <si>
    <t>Crestuma-Lever Dam</t>
  </si>
  <si>
    <t>Porto</t>
  </si>
  <si>
    <t>41.070882°N 8.485744°W</t>
  </si>
  <si>
    <t>Miranda Dam</t>
  </si>
  <si>
    <t>41.488600°N 6.265600°W</t>
  </si>
  <si>
    <t>Picote Dam</t>
  </si>
  <si>
    <t>41.378302°N 6.351589°W</t>
  </si>
  <si>
    <t>Pocinho Dam</t>
  </si>
  <si>
    <t>Guarda</t>
  </si>
  <si>
    <t>41.134103°N 7.114131°W</t>
  </si>
  <si>
    <t>Régua Dam</t>
  </si>
  <si>
    <t>Vila Real</t>
  </si>
  <si>
    <t>41.147998°N 7.739552°W</t>
  </si>
  <si>
    <t>Salamonde Dam</t>
  </si>
  <si>
    <t>Braga</t>
  </si>
  <si>
    <t>41.690886°N 8.091744°W</t>
  </si>
  <si>
    <t>Santa Luzia Dam</t>
  </si>
  <si>
    <t>40.089233°N 7.857365°W</t>
  </si>
  <si>
    <t>Valeira Dam</t>
  </si>
  <si>
    <t>Viseu</t>
  </si>
  <si>
    <t>41.160763°N 7.377368°W</t>
  </si>
  <si>
    <t>Vilarinho das Furnas Dam</t>
  </si>
  <si>
    <t>41.762177°N 8.208314°W</t>
  </si>
  <si>
    <t>Bicaz-Stejaru Hydroelectric Power Station</t>
  </si>
  <si>
    <t>Bicaz</t>
  </si>
  <si>
    <t>46.9386307°N 26.1028719°E</t>
  </si>
  <si>
    <t>Brădişor Dam</t>
  </si>
  <si>
    <t>Brădişor</t>
  </si>
  <si>
    <t>Lotru-Ciunget Hydroelectric Power Station</t>
  </si>
  <si>
    <t>Ciunget</t>
  </si>
  <si>
    <t>45.4470051°N 23.7681913°E</t>
  </si>
  <si>
    <t>Mărişelu Hydroelectric Power Station</t>
  </si>
  <si>
    <t>Mărişelu</t>
  </si>
  <si>
    <t>Oaşa Dam</t>
  </si>
  <si>
    <t>Sebeş</t>
  </si>
  <si>
    <t>Iron Gate I Hydroelectric Power Station</t>
  </si>
  <si>
    <t>Drobeta-Turnu Severin</t>
  </si>
  <si>
    <t>44.6732766°N 22.5320363°E</t>
  </si>
  <si>
    <t>[5]</t>
  </si>
  <si>
    <t>Iron Gate II Hydroelectric Power Station</t>
  </si>
  <si>
    <t>Portile de Fier II</t>
  </si>
  <si>
    <t>46.7889°N 22.5671625°E</t>
  </si>
  <si>
    <t>Remeţi Hydroelectric Power Station</t>
  </si>
  <si>
    <t>Remeţi</t>
  </si>
  <si>
    <t>44.6732766°N 22.7156°E</t>
  </si>
  <si>
    <t>[6]</t>
  </si>
  <si>
    <t>Ruieni Hydroelectric Power Station</t>
  </si>
  <si>
    <t>Turnu Ruieni</t>
  </si>
  <si>
    <t>45.4260459°N 22.475667°E</t>
  </si>
  <si>
    <t>Râul Mare Hydroelectric Power Station</t>
  </si>
  <si>
    <t>Râul Mare</t>
  </si>
  <si>
    <t>45.3376069°N 22.7201986°E</t>
  </si>
  <si>
    <t>Şugag Dam</t>
  </si>
  <si>
    <t>Şugag</t>
  </si>
  <si>
    <t>45.689244°N 23.6093831°E</t>
  </si>
  <si>
    <t>Tismana Hydroelectric Power Station</t>
  </si>
  <si>
    <t>Tismana</t>
  </si>
  <si>
    <t>45.0444035°N 22.9472423°E</t>
  </si>
  <si>
    <t>Vidraru Hydroelectric Power Station</t>
  </si>
  <si>
    <t>Arges</t>
  </si>
  <si>
    <t>45.3667°N 24.6307°E</t>
  </si>
  <si>
    <t>[7]</t>
  </si>
  <si>
    <t>Čierny Váh Hydro Power Plant</t>
  </si>
  <si>
    <t>Čierny Váh</t>
  </si>
  <si>
    <t>49.0087904°N 19.9122369°E</t>
  </si>
  <si>
    <t>Dobšiná[1]</t>
  </si>
  <si>
    <t>Dobšiná</t>
  </si>
  <si>
    <t>48.855574°N 20.3838444°E?</t>
  </si>
  <si>
    <t>Gabčíkovo – Nagymaros Dams</t>
  </si>
  <si>
    <t>Gabčíkovo</t>
  </si>
  <si>
    <t>47.8800886°N 17.5385141°E</t>
  </si>
  <si>
    <t>Liptovská Mara</t>
  </si>
  <si>
    <t>Vlachy</t>
  </si>
  <si>
    <t>49.0981217°N 19.484725°E</t>
  </si>
  <si>
    <t>Mikšová Hydro Power Plant</t>
  </si>
  <si>
    <t>Mikšová</t>
  </si>
  <si>
    <t>49.1929°N 18.5083°E</t>
  </si>
  <si>
    <t>Nosice Hydro Power Plant</t>
  </si>
  <si>
    <t>Nosice</t>
  </si>
  <si>
    <t>49.1274594°N 18.3642483°E</t>
  </si>
  <si>
    <t>Považská Bystrica Hydro Power Plant</t>
  </si>
  <si>
    <t>Považská Bystrica</t>
  </si>
  <si>
    <t>49.1331494°N 18.4537697°E</t>
  </si>
  <si>
    <t>Ružín Hydro Power Plant</t>
  </si>
  <si>
    <t>Ružín</t>
  </si>
  <si>
    <t>48.8612704°N 21.090821°E</t>
  </si>
  <si>
    <t>Fala Hydroelectric Power Plant</t>
  </si>
  <si>
    <t>Drava</t>
  </si>
  <si>
    <t>Fala, Ruše</t>
  </si>
  <si>
    <t>Dravograd Hydroelectric Power Plant</t>
  </si>
  <si>
    <t>Dravograd</t>
  </si>
  <si>
    <t>Zlatoličje Hydroelectric Power Plant</t>
  </si>
  <si>
    <t>Zlatoličje</t>
  </si>
  <si>
    <t>Formin Hydroelectric Power Plant</t>
  </si>
  <si>
    <t>Markovci</t>
  </si>
  <si>
    <t>Medvode Hydroelectric Power Plant</t>
  </si>
  <si>
    <t>Sava</t>
  </si>
  <si>
    <t>Medvode</t>
  </si>
  <si>
    <t>Doblar 1 Hydroelectric Power Plant</t>
  </si>
  <si>
    <t>Soča</t>
  </si>
  <si>
    <t>Doblar</t>
  </si>
  <si>
    <t>Plave 1 Hydroelectric Power Plant</t>
  </si>
  <si>
    <t>Plave</t>
  </si>
  <si>
    <t>Doblar 2 Hydroelectric Power Plant</t>
  </si>
  <si>
    <t>Plave 2 Hydroelectric Power Plant</t>
  </si>
  <si>
    <t>Avče Pumped Storage Plant</t>
  </si>
  <si>
    <t>Avče</t>
  </si>
  <si>
    <t>River</t>
  </si>
  <si>
    <t>year</t>
  </si>
  <si>
    <t>Alcántara Dam</t>
  </si>
  <si>
    <t>Alcántara</t>
  </si>
  <si>
    <t>39°43′47″N 6°53′06″W</t>
  </si>
  <si>
    <t>Aldeadávila Dam</t>
  </si>
  <si>
    <t>Aldeadávila de la Ribera</t>
  </si>
  <si>
    <t>41°12′41″N 6°41′13″W</t>
  </si>
  <si>
    <t xml:space="preserve"> </t>
  </si>
  <si>
    <t>Almendra Dam</t>
  </si>
  <si>
    <t>Almendra</t>
  </si>
  <si>
    <t>41°16′14″N 6°19′12″W</t>
  </si>
  <si>
    <t>Mequinenza Dam</t>
  </si>
  <si>
    <t>Mequinenza</t>
  </si>
  <si>
    <t>41°22′08″N 0°16′24″W</t>
  </si>
  <si>
    <t>Moralets-Llauset[1]</t>
  </si>
  <si>
    <t>Moralets-Llauset</t>
  </si>
  <si>
    <t>Sallente-Estany Gento[2]</t>
  </si>
  <si>
    <t>Sallente-Estany Gento</t>
  </si>
  <si>
    <t>42°30′24″N 0°59′46″E</t>
  </si>
  <si>
    <t>Talarn Dam</t>
  </si>
  <si>
    <t>Talarn</t>
  </si>
  <si>
    <t>42°10′47″N 0°54′48″E</t>
  </si>
  <si>
    <t>Älvkarleby Hydroelectric Power Station</t>
  </si>
  <si>
    <t>Älvkarleby</t>
  </si>
  <si>
    <t>60°33′50″N17°26′32″E</t>
  </si>
  <si>
    <t>2nd largest on the river</t>
  </si>
  <si>
    <t>Dal River</t>
  </si>
  <si>
    <t>Hojum Hydroelectric Power Station</t>
  </si>
  <si>
    <t>Trollhättan</t>
  </si>
  <si>
    <t>58°16′49″N12°16′43″E</t>
  </si>
  <si>
    <t>Largest in Götaland</t>
  </si>
  <si>
    <t>Göta älv</t>
  </si>
  <si>
    <t>Juktan Pumped-Storage Hydroelectric Power Station[1]</t>
  </si>
  <si>
    <t>Gunnam</t>
  </si>
  <si>
    <t>64°57′37″N17°34′47″E</t>
  </si>
  <si>
    <t>-</t>
  </si>
  <si>
    <t>Juktån</t>
  </si>
  <si>
    <t>Letten Pumped-Storage Hydroelectric Power Station</t>
  </si>
  <si>
    <t>Värmland</t>
  </si>
  <si>
    <t>60°42′38″N12°40′26″E</t>
  </si>
  <si>
    <t>PHS</t>
  </si>
  <si>
    <t>Letten</t>
  </si>
  <si>
    <t>Olidan Hydroelectric Power Station</t>
  </si>
  <si>
    <t>58°16′30″N12°16′21″E</t>
  </si>
  <si>
    <t>One of the oldest in the country</t>
  </si>
  <si>
    <t>Porjus Hydroelectric Power Station</t>
  </si>
  <si>
    <t>Porjus</t>
  </si>
  <si>
    <t>66°57′15″N19°47′46″E</t>
  </si>
  <si>
    <t>3rd largest in Sweden</t>
  </si>
  <si>
    <t>Lule River</t>
  </si>
  <si>
    <t>Harsprånget Hydroelectric power station</t>
  </si>
  <si>
    <t>Harsprånget</t>
  </si>
  <si>
    <t>66°53′06″N19°48′53″E</t>
  </si>
  <si>
    <t>Largest in Sweden</t>
  </si>
  <si>
    <t>Stornorrfors Hydroelectric power station</t>
  </si>
  <si>
    <t>Norrfors</t>
  </si>
  <si>
    <t>63°31′08″N20°21′36″E</t>
  </si>
  <si>
    <t>2nd largest in Sweden</t>
  </si>
  <si>
    <t>Ume River</t>
  </si>
  <si>
    <t>Messaure</t>
  </si>
  <si>
    <t>66°24′36″N20°12′00″E</t>
  </si>
  <si>
    <t>101 m dam</t>
  </si>
  <si>
    <t>Letsi</t>
  </si>
  <si>
    <t>First and largest in the river</t>
  </si>
  <si>
    <t>Lesser Lule River</t>
  </si>
  <si>
    <t>Kilforsen</t>
  </si>
  <si>
    <t>63°19′28″N16°27′15″E</t>
  </si>
  <si>
    <t>6th largest in Sweden</t>
  </si>
  <si>
    <t>Fjällsjö River</t>
  </si>
  <si>
    <t>Trängslet Dam</t>
  </si>
  <si>
    <t>Trängslet</t>
  </si>
  <si>
    <t>61°22′48″N13°43′48″E</t>
  </si>
  <si>
    <t>Highest dam in Sweden, 120 m</t>
  </si>
  <si>
    <t>remarks</t>
  </si>
  <si>
    <t>Baden</t>
  </si>
  <si>
    <t>47°28′13″N 8°18′40″E</t>
  </si>
  <si>
    <t>Bieudron Hydroelectric Power Station</t>
  </si>
  <si>
    <t>Bieudron</t>
  </si>
  <si>
    <t>46°11′07″N 7°14′58″E</t>
  </si>
  <si>
    <t>Chandoline Power Station</t>
  </si>
  <si>
    <t>Dietikon</t>
  </si>
  <si>
    <t>47°24′36″N 8°24′30″E</t>
  </si>
  <si>
    <t>Altendorf</t>
  </si>
  <si>
    <t>47°11′40″N 8°48′40″E</t>
  </si>
  <si>
    <t>Fionnay Power Station</t>
  </si>
  <si>
    <t>Gletsch Small Hydro</t>
  </si>
  <si>
    <t>Gletsch</t>
  </si>
  <si>
    <t>46°33′49″N 8°21′45″E</t>
  </si>
  <si>
    <t>Historic</t>
  </si>
  <si>
    <t>Guttannen</t>
  </si>
  <si>
    <t>46°34′20″N 8°19′47″E</t>
  </si>
  <si>
    <t>Grimsel 2 Hydroelectric Power Station</t>
  </si>
  <si>
    <t>46°34′23″N 8°20′16″E?</t>
  </si>
  <si>
    <t>Zurich</t>
  </si>
  <si>
    <t>47°24′07″N 8°29′13″E</t>
  </si>
  <si>
    <t>47°29′04″N 8°17′35″E</t>
  </si>
  <si>
    <t>La Bâtiaz Power Station (Emosson Dam)</t>
  </si>
  <si>
    <t>Martigny</t>
  </si>
  <si>
    <t>46°04′03″N 6°55′56″E</t>
  </si>
  <si>
    <t>47°23′15″N 8°31′56″E</t>
  </si>
  <si>
    <t>Linth–Limmern Power Stations</t>
  </si>
  <si>
    <t>Glarus</t>
  </si>
  <si>
    <t>46°51′00″N 9°0′03″E</t>
  </si>
  <si>
    <t>Mauvoisin Dam Power Stations</t>
  </si>
  <si>
    <t>Bagnes</t>
  </si>
  <si>
    <t>45°59′53″N 7°20′55″E</t>
  </si>
  <si>
    <t>Nant de Drance</t>
  </si>
  <si>
    <t>Finhaut</t>
  </si>
  <si>
    <t>46°03′49″N 6°54′40″E</t>
  </si>
  <si>
    <t>Nendaz Power Station</t>
  </si>
  <si>
    <t>Ottenbach Small Hydro</t>
  </si>
  <si>
    <t>Ottenbach</t>
  </si>
  <si>
    <t>47°16′47″N 8°23′51″E</t>
  </si>
  <si>
    <t>Historic as of 1920</t>
  </si>
  <si>
    <t>Untersiggenthal</t>
  </si>
  <si>
    <t>47°29′19″N 8°15′54″E</t>
  </si>
  <si>
    <t>Thorenberg Power Station</t>
  </si>
  <si>
    <t>Littau</t>
  </si>
  <si>
    <t>47°03′10″N 8°14′53″E</t>
  </si>
  <si>
    <t>Operational since May 1886, second in the world</t>
  </si>
  <si>
    <t>Turgi</t>
  </si>
  <si>
    <t>Verzasca Hydroelectric Power Station</t>
  </si>
  <si>
    <t>Tenero-Contra</t>
  </si>
  <si>
    <t>46°11′48″N 8°50′53″E</t>
  </si>
  <si>
    <t>Wettingen</t>
  </si>
  <si>
    <t>47°27′24″N 8°19′14″E</t>
  </si>
  <si>
    <t>UK</t>
  </si>
  <si>
    <t>Dinorwig</t>
  </si>
  <si>
    <t>PHS?</t>
  </si>
  <si>
    <t>ENGIE</t>
  </si>
  <si>
    <t>Wales</t>
  </si>
  <si>
    <t>Ffestiniog</t>
  </si>
  <si>
    <t>Magnox LTD</t>
  </si>
  <si>
    <t>Maentwrog</t>
  </si>
  <si>
    <t>Hydro</t>
  </si>
  <si>
    <t>Black rock</t>
  </si>
  <si>
    <t>Braevallich</t>
  </si>
  <si>
    <t>Carnoch</t>
  </si>
  <si>
    <t>Cwm Dyli</t>
  </si>
  <si>
    <t>Dolgarrog High head</t>
  </si>
  <si>
    <t>Dolgarrog Low head</t>
  </si>
  <si>
    <t>Douglas water</t>
  </si>
  <si>
    <t>Garrogie</t>
  </si>
  <si>
    <t>Inverbain</t>
  </si>
  <si>
    <t>Inverlael</t>
  </si>
  <si>
    <t>Kielder</t>
  </si>
  <si>
    <t>Maldie</t>
  </si>
  <si>
    <t>River E</t>
  </si>
  <si>
    <t>Scotland</t>
  </si>
  <si>
    <t>North East</t>
  </si>
  <si>
    <t>RW Innogy UK Ltd (part of RWE NPower)</t>
  </si>
  <si>
    <r>
      <t>RHE Lepenica</t>
    </r>
    <r>
      <rPr>
        <vertAlign val="superscript"/>
        <sz val="8"/>
        <rFont val="Calibri"/>
        <family val="2"/>
        <scheme val="minor"/>
      </rPr>
      <t>[2]</t>
    </r>
  </si>
  <si>
    <r>
      <t>Velebit Pumped Storage Power Plant</t>
    </r>
    <r>
      <rPr>
        <vertAlign val="superscript"/>
        <sz val="8"/>
        <rFont val="Calibri"/>
        <family val="2"/>
        <scheme val="minor"/>
      </rPr>
      <t>[3]</t>
    </r>
  </si>
  <si>
    <r>
      <t>Alphen</t>
    </r>
    <r>
      <rPr>
        <vertAlign val="superscript"/>
        <sz val="8"/>
        <rFont val="Calibri"/>
        <family val="2"/>
        <scheme val="minor"/>
      </rPr>
      <t>[2]</t>
    </r>
  </si>
  <si>
    <r>
      <t>Linne</t>
    </r>
    <r>
      <rPr>
        <vertAlign val="superscript"/>
        <sz val="8"/>
        <rFont val="Calibri"/>
        <family val="2"/>
        <scheme val="minor"/>
      </rPr>
      <t>[2]</t>
    </r>
  </si>
  <si>
    <r>
      <t>Roermond</t>
    </r>
    <r>
      <rPr>
        <vertAlign val="superscript"/>
        <sz val="8"/>
        <rFont val="Calibri"/>
        <family val="2"/>
        <scheme val="minor"/>
      </rPr>
      <t>[2]</t>
    </r>
  </si>
  <si>
    <r>
      <t>Gramsbergen</t>
    </r>
    <r>
      <rPr>
        <vertAlign val="superscript"/>
        <sz val="8"/>
        <rFont val="Calibri"/>
        <family val="2"/>
        <scheme val="minor"/>
      </rPr>
      <t>[2]</t>
    </r>
  </si>
  <si>
    <t>Évora/Beja</t>
  </si>
  <si>
    <t>Castelo Branco/Leiria</t>
  </si>
  <si>
    <t>Porto/Viseu</t>
  </si>
  <si>
    <r>
      <t>Aue Power Station</t>
    </r>
    <r>
      <rPr>
        <vertAlign val="superscript"/>
        <sz val="8"/>
        <rFont val="Calibri"/>
        <family val="2"/>
        <scheme val="minor"/>
      </rPr>
      <t>[2]</t>
    </r>
  </si>
  <si>
    <r>
      <t>Dietikon Power Station</t>
    </r>
    <r>
      <rPr>
        <vertAlign val="superscript"/>
        <sz val="8"/>
        <rFont val="Calibri"/>
        <family val="2"/>
        <scheme val="minor"/>
      </rPr>
      <t>[3]</t>
    </r>
  </si>
  <si>
    <r>
      <t>Etzelwerk Power Station</t>
    </r>
    <r>
      <rPr>
        <vertAlign val="superscript"/>
        <sz val="8"/>
        <rFont val="Calibri"/>
        <family val="2"/>
        <scheme val="minor"/>
      </rPr>
      <t>[4]</t>
    </r>
  </si>
  <si>
    <r>
      <t>Grimsel 1 Hydroelectric Power Station</t>
    </r>
    <r>
      <rPr>
        <vertAlign val="superscript"/>
        <sz val="8"/>
        <rFont val="Calibri"/>
        <family val="2"/>
        <scheme val="minor"/>
      </rPr>
      <t>[5]</t>
    </r>
  </si>
  <si>
    <r>
      <t>Höngg Power Station</t>
    </r>
    <r>
      <rPr>
        <vertAlign val="superscript"/>
        <sz val="8"/>
        <rFont val="Calibri"/>
        <family val="2"/>
        <scheme val="minor"/>
      </rPr>
      <t>[6]</t>
    </r>
  </si>
  <si>
    <r>
      <t>Kappelerhof Power Station</t>
    </r>
    <r>
      <rPr>
        <vertAlign val="superscript"/>
        <sz val="8"/>
        <rFont val="Calibri"/>
        <family val="2"/>
        <scheme val="minor"/>
      </rPr>
      <t>[2]</t>
    </r>
  </si>
  <si>
    <r>
      <t>Letten Power Station</t>
    </r>
    <r>
      <rPr>
        <vertAlign val="superscript"/>
        <sz val="8"/>
        <rFont val="Calibri"/>
        <family val="2"/>
        <scheme val="minor"/>
      </rPr>
      <t>[7]</t>
    </r>
  </si>
  <si>
    <r>
      <t>Schiffmühle Power Station</t>
    </r>
    <r>
      <rPr>
        <vertAlign val="superscript"/>
        <sz val="8"/>
        <rFont val="Calibri"/>
        <family val="2"/>
        <scheme val="minor"/>
      </rPr>
      <t>[2]</t>
    </r>
  </si>
  <si>
    <r>
      <t>Turgi Power Station</t>
    </r>
    <r>
      <rPr>
        <vertAlign val="superscript"/>
        <sz val="8"/>
        <rFont val="Calibri"/>
        <family val="2"/>
        <scheme val="minor"/>
      </rPr>
      <t>[2]</t>
    </r>
  </si>
  <si>
    <r>
      <t>Wettingen Power Station</t>
    </r>
    <r>
      <rPr>
        <vertAlign val="superscript"/>
        <sz val="8"/>
        <rFont val="Calibri"/>
        <family val="2"/>
        <scheme val="minor"/>
      </rPr>
      <t>[8]</t>
    </r>
  </si>
  <si>
    <t>Häusling (Zillergründl) Power Plant</t>
  </si>
  <si>
    <t>Mayrhofen</t>
  </si>
  <si>
    <t>47°08′46″N 11°58′02″E</t>
  </si>
  <si>
    <t>Gaschurn</t>
  </si>
  <si>
    <t>46.975278°N 10.044722°E</t>
  </si>
  <si>
    <t>Ausserfragant</t>
  </si>
  <si>
    <t>Malta-Reisseck Power Plant Group</t>
  </si>
  <si>
    <t>46°52′14″N 13°19′46″E</t>
  </si>
  <si>
    <t>Rodundwerk II Pumped-storage Hydroelectric Power Station</t>
  </si>
  <si>
    <t>Vandans</t>
  </si>
  <si>
    <t>47.0845776°N 9.8746437°E</t>
  </si>
  <si>
    <t>Kraftwerk Kaunertal</t>
  </si>
  <si>
    <t>Kaunertal</t>
  </si>
  <si>
    <t>Kraftwerk Imst Run-of-the-river Power Plant</t>
  </si>
  <si>
    <t>Imst</t>
  </si>
  <si>
    <t>Kraftwerksgruppe Sellrain-Silz</t>
  </si>
  <si>
    <t>Achenseekraftwerk</t>
  </si>
  <si>
    <t>Jenbach</t>
  </si>
  <si>
    <t>Kraftwerk Kirchbichl Run-of-the-river Power Plant</t>
  </si>
  <si>
    <t>Kirchbichl</t>
  </si>
  <si>
    <t>Kraftwerk Langkampfen Run-of-the-river Power Plant</t>
  </si>
  <si>
    <t>Langkampfen</t>
  </si>
  <si>
    <t>Kraftwerk Amlach</t>
  </si>
  <si>
    <t>Amlach</t>
  </si>
  <si>
    <t>Freudenau</t>
  </si>
  <si>
    <t>Vienna</t>
  </si>
  <si>
    <t>54°15′15.857″N2°59′25.389″W</t>
  </si>
  <si>
    <t>Backbarrow</t>
  </si>
  <si>
    <t>Small hydro</t>
  </si>
  <si>
    <t>3 Kaplan turbines</t>
  </si>
  <si>
    <t>52°55′8.043″N1°13′41.043″W</t>
  </si>
  <si>
    <t>Beeston</t>
  </si>
  <si>
    <t>UK’s largest "run-of river" hydro-electric plant</t>
  </si>
  <si>
    <t>53°1′41.579″N1°29′12.841″W</t>
  </si>
  <si>
    <t>Belper</t>
  </si>
  <si>
    <t>Bippulph</t>
  </si>
  <si>
    <t>Biddulph</t>
  </si>
  <si>
    <t>52°54′0.055″N1°22′0.031″W</t>
  </si>
  <si>
    <t>Borrowash</t>
  </si>
  <si>
    <t>54°30′20.95″N1°53′54.011″W</t>
  </si>
  <si>
    <t>Brignall</t>
  </si>
  <si>
    <t>Burton Mill</t>
  </si>
  <si>
    <t>Burton upon Trent</t>
  </si>
  <si>
    <t>52°3′27.216″N0°42′31.916″W</t>
  </si>
  <si>
    <t>Milton Keynes</t>
  </si>
  <si>
    <t>53°14′6.031″N1°9′14.024″W</t>
  </si>
  <si>
    <t>Cuckney</t>
  </si>
  <si>
    <t>St Breward</t>
  </si>
  <si>
    <t>Derwent Reservoir</t>
  </si>
  <si>
    <t>Blanchland</t>
  </si>
  <si>
    <t>Bedlington</t>
  </si>
  <si>
    <t>Northumberland</t>
  </si>
  <si>
    <t>Gants Mill</t>
  </si>
  <si>
    <t>51°6′23.2″N2°28′0.91″W</t>
  </si>
  <si>
    <t>Bruton</t>
  </si>
  <si>
    <t>Glen Lyn Gorge</t>
  </si>
  <si>
    <t>Lynmouth</t>
  </si>
  <si>
    <t>Guildford Mill</t>
  </si>
  <si>
    <t>Guilford</t>
  </si>
  <si>
    <t>Hamlyn Mill</t>
  </si>
  <si>
    <t>Swaffham</t>
  </si>
  <si>
    <t>Houghton Mill</t>
  </si>
  <si>
    <t>Houghton</t>
  </si>
  <si>
    <t>Kielder Water</t>
  </si>
  <si>
    <t>55°10′59.91″N2°30′0.003″W</t>
  </si>
  <si>
    <t>53°6′46.038″N1°33′42.004″W</t>
  </si>
  <si>
    <t>Matlock Bath</t>
  </si>
  <si>
    <t>Tellisford Mill</t>
  </si>
  <si>
    <t>51°17′54.06″N2°16′51.86″W</t>
  </si>
  <si>
    <t>Tellisford</t>
  </si>
  <si>
    <t>51°10′48.202″N0°45′0.034″W</t>
  </si>
  <si>
    <t>Guildford</t>
  </si>
  <si>
    <t>Dinorwig Power Station</t>
  </si>
  <si>
    <t>Gwynedd</t>
  </si>
  <si>
    <t>53°7′7″N 4°6′50″W</t>
  </si>
  <si>
    <t>(pumped storage)</t>
  </si>
  <si>
    <t>Dolgarrog Hydro Power Station</t>
  </si>
  <si>
    <t>Conwy (county borough)</t>
  </si>
  <si>
    <t>Ffestiniog Power Station</t>
  </si>
  <si>
    <t>52°58′51″N 3°58′8″W</t>
  </si>
  <si>
    <t>Rheidol Power Station</t>
  </si>
  <si>
    <t>Ceredigion</t>
  </si>
  <si>
    <t>52°23′46″N 3°54′00″W</t>
  </si>
  <si>
    <t>River Tawe Barrage</t>
  </si>
  <si>
    <t>Swansea</t>
  </si>
  <si>
    <t>51°36′58″N 3°55′44″W</t>
  </si>
  <si>
    <t>Cwm Dyli Hydro Power Station</t>
  </si>
  <si>
    <t>Maentwrog Hydro Power Station</t>
  </si>
  <si>
    <t>"+PHS"</t>
  </si>
  <si>
    <t>Scottish Power</t>
  </si>
  <si>
    <t>Argyll and Bute</t>
  </si>
  <si>
    <t>Foyers</t>
  </si>
  <si>
    <t>Scottish and Southern Energy</t>
  </si>
  <si>
    <t>NH503217</t>
  </si>
  <si>
    <t>Highland</t>
  </si>
  <si>
    <t>56° 23′ 40.85″ N, 5° 6′ 59.16″ W</t>
  </si>
  <si>
    <t>57° 15′ 42.64″ N, 4° 28′ 58.09″ W</t>
  </si>
  <si>
    <t>Achanalt [11]</t>
  </si>
  <si>
    <t>Conon</t>
  </si>
  <si>
    <t>NH308619</t>
  </si>
  <si>
    <t>Aigas [12]</t>
  </si>
  <si>
    <t>Affric-Beauly</t>
  </si>
  <si>
    <t>NH474436</t>
  </si>
  <si>
    <t>Allt Fionn [13]</t>
  </si>
  <si>
    <t>Osspower/Glenfalloch Estate</t>
  </si>
  <si>
    <t>NN331209</t>
  </si>
  <si>
    <t>Allt-na-Lairige [14]</t>
  </si>
  <si>
    <t>Sloy-Awe</t>
  </si>
  <si>
    <t>NN231136</t>
  </si>
  <si>
    <t>Auchtertyre [15]</t>
  </si>
  <si>
    <t>RWE npower Renewables</t>
  </si>
  <si>
    <t>NN353290</t>
  </si>
  <si>
    <t>Blantyre [16]</t>
  </si>
  <si>
    <t>NS695583</t>
  </si>
  <si>
    <t>Bonnington [17]</t>
  </si>
  <si>
    <t>Lanark</t>
  </si>
  <si>
    <t>NS884416</t>
  </si>
  <si>
    <t>Braevallich [18]</t>
  </si>
  <si>
    <t>NM958073</t>
  </si>
  <si>
    <t>Carnoch [19]</t>
  </si>
  <si>
    <t>NM847606</t>
  </si>
  <si>
    <t>Carsfad [20]</t>
  </si>
  <si>
    <t>Galloway</t>
  </si>
  <si>
    <t>NX604854</t>
  </si>
  <si>
    <t>Cashlie [21]</t>
  </si>
  <si>
    <t>Breadalbane</t>
  </si>
  <si>
    <t>NN507419</t>
  </si>
  <si>
    <t>Cassley [22]</t>
  </si>
  <si>
    <t>Shin</t>
  </si>
  <si>
    <t>NC396232</t>
  </si>
  <si>
    <t>Ceannacroc [23]</t>
  </si>
  <si>
    <t>Great Glen</t>
  </si>
  <si>
    <t>NH223108</t>
  </si>
  <si>
    <t>Chliostair [24]</t>
  </si>
  <si>
    <t>NB059091</t>
  </si>
  <si>
    <t>Clachan [14]</t>
  </si>
  <si>
    <t>NN191133</t>
  </si>
  <si>
    <t>Clunie [25]</t>
  </si>
  <si>
    <t>Tummel</t>
  </si>
  <si>
    <t>NN912597</t>
  </si>
  <si>
    <t>Cuaich [25]</t>
  </si>
  <si>
    <t>NN674876</t>
  </si>
  <si>
    <t>Cuileig [20]</t>
  </si>
  <si>
    <t>NH179767</t>
  </si>
  <si>
    <t>Culligran [12]</t>
  </si>
  <si>
    <t>NH377404</t>
  </si>
  <si>
    <t>Dalchonzie [21]</t>
  </si>
  <si>
    <t>NN740219</t>
  </si>
  <si>
    <t>Deanie [12]</t>
  </si>
  <si>
    <t>NH291387</t>
  </si>
  <si>
    <t>Douglas Water [26]</t>
  </si>
  <si>
    <t>NN054054</t>
  </si>
  <si>
    <t>Drumjohn [20]</t>
  </si>
  <si>
    <t>NX521973</t>
  </si>
  <si>
    <t>Earlstoun [20]</t>
  </si>
  <si>
    <t>NX614818</t>
  </si>
  <si>
    <t>Errochty [25]</t>
  </si>
  <si>
    <t>NN772593</t>
  </si>
  <si>
    <t>Fasnakyle [12]</t>
  </si>
  <si>
    <t>NH318295</t>
  </si>
  <si>
    <t>Finlarig [21]</t>
  </si>
  <si>
    <t>NN585345</t>
  </si>
  <si>
    <t>British Aluminium Company</t>
  </si>
  <si>
    <t>1896, closed 1971[27]</t>
  </si>
  <si>
    <t>Foyers Falls [28]</t>
  </si>
  <si>
    <t>Garrogie [29]</t>
  </si>
  <si>
    <t>NH500132</t>
  </si>
  <si>
    <t>Garry Gualach [30]</t>
  </si>
  <si>
    <t>NH170004</t>
  </si>
  <si>
    <t>Gaur [25]</t>
  </si>
  <si>
    <t>NN464569</t>
  </si>
  <si>
    <t>NB128257</t>
  </si>
  <si>
    <t>Glen Tarbert [33]</t>
  </si>
  <si>
    <t>NM865605</t>
  </si>
  <si>
    <t>Glendoe</t>
  </si>
  <si>
    <t>NH451031</t>
  </si>
  <si>
    <t>Glenlee [20]</t>
  </si>
  <si>
    <t>NX606805</t>
  </si>
  <si>
    <t>Glenmoriston [23]</t>
  </si>
  <si>
    <t>NH364156</t>
  </si>
  <si>
    <t>Grudie Bridge [11]</t>
  </si>
  <si>
    <t>NH320623</t>
  </si>
  <si>
    <t>Inverawe [14]</t>
  </si>
  <si>
    <t>NN016321</t>
  </si>
  <si>
    <t>Inverbain [34]</t>
  </si>
  <si>
    <t>NG786549</t>
  </si>
  <si>
    <t>Invergarry [23]</t>
  </si>
  <si>
    <t>NH319013</t>
  </si>
  <si>
    <t>Inverlael[35]</t>
  </si>
  <si>
    <t>NH189854</t>
  </si>
  <si>
    <t>Kendoon [20]</t>
  </si>
  <si>
    <t>NX604876</t>
  </si>
  <si>
    <t>Kerry Falls [36]</t>
  </si>
  <si>
    <t>NG829719</t>
  </si>
  <si>
    <t>Kilmelfort [14]</t>
  </si>
  <si>
    <t>NM832141</t>
  </si>
  <si>
    <t>Kilmorack [12]</t>
  </si>
  <si>
    <t>NH494442</t>
  </si>
  <si>
    <t>Kingairloch [37]</t>
  </si>
  <si>
    <t>NM836532</t>
  </si>
  <si>
    <t>Kinlochleven [38]</t>
  </si>
  <si>
    <t>Alcan</t>
  </si>
  <si>
    <t>NN191617</t>
  </si>
  <si>
    <t>Lairg [22]</t>
  </si>
  <si>
    <t>NC575069</t>
  </si>
  <si>
    <t>Lednock [21]</t>
  </si>
  <si>
    <t>NN698303</t>
  </si>
  <si>
    <t>Livishie [23]</t>
  </si>
  <si>
    <t>NH353159</t>
  </si>
  <si>
    <t>Loch Dubh [39]</t>
  </si>
  <si>
    <t>NC149012</t>
  </si>
  <si>
    <t>Loch Ericht [25]</t>
  </si>
  <si>
    <t>NN553727</t>
  </si>
  <si>
    <t>Loch Gair [14]</t>
  </si>
  <si>
    <t>NR924908</t>
  </si>
  <si>
    <t>Lochaber [40]</t>
  </si>
  <si>
    <t>Rio Tinto Alcan</t>
  </si>
  <si>
    <t>Lochaber</t>
  </si>
  <si>
    <t>NN127751</t>
  </si>
  <si>
    <t>Lochay [21]</t>
  </si>
  <si>
    <t>NN545349</t>
  </si>
  <si>
    <t>Lubreoch [21]</t>
  </si>
  <si>
    <t>NN453417</t>
  </si>
  <si>
    <t>Luichart [11]</t>
  </si>
  <si>
    <t>NH394570</t>
  </si>
  <si>
    <t>Lussa [14]</t>
  </si>
  <si>
    <t>NR735260</t>
  </si>
  <si>
    <t>Morar [41]</t>
  </si>
  <si>
    <t>NM683922</t>
  </si>
  <si>
    <t>Mossford [11]</t>
  </si>
  <si>
    <t>NH330633</t>
  </si>
  <si>
    <t>Mullardoch [12]</t>
  </si>
  <si>
    <t>NH222309</t>
  </si>
  <si>
    <t>Nant [14]</t>
  </si>
  <si>
    <t>NN015208</t>
  </si>
  <si>
    <t>Nostie Bridge [42]</t>
  </si>
  <si>
    <t>NG852272</t>
  </si>
  <si>
    <t>Orrin [11]</t>
  </si>
  <si>
    <t>NH436545</t>
  </si>
  <si>
    <t>Pitlochry [25]</t>
  </si>
  <si>
    <t>NN935577</t>
  </si>
  <si>
    <t>Quoich [23]</t>
  </si>
  <si>
    <t>NH107011</t>
  </si>
  <si>
    <t>Rannoch [25]</t>
  </si>
  <si>
    <t>NN529582</t>
  </si>
  <si>
    <t>River E [43]</t>
  </si>
  <si>
    <t>NH521164</t>
  </si>
  <si>
    <t>Shin [22]</t>
  </si>
  <si>
    <t>NH573974</t>
  </si>
  <si>
    <t>Sloy [14]</t>
  </si>
  <si>
    <t>NN320098</t>
  </si>
  <si>
    <t>Sron Mor [14]</t>
  </si>
  <si>
    <t>NN161200</t>
  </si>
  <si>
    <t>St Fillans [21]</t>
  </si>
  <si>
    <t>NN690246</t>
  </si>
  <si>
    <t>Stanley Mills [44]</t>
  </si>
  <si>
    <t>NO114328</t>
  </si>
  <si>
    <t>Stonebyres [17]</t>
  </si>
  <si>
    <t>NS850441</t>
  </si>
  <si>
    <t>Storr Lochs [45]</t>
  </si>
  <si>
    <t>NG500506</t>
  </si>
  <si>
    <t>Striven [14]</t>
  </si>
  <si>
    <t>NS056839</t>
  </si>
  <si>
    <t>Tongland [46]</t>
  </si>
  <si>
    <t>NX694535</t>
  </si>
  <si>
    <t>Torr Achilty [11]</t>
  </si>
  <si>
    <t>NH446545</t>
  </si>
  <si>
    <t>Trinafour [25]</t>
  </si>
  <si>
    <t>NN724647</t>
  </si>
  <si>
    <t>Tummel Bridge [25]</t>
  </si>
  <si>
    <t>NN763590</t>
  </si>
  <si>
    <t>total cap MW</t>
  </si>
  <si>
    <t>number with capacity matching constraint</t>
  </si>
  <si>
    <t>cap constraint (MW)</t>
  </si>
  <si>
    <t>% of total capacity covered</t>
  </si>
  <si>
    <t>Capacity constraint</t>
  </si>
  <si>
    <t>Cap covered</t>
  </si>
  <si>
    <t>ANALYSIS DISTRIBUTION INDIVDUAL CAPACITÏES</t>
  </si>
  <si>
    <t>COMPARISON TOTAL CAPACITIES PER COUNTRY LISTED VS. EXISTING DATA ENTSOE E</t>
  </si>
  <si>
    <t>COUNTRY</t>
  </si>
  <si>
    <t>LISTED CAPACITY</t>
  </si>
  <si>
    <t>DIFFERENCE</t>
  </si>
  <si>
    <t>Cyprus</t>
  </si>
  <si>
    <t>Denmark</t>
  </si>
  <si>
    <t>Estonia</t>
  </si>
  <si>
    <t>Hungary</t>
  </si>
  <si>
    <t>Lithuania</t>
  </si>
  <si>
    <t>Malta</t>
  </si>
  <si>
    <t>ENTSOE E 2014</t>
  </si>
  <si>
    <t>hydro</t>
  </si>
  <si>
    <t>Bosnia and Herzegovina</t>
  </si>
  <si>
    <t>Iceland</t>
  </si>
  <si>
    <t>Montenegro</t>
  </si>
  <si>
    <t>Macedonia</t>
  </si>
  <si>
    <t>Northern Ireland</t>
  </si>
  <si>
    <t>PERCENTAGE not included</t>
  </si>
  <si>
    <t>TOTAL</t>
  </si>
  <si>
    <t>Kaunas Hydroelectric Power Plant</t>
  </si>
  <si>
    <t>Kaunas</t>
  </si>
  <si>
    <t>54.8739893°N 23.9994836°E</t>
  </si>
  <si>
    <t>Created Kaunas Reservoir</t>
  </si>
  <si>
    <t>Kruonis Pumped Storage Plant</t>
  </si>
  <si>
    <t>Kruonis</t>
  </si>
  <si>
    <t>54.7990769°N 24.2470837°E</t>
  </si>
  <si>
    <t>4 units, 225 MW each</t>
  </si>
  <si>
    <r>
      <t>Kops II Pumped-storage Hydroelectric Power Station</t>
    </r>
    <r>
      <rPr>
        <vertAlign val="superscript"/>
        <sz val="8"/>
        <rFont val="Calibri"/>
        <family val="2"/>
        <scheme val="minor"/>
      </rPr>
      <t>[4]</t>
    </r>
  </si>
  <si>
    <r>
      <t>Cruachan Dam</t>
    </r>
    <r>
      <rPr>
        <vertAlign val="superscript"/>
        <sz val="8"/>
        <rFont val="Calibri"/>
        <family val="2"/>
        <scheme val="minor"/>
      </rPr>
      <t>[5][6]</t>
    </r>
  </si>
  <si>
    <t>Operator</t>
  </si>
  <si>
    <t>L'Eau d'Olle</t>
  </si>
  <si>
    <t>4 Pelton, 8 Francis pump turbines</t>
  </si>
  <si>
    <t>Historic capacity factor turbines [-]</t>
  </si>
  <si>
    <t>Historic capacity factor pumps [-]</t>
  </si>
  <si>
    <t>GRAND_ID</t>
  </si>
  <si>
    <t>DAM_NAME</t>
  </si>
  <si>
    <t>CAP_MCM</t>
  </si>
  <si>
    <t>AREA_SKM</t>
  </si>
  <si>
    <t>DAM_HGT_M</t>
  </si>
  <si>
    <t>DAM_LEN_M</t>
  </si>
  <si>
    <t>CATCH_SKM</t>
  </si>
  <si>
    <t>DIS_AVG_LS</t>
  </si>
  <si>
    <t>LAT_DD</t>
  </si>
  <si>
    <t>LONG_DD</t>
  </si>
  <si>
    <t>DH_OPT</t>
  </si>
  <si>
    <t>DL_OPT</t>
  </si>
  <si>
    <t>POW_MW</t>
  </si>
  <si>
    <t>AEP_KWH</t>
  </si>
  <si>
    <t>PP___KWH</t>
  </si>
  <si>
    <t>AAD_MCMS</t>
  </si>
  <si>
    <t>EL_M</t>
  </si>
  <si>
    <t>DIS_KM</t>
  </si>
  <si>
    <t>FLOW_ACC_L/s</t>
  </si>
  <si>
    <t>afwijking?</t>
  </si>
  <si>
    <t>Zillergruendl</t>
  </si>
  <si>
    <t>Gepatsch</t>
  </si>
  <si>
    <t>Schlegeis</t>
  </si>
  <si>
    <t>Limberg</t>
  </si>
  <si>
    <t>Mooser</t>
  </si>
  <si>
    <t>Feistritzbach</t>
  </si>
  <si>
    <t>Durlassboden</t>
  </si>
  <si>
    <t>Ottenstein</t>
  </si>
  <si>
    <t>Dobra</t>
  </si>
  <si>
    <t>Tauernmoossee</t>
  </si>
  <si>
    <t>Annabruecke</t>
  </si>
  <si>
    <t>Ferlach-Maria Rain</t>
  </si>
  <si>
    <t>Feistritz-Ludmannsdorf</t>
  </si>
  <si>
    <t>Altenwoerth</t>
  </si>
  <si>
    <t>Edling</t>
  </si>
  <si>
    <t>Aschach</t>
  </si>
  <si>
    <t>Ybbs-Persenbeug</t>
  </si>
  <si>
    <t>Greifenstein</t>
  </si>
  <si>
    <t>Gmunden</t>
  </si>
  <si>
    <t>Gosau</t>
  </si>
  <si>
    <t>Gilepppe</t>
  </si>
  <si>
    <t>Vesdre</t>
  </si>
  <si>
    <t>Eau d'Heure</t>
  </si>
  <si>
    <t>Butgenbach</t>
  </si>
  <si>
    <t>Antonivanovtzi</t>
  </si>
  <si>
    <t>Kardgali</t>
  </si>
  <si>
    <t>Topolnitza</t>
  </si>
  <si>
    <t>Iskar</t>
  </si>
  <si>
    <t>Ivailovgrad</t>
  </si>
  <si>
    <t>Studen Kladenetz</t>
  </si>
  <si>
    <t>Alexendre Stamboliiski</t>
  </si>
  <si>
    <t>Yovkovtzi</t>
  </si>
  <si>
    <t>Ogosta</t>
  </si>
  <si>
    <t>Hristo Smirnenski</t>
  </si>
  <si>
    <t>Jrebchevo</t>
  </si>
  <si>
    <t>Ognianovo</t>
  </si>
  <si>
    <t>Koprinka</t>
  </si>
  <si>
    <t>Trakietz</t>
  </si>
  <si>
    <t>Dushantzi</t>
  </si>
  <si>
    <t>Piasachnik</t>
  </si>
  <si>
    <t>Yastrebino</t>
  </si>
  <si>
    <t>Domlian</t>
  </si>
  <si>
    <t>Malko Sharkovo</t>
  </si>
  <si>
    <t>Garvanovo</t>
  </si>
  <si>
    <t>Gorni Dabnik</t>
  </si>
  <si>
    <t>Poletkovtzi</t>
  </si>
  <si>
    <t>Kula</t>
  </si>
  <si>
    <t>Dositeevo</t>
  </si>
  <si>
    <t>Telish</t>
  </si>
  <si>
    <t>Sopot</t>
  </si>
  <si>
    <t>Drenovetz</t>
  </si>
  <si>
    <t>Ovtcharitza</t>
  </si>
  <si>
    <t>Beli Lom</t>
  </si>
  <si>
    <t>Baniska</t>
  </si>
  <si>
    <t>Kirilovo</t>
  </si>
  <si>
    <t>Rabisha</t>
  </si>
  <si>
    <t>Rozov Kladenetz</t>
  </si>
  <si>
    <t>Dubrava</t>
  </si>
  <si>
    <t>Cakovec</t>
  </si>
  <si>
    <t>Dalesice</t>
  </si>
  <si>
    <t>Orlik</t>
  </si>
  <si>
    <t>Vir 1</t>
  </si>
  <si>
    <t>Slapy</t>
  </si>
  <si>
    <t>Slezska Harta</t>
  </si>
  <si>
    <t>Sance</t>
  </si>
  <si>
    <t>Stanovice</t>
  </si>
  <si>
    <t>Vranov</t>
  </si>
  <si>
    <t>Svihov</t>
  </si>
  <si>
    <t>Prisecnice</t>
  </si>
  <si>
    <t>Flaje</t>
  </si>
  <si>
    <t>Nechranice</t>
  </si>
  <si>
    <t>Mohelno</t>
  </si>
  <si>
    <t>Rimov</t>
  </si>
  <si>
    <t>Horka</t>
  </si>
  <si>
    <t>Opatovice</t>
  </si>
  <si>
    <t>Josefuv Dul</t>
  </si>
  <si>
    <t>Lipno 1</t>
  </si>
  <si>
    <t>Kruzberk</t>
  </si>
  <si>
    <t>Sec</t>
  </si>
  <si>
    <t>Mostiste</t>
  </si>
  <si>
    <t>Nyrsko</t>
  </si>
  <si>
    <t>Hracholusky</t>
  </si>
  <si>
    <t>Brno</t>
  </si>
  <si>
    <t>Hnevkovice</t>
  </si>
  <si>
    <t>Letovice</t>
  </si>
  <si>
    <t>Terlicko</t>
  </si>
  <si>
    <t>Zlutice</t>
  </si>
  <si>
    <t>Zermanice</t>
  </si>
  <si>
    <t>Kamyk</t>
  </si>
  <si>
    <t>Jesenice</t>
  </si>
  <si>
    <t>Rozkos</t>
  </si>
  <si>
    <t>Skalka</t>
  </si>
  <si>
    <t>Vrane</t>
  </si>
  <si>
    <t>Nove Mlyny</t>
  </si>
  <si>
    <t>Grand Maison</t>
  </si>
  <si>
    <t>Monteynard</t>
  </si>
  <si>
    <t>Roselend</t>
  </si>
  <si>
    <t>Le Chambon</t>
  </si>
  <si>
    <t>Serre Poncon</t>
  </si>
  <si>
    <t>Le Sautet</t>
  </si>
  <si>
    <t>Bort les Orgues</t>
  </si>
  <si>
    <t>Le Mont Cenis</t>
  </si>
  <si>
    <t>Laparan</t>
  </si>
  <si>
    <t>Genissiat</t>
  </si>
  <si>
    <t>Castillon</t>
  </si>
  <si>
    <t>Sainte Croix</t>
  </si>
  <si>
    <t>L'Aigle</t>
  </si>
  <si>
    <t>Mareges</t>
  </si>
  <si>
    <t>Grandval</t>
  </si>
  <si>
    <t>Le Chastang</t>
  </si>
  <si>
    <t>Saint Pierre Cognet</t>
  </si>
  <si>
    <t>Saint Etienne Cantales</t>
  </si>
  <si>
    <t>Villefort</t>
  </si>
  <si>
    <t>Le Chatelot</t>
  </si>
  <si>
    <t>Chaudanne</t>
  </si>
  <si>
    <t>Cammazes</t>
  </si>
  <si>
    <t>Maury</t>
  </si>
  <si>
    <t>Gnioure</t>
  </si>
  <si>
    <t>Villerest</t>
  </si>
  <si>
    <t>Couesque</t>
  </si>
  <si>
    <t>Les Fades</t>
  </si>
  <si>
    <t>Echanet</t>
  </si>
  <si>
    <t>Greoux</t>
  </si>
  <si>
    <t>La Gittaz</t>
  </si>
  <si>
    <t>Bissorte</t>
  </si>
  <si>
    <t>Eguzon</t>
  </si>
  <si>
    <t>Saints Peyres</t>
  </si>
  <si>
    <t>Naguilhes</t>
  </si>
  <si>
    <t>Lavalette</t>
  </si>
  <si>
    <t>Hautefage</t>
  </si>
  <si>
    <t>Grangent</t>
  </si>
  <si>
    <t>Laouzas</t>
  </si>
  <si>
    <t>Naussac</t>
  </si>
  <si>
    <t>Rochebut</t>
  </si>
  <si>
    <t>Panneciere Chaumard</t>
  </si>
  <si>
    <t>La Valette</t>
  </si>
  <si>
    <t>Coiselet</t>
  </si>
  <si>
    <t>Le Lanoux</t>
  </si>
  <si>
    <t>La Girotte</t>
  </si>
  <si>
    <t>Pareloup</t>
  </si>
  <si>
    <t>Pinet</t>
  </si>
  <si>
    <t>Saint Marc</t>
  </si>
  <si>
    <t>Saint Geraud</t>
  </si>
  <si>
    <t>Le Verney</t>
  </si>
  <si>
    <t>La Raviege</t>
  </si>
  <si>
    <t>Chaumecon</t>
  </si>
  <si>
    <t>Montbel</t>
  </si>
  <si>
    <t>Allement</t>
  </si>
  <si>
    <t>Notre Dame de Commiers</t>
  </si>
  <si>
    <t>Ban de Champagney</t>
  </si>
  <si>
    <t>Crescent</t>
  </si>
  <si>
    <t>Pont de Salars</t>
  </si>
  <si>
    <t>Vassiviere</t>
  </si>
  <si>
    <t>Monceaux la Virole</t>
  </si>
  <si>
    <t>Rassisse</t>
  </si>
  <si>
    <t>Lanau</t>
  </si>
  <si>
    <t>La Sassiere</t>
  </si>
  <si>
    <t>L'Escale</t>
  </si>
  <si>
    <t>Cize Bolozon</t>
  </si>
  <si>
    <t>La Gimone</t>
  </si>
  <si>
    <t>Saint Lazare</t>
  </si>
  <si>
    <t>Neuvic d'Ussel</t>
  </si>
  <si>
    <t>Vallabregues</t>
  </si>
  <si>
    <t>Puy Terrier</t>
  </si>
  <si>
    <t>Morge et Beaumont</t>
  </si>
  <si>
    <t>La Bouillouse</t>
  </si>
  <si>
    <t>Villefranche de Panat</t>
  </si>
  <si>
    <t>Giffaumont</t>
  </si>
  <si>
    <t>Lavaud Gelade</t>
  </si>
  <si>
    <t>Settons</t>
  </si>
  <si>
    <t>Brevonnes</t>
  </si>
  <si>
    <t>Astarac</t>
  </si>
  <si>
    <t>Liez</t>
  </si>
  <si>
    <t>Val Joly</t>
  </si>
  <si>
    <t>Charmes</t>
  </si>
  <si>
    <t>Quinson</t>
  </si>
  <si>
    <t>Castelnau</t>
  </si>
  <si>
    <t>Saint Pardoux</t>
  </si>
  <si>
    <t>Kruth Wildenstein</t>
  </si>
  <si>
    <t>Pla de Soulcem</t>
  </si>
  <si>
    <t>Bancalie Aval</t>
  </si>
  <si>
    <t>Madine</t>
  </si>
  <si>
    <t>Vieux Pre</t>
  </si>
  <si>
    <t>Radonvilliers</t>
  </si>
  <si>
    <t>Rappbode</t>
  </si>
  <si>
    <t>Frauenau</t>
  </si>
  <si>
    <t>Schwammenauel</t>
  </si>
  <si>
    <t>Oker</t>
  </si>
  <si>
    <t>Sorpe</t>
  </si>
  <si>
    <t>Grane</t>
  </si>
  <si>
    <t>Schonbrunn</t>
  </si>
  <si>
    <t>Eibenstock</t>
  </si>
  <si>
    <t>Bleiloch</t>
  </si>
  <si>
    <t>Schluchsee</t>
  </si>
  <si>
    <t>Grosse Dhunn</t>
  </si>
  <si>
    <t>Oder</t>
  </si>
  <si>
    <t>Verse</t>
  </si>
  <si>
    <t>MauthausI</t>
  </si>
  <si>
    <t>Obernhau</t>
  </si>
  <si>
    <t>Pohl</t>
  </si>
  <si>
    <t>Saidenbach</t>
  </si>
  <si>
    <t>Olef</t>
  </si>
  <si>
    <t>Ohra</t>
  </si>
  <si>
    <t>Urft</t>
  </si>
  <si>
    <t>Henne</t>
  </si>
  <si>
    <t>Bigge</t>
  </si>
  <si>
    <t>Sose</t>
  </si>
  <si>
    <t>Wahnbach</t>
  </si>
  <si>
    <t>Wiehl</t>
  </si>
  <si>
    <t>Droda</t>
  </si>
  <si>
    <t>Lehnmuehle</t>
  </si>
  <si>
    <t>Ennepe</t>
  </si>
  <si>
    <t>Wehebach</t>
  </si>
  <si>
    <t>Bever</t>
  </si>
  <si>
    <t>Innerste</t>
  </si>
  <si>
    <t>Sylvenstein</t>
  </si>
  <si>
    <t>Agger</t>
  </si>
  <si>
    <t>Diemel</t>
  </si>
  <si>
    <t>Eder</t>
  </si>
  <si>
    <t>Moehne</t>
  </si>
  <si>
    <t>Wupper</t>
  </si>
  <si>
    <t>Klingenberg</t>
  </si>
  <si>
    <t>Brombach</t>
  </si>
  <si>
    <t>Rottachsee</t>
  </si>
  <si>
    <t>Malter</t>
  </si>
  <si>
    <t>Zeulenroda</t>
  </si>
  <si>
    <t>Weida</t>
  </si>
  <si>
    <t>Kriebstein</t>
  </si>
  <si>
    <t>Eixendorf</t>
  </si>
  <si>
    <t>Pirk</t>
  </si>
  <si>
    <t>Twiste</t>
  </si>
  <si>
    <t>Gruntensee</t>
  </si>
  <si>
    <t>Spremberg</t>
  </si>
  <si>
    <t>Bautzen</t>
  </si>
  <si>
    <t>Muldestausee</t>
  </si>
  <si>
    <t>Rothsee</t>
  </si>
  <si>
    <t>Isarkanal Dam</t>
  </si>
  <si>
    <t>Straussfurt</t>
  </si>
  <si>
    <t>Kelbra</t>
  </si>
  <si>
    <t>Postmuenster</t>
  </si>
  <si>
    <t>Quitzdorf</t>
  </si>
  <si>
    <t>Altmuehlsee</t>
  </si>
  <si>
    <t>Tisza</t>
  </si>
  <si>
    <t>Markazi</t>
  </si>
  <si>
    <t>Fehervarcsurgoi</t>
  </si>
  <si>
    <t>Rakacai</t>
  </si>
  <si>
    <t>Alpe Gera</t>
  </si>
  <si>
    <t>Place Moulin</t>
  </si>
  <si>
    <t>Frera</t>
  </si>
  <si>
    <t>Beauregard</t>
  </si>
  <si>
    <t>S. Giacomo di Fraele</t>
  </si>
  <si>
    <t>Malga Bissina</t>
  </si>
  <si>
    <t>Brugneto</t>
  </si>
  <si>
    <t>Piantelessio</t>
  </si>
  <si>
    <t>Cardenello</t>
  </si>
  <si>
    <t>Sabbione</t>
  </si>
  <si>
    <t>Morasco</t>
  </si>
  <si>
    <t>Cignana 1</t>
  </si>
  <si>
    <t>Malga Boazzo</t>
  </si>
  <si>
    <t>Agaro</t>
  </si>
  <si>
    <t>Ceresole Reale Mine</t>
  </si>
  <si>
    <t>Lago Goillet</t>
  </si>
  <si>
    <t>Valtoggia</t>
  </si>
  <si>
    <t>Lago d'Arno</t>
  </si>
  <si>
    <t>Vannino</t>
  </si>
  <si>
    <t>Lago Truzzo</t>
  </si>
  <si>
    <t>Codelago</t>
  </si>
  <si>
    <t>Miorina</t>
  </si>
  <si>
    <t>Lago Kastel</t>
  </si>
  <si>
    <t>Serru</t>
  </si>
  <si>
    <t>Plyavinass</t>
  </si>
  <si>
    <t>Riga</t>
  </si>
  <si>
    <t>Kegums</t>
  </si>
  <si>
    <t>Kauno</t>
  </si>
  <si>
    <t>Kupiskio</t>
  </si>
  <si>
    <t>Esch-sur-Sure</t>
  </si>
  <si>
    <t>Solina</t>
  </si>
  <si>
    <t>Pilchowice</t>
  </si>
  <si>
    <t>Czorsztyn-Niedzica</t>
  </si>
  <si>
    <t>Swinna Poreba</t>
  </si>
  <si>
    <t>Roznow</t>
  </si>
  <si>
    <t>Lesna</t>
  </si>
  <si>
    <t>Dobczyce</t>
  </si>
  <si>
    <t>Bukowka</t>
  </si>
  <si>
    <t>Porabka</t>
  </si>
  <si>
    <t>Tresna</t>
  </si>
  <si>
    <t>Zlotniki</t>
  </si>
  <si>
    <t>Myczkowce</t>
  </si>
  <si>
    <t>Dobromierz</t>
  </si>
  <si>
    <t>Wiory</t>
  </si>
  <si>
    <t>Koronowo</t>
  </si>
  <si>
    <t>Wloclawek</t>
  </si>
  <si>
    <t>Nysa</t>
  </si>
  <si>
    <t>Chancza</t>
  </si>
  <si>
    <t>Sulejow</t>
  </si>
  <si>
    <t>Slup</t>
  </si>
  <si>
    <t>Jeziorsko</t>
  </si>
  <si>
    <t>Debe</t>
  </si>
  <si>
    <t>Czchow</t>
  </si>
  <si>
    <t>Otmuchow</t>
  </si>
  <si>
    <t>Mietkow</t>
  </si>
  <si>
    <t>Goczalkowice</t>
  </si>
  <si>
    <t>Nielisz</t>
  </si>
  <si>
    <t>Dzieckowice</t>
  </si>
  <si>
    <t>Kozlowa Gora</t>
  </si>
  <si>
    <t>Cabril</t>
  </si>
  <si>
    <t>Castelo do Bode</t>
  </si>
  <si>
    <t>Picote</t>
  </si>
  <si>
    <t>Alqueva</t>
  </si>
  <si>
    <t>Bemposta</t>
  </si>
  <si>
    <t>Miranda</t>
  </si>
  <si>
    <t>Varosa</t>
  </si>
  <si>
    <t>Santa Luzia</t>
  </si>
  <si>
    <t>Torrao</t>
  </si>
  <si>
    <t>Bouqa</t>
  </si>
  <si>
    <t>Crestuma</t>
  </si>
  <si>
    <t>Pracana</t>
  </si>
  <si>
    <t>Vilar</t>
  </si>
  <si>
    <t>Sabugal</t>
  </si>
  <si>
    <t>Carrapatelo</t>
  </si>
  <si>
    <t>Meimoa</t>
  </si>
  <si>
    <t>Azibo</t>
  </si>
  <si>
    <t>Idanha</t>
  </si>
  <si>
    <t>Beliche</t>
  </si>
  <si>
    <t>Caia</t>
  </si>
  <si>
    <t>Pocinho</t>
  </si>
  <si>
    <t>Valeira</t>
  </si>
  <si>
    <t>Fratel</t>
  </si>
  <si>
    <t>Regua</t>
  </si>
  <si>
    <t>Monte Novo</t>
  </si>
  <si>
    <t>Vigia</t>
  </si>
  <si>
    <t>Gura Apelor</t>
  </si>
  <si>
    <t>Vidraru</t>
  </si>
  <si>
    <t>Izvorul Muntelui</t>
  </si>
  <si>
    <t>Poiana Marului</t>
  </si>
  <si>
    <t>Siriu</t>
  </si>
  <si>
    <t>Vidra</t>
  </si>
  <si>
    <t>Dragan</t>
  </si>
  <si>
    <t>Cerna Principal</t>
  </si>
  <si>
    <t>Paltinu</t>
  </si>
  <si>
    <t>Tarnita</t>
  </si>
  <si>
    <t>Fantanele</t>
  </si>
  <si>
    <t>Colibita</t>
  </si>
  <si>
    <t>Oasa</t>
  </si>
  <si>
    <t>Poiana Uzului</t>
  </si>
  <si>
    <t>Maneciu</t>
  </si>
  <si>
    <t>Gura Raului</t>
  </si>
  <si>
    <t>Iron Gate 1</t>
  </si>
  <si>
    <t>Herculane</t>
  </si>
  <si>
    <t>Iron Gate 2</t>
  </si>
  <si>
    <t>Valea Sadului</t>
  </si>
  <si>
    <t>Zeter</t>
  </si>
  <si>
    <t>Cincis</t>
  </si>
  <si>
    <t>Sacele</t>
  </si>
  <si>
    <t>Stinca Costesti</t>
  </si>
  <si>
    <t>Tileagd</t>
  </si>
  <si>
    <t>Valcele</t>
  </si>
  <si>
    <t>Draganesti</t>
  </si>
  <si>
    <t>Ionesti</t>
  </si>
  <si>
    <t>Ramnicu Valcea</t>
  </si>
  <si>
    <t>Strejesti</t>
  </si>
  <si>
    <t>Babeni</t>
  </si>
  <si>
    <t>Budeasa</t>
  </si>
  <si>
    <t>Dragasani</t>
  </si>
  <si>
    <t>Golesti</t>
  </si>
  <si>
    <t>Hateg</t>
  </si>
  <si>
    <t>Ipotesti</t>
  </si>
  <si>
    <t>Arcesti</t>
  </si>
  <si>
    <t>Frunzaru</t>
  </si>
  <si>
    <t>Zavideni</t>
  </si>
  <si>
    <t>Izbiceni</t>
  </si>
  <si>
    <t>Beresti</t>
  </si>
  <si>
    <t>Rusanesti</t>
  </si>
  <si>
    <t>Racaciuni</t>
  </si>
  <si>
    <t>Calimanesti</t>
  </si>
  <si>
    <t>Daesti</t>
  </si>
  <si>
    <t>Lugasu</t>
  </si>
  <si>
    <t>Zigoneni</t>
  </si>
  <si>
    <t>Piatra Neamt</t>
  </si>
  <si>
    <t>Slatina</t>
  </si>
  <si>
    <t>Govora</t>
  </si>
  <si>
    <t>Vadeni</t>
  </si>
  <si>
    <t>Parcovaci</t>
  </si>
  <si>
    <t>Galbeni</t>
  </si>
  <si>
    <t>Avrig</t>
  </si>
  <si>
    <t>Scoreiu</t>
  </si>
  <si>
    <t>Petresti</t>
  </si>
  <si>
    <t>Frasinet</t>
  </si>
  <si>
    <t>Voila</t>
  </si>
  <si>
    <t>Dragomirna</t>
  </si>
  <si>
    <t>Arpasu</t>
  </si>
  <si>
    <t>Vistea</t>
  </si>
  <si>
    <t>Racova</t>
  </si>
  <si>
    <t>Zavoiu Orbului</t>
  </si>
  <si>
    <t>Pitesti</t>
  </si>
  <si>
    <t>Gurbanesti</t>
  </si>
  <si>
    <t>Tungujei</t>
  </si>
  <si>
    <t>Mihailesti</t>
  </si>
  <si>
    <t>Varsolt</t>
  </si>
  <si>
    <t>Calinesti-Oas</t>
  </si>
  <si>
    <t>Rovinari</t>
  </si>
  <si>
    <t>Rogojesti</t>
  </si>
  <si>
    <t>Catamarasti</t>
  </si>
  <si>
    <t>Cazanesti</t>
  </si>
  <si>
    <t>Podu Iloaiei</t>
  </si>
  <si>
    <t>Solesti</t>
  </si>
  <si>
    <t>Manjesti</t>
  </si>
  <si>
    <t>Facau</t>
  </si>
  <si>
    <t>Bucecea</t>
  </si>
  <si>
    <t>Iezer</t>
  </si>
  <si>
    <t>Halceni</t>
  </si>
  <si>
    <t>Nova Bystrica</t>
  </si>
  <si>
    <t>Ruzin 1</t>
  </si>
  <si>
    <t>Bukovec 2</t>
  </si>
  <si>
    <t>Liptovska Mara</t>
  </si>
  <si>
    <t>Starina</t>
  </si>
  <si>
    <t>Malinec</t>
  </si>
  <si>
    <t>Orava</t>
  </si>
  <si>
    <t>Velka Domasa</t>
  </si>
  <si>
    <t>Kralova</t>
  </si>
  <si>
    <t>Hrusov</t>
  </si>
  <si>
    <t>Drahovce</t>
  </si>
  <si>
    <t>Ruzina</t>
  </si>
  <si>
    <t>Zilina</t>
  </si>
  <si>
    <t>Vihorlat</t>
  </si>
  <si>
    <t>Besenova</t>
  </si>
  <si>
    <t>Vuzenica</t>
  </si>
  <si>
    <t>Vuhred</t>
  </si>
  <si>
    <t>Canales</t>
  </si>
  <si>
    <t>Canelles</t>
  </si>
  <si>
    <t>Aldeadavila</t>
  </si>
  <si>
    <t>Tous</t>
  </si>
  <si>
    <t>Alcantara 2</t>
  </si>
  <si>
    <t>El Atazar</t>
  </si>
  <si>
    <t>El Grado 1</t>
  </si>
  <si>
    <t>Contreras</t>
  </si>
  <si>
    <t>Itoiz Dam</t>
  </si>
  <si>
    <t>Escales</t>
  </si>
  <si>
    <t>Iznajar</t>
  </si>
  <si>
    <t>Cortes de Pallas</t>
  </si>
  <si>
    <t>Camarasa</t>
  </si>
  <si>
    <t>Riano</t>
  </si>
  <si>
    <t>La Fernandina</t>
  </si>
  <si>
    <t>Ricobayo</t>
  </si>
  <si>
    <t>Santa Ana</t>
  </si>
  <si>
    <t>Bembezar</t>
  </si>
  <si>
    <t>Valdecanas</t>
  </si>
  <si>
    <t>Barrios de Luna</t>
  </si>
  <si>
    <t>Rialb</t>
  </si>
  <si>
    <t>Guadalmena</t>
  </si>
  <si>
    <t>Tranco de Beas</t>
  </si>
  <si>
    <t>Mediano</t>
  </si>
  <si>
    <t>San Clemente</t>
  </si>
  <si>
    <t>El Burguillo</t>
  </si>
  <si>
    <t>Oliana</t>
  </si>
  <si>
    <t>Bubal</t>
  </si>
  <si>
    <t>Jandula</t>
  </si>
  <si>
    <t>Francisco Abellan</t>
  </si>
  <si>
    <t>Giribaile</t>
  </si>
  <si>
    <t>La Serena</t>
  </si>
  <si>
    <t>Entrepenas</t>
  </si>
  <si>
    <t>Yeguas</t>
  </si>
  <si>
    <t>El Pintado</t>
  </si>
  <si>
    <t>Chanza</t>
  </si>
  <si>
    <t>El Naranjero</t>
  </si>
  <si>
    <t>Saucelle</t>
  </si>
  <si>
    <t>El Portillo</t>
  </si>
  <si>
    <t>Cijara</t>
  </si>
  <si>
    <t>La Tranquera</t>
  </si>
  <si>
    <t>Lanuza</t>
  </si>
  <si>
    <t>Mansilla</t>
  </si>
  <si>
    <t>Buendia</t>
  </si>
  <si>
    <t>Compuerto</t>
  </si>
  <si>
    <t>Juan Benet</t>
  </si>
  <si>
    <t>Yesa</t>
  </si>
  <si>
    <t>Jose Toran</t>
  </si>
  <si>
    <t>Pajares</t>
  </si>
  <si>
    <t>Camporredondo</t>
  </si>
  <si>
    <t>Negratin</t>
  </si>
  <si>
    <t>Vadomojon</t>
  </si>
  <si>
    <t>Gabriel Y. Galan</t>
  </si>
  <si>
    <t>Huesna</t>
  </si>
  <si>
    <t>Alcorlo</t>
  </si>
  <si>
    <t>Alarcon</t>
  </si>
  <si>
    <t>Puebla de Cazalla</t>
  </si>
  <si>
    <t>Gonzalez Lacasa</t>
  </si>
  <si>
    <t>Zufre</t>
  </si>
  <si>
    <t>Iruena</t>
  </si>
  <si>
    <t>El Vado</t>
  </si>
  <si>
    <t>Forata</t>
  </si>
  <si>
    <t>Rumblar</t>
  </si>
  <si>
    <t>Alange</t>
  </si>
  <si>
    <t>Las Cogotas</t>
  </si>
  <si>
    <t>Alloz</t>
  </si>
  <si>
    <t>Los Bermejales</t>
  </si>
  <si>
    <t>Cedillo</t>
  </si>
  <si>
    <t>Barasona</t>
  </si>
  <si>
    <t>Puentes Viejas</t>
  </si>
  <si>
    <t>Garcia de Sola</t>
  </si>
  <si>
    <t>Cueva Foradada</t>
  </si>
  <si>
    <t>Uzquiza</t>
  </si>
  <si>
    <t>Valparaiso</t>
  </si>
  <si>
    <t>San Rafael de Navallana</t>
  </si>
  <si>
    <t>Orellana</t>
  </si>
  <si>
    <t>Calanda</t>
  </si>
  <si>
    <t>Ciurana</t>
  </si>
  <si>
    <t>Torrejon Tajo</t>
  </si>
  <si>
    <t>La Manilla</t>
  </si>
  <si>
    <t>La Tajera</t>
  </si>
  <si>
    <t>Zujar Saddle Dam</t>
  </si>
  <si>
    <t>Guadalmellato</t>
  </si>
  <si>
    <t>Rivera de Gata Main Dam</t>
  </si>
  <si>
    <t>Ribarroja</t>
  </si>
  <si>
    <t>Aracena</t>
  </si>
  <si>
    <t>Valmayor</t>
  </si>
  <si>
    <t>Santa Teresa Saddle Dam</t>
  </si>
  <si>
    <t>Picadas</t>
  </si>
  <si>
    <t>La Pena</t>
  </si>
  <si>
    <t>Guadalen</t>
  </si>
  <si>
    <t>Requejada</t>
  </si>
  <si>
    <t>Valdeobispo</t>
  </si>
  <si>
    <t>Belena</t>
  </si>
  <si>
    <t>Riosequillo</t>
  </si>
  <si>
    <t>Castro</t>
  </si>
  <si>
    <t>Azutan</t>
  </si>
  <si>
    <t>Puente Nuevo</t>
  </si>
  <si>
    <t>La Brena</t>
  </si>
  <si>
    <t>Caspe 2</t>
  </si>
  <si>
    <t>Maidevera Saddle Dam 1</t>
  </si>
  <si>
    <t>Cala</t>
  </si>
  <si>
    <t>Retortillo</t>
  </si>
  <si>
    <t>Pedrezuela</t>
  </si>
  <si>
    <t>Santolea</t>
  </si>
  <si>
    <t>Eugui</t>
  </si>
  <si>
    <t>Torre de Abraham</t>
  </si>
  <si>
    <t>Villalcampo</t>
  </si>
  <si>
    <t>Villar del Rey</t>
  </si>
  <si>
    <t>El Villar</t>
  </si>
  <si>
    <t>Penarroya</t>
  </si>
  <si>
    <t>Aguilar de Campoo</t>
  </si>
  <si>
    <t>La Bolera</t>
  </si>
  <si>
    <t>Terradets</t>
  </si>
  <si>
    <t>Arlanzon</t>
  </si>
  <si>
    <t>Guajaraz</t>
  </si>
  <si>
    <t>Pena</t>
  </si>
  <si>
    <t>Bolarque</t>
  </si>
  <si>
    <t>Bellus</t>
  </si>
  <si>
    <t>Agrio</t>
  </si>
  <si>
    <t>Burgomillodo</t>
  </si>
  <si>
    <t>Irabia</t>
  </si>
  <si>
    <t>Jerte</t>
  </si>
  <si>
    <t>Ruecas</t>
  </si>
  <si>
    <t>Nuestra Senora del Agavanzal</t>
  </si>
  <si>
    <t>Torre del Aguila</t>
  </si>
  <si>
    <t>El Alisillo</t>
  </si>
  <si>
    <t>Cuerda del Pozo</t>
  </si>
  <si>
    <t>Santillana</t>
  </si>
  <si>
    <t>Palmaces</t>
  </si>
  <si>
    <t>La Fresneda</t>
  </si>
  <si>
    <t>Rosarito</t>
  </si>
  <si>
    <t>Agueda</t>
  </si>
  <si>
    <t>Ullivarri</t>
  </si>
  <si>
    <t>Cervera</t>
  </si>
  <si>
    <t>Arrocampo</t>
  </si>
  <si>
    <t>Linares del Arroyo</t>
  </si>
  <si>
    <t>Valdecaballeros</t>
  </si>
  <si>
    <t>Los Molinos de Matachel</t>
  </si>
  <si>
    <t>Borbollon</t>
  </si>
  <si>
    <t>El Pardo</t>
  </si>
  <si>
    <t>Ebro</t>
  </si>
  <si>
    <t>Finisterre</t>
  </si>
  <si>
    <t>La Sotonera</t>
  </si>
  <si>
    <t>La Loteta</t>
  </si>
  <si>
    <t>Encinarejo</t>
  </si>
  <si>
    <t>Sierra Boyera</t>
  </si>
  <si>
    <t>La Pinilla</t>
  </si>
  <si>
    <t>Embarcaderos</t>
  </si>
  <si>
    <t>Guadiloba</t>
  </si>
  <si>
    <t>Urrunaga</t>
  </si>
  <si>
    <t>Torrejon Tietar</t>
  </si>
  <si>
    <t>Marisanchez</t>
  </si>
  <si>
    <t>Flix</t>
  </si>
  <si>
    <t>Castrejon</t>
  </si>
  <si>
    <t>Navalcan</t>
  </si>
  <si>
    <t>San Lorenzo Mongay</t>
  </si>
  <si>
    <t>Vega de Jabalon</t>
  </si>
  <si>
    <t>El Vicario</t>
  </si>
  <si>
    <t>Gasset</t>
  </si>
  <si>
    <t>Monteagudo de las Vicarias</t>
  </si>
  <si>
    <t>Cernadilla</t>
  </si>
  <si>
    <t>Sierra Brava</t>
  </si>
  <si>
    <t>La Acena</t>
  </si>
  <si>
    <t>Navacerrada</t>
  </si>
  <si>
    <t>La Muela</t>
  </si>
  <si>
    <t>Motala</t>
  </si>
  <si>
    <t>Grande Dixence</t>
  </si>
  <si>
    <t>Mauvoisin</t>
  </si>
  <si>
    <t>Luzzone</t>
  </si>
  <si>
    <t>Contra</t>
  </si>
  <si>
    <t>Emosson</t>
  </si>
  <si>
    <t>Zeuzier</t>
  </si>
  <si>
    <t>Goescheneralp</t>
  </si>
  <si>
    <t>Curnera</t>
  </si>
  <si>
    <t>Zervreila</t>
  </si>
  <si>
    <t>Moiry</t>
  </si>
  <si>
    <t>Limmern</t>
  </si>
  <si>
    <t>Valle di Lei</t>
  </si>
  <si>
    <t>Punt dal Gall</t>
  </si>
  <si>
    <t>Sambuco</t>
  </si>
  <si>
    <t>Nalps</t>
  </si>
  <si>
    <t>Hongrin Nord</t>
  </si>
  <si>
    <t>Mattmark</t>
  </si>
  <si>
    <t>Santa Maria</t>
  </si>
  <si>
    <t>Albigna</t>
  </si>
  <si>
    <t>Spitallamm</t>
  </si>
  <si>
    <t>Schrah</t>
  </si>
  <si>
    <t>Cavagnoli</t>
  </si>
  <si>
    <t>Oberaar</t>
  </si>
  <si>
    <t>Raterichsboden</t>
  </si>
  <si>
    <t>Marmorera</t>
  </si>
  <si>
    <t>Les Toules</t>
  </si>
  <si>
    <t>Rossens</t>
  </si>
  <si>
    <t>Naret 1</t>
  </si>
  <si>
    <t>Lucendro</t>
  </si>
  <si>
    <t>Gries</t>
  </si>
  <si>
    <t>Sufers</t>
  </si>
  <si>
    <t>Schiffenen</t>
  </si>
  <si>
    <t>Sella</t>
  </si>
  <si>
    <t>Gelmer</t>
  </si>
  <si>
    <t>Rhodannenberg</t>
  </si>
  <si>
    <t>Muehleberg</t>
  </si>
  <si>
    <t>Piora</t>
  </si>
  <si>
    <t>Huehnermatt in den Schlagen</t>
  </si>
  <si>
    <t>no</t>
  </si>
  <si>
    <t>Marchlyn Mawr</t>
  </si>
  <si>
    <t>http://www.fhc.co.uk/dinorwig.htm</t>
  </si>
  <si>
    <t>https://en.wikipedia.org/wiki/Marchlyn_Mawr</t>
  </si>
  <si>
    <t>Grimsel 2</t>
  </si>
  <si>
    <t>Upper reservoir</t>
  </si>
  <si>
    <t>Lower reservoir</t>
  </si>
  <si>
    <t>?</t>
  </si>
  <si>
    <t>Grand ID corresponding dam (upper reservoir)</t>
  </si>
  <si>
    <t>Grimsel</t>
  </si>
  <si>
    <t>Aare</t>
  </si>
  <si>
    <t>Innertkirchen</t>
  </si>
  <si>
    <t>http://globalenergyobservatory.org/form.php?pid=45447</t>
  </si>
  <si>
    <t>file:///C:/Users/Marte/Desktop/kwo2019s-power-plants.pdf</t>
  </si>
  <si>
    <t>http://www.grimselstrom.ch/electrical-energy/power-plants-and-dams/power-plants/</t>
  </si>
  <si>
    <t>Lago della Piastra</t>
  </si>
  <si>
    <t>Lago del Chiotas</t>
  </si>
  <si>
    <t>Lago della Rovina</t>
  </si>
  <si>
    <t>https://en.wikipedia.org/wiki/Entracque_Power_Plant</t>
  </si>
  <si>
    <t>http://globalenergyobservatory.org/geoid/45432</t>
  </si>
  <si>
    <t>Vianden upper</t>
  </si>
  <si>
    <t>Vianden lower</t>
  </si>
  <si>
    <t>Our River</t>
  </si>
  <si>
    <t>SEO / RWE</t>
  </si>
  <si>
    <t>https://en.wikipedia.org/wiki/Vianden_Pumped_Storage_Plant</t>
  </si>
  <si>
    <t>http://globalenergyobservatory.org/form.php?pid=45216</t>
  </si>
  <si>
    <t>Verney</t>
  </si>
  <si>
    <t>Llyn Peris</t>
  </si>
  <si>
    <t>http://globalenergyobservatory.org/form.php?pid=44137</t>
  </si>
  <si>
    <t>http://globalenergyobservatory.org/form.php?pid=44410</t>
  </si>
  <si>
    <t>Sources</t>
  </si>
  <si>
    <t>Grand Dixence reservoir</t>
  </si>
  <si>
    <t>Grande Dixence SA</t>
  </si>
  <si>
    <t>http://enipedia.tudelft.nl/wiki/Bieudron_Powerplant</t>
  </si>
  <si>
    <t>Rhone</t>
  </si>
  <si>
    <t>https://en.wikipedia.org/wiki/Bieudron_Hydroelectric_Power_Station</t>
  </si>
  <si>
    <t>Fionnay</t>
  </si>
  <si>
    <t>http://enipedia.tudelft.nl/wiki/Fionnay-dixence_Powerplant</t>
  </si>
  <si>
    <t>http://www.grande-dixence.ch/energie/hydraulic/switzerland/fionnay-power-station-altitude-1490.html</t>
  </si>
  <si>
    <t>Nendaz</t>
  </si>
  <si>
    <t>http://enipedia.tudelft.nl/wiki/Nendaz_Powerplant</t>
  </si>
  <si>
    <t>http://www.grande-dixence.ch/energie/hydraulic/switzerland/nendaz-power-station-altitude.html</t>
  </si>
  <si>
    <t>Group</t>
  </si>
  <si>
    <t>Ulla-Forre</t>
  </si>
  <si>
    <t>Kvilldal</t>
  </si>
  <si>
    <t>Saurdal</t>
  </si>
  <si>
    <t>Hylen</t>
  </si>
  <si>
    <t>Statkraft</t>
  </si>
  <si>
    <t>https://en.wikipedia.org/wiki/Ulla-F%C3%B8rre</t>
  </si>
  <si>
    <t>http://www.statkraft.com/energy-sources/Power-plants/Norway/Kvilldal/</t>
  </si>
  <si>
    <t>https://no.wikipedia.org/wiki/Kvilldal_kraftverk</t>
  </si>
  <si>
    <t>https://no.wikipedia.org/wiki/Saurdal_kraftverk</t>
  </si>
  <si>
    <t>Lake Blasjo</t>
  </si>
  <si>
    <t>Grand ID corresponding dam (lower reservoir)</t>
  </si>
  <si>
    <t>http://www.statkraft.com/energy-sources/Power-plants/Norway/Saurdal/</t>
  </si>
  <si>
    <t>http://www.forskningsradet.no/servlet/Satellite?blobcol=urldata&amp;blobheader=application%2Fpdf&amp;blobheadername1=Content-Disposition%3A&amp;blobheadervalue1=+attachment%3B+filename%3D07StatkraftAlne.pdf&amp;blobkey=id&amp;blobtable=MungoBlobs&amp;blobwhere=1274464036612&amp;ssbinary=true</t>
  </si>
  <si>
    <t>Suldalsvatnet</t>
  </si>
  <si>
    <t>Suldalslågen</t>
  </si>
  <si>
    <t>Red Electrica de España</t>
  </si>
  <si>
    <t>https://en.wikipedia.org/wiki/Aldead%C3%A1vila_Dam</t>
  </si>
  <si>
    <t>http://www.iberdrola.es/about-us/a-great-company/facilities-map/2015/</t>
  </si>
  <si>
    <t>https://es.wikipedia.org/wiki/Presa_de_Aldead%C3%A1vila#Aldead.C3.A1vila_I</t>
  </si>
  <si>
    <t>Iron Gate I</t>
  </si>
  <si>
    <t>Iron Gate</t>
  </si>
  <si>
    <t>Iron Gate II</t>
  </si>
  <si>
    <t xml:space="preserve">Opening date </t>
  </si>
  <si>
    <t>S.C. Hidroelectrica S.A.</t>
  </si>
  <si>
    <t>http://globalenergyobservatory.org/form.php?pid=40975</t>
  </si>
  <si>
    <t>https://en.wikipedia.org/wiki/Iron_Gate_I_Hydroelectric_Power_Station</t>
  </si>
  <si>
    <t>https://en.wikipedia.org/wiki/Iron_Gate_II_Hydroelectric_Power_Station</t>
  </si>
  <si>
    <t>https://ro.wikipedia.org/wiki/Por%C8%9Bile_de_Fier_I</t>
  </si>
  <si>
    <t>http://globalenergyobservatory.org/form.php?pid=40976</t>
  </si>
  <si>
    <t>Kaplan</t>
  </si>
  <si>
    <t>Coo Beneden</t>
  </si>
  <si>
    <t>http://globalenergyobservatory.org/form.php?pid=41952</t>
  </si>
  <si>
    <t>https://fr.wikipedia.org/wiki/Centrale_de_Coo-Trois-Ponts</t>
  </si>
  <si>
    <t>Aurland I</t>
  </si>
  <si>
    <t>Aurland III</t>
  </si>
  <si>
    <t>http://www.e-co.no/?module=Articles;action=Article.publicOpen;ID=219</t>
  </si>
  <si>
    <t>E-Co Energi</t>
  </si>
  <si>
    <r>
      <t>Kraftwerksgruppe Fragant Pumped-storage Hydroelectric Power Station</t>
    </r>
    <r>
      <rPr>
        <vertAlign val="superscript"/>
        <sz val="8"/>
        <rFont val="Calibri"/>
        <family val="2"/>
        <scheme val="minor"/>
      </rPr>
      <t>[4]</t>
    </r>
  </si>
  <si>
    <r>
      <t>Beeston</t>
    </r>
    <r>
      <rPr>
        <vertAlign val="superscript"/>
        <sz val="8"/>
        <rFont val="Calibri"/>
        <family val="2"/>
        <scheme val="minor"/>
      </rPr>
      <t>[30]</t>
    </r>
  </si>
  <si>
    <r>
      <t>Gisla </t>
    </r>
    <r>
      <rPr>
        <vertAlign val="superscript"/>
        <sz val="8"/>
        <rFont val="Calibri"/>
        <family val="2"/>
        <scheme val="minor"/>
      </rPr>
      <t>[31][32]</t>
    </r>
  </si>
  <si>
    <r>
      <t>Belper North Mill</t>
    </r>
    <r>
      <rPr>
        <vertAlign val="superscript"/>
        <sz val="8"/>
        <rFont val="Calibri"/>
        <family val="2"/>
        <scheme val="minor"/>
      </rPr>
      <t>[31]</t>
    </r>
  </si>
  <si>
    <r>
      <t>Backbarrow</t>
    </r>
    <r>
      <rPr>
        <vertAlign val="superscript"/>
        <sz val="8"/>
        <rFont val="Calibri"/>
        <family val="2"/>
        <scheme val="minor"/>
      </rPr>
      <t>[27][28]</t>
    </r>
  </si>
  <si>
    <r>
      <t>De Lank Quarry</t>
    </r>
    <r>
      <rPr>
        <vertAlign val="superscript"/>
        <sz val="8"/>
        <rFont val="Calibri"/>
        <family val="2"/>
        <scheme val="minor"/>
      </rPr>
      <t>[39][40]</t>
    </r>
  </si>
  <si>
    <r>
      <t>Masson Mill</t>
    </r>
    <r>
      <rPr>
        <vertAlign val="superscript"/>
        <sz val="8"/>
        <rFont val="Calibri"/>
        <family val="2"/>
        <scheme val="minor"/>
      </rPr>
      <t>[45]</t>
    </r>
  </si>
  <si>
    <r>
      <t>Borrowash Mill</t>
    </r>
    <r>
      <rPr>
        <vertAlign val="superscript"/>
        <sz val="8"/>
        <rFont val="Calibri"/>
        <family val="2"/>
        <scheme val="minor"/>
      </rPr>
      <t>[32]</t>
    </r>
  </si>
  <si>
    <r>
      <t>River Wey</t>
    </r>
    <r>
      <rPr>
        <vertAlign val="superscript"/>
        <sz val="8"/>
        <rFont val="Calibri"/>
        <family val="2"/>
        <scheme val="minor"/>
      </rPr>
      <t>[46]</t>
    </r>
  </si>
  <si>
    <r>
      <t>Cotton Valley Sewage Works 2</t>
    </r>
    <r>
      <rPr>
        <vertAlign val="superscript"/>
        <sz val="8"/>
        <rFont val="Calibri"/>
        <family val="2"/>
        <scheme val="minor"/>
      </rPr>
      <t>[36][37]</t>
    </r>
  </si>
  <si>
    <r>
      <t>Cuckney School</t>
    </r>
    <r>
      <rPr>
        <vertAlign val="superscript"/>
        <sz val="8"/>
        <rFont val="Calibri"/>
        <family val="2"/>
        <scheme val="minor"/>
      </rPr>
      <t>[38]</t>
    </r>
  </si>
  <si>
    <r>
      <t>Brignall Mill</t>
    </r>
    <r>
      <rPr>
        <vertAlign val="superscript"/>
        <sz val="8"/>
        <rFont val="Calibri"/>
        <family val="2"/>
        <scheme val="minor"/>
      </rPr>
      <t>[33][34]</t>
    </r>
  </si>
  <si>
    <t>Rovinas Piastra</t>
  </si>
  <si>
    <t>Chiotas Piastra</t>
  </si>
  <si>
    <t xml:space="preserve">Aurland II </t>
  </si>
  <si>
    <t>www.e-co.no/filestore/statkraft_ToreK.pdf</t>
  </si>
  <si>
    <t>Kraftwerke Oberhasli AG</t>
  </si>
  <si>
    <t>Vetlebotnvatn</t>
  </si>
  <si>
    <t>Vassbygdivatn</t>
  </si>
  <si>
    <t>http://www.ecohz.com/powerplants/aurland-1/</t>
  </si>
  <si>
    <t>Viddalsvatn</t>
  </si>
  <si>
    <t>Nyhellervatn</t>
  </si>
  <si>
    <t>https://no.wikipedia.org/wiki/Store_Vargevatnet</t>
  </si>
  <si>
    <t>https://no.wikipedia.org/wiki/Svartevatn-magasinet</t>
  </si>
  <si>
    <t>https://no.wikipedia.org/wiki/Katlavatnet</t>
  </si>
  <si>
    <t>https://no.wikipedia.org/wiki/Vestredalstj%C3%B8rna</t>
  </si>
  <si>
    <t>http://www.ecohz.com/powerplants/aurland-2/</t>
  </si>
  <si>
    <t>http://www.ecohz.com/powerplants/aurland-3/</t>
  </si>
  <si>
    <t>other hydroelectric plant, e.g. Duge</t>
  </si>
  <si>
    <t>http://www.statkraft.com/energy-sources/Power-plants/Norway/Aurland-III/</t>
  </si>
  <si>
    <t>Sima</t>
  </si>
  <si>
    <t>http://www.statkraft.com/globalassets/old-contains-the-old-folder-structure/documents/sima-folder-eng-8s-final_tcm9-14179.pdf</t>
  </si>
  <si>
    <t>no/?</t>
  </si>
  <si>
    <t xml:space="preserve">Goldisthal  </t>
  </si>
  <si>
    <t>http://powerplants.vattenfall.com/goldisthal</t>
  </si>
  <si>
    <t>Vattenfall</t>
  </si>
  <si>
    <t>https://de.wikipedia.org/wiki/Goldisthal-Oberes_Schwarzatal</t>
  </si>
  <si>
    <t>https://de.wikipedia.org/wiki/Goldisthal-Oberbecken</t>
  </si>
  <si>
    <t>http://powerplants.vattenfall.com/markersbach</t>
  </si>
  <si>
    <t>6 Francis, 1 Ossberger</t>
  </si>
  <si>
    <t>Markersbach-oberbecken</t>
  </si>
  <si>
    <t>Markersbach-unterbecken</t>
  </si>
  <si>
    <t>https://en.wikipedia.org/wiki/Markersbach_Pumped_Storage_Power_Plant</t>
  </si>
  <si>
    <t>Verbund</t>
  </si>
  <si>
    <t xml:space="preserve">Koelnbrein  </t>
  </si>
  <si>
    <t>https://de.wikipedia.org/wiki/Maltakraftwerke</t>
  </si>
  <si>
    <t>Lago Delio</t>
  </si>
  <si>
    <t>Roncovalgrande (Delio)</t>
  </si>
  <si>
    <t>Lago Maggiore</t>
  </si>
  <si>
    <t>https://en.wikipedia.org/wiki/Roncovalgrande_Hydroelectric_Plant</t>
  </si>
  <si>
    <t>http://globalenergyobservatory.org/geoid/45431</t>
  </si>
  <si>
    <t>Coo 1, Coo 2</t>
  </si>
  <si>
    <t>Lago Edolo</t>
  </si>
  <si>
    <t>http://globalenergyobservatory.org/form.php?pid=43971</t>
  </si>
  <si>
    <t>https://en.wikipedia.org/wiki/Edolo_Pumped_Storage_Plant</t>
  </si>
  <si>
    <t>Domenico Cimarosa (Presenzano)</t>
  </si>
  <si>
    <t>Volturno</t>
  </si>
  <si>
    <t>Schwarza</t>
  </si>
  <si>
    <t>Grosse Mittweida</t>
  </si>
  <si>
    <t>Cesima</t>
  </si>
  <si>
    <t>Presenzano Lower</t>
  </si>
  <si>
    <t>https://de.wikipedia.org/wiki/Pumpspeicherkraftwerk_Domenico_Cimarosa</t>
  </si>
  <si>
    <t>http://enipedia.tudelft.nl/wiki/Presenzano_Powerplant</t>
  </si>
  <si>
    <t>Sluchseewerk AG</t>
  </si>
  <si>
    <t>http://schluchseewerk.de/images/download/TD-Wehr_Schluchseewerk.pdf</t>
  </si>
  <si>
    <t>Oglio</t>
  </si>
  <si>
    <t>Lule</t>
  </si>
  <si>
    <t>Douro</t>
  </si>
  <si>
    <t>Donau</t>
  </si>
  <si>
    <t>Harspranget</t>
  </si>
  <si>
    <t>http://powerplants.vattenfall.com/harspranget</t>
  </si>
  <si>
    <t>http://globalenergyobservatory.org/form.php?pid=42916</t>
  </si>
  <si>
    <t>https://en.wikipedia.org/wiki/Harspr%C3%A5nget_hydroelectric_power_station</t>
  </si>
  <si>
    <t>francis</t>
  </si>
  <si>
    <t>Sira-Kvina Kraftselskap</t>
  </si>
  <si>
    <t>Homstolvatnet</t>
  </si>
  <si>
    <t>https://no.wikipedia.org/wiki/Homst%C3%B8lvatnet_(Kvinesdal)</t>
  </si>
  <si>
    <t>https://no.wikipedia.org/wiki/Tonstad_kraftverk</t>
  </si>
  <si>
    <t>Kvina</t>
  </si>
  <si>
    <t>Sira-Kvina</t>
  </si>
  <si>
    <t>https://fr.wikipedia.org/wiki/Barrage_de_Grand%27Maison</t>
  </si>
  <si>
    <t>http://www.eln.gov.br/opencms/export/sites/eletronorte/seminarioTecnico/arquivos/ImprovedGovernorResponse_at_the_DinorwigPower_Plant.pdf</t>
  </si>
  <si>
    <t>www.grimselstrom.ch/home/download/1254</t>
  </si>
  <si>
    <t>https://www.andritz.com/index/hydro/hydronews/hy-hydro-news-27/hy-27-30-innertkirchen.htm</t>
  </si>
  <si>
    <t>https://www.andritz.com/hy-26-aldeadavila.pdf</t>
  </si>
  <si>
    <t>http://www.wrmjournal.com/index.php?option=com_content&amp;view=article&amp;id=151&amp;Itemid=182</t>
  </si>
  <si>
    <t>https://snl.no/Sima_kraftverk</t>
  </si>
  <si>
    <t>Vest-Agder</t>
  </si>
  <si>
    <t>Tagus</t>
  </si>
  <si>
    <t>Alcantara</t>
  </si>
  <si>
    <t>Aldeadavila de la Ribera</t>
  </si>
  <si>
    <t>Isere</t>
  </si>
  <si>
    <t>http://www.seprem.es/ficha.php?idpresa=579&amp;p=23</t>
  </si>
  <si>
    <t>https://en.wikipedia.org/wiki/Alc%C3%A1ntara_Dam</t>
  </si>
  <si>
    <t>http://elperiodicodelaenergia.com/las-10-mayores-centrales-hidroelectricas-de-espana/</t>
  </si>
  <si>
    <t>daily storage, spinning reserves</t>
  </si>
  <si>
    <t>Kaunas reservoir</t>
  </si>
  <si>
    <t>Lietuvos energija</t>
  </si>
  <si>
    <t>http://www.kruoniohae.lt/en/main/activity</t>
  </si>
  <si>
    <t>https://en.wikipedia.org/wiki/Kruonis_Pumped_Storage_Plant</t>
  </si>
  <si>
    <t>LAT lower reservoir</t>
  </si>
  <si>
    <t>LON lower reservoir</t>
  </si>
  <si>
    <t>LAT main upper reservoir</t>
  </si>
  <si>
    <t>LON main upper reservoir</t>
  </si>
  <si>
    <t>www.grimselstrom.ch/home/download/1291</t>
  </si>
  <si>
    <t>LAT power station</t>
  </si>
  <si>
    <t>LON power station</t>
  </si>
  <si>
    <t>Pļaviņas</t>
  </si>
  <si>
    <t>Latvenergo</t>
  </si>
  <si>
    <t>http://www.latvenergo.lv/portal/page/portal/english/latvenergo/main1/about_latvenergo/energy_production/hidroelektrostacijas</t>
  </si>
  <si>
    <t>https://en.wikipedia.org/wiki/P%C4%BCavi%C5%86as_Hydroelectric_Power_Station</t>
  </si>
  <si>
    <t>Daugava</t>
  </si>
  <si>
    <t>http://globalenergyobservatory.org/geoid/42156</t>
  </si>
  <si>
    <t>Plavinas Reservoir</t>
  </si>
  <si>
    <t>https://lv.wikipedia.org/wiki/P%C4%BCavi%C5%86u_HES</t>
  </si>
  <si>
    <t>Tormes</t>
  </si>
  <si>
    <t>Iberdrola Generation S.A.U.</t>
  </si>
  <si>
    <t>Almendra (Villarino)</t>
  </si>
  <si>
    <t>http://enipedia.tudelft.nl/wiki/Villarino_Powerplant</t>
  </si>
  <si>
    <t>http://www.seprem.es/ficha.php?idpresa=52&amp;p=2</t>
  </si>
  <si>
    <t>http://gtas.unican.es/files/pub/cigre_96.pdf</t>
  </si>
  <si>
    <t>Kriva</t>
  </si>
  <si>
    <t>Natsionalna Elektricheska Kompania EAD (NEK)</t>
  </si>
  <si>
    <t>http://nek.bg/index.php/en/about-us/hydro-pumped-storage-in-bulgaria-yadenitsa</t>
  </si>
  <si>
    <t xml:space="preserve">peak load and back up. PROJECT: yadenitsa dam, would enlarge volume of lower reservoir so that continuous generation time would increase to 22 hours. </t>
  </si>
  <si>
    <t>Revin Pumped Storage</t>
  </si>
  <si>
    <t>http://energie.edf.com/fichiers/fckeditor/Commun/En_Direct_Centrales/Hydraulique/Centres/est/publications/documents/fiche_identite_geh_revin%20_2011%20.pdf</t>
  </si>
  <si>
    <t>Marquisades</t>
  </si>
  <si>
    <t>Whitaker</t>
  </si>
  <si>
    <t>http://globalenergyobservatory.org/geoid/39715</t>
  </si>
  <si>
    <t>https://en.wikipedia.org/wiki/Revin_Pumped_Storage_Power_Plant</t>
  </si>
  <si>
    <t xml:space="preserve">Lotru-Ciunget </t>
  </si>
  <si>
    <t>Geth et al., 2015</t>
  </si>
  <si>
    <t>Lotru</t>
  </si>
  <si>
    <t xml:space="preserve">Vidra </t>
  </si>
  <si>
    <t>https://en.wikipedia.org/wiki/Lotru-Ciunget_Hydroelectric_Power_Station</t>
  </si>
  <si>
    <t>http://hidroelectrica.ro/Details.aspx?page=55</t>
  </si>
  <si>
    <t>peak load + multi-annual storage</t>
  </si>
  <si>
    <t>http://www.ct.upt.ro/buletinhidro/Files/2012/0014-GRECEA_GRIDAN_HIDRO_2012.pdf</t>
  </si>
  <si>
    <t>Hidroelectrica</t>
  </si>
  <si>
    <t>Laengental</t>
  </si>
  <si>
    <t>Kuhtai</t>
  </si>
  <si>
    <t>open loop PSH</t>
  </si>
  <si>
    <t>Ziller</t>
  </si>
  <si>
    <t>https://www.tiroler-wasserkraft.at/www_tiwag/de/hn/stromerzeugung/kraftwerkspark/kuehtai/index.php</t>
  </si>
  <si>
    <t>http://voith.com/en/11_06_Broschuere-Pumped-storage_einzeln.pdf</t>
  </si>
  <si>
    <t>Stillup</t>
  </si>
  <si>
    <t>maximum energy storage potential (GWh) - Geth et al. (2015) or internet</t>
  </si>
  <si>
    <t>Cierny Vah</t>
  </si>
  <si>
    <t>6 Francis, 1 Kaplan</t>
  </si>
  <si>
    <t>https://www.seas.sk/cierny-vah-hpp</t>
  </si>
  <si>
    <t>http://enipedia.tudelft.nl/wiki/Cierny_Vah_Powerplant</t>
  </si>
  <si>
    <t xml:space="preserve">Cierny Vah upper </t>
  </si>
  <si>
    <t>Cierny Vah lower</t>
  </si>
  <si>
    <t>https://sk.wikipedia.org/wiki/%C4%8Cierny_V%C3%A1h_(vodn%C3%A1_n%C3%A1dr%C5%BE)</t>
  </si>
  <si>
    <t>Gran, 1986</t>
  </si>
  <si>
    <t>https://en.wikipedia.org/wiki/Gab%C4%8D%C3%ADkovo%E2%80%93Nagymaros_Dams</t>
  </si>
  <si>
    <t xml:space="preserve">SE </t>
  </si>
  <si>
    <t>Ambleve/Salm</t>
  </si>
  <si>
    <t>https://www.seas.sk/data/contentlink/cfakepathhydro-power-plants-slovakia-2010-en.pdf</t>
  </si>
  <si>
    <t>http://hydrologie.org/redbooks/a201/iahs_201_0209.pdf</t>
  </si>
  <si>
    <t>CEZ</t>
  </si>
  <si>
    <t>Dlouhe Strane</t>
  </si>
  <si>
    <t>Loucna nad Desnou</t>
  </si>
  <si>
    <t>Desna</t>
  </si>
  <si>
    <t>http://www.cez.cz/en/power-plants-and-environment/hydraulic-power-plants/dlouhe-strane.html</t>
  </si>
  <si>
    <t>https://en.wikipedia.org/wiki/Dlouh%C3%A9_str%C3%A1n%C4%9B_Hydro_Power_Plant</t>
  </si>
  <si>
    <t>Dlouhe Strane upper</t>
  </si>
  <si>
    <t>Dlouhe Strane lower</t>
  </si>
  <si>
    <t>EDP</t>
  </si>
  <si>
    <t>Lima</t>
  </si>
  <si>
    <t>Alto Lindoso</t>
  </si>
  <si>
    <t>Touvedo</t>
  </si>
  <si>
    <t>https://en.wikipedia.org/wiki/Alto_Lindoso_Dam</t>
  </si>
  <si>
    <t>http://globalenergyobservatory.org/geoid/43535</t>
  </si>
  <si>
    <t>Svartisen</t>
  </si>
  <si>
    <t>Meloy</t>
  </si>
  <si>
    <t>http://www.statkraft.com/energy-sources/Power-plants/Norway/Svartisen/</t>
  </si>
  <si>
    <t>Storglomvatn</t>
  </si>
  <si>
    <t>https://no.wikipedia.org/wiki/Svartisen_kraftverk</t>
  </si>
  <si>
    <t>Stornorrfors</t>
  </si>
  <si>
    <t>Ume</t>
  </si>
  <si>
    <t>https://no.wikipedia.org/wiki/Stornorrfors_kraftverk</t>
  </si>
  <si>
    <t>http://kraftverk.vattenfall.se/stornorrfors</t>
  </si>
  <si>
    <t>daily storage?</t>
  </si>
  <si>
    <t>Stornorrfors dam</t>
  </si>
  <si>
    <t>http://francorino.altervista.org/1csanfiorano.htm</t>
  </si>
  <si>
    <t>https://it.wikipedia.org/wiki/Centrale_idroelettrica_di_San_Fiorano</t>
  </si>
  <si>
    <t>most production in winter time</t>
  </si>
  <si>
    <t>Zhuchkova, 1976</t>
  </si>
  <si>
    <t>La Bathie</t>
  </si>
  <si>
    <t>https://fr.wikipedia.org/wiki/Centrale_%C3%A9lectrique_de_La_B%C3%A2thie</t>
  </si>
  <si>
    <t>http://globalenergyobservatory.org/geoid/39814</t>
  </si>
  <si>
    <t>EDF</t>
  </si>
  <si>
    <t>http://www.usinenouvelle.com/article/un-lifting-de-50-millions-d-euros-pour-la-centrale-hydroelectrique-de-la-bathie.N174707</t>
  </si>
  <si>
    <t>Guadiana</t>
  </si>
  <si>
    <t>Pedrogao</t>
  </si>
  <si>
    <t>https://de.wikipedia.org/wiki/Talsperre_Pedr%C3%B3g%C3%A3o</t>
  </si>
  <si>
    <t>https://de.wikipedia.org/wiki/Talsperre_Alqueva</t>
  </si>
  <si>
    <t>Akersvatnet</t>
  </si>
  <si>
    <t>http://www.statkraft.com/energy-sources/Power-plants/Norway/Rana/</t>
  </si>
  <si>
    <t>Kallvatnet</t>
  </si>
  <si>
    <t>Gresvatnet</t>
  </si>
  <si>
    <t>https://no.wikipedia.org/wiki/Kallvatnet</t>
  </si>
  <si>
    <t>https://no.wikipedia.org/wiki/Gresvatnet</t>
  </si>
  <si>
    <t xml:space="preserve">Zakucac </t>
  </si>
  <si>
    <t>Hrvatska elektroprivreda</t>
  </si>
  <si>
    <t>Cetina</t>
  </si>
  <si>
    <t>http://www.hep.hr/proizvodnja/en/basicdata/hydro/south/zakucac.aspx</t>
  </si>
  <si>
    <t>https://en.wikipedia.org/wiki/Zaku%C4%8Dac_Hydroelectric_Power_Plant</t>
  </si>
  <si>
    <t>Zakucac</t>
  </si>
  <si>
    <t>http://globalenergyobservatory.org/geoid/44832</t>
  </si>
  <si>
    <t>diversion type. daily storage?</t>
  </si>
  <si>
    <t>https://sv.wikipedia.org/wiki/Porjus_kraftverk</t>
  </si>
  <si>
    <t>http://powerplants.vattenfall.com/porjus</t>
  </si>
  <si>
    <t>Linth–Limmern</t>
  </si>
  <si>
    <t>Tierfehd</t>
  </si>
  <si>
    <t>http://www.bachmann.info/uploads/tx_sbdownloader/Applikationsbeitrag_Rittmeyer_EN.pdf</t>
  </si>
  <si>
    <t>https://en.wikipedia.org/wiki/Linth%E2%80%93Limmern_Power_Stations</t>
  </si>
  <si>
    <t>Linth</t>
  </si>
  <si>
    <t>Eggbergbecken</t>
  </si>
  <si>
    <t>http://www.schluchseewerk.de/images/download/TD-BadS_Schluchseewerk.pdf</t>
  </si>
  <si>
    <t>https://de.wikipedia.org/wiki/Kavernenkraftwerk_Bad_S%C3%A4ckingen</t>
  </si>
  <si>
    <t>http://powerplants.vattenfall.nl/messaure</t>
  </si>
  <si>
    <t>Messaure dam</t>
  </si>
  <si>
    <t>http://enipedia.tudelft.nl/wiki/Sweden/Hydro</t>
  </si>
  <si>
    <t>http://powerplants.vattenfall.com/letsi</t>
  </si>
  <si>
    <t>http://globalenergyobservatory.org/geoid/44343</t>
  </si>
  <si>
    <t>Vorarlberg Illwerke AG</t>
  </si>
  <si>
    <t>Kops</t>
  </si>
  <si>
    <t>http://globalenergyobservatory.org/geoid/45211</t>
  </si>
  <si>
    <t>https://www.illwerke.at/kopswerk-2.htm</t>
  </si>
  <si>
    <t>Ill</t>
  </si>
  <si>
    <t>3 Pelton turbines + 3 pumps</t>
  </si>
  <si>
    <t>peaking load and back-up</t>
  </si>
  <si>
    <t>Jihlava</t>
  </si>
  <si>
    <t>Kramolin</t>
  </si>
  <si>
    <t>http://www.cez.cz/en/power-plants-and-environment/hydraulic-power-plants/dalesice.html</t>
  </si>
  <si>
    <t>yes, water reservoir nuclear power station</t>
  </si>
  <si>
    <t>https://it.wikipedia.org/wiki/Centrale_idroelettrica_di_San_Giacomo</t>
  </si>
  <si>
    <t>5 Pelton, 1 Francis</t>
  </si>
  <si>
    <t>https://it.wikipedia.org/wiki/Lago_di_Provvidenza</t>
  </si>
  <si>
    <t>https://www.enel.it/it-it/documents/azienda/ambiente/dichiarazioni_ambientali/montorio_da2007_2008.pdf</t>
  </si>
  <si>
    <t>Valle del Vomano</t>
  </si>
  <si>
    <t>https://it.wikipedia.org/wiki/Centrale_idroelettrica_di_Provvidenza</t>
  </si>
  <si>
    <t>Lago di Campotosto</t>
  </si>
  <si>
    <t>https://it.wikipedia.org/wiki/Lago_di_Campotosto</t>
  </si>
  <si>
    <t>Tarn</t>
  </si>
  <si>
    <t>Villefranche-de-Panat</t>
  </si>
  <si>
    <t>Piaganini</t>
  </si>
  <si>
    <t>3 Pelton, 1 Francis, 1 reversible Francis</t>
  </si>
  <si>
    <t>https://en.wikipedia.org/wiki/Lac_de_Pareloup</t>
  </si>
  <si>
    <t>https://en.wikipedia.org/wiki/Le_Pouget_(power_station)</t>
  </si>
  <si>
    <t>Picote I + II</t>
  </si>
  <si>
    <t>https://en.wikipedia.org/wiki/Picote_Dam</t>
  </si>
  <si>
    <t>http://globalenergyobservatory.org/geoid/43538</t>
  </si>
  <si>
    <t>https://en.wikipedia.org/wiki/Bemposta_Dam</t>
  </si>
  <si>
    <t>http://www.a-nossa-energia.edp.pt/arquivo_conteudos/resources/brochures/folheto_picote2.pdf</t>
  </si>
  <si>
    <t>https://en.wikipedia.org/wiki/Miranda_Dam</t>
  </si>
  <si>
    <t>Oberbecken Waldeck II</t>
  </si>
  <si>
    <t>Affoldener See</t>
  </si>
  <si>
    <t>https://de.wikipedia.org/wiki/Pumpspeicherkraftwerk_Waldeck#Waldeck_II</t>
  </si>
  <si>
    <t>http://globalenergyobservatory.org/geoid/44356</t>
  </si>
  <si>
    <t>Cruachan</t>
  </si>
  <si>
    <t>Awe</t>
  </si>
  <si>
    <t>Loch Awe</t>
  </si>
  <si>
    <t>https://en.wikipedia.org/wiki/Cruachan_Power_Station</t>
  </si>
  <si>
    <t>https://en.wikipedia.org/wiki/Loch_Awe</t>
  </si>
  <si>
    <t>Kremasta</t>
  </si>
  <si>
    <t>Achelous</t>
  </si>
  <si>
    <t>http://enipedia.tudelft.nl/wiki/Kremasta_Powerplant</t>
  </si>
  <si>
    <t>https://en.wikipedia.org/wiki/Kremasta_(lake)</t>
  </si>
  <si>
    <t>https://en.wikipedia.org/wiki/Kremasta_Dam</t>
  </si>
  <si>
    <t>http://globalenergyobservatory.org/geoid/42794</t>
  </si>
  <si>
    <t>http://www.statkraft.no/Energikilder/vaare-kraftverk/norge/Tokke/</t>
  </si>
  <si>
    <t>https://en.wikipedia.org/wiki/Tokke_Hydroelectric_Power_Station</t>
  </si>
  <si>
    <t>Vinjevatn</t>
  </si>
  <si>
    <t>Bandak</t>
  </si>
  <si>
    <t>https://en.wikipedia.org/wiki/Bandak</t>
  </si>
  <si>
    <t>https://no.wikipedia.org/wiki/Tokke_kraftverk</t>
  </si>
  <si>
    <t>http://www.statkraft.no/Energikilder/vaare-kraftverk/norge/Vinje/</t>
  </si>
  <si>
    <t>https://no.wikipedia.org/wiki/Vinje_kraftverk</t>
  </si>
  <si>
    <t>Totak</t>
  </si>
  <si>
    <t>https://books.google.nl/books?id=nfGPXqfQ91cC&amp;pg=PA201&amp;lpg=PA201&amp;dq=volume+lake+vinjevatn&amp;source=bl&amp;ots=T0dVtcBGuR&amp;sig=Vm_GpL_yVOSnUgHxPwBut7yk3ms&amp;hl=en&amp;sa=X&amp;ved=0ahUKEwjynuW10P3MAhVqOJoKHYM7AKMQ6AEIHDAA#v=onepage&amp;q=volume%20lake%20vinjevatn&amp;f=false</t>
  </si>
  <si>
    <t>https://en.wikipedia.org/wiki/Totak</t>
  </si>
  <si>
    <t>Malgovert</t>
  </si>
  <si>
    <t>Brevieres</t>
  </si>
  <si>
    <t>Chevril</t>
  </si>
  <si>
    <t>https://en.wikipedia.org/wiki/Tignes_Dam</t>
  </si>
  <si>
    <t>http://globalenergyobservatory.org/geoid/39815</t>
  </si>
  <si>
    <t>Brevieres and Malgovert tap from same lake</t>
  </si>
  <si>
    <t>http://www.a2a.eu/it/impianti_reti/idroelettrica/grosio.html</t>
  </si>
  <si>
    <t>http://www.a2a.eu/it/impianti_reti/idroelettrica/val_grosina.html</t>
  </si>
  <si>
    <t>https://it.wikipedia.org/wiki/Centrale_idroelettrica_di_Grosio</t>
  </si>
  <si>
    <t>Val Grosina</t>
  </si>
  <si>
    <t>Adda</t>
  </si>
  <si>
    <t>http://www.a2a.eu/en/plants_networks/idro/premadio.html</t>
  </si>
  <si>
    <t>Two dams within "one" reservoir: treated as one</t>
  </si>
  <si>
    <t>http://enipedia.tudelft.nl/wiki/Premadio_Powerplant</t>
  </si>
  <si>
    <t>https://it.wikipedia.org/wiki/Centrale_idroelettrica_di_Premadio</t>
  </si>
  <si>
    <t>http://enipedia.tudelft.nl/wiki/Grosio_Powerplant</t>
  </si>
  <si>
    <t>Fjallsjo</t>
  </si>
  <si>
    <t>http://kraftverk.vattenfall.se/kilforsen</t>
  </si>
  <si>
    <t>https://sv.wikipedia.org/wiki/Kilforsens_kraftverk</t>
  </si>
  <si>
    <t>Imnas</t>
  </si>
  <si>
    <t>http://enipedia.tudelft.nl/wiki/Riga_HPP_Powerplant</t>
  </si>
  <si>
    <t>Plavinas</t>
  </si>
  <si>
    <t>http://globalenergyobservatory.org/geoid/42158</t>
  </si>
  <si>
    <t>https://en.wikipedia.org/wiki/Riga_Hydroelectric_Power_Plant</t>
  </si>
  <si>
    <t>http://globalenergyobservatory.org/geoid/42157</t>
  </si>
  <si>
    <t>https://en.wikipedia.org/wiki/%C4%B6egums_Hydroelectric_Power_Station</t>
  </si>
  <si>
    <t>Used as compensation for thermic power station</t>
  </si>
  <si>
    <t>https://en.wikipedia.org/wiki/G%C3%A9nissiat_Dam#/media/File:Rhone_structure_pente.jpg</t>
  </si>
  <si>
    <t>http://globalenergyobservatory.org/geoid/39698</t>
  </si>
  <si>
    <t>CNR</t>
  </si>
  <si>
    <t>https://fr.wikipedia.org/wiki/Barrage_de_G%C3%A9nissiat</t>
  </si>
  <si>
    <t>Inn</t>
  </si>
  <si>
    <t>https://www.tiroler-wasserkraft.at/www_tiwag/de/hn/stromerzeugung/kraftwerkspark/kaunertal/index.php</t>
  </si>
  <si>
    <t>TIWAG</t>
  </si>
  <si>
    <t>Nestos</t>
  </si>
  <si>
    <t>irrigation</t>
  </si>
  <si>
    <t>Thissavros</t>
  </si>
  <si>
    <t>https://en.wikipedia.org/wiki/Thisavros_Dam</t>
  </si>
  <si>
    <t>Platanovryssi</t>
  </si>
  <si>
    <t>https://de.wikipedia.org/wiki/Thissavros</t>
  </si>
  <si>
    <t>https://es.wikipedia.org/wiki/Embalse_de_Mequinenza</t>
  </si>
  <si>
    <t>http://www.waterpowermagazine.com/news/newsmequinenza-plant-to-be-modernised</t>
  </si>
  <si>
    <t>https://en.wikipedia.org/wiki/Mequinenza_Dam</t>
  </si>
  <si>
    <t>https://en.wikipedia.org/wiki/Ribarroja_Dam</t>
  </si>
  <si>
    <t>https://es.wikipedia.org/wiki/Embalse_de_Riba-roja</t>
  </si>
  <si>
    <t>Hausling</t>
  </si>
  <si>
    <t>Geth et al. (2015)</t>
  </si>
  <si>
    <t>Rifa</t>
  </si>
  <si>
    <t>Latschau</t>
  </si>
  <si>
    <t>Wasserfallboden</t>
  </si>
  <si>
    <t>Rodund</t>
  </si>
  <si>
    <t>Montezic</t>
  </si>
  <si>
    <t>Super-Bissorte</t>
  </si>
  <si>
    <t/>
  </si>
  <si>
    <t>Anapo</t>
  </si>
  <si>
    <t>San Massenza I</t>
  </si>
  <si>
    <t>Porabka-zar</t>
  </si>
  <si>
    <t>Zarnowiec</t>
  </si>
  <si>
    <t>Sallente</t>
  </si>
  <si>
    <t>La Muela I</t>
  </si>
  <si>
    <t>La Muela II</t>
  </si>
  <si>
    <t>Svartevatn</t>
  </si>
  <si>
    <t>&lt;0</t>
  </si>
  <si>
    <t>&lt;10</t>
  </si>
  <si>
    <t>&lt;20</t>
  </si>
  <si>
    <t>&lt;30</t>
  </si>
  <si>
    <t>&lt;40</t>
  </si>
  <si>
    <t>&lt;50</t>
  </si>
  <si>
    <t>&lt;60</t>
  </si>
  <si>
    <t>&lt;70</t>
  </si>
  <si>
    <t>&lt;80</t>
  </si>
  <si>
    <t>&lt;90</t>
  </si>
  <si>
    <t>&lt;100</t>
  </si>
  <si>
    <t>&lt;110</t>
  </si>
  <si>
    <t>&lt;120</t>
  </si>
  <si>
    <t>&lt;130</t>
  </si>
  <si>
    <t>&lt;140</t>
  </si>
  <si>
    <t>&lt;150</t>
  </si>
  <si>
    <t>&lt;160</t>
  </si>
  <si>
    <t>&lt;170</t>
  </si>
  <si>
    <t>&lt;180</t>
  </si>
  <si>
    <t>&lt;190</t>
  </si>
  <si>
    <t>&lt;200</t>
  </si>
  <si>
    <t>&lt;210</t>
  </si>
  <si>
    <t>&lt;220</t>
  </si>
  <si>
    <t>&lt;230</t>
  </si>
  <si>
    <t>&lt;240</t>
  </si>
  <si>
    <t>&lt;250</t>
  </si>
  <si>
    <t>&lt;260</t>
  </si>
  <si>
    <t>&lt;270</t>
  </si>
  <si>
    <t>&lt;280</t>
  </si>
  <si>
    <t>&lt;290</t>
  </si>
  <si>
    <t>&lt;300</t>
  </si>
  <si>
    <t>&lt;310</t>
  </si>
  <si>
    <t>&lt;320</t>
  </si>
  <si>
    <t>&lt;330</t>
  </si>
  <si>
    <t>&lt;340</t>
  </si>
  <si>
    <t>&lt;350</t>
  </si>
  <si>
    <t>&lt;360</t>
  </si>
  <si>
    <t>&lt;370</t>
  </si>
  <si>
    <t>&lt;380</t>
  </si>
  <si>
    <t>&lt;390</t>
  </si>
  <si>
    <t>&lt;400</t>
  </si>
  <si>
    <t>&lt;410</t>
  </si>
  <si>
    <t>&lt;420</t>
  </si>
  <si>
    <t>&lt;430</t>
  </si>
  <si>
    <t>&lt;440</t>
  </si>
  <si>
    <t>&lt;450</t>
  </si>
  <si>
    <t>&lt;460</t>
  </si>
  <si>
    <t>&lt;470</t>
  </si>
  <si>
    <t>&lt;480</t>
  </si>
  <si>
    <t>&lt;490</t>
  </si>
  <si>
    <t>&lt;500</t>
  </si>
  <si>
    <t>&lt;510</t>
  </si>
  <si>
    <t>&lt;520</t>
  </si>
  <si>
    <t>&lt;530</t>
  </si>
  <si>
    <t>&lt;540</t>
  </si>
  <si>
    <t>&lt;550</t>
  </si>
  <si>
    <t>&lt;560</t>
  </si>
  <si>
    <t>&lt;570</t>
  </si>
  <si>
    <t>&lt;580</t>
  </si>
  <si>
    <t>&lt;590</t>
  </si>
  <si>
    <t>&lt;600</t>
  </si>
  <si>
    <t>&lt;610</t>
  </si>
  <si>
    <t>&lt;620</t>
  </si>
  <si>
    <t>&lt;630</t>
  </si>
  <si>
    <t>&lt;640</t>
  </si>
  <si>
    <t>&lt;650</t>
  </si>
  <si>
    <t>&lt;660</t>
  </si>
  <si>
    <t>&lt;670</t>
  </si>
  <si>
    <t>&lt;680</t>
  </si>
  <si>
    <t>&lt;690</t>
  </si>
  <si>
    <t>&lt;700</t>
  </si>
  <si>
    <t>&lt;710</t>
  </si>
  <si>
    <t>&lt;720</t>
  </si>
  <si>
    <t>&lt;730</t>
  </si>
  <si>
    <t>&lt;740</t>
  </si>
  <si>
    <t>&lt;750</t>
  </si>
  <si>
    <t>&lt;760</t>
  </si>
  <si>
    <t>&lt;770</t>
  </si>
  <si>
    <t>&lt;780</t>
  </si>
  <si>
    <t>&lt;790</t>
  </si>
  <si>
    <t>&lt;800</t>
  </si>
  <si>
    <t>&lt;810</t>
  </si>
  <si>
    <t>&lt;820</t>
  </si>
  <si>
    <t>&lt;830</t>
  </si>
  <si>
    <t>&lt;840</t>
  </si>
  <si>
    <t>&lt;850</t>
  </si>
  <si>
    <t>&lt;860</t>
  </si>
  <si>
    <t>&lt;870</t>
  </si>
  <si>
    <t>&lt;880</t>
  </si>
  <si>
    <t>&lt;890</t>
  </si>
  <si>
    <t>&lt;900</t>
  </si>
  <si>
    <t>&lt;910</t>
  </si>
  <si>
    <t>&lt;920</t>
  </si>
  <si>
    <t>&lt;930</t>
  </si>
  <si>
    <t>&lt;940</t>
  </si>
  <si>
    <t>&lt;950</t>
  </si>
  <si>
    <t>&lt;960</t>
  </si>
  <si>
    <t>&lt;970</t>
  </si>
  <si>
    <t>&lt;980</t>
  </si>
  <si>
    <t>&lt;990</t>
  </si>
  <si>
    <t>&lt;1000</t>
  </si>
  <si>
    <t>&lt;1010</t>
  </si>
  <si>
    <t>&lt;1020</t>
  </si>
  <si>
    <t>&lt;1030</t>
  </si>
  <si>
    <t>&lt;1040</t>
  </si>
  <si>
    <t>&lt;1050</t>
  </si>
  <si>
    <t>&lt;1060</t>
  </si>
  <si>
    <t>&lt;1070</t>
  </si>
  <si>
    <t>&lt;1080</t>
  </si>
  <si>
    <t>&lt;1090</t>
  </si>
  <si>
    <t>&lt;1100</t>
  </si>
  <si>
    <t>&lt;1110</t>
  </si>
  <si>
    <t>&lt;1120</t>
  </si>
  <si>
    <t>&lt;1130</t>
  </si>
  <si>
    <t>&lt;1140</t>
  </si>
  <si>
    <t>&lt;1150</t>
  </si>
  <si>
    <t>&lt;1160</t>
  </si>
  <si>
    <t>&lt;1170</t>
  </si>
  <si>
    <t>&lt;1180</t>
  </si>
  <si>
    <t>&lt;1190</t>
  </si>
  <si>
    <t>&lt;1200</t>
  </si>
  <si>
    <t>&lt;1210</t>
  </si>
  <si>
    <t>&lt;1220</t>
  </si>
  <si>
    <t>&lt;1230</t>
  </si>
  <si>
    <t>&lt;1240</t>
  </si>
  <si>
    <t>&lt;1250</t>
  </si>
  <si>
    <t>Wehr (Hornbergstufe)</t>
  </si>
  <si>
    <t>Hotzenwaldgruppe</t>
  </si>
  <si>
    <t>Hornbergbecken</t>
  </si>
  <si>
    <t>Wehrabecken</t>
  </si>
  <si>
    <t>http://schluchseewerk.de/index.php/standorte/kraftwerk-wehr</t>
  </si>
  <si>
    <t>https://fr.wikipedia.org/wiki/Centrale_de_Mont%C3%A9zic</t>
  </si>
  <si>
    <t>Truyere</t>
  </si>
  <si>
    <t>Couesques</t>
  </si>
  <si>
    <t>Muela upper reservoir</t>
  </si>
  <si>
    <t>Jucar</t>
  </si>
  <si>
    <t>http://voith.com/de/11_06_Broschuere-Pumped-storage_einzeln.pdf</t>
  </si>
  <si>
    <t>https://es.wikipedia.org/wiki/Presa_de_Saucelle</t>
  </si>
  <si>
    <t>http://globalenergyobservatory.org/geoid/44131</t>
  </si>
  <si>
    <t>La Praz</t>
  </si>
  <si>
    <t>Pont des Chevres</t>
  </si>
  <si>
    <t>4 reversible Francis, 1 Pelton</t>
  </si>
  <si>
    <t>http://globalenergyobservatory.org/geoid/44379</t>
  </si>
  <si>
    <t>Arc</t>
  </si>
  <si>
    <t>https://fr.wikipedia.org/wiki/Barrage_de_Bissorte</t>
  </si>
  <si>
    <t>https://en.wikipedia.org/wiki/%C5%BBarnowiec_Pumped_Storage_Power_Station</t>
  </si>
  <si>
    <t>Czymanowo</t>
  </si>
  <si>
    <t>http://www.verbund.com/pp/de/pumpspeicherkraftwerk/kaprun-limberg2</t>
  </si>
  <si>
    <t>http://www.verbund.com/pp/de/pumpspeicherkraftwerk/kaprun-oberstufe</t>
  </si>
  <si>
    <t>Mooserboden</t>
  </si>
  <si>
    <t>Syracuse</t>
  </si>
  <si>
    <t>http://globalenergyobservatory.org/geoid/45434</t>
  </si>
  <si>
    <t>PGE Energia Odnawialna S.A.</t>
  </si>
  <si>
    <t>Miedzybrodzie</t>
  </si>
  <si>
    <t>Zar</t>
  </si>
  <si>
    <t>https://pl.wikipedia.org/wiki/Elektrownia_Por%C4%85bka-%C5%BBar</t>
  </si>
  <si>
    <t>Tajo</t>
  </si>
  <si>
    <t>https://www.iberdrola.es/webibd/gc/prod/en/doc/INFORMEANUAL.pdf</t>
  </si>
  <si>
    <t>http://enipedia.tudelft.nl/wiki/Cedillo_Powerplant</t>
  </si>
  <si>
    <t>Vorarlberger Illwerke AG</t>
  </si>
  <si>
    <t>Montafon</t>
  </si>
  <si>
    <t>https://de.wikipedia.org/wiki/Rodundwerk</t>
  </si>
  <si>
    <t>https://de.wikipedia.org/wiki/Rodundwerk_II</t>
  </si>
  <si>
    <t>Flumet</t>
  </si>
  <si>
    <t>http://globalenergyobservatory.org/form.php?pid=39785</t>
  </si>
  <si>
    <t>Cheylas</t>
  </si>
  <si>
    <t>https://fr.wikipedia.org/wiki/Lac_du_Flumet</t>
  </si>
  <si>
    <t>http://energie.edf.com/fichiers/fckeditor/DP_Visite_Cheylas.pdf</t>
  </si>
  <si>
    <t>Longefan</t>
  </si>
  <si>
    <t>http://www.hydroweb.fr/hydroweb.php?page=hydro_centrales.php&amp;HWC=9</t>
  </si>
  <si>
    <t>https://es.wikipedia.org/wiki/Embalse_de_Sallente</t>
  </si>
  <si>
    <t>Gento-Sallente</t>
  </si>
  <si>
    <t>Gento</t>
  </si>
  <si>
    <t>http://www.tremp.cat/public/153/file/Recrecimiento%20Presa%20Estany%20Gento.pdf</t>
  </si>
  <si>
    <t>http://enipedia.tudelft.nl/wiki/Estany_Gento-sallente_Powerplant</t>
  </si>
  <si>
    <t>Durance</t>
  </si>
  <si>
    <t>https://fr.wikipedia.org/wiki/Lac_de_Serre-Pon%C3%A7on</t>
  </si>
  <si>
    <t>http://globalenergyobservatory.org/geoid/39770</t>
  </si>
  <si>
    <t>Serre-Poncon</t>
  </si>
  <si>
    <t>Tyin</t>
  </si>
  <si>
    <t>Ardal</t>
  </si>
  <si>
    <t>evora/Beja</t>
  </si>
  <si>
    <t>Largest in Sweden. Other power stations at same river: Ritsem, Vietas, Satisjaure, Porjus, Seitevare, Parki, Randi, Akkats, Letsi, Ligga, Messaure, Laxede, Boden and Vitjarv</t>
  </si>
  <si>
    <t>Bad Sackingen</t>
  </si>
  <si>
    <t>Gabčikovo</t>
  </si>
  <si>
    <t>Braganca</t>
  </si>
  <si>
    <t>Ardalsvatnet</t>
  </si>
  <si>
    <t>https://snl.no/Tyin_kraftverk</t>
  </si>
  <si>
    <t>Norsk Hydro</t>
  </si>
  <si>
    <t>https://en.wikipedia.org/wiki/Tyin_Hydroelectric_Power_Station</t>
  </si>
  <si>
    <t>http://www.hydro.com/en/Products/Hydropower/Our-power-plants/Tyin/</t>
  </si>
  <si>
    <t>Tajo De la Encantada (El Chorro)</t>
  </si>
  <si>
    <t>http://www.embalses.net/pantano-876-tajo-de-la-encantada.html</t>
  </si>
  <si>
    <t>Tajo de la Encantada</t>
  </si>
  <si>
    <t>El Chorro</t>
  </si>
  <si>
    <t>Guadalhorce</t>
  </si>
  <si>
    <t>http://andaluciarustica.com/en/tajo-de-la-encantada-dam.htm</t>
  </si>
  <si>
    <t>http://presasyembalsesdeandalucia.es/presas/tajo_de_la_encantada/index.html</t>
  </si>
  <si>
    <t>http://www.uco.es/termodinamica/ppt/pdf/fluidos%2013.pdf</t>
  </si>
  <si>
    <t>Kruonis upper</t>
  </si>
  <si>
    <t>https://www.cez.cz/en/power-plants-and-environment/hydraulic-power-plants/orlik.html</t>
  </si>
  <si>
    <t>primarily peak demand</t>
  </si>
  <si>
    <t>https://cs.wikipedia.org/wiki/Vodn%C3%AD_elektr%C3%A1rna_Orl%C3%ADk</t>
  </si>
  <si>
    <t>Vltava</t>
  </si>
  <si>
    <t>https://en.wikipedia.org/wiki/Orl%C3%ADk_Dam</t>
  </si>
  <si>
    <t>http://www.casopisstavebnictvi.cz/oprava-vyvaru-vodniho-dila-orlik_N985</t>
  </si>
  <si>
    <t>Drac</t>
  </si>
  <si>
    <t>http://globalenergyobservatory.org/form.php?pid=39790</t>
  </si>
  <si>
    <t>http://energie.edf.com/fichiers/fckeditor/Commun/En_Direct_Centrales/Hydraulique/Centres/Les_Alpes/publications/documents/PlaquetteMonteynard2011.pdf</t>
  </si>
  <si>
    <t>https://en.wikipedia.org/wiki/Ffestiniog_Power_Station</t>
  </si>
  <si>
    <t>Stwlan</t>
  </si>
  <si>
    <t>Tan-y-Grisiau</t>
  </si>
  <si>
    <t>uses 39% more electricity (when pumping the water back up to the Llyn Stwlan) than it actually produces</t>
  </si>
  <si>
    <t>4 Francis turbines + 4 pumps</t>
  </si>
  <si>
    <t>http://www.fhc.co.uk/ffestiniog.htm</t>
  </si>
  <si>
    <t>Conzere-Mondragon (Bollene)</t>
  </si>
  <si>
    <t>Canal de Donzere-Mondragon</t>
  </si>
  <si>
    <t>Compagnie Nationale du Rhone (CNR)</t>
  </si>
  <si>
    <t>https://fr.wikipedia.org/wiki/Barrage_de_Donz%C3%A8re-Mondragon</t>
  </si>
  <si>
    <t>Canal Donzere-Mondragon</t>
  </si>
  <si>
    <t>http://enipedia.tudelft.nl/wiki/Donzere_Powerplant</t>
  </si>
  <si>
    <t>Molveno</t>
  </si>
  <si>
    <t>Lago Santa Massenza</t>
  </si>
  <si>
    <t>http://www.wikiwand.com/it/Lago_di_Santa_Massenza</t>
  </si>
  <si>
    <t>15 Pelton turbines, 2 pumps</t>
  </si>
  <si>
    <t>Langavatn</t>
  </si>
  <si>
    <t>Rundavatn</t>
  </si>
  <si>
    <t>Rembesdalsvatn</t>
  </si>
  <si>
    <t>Sysenvatn</t>
  </si>
  <si>
    <t>Goldisthal-oberbecken</t>
  </si>
  <si>
    <t>Avio, Benedetto</t>
  </si>
  <si>
    <t>http://ocw.unican.es/ensezas-tecnicas/centrales-de-generacion-de-energia-electrica/materiales/bloque-energia-III.pdf</t>
  </si>
  <si>
    <t>Kjensvat</t>
  </si>
  <si>
    <t>https://no.wikipedia.org/wiki/Kjennsvat</t>
  </si>
  <si>
    <t>Villarodin</t>
  </si>
  <si>
    <t>Cenise</t>
  </si>
  <si>
    <t>http://energie.edf.com/fichiers/fckeditor/Commun/En_Direct_Centrales/Hydraulique/Centres/Les_Alpes/publications/documents/Fiche_amenag_villarodin_BD.pdf</t>
  </si>
  <si>
    <t>http://globalenergyobservatory.org/geoid/39817</t>
  </si>
  <si>
    <t>Anapo upper reservoir</t>
  </si>
  <si>
    <t>Anapo lower reservoir</t>
  </si>
  <si>
    <t>Bitsch (Biel)</t>
  </si>
  <si>
    <t>http://www.alpiq.com/alpiq-group/our-assets/hydropower/storage-power-plants/massa-storage-power-station.jsp</t>
  </si>
  <si>
    <t>Alpiq</t>
  </si>
  <si>
    <t>Gibidum</t>
  </si>
  <si>
    <t>http://www.hydro-exploitation.ch/wasserkraftanlagen/electra-massa.html</t>
  </si>
  <si>
    <t>Statistik der Wasserkraftanlagen der Schweiz</t>
  </si>
  <si>
    <t>5 Pelton 1 Francis</t>
  </si>
  <si>
    <t>Gelmersee</t>
  </si>
  <si>
    <t>Raeterichsboden</t>
  </si>
  <si>
    <t>Katlavatn</t>
  </si>
  <si>
    <t>Bergdalsvatn</t>
  </si>
  <si>
    <t>Vesterdalstjern</t>
  </si>
  <si>
    <t>Vargevatn</t>
  </si>
  <si>
    <t>http://www.sirakvina.no/Prosjekter-og-anlegg/Hovedmagasiner/Svartevatn/</t>
  </si>
  <si>
    <t>https://no.wikipedia.org/wiki/Langavatnet_(Eidfjord)</t>
  </si>
  <si>
    <t>https://imammaolana.files.wordpress.com/2010/11/hydraulic_machines_textbook.pdf</t>
  </si>
  <si>
    <t>Moell</t>
  </si>
  <si>
    <t>http://globalenergyobservatory.org/geoid/44815</t>
  </si>
  <si>
    <t>https://books.google.nl/books?id=cb3dAgAAQBAJ&amp;pg=PA85&amp;lpg=PA85&amp;dq=usable+capacity+loch+Awe&amp;source=bl&amp;ots=eMZEbpnmg4&amp;sig=bMGoVTr6IMvJqYwdgDm51zUpAbE&amp;hl=nl&amp;sa=X&amp;ved=0ahUKEwiMqsegoKrNAhWkHsAKHbfcApoQ6AEINTAD#v=onepage&amp;q=usable%20capacity%20loch%20Awe&amp;f=false</t>
  </si>
  <si>
    <t>Station ID</t>
  </si>
  <si>
    <t>Almendra dam reservoir</t>
  </si>
  <si>
    <t>Number of turbines</t>
  </si>
  <si>
    <t>Capacity turbines [MW]</t>
  </si>
  <si>
    <t>Capacity pumps [MW]</t>
  </si>
  <si>
    <t>Turbine/pump type</t>
  </si>
  <si>
    <t>Number of pumps</t>
  </si>
  <si>
    <t>Annual generation [GWh]</t>
  </si>
  <si>
    <t>Start-up time, spinning [s]</t>
  </si>
  <si>
    <t>Max. generation time [hours]</t>
  </si>
  <si>
    <t>Max. pumping time [hours]</t>
  </si>
  <si>
    <t>Annual consumption by pumps [GWh]</t>
  </si>
  <si>
    <t>http://enipedia.tudelft.nl/wiki/Zarnowiec_Powerplant</t>
  </si>
  <si>
    <t>http://enipedia.tudelft.nl/wiki/Montezic_Powerplant</t>
  </si>
  <si>
    <t>http://enipedia.tudelft.nl/wiki/Jose_Oriol_Powerplant</t>
  </si>
  <si>
    <t>http://enipedia.tudelft.nl/wiki/Chiotas-piastra_Powerplant</t>
  </si>
  <si>
    <t>http://enipedia.tudelft.nl/wiki/Cortes-la_Muela_Powerplant</t>
  </si>
  <si>
    <t>Gabcikovo</t>
  </si>
  <si>
    <t>(Active) volume upper reservoir [Mm3]</t>
  </si>
  <si>
    <t>Maximum total flow rate turbines [m3/s]</t>
  </si>
  <si>
    <t>Maximum total flow rate pumps [m3/s]</t>
  </si>
  <si>
    <t>Average hydraulic head [m]</t>
  </si>
  <si>
    <t>Competitive use of water upper reservoir</t>
  </si>
  <si>
    <t>Remarks</t>
  </si>
  <si>
    <t>http://www.cedren.no/Portals/Cedren/REPORT_6326_Tonstad_Hydro-peaking.pdf</t>
  </si>
  <si>
    <t>http://www.statkraft.com/media/news/2016/eu-visit-to-kvilldal/</t>
  </si>
  <si>
    <t>Monnes_l'Etang</t>
  </si>
  <si>
    <t>Cancano_San Giacomo</t>
  </si>
  <si>
    <t>Tajo de la Encantada upper</t>
  </si>
  <si>
    <t>Goldisthal-Oberes S</t>
  </si>
  <si>
    <t>Grand Maison Dam</t>
  </si>
  <si>
    <t>Oriol (Alcantara II)</t>
  </si>
  <si>
    <t>Rottau</t>
  </si>
  <si>
    <t>Gabcikovo (Nagymaros Dams)</t>
  </si>
  <si>
    <t>Kops II</t>
  </si>
  <si>
    <t>Limberg I II</t>
  </si>
  <si>
    <t>Alqueva I II</t>
  </si>
  <si>
    <t>Rodundwerk I II</t>
  </si>
  <si>
    <t>Waldeck II</t>
  </si>
  <si>
    <t>Thisavros</t>
  </si>
  <si>
    <t>Sackingen</t>
  </si>
  <si>
    <t>Start up time, black start [s]</t>
  </si>
  <si>
    <t>Year latest modernization</t>
  </si>
  <si>
    <t>Name of power plant from which the natural inflow is used</t>
  </si>
  <si>
    <t>STO</t>
  </si>
  <si>
    <t>Res_name</t>
  </si>
  <si>
    <t>Min</t>
  </si>
  <si>
    <t>Av</t>
  </si>
  <si>
    <t>Max</t>
  </si>
  <si>
    <t>res_ID</t>
  </si>
  <si>
    <t>Goesskar</t>
  </si>
  <si>
    <t>Hydro database, based on thesis of M Gerritsma</t>
  </si>
  <si>
    <t>Type (ENTSOE)</t>
  </si>
  <si>
    <t>Type (based on method and data from thesis MG)</t>
  </si>
  <si>
    <t>AT</t>
  </si>
  <si>
    <t>BE</t>
  </si>
  <si>
    <t>BG</t>
  </si>
  <si>
    <t>CH</t>
  </si>
  <si>
    <t>CY</t>
  </si>
  <si>
    <t>CZ</t>
  </si>
  <si>
    <t>DE</t>
  </si>
  <si>
    <t>DK</t>
  </si>
  <si>
    <t>EE</t>
  </si>
  <si>
    <t>EL</t>
  </si>
  <si>
    <t>ES</t>
  </si>
  <si>
    <t>FI</t>
  </si>
  <si>
    <t>FR</t>
  </si>
  <si>
    <t>HR</t>
  </si>
  <si>
    <t>HU</t>
  </si>
  <si>
    <t>IE</t>
  </si>
  <si>
    <t>IT</t>
  </si>
  <si>
    <t>LT</t>
  </si>
  <si>
    <t>LU</t>
  </si>
  <si>
    <t>LV</t>
  </si>
  <si>
    <t>MT</t>
  </si>
  <si>
    <t>NL</t>
  </si>
  <si>
    <t>NO</t>
  </si>
  <si>
    <t>PL</t>
  </si>
  <si>
    <t>PT</t>
  </si>
  <si>
    <t>RO</t>
  </si>
  <si>
    <t>SE</t>
  </si>
  <si>
    <t>SI</t>
  </si>
  <si>
    <t>SK</t>
  </si>
  <si>
    <t>Head Storages</t>
  </si>
  <si>
    <t>Latitude</t>
  </si>
  <si>
    <t>Longitude</t>
  </si>
  <si>
    <t>Avg Hydraulic Head (m)</t>
  </si>
  <si>
    <t>Generator</t>
  </si>
  <si>
    <t>Power Station Name (second name)</t>
  </si>
  <si>
    <t>GB</t>
  </si>
  <si>
    <t>NI</t>
  </si>
  <si>
    <t>EU28+NO+CH</t>
  </si>
  <si>
    <t>-of which renewable</t>
  </si>
  <si>
    <t>-of which other hydro</t>
  </si>
  <si>
    <t>ENTSO-E reported (NGC end 2015)</t>
  </si>
  <si>
    <t xml:space="preserve">Total Hydro (MW) </t>
  </si>
  <si>
    <t>Great Britain</t>
  </si>
  <si>
    <t>Y</t>
  </si>
  <si>
    <t>N</t>
  </si>
  <si>
    <t>Database (MW)</t>
  </si>
  <si>
    <t>Completeness (%)</t>
  </si>
  <si>
    <t>Enipedia</t>
  </si>
  <si>
    <t>http://www.energystorageexchange.org/projects/778</t>
  </si>
  <si>
    <t>DOE Database of global energy storage projects, including pumped hydro</t>
  </si>
  <si>
    <t>DOE Global Energy Storage Database</t>
  </si>
  <si>
    <t>Global Energy Observatory</t>
  </si>
  <si>
    <t>Solbergfoss I</t>
  </si>
  <si>
    <t>https://forum.openmod-initiative.org/t/power-watch-beta-version/74</t>
  </si>
  <si>
    <t>Power Watch Database (beta)</t>
  </si>
  <si>
    <t>Origin</t>
  </si>
  <si>
    <t>M. Gerritsma Original Database</t>
  </si>
  <si>
    <t>Tonstad (Sira-Kvina)</t>
  </si>
  <si>
    <t>http://powerplants.vattenfall.nl/#/view=list/sort=name</t>
  </si>
  <si>
    <t>Vattenfall Hydro Plant List</t>
  </si>
  <si>
    <t>Stadkraft Hydro Plant List</t>
  </si>
  <si>
    <t>https://www.statkraft.com/energy-sources/Power-plants/Norway/Aurland-IV-Vangen/</t>
  </si>
  <si>
    <t>List of plants, mostly in Norway</t>
  </si>
  <si>
    <t>List of plants, mostly in Sweden</t>
  </si>
  <si>
    <t>Norsk Hydro Plant List</t>
  </si>
  <si>
    <t>http://www.hydro.com/en/products/energy/our-power-plants/roldal-suldal/</t>
  </si>
  <si>
    <t>Include in Count</t>
  </si>
  <si>
    <t>BFE</t>
  </si>
  <si>
    <t>Swiss hydro plants</t>
  </si>
  <si>
    <t>Fionnay (Dixence)</t>
  </si>
  <si>
    <t>Verbois</t>
  </si>
  <si>
    <t>Generation Capacity</t>
  </si>
  <si>
    <t>Storage Capacity</t>
  </si>
  <si>
    <t>Sima - additonal reservoir</t>
  </si>
  <si>
    <t>Rana - additonal reservoir</t>
  </si>
  <si>
    <t>Cheylas - additonal reservoir</t>
  </si>
  <si>
    <t>Pouget</t>
  </si>
  <si>
    <t>Pouget - additonal reservoir</t>
  </si>
  <si>
    <t>Innertkirchen 1 - additonal reservoir</t>
  </si>
  <si>
    <t>Aurland II</t>
  </si>
  <si>
    <t>Innertkirchen 1</t>
  </si>
  <si>
    <t>Aurland II - additonal reservoir</t>
  </si>
  <si>
    <t>Generator?</t>
  </si>
  <si>
    <t>Category</t>
  </si>
  <si>
    <t>ROR</t>
  </si>
  <si>
    <t>hydro-ROR</t>
  </si>
  <si>
    <t>hydro-STO</t>
  </si>
  <si>
    <t>hydro-PHS</t>
  </si>
  <si>
    <t>Description</t>
  </si>
  <si>
    <t>Type</t>
  </si>
  <si>
    <t>Individual</t>
  </si>
  <si>
    <t>Fuels</t>
  </si>
  <si>
    <t>Nodes</t>
  </si>
  <si>
    <t>Head Storage 1</t>
  </si>
  <si>
    <t>Head Storage 2</t>
  </si>
  <si>
    <t>Head Storage 3</t>
  </si>
  <si>
    <t>Head Storage 4</t>
  </si>
  <si>
    <t>Head Storage 5</t>
  </si>
  <si>
    <t>Tail Storage 1</t>
  </si>
  <si>
    <t>Tail Storage 2</t>
  </si>
  <si>
    <t>Tail Storage 3</t>
  </si>
  <si>
    <t>Tail Storage 4</t>
  </si>
  <si>
    <t>Tail Storage 5</t>
  </si>
  <si>
    <t>Head Storage 6</t>
  </si>
  <si>
    <t>Head Storage 7</t>
  </si>
  <si>
    <t>Head Storage 8</t>
  </si>
  <si>
    <t>Head Storage 9</t>
  </si>
  <si>
    <t>Head Storage 10</t>
  </si>
  <si>
    <t>Tail Storage</t>
  </si>
  <si>
    <t>Placement</t>
  </si>
  <si>
    <t>Model</t>
  </si>
  <si>
    <t>Storage</t>
  </si>
  <si>
    <t>Present</t>
  </si>
  <si>
    <t>Total Turbine Capacity (MW)</t>
  </si>
  <si>
    <t>Total Pump Capacity (MW)</t>
  </si>
  <si>
    <t>To do for hydro:</t>
  </si>
  <si>
    <t>1. Calculate long-term average flow (m3/h)</t>
  </si>
  <si>
    <t>2. Reclassify hydro generators as STO, PHP or ROR (use 400h cutoff from Marte/ENTSOE or define a lower value?) 400h is 16 days of storage, this is still a significant amount of storage and enough to balance power system, and still dispatchable enough that it is not really 'intermittent' iRES</t>
  </si>
  <si>
    <t>3. Convert volumetric inflows for each site to MW flows</t>
  </si>
  <si>
    <t>4. Work out storage complex connectivities</t>
  </si>
  <si>
    <t>twithhold</t>
  </si>
  <si>
    <t>Pumped missing tail?</t>
  </si>
  <si>
    <t>Dougo</t>
  </si>
  <si>
    <t>Rhein</t>
  </si>
  <si>
    <t>Angerman</t>
  </si>
  <si>
    <t>Kvilldal_lower</t>
  </si>
  <si>
    <t>Iron Gate I_lower</t>
  </si>
  <si>
    <t>Gabcikovo (Nagymaros Dams)_lower</t>
  </si>
  <si>
    <t>Svartisen_lower</t>
  </si>
  <si>
    <t>Stornorrfors_lower</t>
  </si>
  <si>
    <t>La Bathie_lower</t>
  </si>
  <si>
    <t>Saucelle_lower</t>
  </si>
  <si>
    <t>Ciunget_lower</t>
  </si>
  <si>
    <t>Silz_lower</t>
  </si>
  <si>
    <t>Zakucac _lower</t>
  </si>
  <si>
    <t>Rana_lower</t>
  </si>
  <si>
    <t>Cedillo_lower</t>
  </si>
  <si>
    <t>Porjus_lower</t>
  </si>
  <si>
    <t>Messaure_lower</t>
  </si>
  <si>
    <t>Letsi_lower</t>
  </si>
  <si>
    <t>Picote I + II_lower</t>
  </si>
  <si>
    <t>Pouget_lower</t>
  </si>
  <si>
    <t>Kremasta_lower</t>
  </si>
  <si>
    <t>Bemposta_lower</t>
  </si>
  <si>
    <t>Grosio_lower</t>
  </si>
  <si>
    <t>Genissiat_lower</t>
  </si>
  <si>
    <t>Kaunertal_lower</t>
  </si>
  <si>
    <t>Nendaz_lower</t>
  </si>
  <si>
    <t>Serre-Poncon_lower</t>
  </si>
  <si>
    <t>Miranda_lower</t>
  </si>
  <si>
    <t>Orlik_lower</t>
  </si>
  <si>
    <t>Monteynard_lower</t>
  </si>
  <si>
    <t>Villarodin_lower</t>
  </si>
  <si>
    <t>Conzere-Mondragon (Bollene)_lower</t>
  </si>
  <si>
    <t>Bitsch (Biel)_lower</t>
  </si>
  <si>
    <t>Malgovert_lower</t>
  </si>
  <si>
    <t>Mequinenza_lower</t>
  </si>
  <si>
    <t>Iron Gate II_lower</t>
  </si>
  <si>
    <t>Fionnay (Dixence)_lower</t>
  </si>
  <si>
    <t>Ribarroja_lower</t>
  </si>
  <si>
    <t>Innertkirchen 1_lower</t>
  </si>
  <si>
    <t>Hylen_lower</t>
  </si>
  <si>
    <t>Yes</t>
  </si>
  <si>
    <t>Name</t>
  </si>
  <si>
    <t>Max Capacity</t>
  </si>
  <si>
    <t>Units</t>
  </si>
  <si>
    <t>Pump Units</t>
  </si>
  <si>
    <t>Pump Load</t>
  </si>
  <si>
    <t>Other handy hydro links?</t>
  </si>
  <si>
    <t>https://wiki.openmod-initiative.org/wiki/Hydroelectricity_data</t>
  </si>
  <si>
    <t>Purpose</t>
  </si>
  <si>
    <t>From Reservoir</t>
  </si>
  <si>
    <t>To Reservoir</t>
  </si>
  <si>
    <t>Bring water from secondary head storage to main reservoir</t>
  </si>
  <si>
    <t>https://en.wikipedia.org/wiki/K%C3%B6lnbrein_Dam</t>
  </si>
  <si>
    <t xml:space="preserve">Reisseck II </t>
  </si>
  <si>
    <t>https://www.statkraft.com/energy-sources/Power-plants/Norway/Sima/</t>
  </si>
  <si>
    <t>https://www.verbund.com/en-de/about-verbund/power-plants/our-power-plants/reisseck2</t>
  </si>
  <si>
    <t>Malta-Reisseck</t>
  </si>
  <si>
    <t>Grosser Mühldorfer</t>
  </si>
  <si>
    <t>Goesskarspeicher</t>
  </si>
  <si>
    <t>Europe Total</t>
  </si>
  <si>
    <t>TWh</t>
  </si>
  <si>
    <t>Define Hydro balance plants</t>
  </si>
  <si>
    <t>Database (TWh)</t>
  </si>
  <si>
    <t>One-way turbine/pump efficiency</t>
  </si>
  <si>
    <t>Maximum Head Storage Method</t>
  </si>
  <si>
    <t xml:space="preserve">Maximum Head Storage Volume (GWh) </t>
  </si>
  <si>
    <t>http://kraftnytt.no/2017/06/20/utvidelser-i-eksisterende-vannkraftanlegg-har-gitt-norge-storre-magasinkapasitet/</t>
  </si>
  <si>
    <t>Overview of Norwegian hydro, total capacity</t>
  </si>
  <si>
    <t>Brevieres_lower</t>
  </si>
  <si>
    <t>All storages</t>
  </si>
  <si>
    <t>Unique Storages</t>
  </si>
  <si>
    <t>Max Volume_GWh</t>
  </si>
  <si>
    <t>Max Volume_Mm3</t>
  </si>
  <si>
    <t>Node</t>
  </si>
  <si>
    <t>Natural Inflow Scalar (temp)</t>
  </si>
  <si>
    <t>Generator Name (temp)</t>
  </si>
  <si>
    <t>Total</t>
  </si>
  <si>
    <t>Shares</t>
  </si>
  <si>
    <t>ENTSOE (2016)</t>
  </si>
  <si>
    <t>Database</t>
  </si>
  <si>
    <t>Capacity Comparison</t>
  </si>
  <si>
    <t>Waterway.Storage From</t>
  </si>
  <si>
    <t>Waterway.Storage To</t>
  </si>
  <si>
    <t>Rembesdalsvatn-Langavatn</t>
  </si>
  <si>
    <t>Sysenvatn-Langavatn</t>
  </si>
  <si>
    <t>Kallvatnet-Akersvatnet</t>
  </si>
  <si>
    <t>Gresvatnet-Akersvatnet</t>
  </si>
  <si>
    <t>Kjensvat-Akersvatnet</t>
  </si>
  <si>
    <t>Longefan-Flumet</t>
  </si>
  <si>
    <t>Pareloup-Villefranche-de-Panat</t>
  </si>
  <si>
    <t>Grimsel-Gelmersee</t>
  </si>
  <si>
    <t>Raeterichsboden-Gelmersee</t>
  </si>
  <si>
    <t>Svartevatn-Vargevatn</t>
  </si>
  <si>
    <t>Langavatn-Vargevatn</t>
  </si>
  <si>
    <t>Katlavatn-Vargevatn</t>
  </si>
  <si>
    <t>Bergdalsvatn-Vargevatn</t>
  </si>
  <si>
    <t>Vesterdalstjern-Vargevatn</t>
  </si>
  <si>
    <t>Vetlebotnvatn-Vargevatn</t>
  </si>
  <si>
    <t>Temporary Plexos Input</t>
  </si>
  <si>
    <t>DNV GL</t>
  </si>
  <si>
    <t>Hydro-STO</t>
  </si>
  <si>
    <t>Hydro-PHS</t>
  </si>
  <si>
    <t>Hydro-RoR</t>
  </si>
  <si>
    <t>Pumped Storage</t>
  </si>
  <si>
    <t>Total of hydro plants by type from ENTSOE-2016</t>
  </si>
  <si>
    <t>Capacity by plant type from ENTSOE</t>
  </si>
  <si>
    <t>Capacity by plant type in DETAILED database</t>
  </si>
  <si>
    <t>Total Hydro</t>
  </si>
  <si>
    <t>Total (Exc. Pumped)</t>
  </si>
  <si>
    <t>Total from World Energy Council (2015)</t>
  </si>
  <si>
    <t>MISSING  Capacity per plant type (ENTSOE - Database)</t>
  </si>
  <si>
    <t>Total from Eurostat (2015)</t>
  </si>
  <si>
    <t>End of 2015</t>
  </si>
  <si>
    <t>Eurostat (2015)</t>
  </si>
  <si>
    <t>Capacity Shares</t>
  </si>
  <si>
    <t>Additional capacity assigned due to difference with ENTSO-E database (MW)</t>
  </si>
  <si>
    <t>Capacity so far</t>
  </si>
  <si>
    <t>Share</t>
  </si>
  <si>
    <t>Europe' in DNV GL study includes Turkey</t>
  </si>
  <si>
    <t>GW</t>
  </si>
  <si>
    <t>https://www.hydropower.org/country-profiles/turkey</t>
  </si>
  <si>
    <t>Required capacity</t>
  </si>
  <si>
    <t>Running total difference with Eurostat</t>
  </si>
  <si>
    <t>Eurostat-Total</t>
  </si>
  <si>
    <t>EUROSTAT/BFE Data</t>
  </si>
  <si>
    <t>*Note: ENTSOE won't include all individual units, and inclueds more units than reported totals for some countries.</t>
  </si>
  <si>
    <t>~55 GW matches world energy council values</t>
  </si>
  <si>
    <t>Country Total (Database + Allocation)</t>
  </si>
  <si>
    <t>Capacity changes required to meet target plant type shares</t>
  </si>
  <si>
    <t>Hydro-ROR</t>
  </si>
  <si>
    <t>Specific storage (GWh/GW)</t>
  </si>
  <si>
    <t>Total storage (GWh)</t>
  </si>
  <si>
    <t>Specific</t>
  </si>
  <si>
    <t>Storage assignment:</t>
  </si>
  <si>
    <t>Based on average storage capacity per MW (e.g. MWh/MW), thus adapted to plant size</t>
  </si>
  <si>
    <t>Unit Average</t>
  </si>
  <si>
    <t>Based on average storage size per plant type (MWh)</t>
  </si>
  <si>
    <t>Nominal plant size (MW)</t>
  </si>
  <si>
    <t>AVG plant size (ENTSOE) (MW)</t>
  </si>
  <si>
    <t>Not doing this, as current shares are within range reported</t>
  </si>
  <si>
    <t>Additional number of lumped generator units to model</t>
  </si>
  <si>
    <t>Average hydro plant size per type based on ENTSOE individual unit list</t>
  </si>
  <si>
    <t>Max Volume</t>
  </si>
  <si>
    <t>Lumped Generators</t>
  </si>
  <si>
    <t>Additional storage capacities to model (GWh)</t>
  </si>
  <si>
    <t>Roundtrop efficiency</t>
  </si>
  <si>
    <t>Detailed</t>
  </si>
  <si>
    <t>Lumped</t>
  </si>
  <si>
    <t>Total Final Hydro Generation Capacity Summary</t>
  </si>
  <si>
    <t>Capacity, in GW</t>
  </si>
  <si>
    <t>Storage in GWh</t>
  </si>
  <si>
    <t>Total (%)</t>
  </si>
  <si>
    <t>Seems a bit low, considering DNV GL report reservoir volume of around 220 TWh for Europe (though this includes Turkey). Excluding Turkey  (40 TWh) gives 180 TWh.</t>
  </si>
  <si>
    <t>But, possibly different assumptions made in calculating reservoir capacity, some dams may have more capacity which has not been included</t>
  </si>
  <si>
    <t>Could calibrate by adjusting assumed specific storage for lumped Hydro-STO until total is met.</t>
  </si>
  <si>
    <t>Difference</t>
  </si>
  <si>
    <t>TWh, Total EU28+NO+CH reservoir capacity (DNV GL)</t>
  </si>
  <si>
    <t>Typical storage amount per hydro plant based on Database</t>
  </si>
  <si>
    <t>Lumped Head Storages</t>
  </si>
  <si>
    <t>Lumped Tail Storages</t>
  </si>
  <si>
    <t>Total Capacity</t>
  </si>
  <si>
    <t>Eurostat</t>
  </si>
  <si>
    <t>Run-of-river (RoR)</t>
  </si>
  <si>
    <t>Storage (STO)</t>
  </si>
  <si>
    <t>Pumped storage (PHS)</t>
  </si>
  <si>
    <t>This study: Lumped plants</t>
  </si>
  <si>
    <t>Blank 1</t>
  </si>
  <si>
    <t>Blank 2</t>
  </si>
  <si>
    <t>Blank 3</t>
  </si>
  <si>
    <t>This study: Detailed plants</t>
  </si>
  <si>
    <t>D:\Projects\100% RES\Input Data\Hydro inflows\Energy\Marte\Affoldener See.csv</t>
  </si>
  <si>
    <t>D:\Projects\100% RES\Input Data\Hydro inflows\Energy\Marte\Alcantara.csv</t>
  </si>
  <si>
    <t>D:\Projects\100% RES\Input Data\Hydro inflows\Energy\Marte\Aldeadavila.csv</t>
  </si>
  <si>
    <t>D:\Projects\100% RES\Input Data\Hydro inflows\Energy\Marte\Almendra dam reservoir.csv</t>
  </si>
  <si>
    <t>D:\Projects\100% RES\Input Data\Hydro inflows\Energy\Marte\Alqueva.csv</t>
  </si>
  <si>
    <t>D:\Projects\100% RES\Input Data\Hydro inflows\Energy\Marte\Alto Lindoso.csv</t>
  </si>
  <si>
    <t>D:\Projects\100% RES\Input Data\Hydro inflows\Energy\Marte\Anapo lower reservoir.csv</t>
  </si>
  <si>
    <t>D:\Projects\100% RES\Input Data\Hydro inflows\Energy\Marte\Anapo upper reservoir.csv</t>
  </si>
  <si>
    <t>D:\Projects\100% RES\Input Data\Hydro inflows\Energy\Marte\Avio, Benedetto.csv</t>
  </si>
  <si>
    <t>D:\Projects\100% RES\Input Data\Hydro inflows\Energy\Marte\Bemposta.csv</t>
  </si>
  <si>
    <t>D:\Projects\100% RES\Input Data\Hydro inflows\Energy\Marte\Bissorte.csv</t>
  </si>
  <si>
    <t>D:\Projects\100% RES\Input Data\Hydro inflows\Energy\Marte\Canal Donzere-Mondragon.csv</t>
  </si>
  <si>
    <t>D:\Projects\100% RES\Input Data\Hydro inflows\Energy\Marte\Cancano_San Giacomo.csv</t>
  </si>
  <si>
    <t>D:\Projects\100% RES\Input Data\Hydro inflows\Energy\Marte\Cedillo.csv</t>
  </si>
  <si>
    <t>D:\Projects\100% RES\Input Data\Hydro inflows\Energy\Marte\Cesima.csv</t>
  </si>
  <si>
    <t>D:\Projects\100% RES\Input Data\Hydro inflows\Energy\Marte\Chevril.csv</t>
  </si>
  <si>
    <t>D:\Projects\100% RES\Input Data\Hydro inflows\Energy\Marte\Cheylas.csv</t>
  </si>
  <si>
    <t>D:\Projects\100% RES\Input Data\Hydro inflows\Energy\Marte\Coo 1, Coo 2.csv</t>
  </si>
  <si>
    <t>D:\Projects\100% RES\Input Data\Hydro inflows\Energy\Marte\Coo Beneden.csv</t>
  </si>
  <si>
    <t>D:\Projects\100% RES\Input Data\Hydro inflows\Energy\Marte\Cortes de Pallas.csv</t>
  </si>
  <si>
    <t>D:\Projects\100% RES\Input Data\Hydro inflows\Energy\Marte\Couesques.csv</t>
  </si>
  <si>
    <t>D:\Projects\100% RES\Input Data\Hydro inflows\Energy\Marte\Cruachan.csv</t>
  </si>
  <si>
    <t>D:\Projects\100% RES\Input Data\Hydro inflows\Energy\Marte\Eggbergbecken.csv</t>
  </si>
  <si>
    <t>D:\Projects\100% RES\Input Data\Hydro inflows\Energy\Marte\Finstertal.csv</t>
  </si>
  <si>
    <t>D:\Projects\100% RES\Input Data\Hydro inflows\Energy\Marte\Flumet.csv</t>
  </si>
  <si>
    <t>D:\Projects\100% RES\Input Data\Hydro inflows\Energy\Marte\Galgenbichl.csv</t>
  </si>
  <si>
    <t>D:\Projects\100% RES\Input Data\Hydro inflows\Energy\Marte\Gelmersee.csv</t>
  </si>
  <si>
    <t>D:\Projects\100% RES\Input Data\Hydro inflows\Energy\Marte\Genissiat.csv</t>
  </si>
  <si>
    <t>D:\Projects\100% RES\Input Data\Hydro inflows\Energy\Marte\Gento.csv</t>
  </si>
  <si>
    <t>D:\Projects\100% RES\Input Data\Hydro inflows\Energy\Marte\Gepatsch.csv</t>
  </si>
  <si>
    <t>D:\Projects\100% RES\Input Data\Hydro inflows\Energy\Marte\Gibidum.csv</t>
  </si>
  <si>
    <t>D:\Projects\100% RES\Input Data\Hydro inflows\Energy\Marte\Goldisthal-oberbecken.csv</t>
  </si>
  <si>
    <t>D:\Projects\100% RES\Input Data\Hydro inflows\Energy\Marte\Goldisthal-Oberes S.csv</t>
  </si>
  <si>
    <t>D:\Projects\100% RES\Input Data\Hydro inflows\Energy\Marte\Grand Dixence reservoir.csv</t>
  </si>
  <si>
    <t>D:\Projects\100% RES\Input Data\Hydro inflows\Energy\Marte\Grand Maison.csv</t>
  </si>
  <si>
    <t>D:\Projects\100% RES\Input Data\Hydro inflows\Energy\Marte\Grimsel.csv</t>
  </si>
  <si>
    <t>D:\Projects\100% RES\Input Data\Hydro inflows\Energy\Marte\Hornbergbecken.csv</t>
  </si>
  <si>
    <t>D:\Projects\100% RES\Input Data\Hydro inflows\Energy\Marte\Kops.csv</t>
  </si>
  <si>
    <t>D:\Projects\100% RES\Input Data\Hydro inflows\Energy\Marte\Laengental.csv</t>
  </si>
  <si>
    <t>D:\Projects\100% RES\Input Data\Hydro inflows\Energy\Marte\Lago d'Arno.csv</t>
  </si>
  <si>
    <t>D:\Projects\100% RES\Input Data\Hydro inflows\Energy\Marte\Lago del Chiotas.csv</t>
  </si>
  <si>
    <t>D:\Projects\100% RES\Input Data\Hydro inflows\Energy\Marte\Lago Delio.csv</t>
  </si>
  <si>
    <t>D:\Projects\100% RES\Input Data\Hydro inflows\Energy\Marte\Lago della Piastra.csv</t>
  </si>
  <si>
    <t>D:\Projects\100% RES\Input Data\Hydro inflows\Energy\Marte\Lago della Rovina.csv</t>
  </si>
  <si>
    <t>D:\Projects\100% RES\Input Data\Hydro inflows\Energy\Marte\Lago di Campotosto.csv</t>
  </si>
  <si>
    <t>D:\Projects\100% RES\Input Data\Hydro inflows\Energy\Marte\Lago Edolo.csv</t>
  </si>
  <si>
    <t>D:\Projects\100% RES\Input Data\Hydro inflows\Energy\Marte\Lago Maggiore.csv</t>
  </si>
  <si>
    <t>D:\Projects\100% RES\Input Data\Hydro inflows\Energy\Marte\Lago Santa Massenza.csv</t>
  </si>
  <si>
    <t>D:\Projects\100% RES\Input Data\Hydro inflows\Energy\Marte\Latschau.csv</t>
  </si>
  <si>
    <t>D:\Projects\100% RES\Input Data\Hydro inflows\Energy\Marte\Le Mont Cenis.csv</t>
  </si>
  <si>
    <t>D:\Projects\100% RES\Input Data\Hydro inflows\Energy\Marte\Limmern.csv</t>
  </si>
  <si>
    <t>D:\Projects\100% RES\Input Data\Hydro inflows\Energy\Marte\Llyn Peris.csv</t>
  </si>
  <si>
    <t>D:\Projects\100% RES\Input Data\Hydro inflows\Energy\Marte\Loch Awe.csv</t>
  </si>
  <si>
    <t>D:\Projects\100% RES\Input Data\Hydro inflows\Energy\Marte\Longefan.csv</t>
  </si>
  <si>
    <t>D:\Projects\100% RES\Input Data\Hydro inflows\Energy\Marte\Marchlyn Mawr.csv</t>
  </si>
  <si>
    <t>D:\Projects\100% RES\Input Data\Hydro inflows\Energy\Marte\Markersbach-oberbecken.csv</t>
  </si>
  <si>
    <t>D:\Projects\100% RES\Input Data\Hydro inflows\Energy\Marte\Markersbach-unterbecken.csv</t>
  </si>
  <si>
    <t>D:\Projects\100% RES\Input Data\Hydro inflows\Energy\Marte\Marquisades.csv</t>
  </si>
  <si>
    <t>D:\Projects\100% RES\Input Data\Hydro inflows\Energy\Marte\Mequinenza.csv</t>
  </si>
  <si>
    <t>D:\Projects\100% RES\Input Data\Hydro inflows\Energy\Marte\Miranda.csv</t>
  </si>
  <si>
    <t>D:\Projects\100% RES\Input Data\Hydro inflows\Energy\Marte\Moell.csv</t>
  </si>
  <si>
    <t>D:\Projects\100% RES\Input Data\Hydro inflows\Energy\Marte\Molveno.csv</t>
  </si>
  <si>
    <t>D:\Projects\100% RES\Input Data\Hydro inflows\Energy\Marte\Monnes_l'Etang.csv</t>
  </si>
  <si>
    <t>D:\Projects\100% RES\Input Data\Hydro inflows\Energy\Marte\Monteynard.csv</t>
  </si>
  <si>
    <t>D:\Projects\100% RES\Input Data\Hydro inflows\Energy\Marte\Mooserboden.csv</t>
  </si>
  <si>
    <t>D:\Projects\100% RES\Input Data\Hydro inflows\Energy\Marte\Muela upper reservoir.csv</t>
  </si>
  <si>
    <t>D:\Projects\100% RES\Input Data\Hydro inflows\Energy\Marte\Oberaar.csv</t>
  </si>
  <si>
    <t>D:\Projects\100% RES\Input Data\Hydro inflows\Energy\Marte\Oberbecken Waldeck II.csv</t>
  </si>
  <si>
    <t>D:\Projects\100% RES\Input Data\Hydro inflows\Energy\Marte\Pareloup.csv</t>
  </si>
  <si>
    <t>D:\Projects\100% RES\Input Data\Hydro inflows\Energy\Marte\Pedrogao.csv</t>
  </si>
  <si>
    <t>D:\Projects\100% RES\Input Data\Hydro inflows\Energy\Marte\Piaganini.csv</t>
  </si>
  <si>
    <t>D:\Projects\100% RES\Input Data\Hydro inflows\Energy\Marte\Picote.csv</t>
  </si>
  <si>
    <t>D:\Projects\100% RES\Input Data\Hydro inflows\Energy\Marte\Pont des Chevres.csv</t>
  </si>
  <si>
    <t>D:\Projects\100% RES\Input Data\Hydro inflows\Energy\Marte\Presenzano Lower.csv</t>
  </si>
  <si>
    <t>D:\Projects\100% RES\Input Data\Hydro inflows\Energy\Marte\Provvidenza.csv</t>
  </si>
  <si>
    <t>D:\Projects\100% RES\Input Data\Hydro inflows\Energy\Marte\Raeterichsboden.csv</t>
  </si>
  <si>
    <t>D:\Projects\100% RES\Input Data\Hydro inflows\Energy\Marte\Ribarroja.csv</t>
  </si>
  <si>
    <t>D:\Projects\100% RES\Input Data\Hydro inflows\Energy\Marte\Rifa.csv</t>
  </si>
  <si>
    <t>D:\Projects\100% RES\Input Data\Hydro inflows\Energy\Marte\Rodund.csv</t>
  </si>
  <si>
    <t>D:\Projects\100% RES\Input Data\Hydro inflows\Energy\Marte\Roselend.csv</t>
  </si>
  <si>
    <t>D:\Projects\100% RES\Input Data\Hydro inflows\Energy\Marte\Sallente.csv</t>
  </si>
  <si>
    <t>D:\Projects\100% RES\Input Data\Hydro inflows\Energy\Marte\Saucelle.csv</t>
  </si>
  <si>
    <t>D:\Projects\100% RES\Input Data\Hydro inflows\Energy\Marte\Sellero.csv</t>
  </si>
  <si>
    <t>D:\Projects\100% RES\Input Data\Hydro inflows\Energy\Marte\Serre-Poncon.csv</t>
  </si>
  <si>
    <t>D:\Projects\100% RES\Input Data\Hydro inflows\Energy\Marte\Stillup.csv</t>
  </si>
  <si>
    <t>D:\Projects\100% RES\Input Data\Hydro inflows\Energy\Marte\Stwlan.csv</t>
  </si>
  <si>
    <t>D:\Projects\100% RES\Input Data\Hydro inflows\Energy\Marte\Tajo de la Encantada upper.csv</t>
  </si>
  <si>
    <t>D:\Projects\100% RES\Input Data\Hydro inflows\Energy\Marte\Tajo de la Encantada.csv</t>
  </si>
  <si>
    <t>D:\Projects\100% RES\Input Data\Hydro inflows\Energy\Marte\Tan-y-Grisiau.csv</t>
  </si>
  <si>
    <t>D:\Projects\100% RES\Input Data\Hydro inflows\Energy\Marte\Tierfehd.csv</t>
  </si>
  <si>
    <t>D:\Projects\100% RES\Input Data\Hydro inflows\Energy\Marte\Touvedo.csv</t>
  </si>
  <si>
    <t>D:\Projects\100% RES\Input Data\Hydro inflows\Energy\Marte\Val Grosina.csv</t>
  </si>
  <si>
    <t>D:\Projects\100% RES\Input Data\Hydro inflows\Energy\Marte\Verney.csv</t>
  </si>
  <si>
    <t>D:\Projects\100% RES\Input Data\Hydro inflows\Energy\Marte\Vianden lower.csv</t>
  </si>
  <si>
    <t>D:\Projects\100% RES\Input Data\Hydro inflows\Energy\Marte\Vianden upper.csv</t>
  </si>
  <si>
    <t>D:\Projects\100% RES\Input Data\Hydro inflows\Energy\Marte\Villefranche-de-Panat.csv</t>
  </si>
  <si>
    <t>D:\Projects\100% RES\Input Data\Hydro inflows\Energy\Marte\Wasserfallboden.csv</t>
  </si>
  <si>
    <t>D:\Projects\100% RES\Input Data\Hydro inflows\Energy\Marte\Wehrabecken.csv</t>
  </si>
  <si>
    <t>D:\Projects\100% RES\Input Data\Hydro inflows\Energy\Marte\Whitaker.csv</t>
  </si>
  <si>
    <t>D:\Projects\100% RES\Input Data\Hydro inflows\Energy\Marte\Zillergruendel.csv</t>
  </si>
  <si>
    <t>Head Storages whose average inflows I took from Marte and applied to all years, as temporary measure until good data is available from Edwin</t>
  </si>
  <si>
    <t>csv</t>
  </si>
  <si>
    <t>Lumped Detailed Generators</t>
  </si>
  <si>
    <t>If the detailed plants are not working correctly, these sheet lumps even the detailed hydro plants into lumped units, so that the total hydro capacity and generation can still be included in the model</t>
  </si>
  <si>
    <t>AT_hydro-ROR_lumped</t>
  </si>
  <si>
    <t>Max Capacity Factor Year</t>
  </si>
  <si>
    <t>%</t>
  </si>
  <si>
    <t>=</t>
  </si>
  <si>
    <t>Lumped RoR Max Year CF</t>
  </si>
  <si>
    <t>CH_hydro-ROR_DetLumped</t>
  </si>
  <si>
    <t>Lumped detailed hydro</t>
  </si>
  <si>
    <t>CZ_hydro-ROR_DetLumped</t>
  </si>
  <si>
    <t>DE_hydro-ROR_lumped</t>
  </si>
  <si>
    <t>ES_hydro-ROR_DetLumped</t>
  </si>
  <si>
    <t>FI_hydro-ROR_lumped</t>
  </si>
  <si>
    <t>FR_hydro-ROR_DetLumped</t>
  </si>
  <si>
    <t>FR_hydro-ROR_lumped</t>
  </si>
  <si>
    <t>GB_hydro-ROR_lumped</t>
  </si>
  <si>
    <t>HR_hydro-ROR_DetLumped</t>
  </si>
  <si>
    <t>HR_hydro-ROR_lumped</t>
  </si>
  <si>
    <t>IE_hydro-ROR_lumped</t>
  </si>
  <si>
    <t>IT_hydro-ROR_DetLumped</t>
  </si>
  <si>
    <t>IT_hydro-ROR_lumped</t>
  </si>
  <si>
    <t>LV_hydro-ROR_DetLumped</t>
  </si>
  <si>
    <t>NO_hydro-ROR_lumped</t>
  </si>
  <si>
    <t>PL_hydro-ROR_lumped</t>
  </si>
  <si>
    <t>PT_hydro-ROR_DetLumped</t>
  </si>
  <si>
    <t>PT_hydro-ROR_lumped</t>
  </si>
  <si>
    <t>RO_hydro-ROR_DetLumped</t>
  </si>
  <si>
    <t>SE_hydro-ROR_lumped</t>
  </si>
  <si>
    <t>SI_hydro-ROR_lumped</t>
  </si>
  <si>
    <t>SK_hydro-ROR_DetLumped</t>
  </si>
  <si>
    <t>AT_hydro-STO_DetLumped</t>
  </si>
  <si>
    <t>AT_hydro-STO_lumped</t>
  </si>
  <si>
    <t>Lumped STO Max Year CF</t>
  </si>
  <si>
    <t>BG_hydro-STO_lumped</t>
  </si>
  <si>
    <t>CH_hydro-STO_DetLumped</t>
  </si>
  <si>
    <t>CH_hydro-STO_lumped</t>
  </si>
  <si>
    <t>CZ_hydro-STO_lumped</t>
  </si>
  <si>
    <t>DE_hydro-STO_lumped</t>
  </si>
  <si>
    <t>EL_hydro-STO_DetLumped</t>
  </si>
  <si>
    <t>EL_hydro-STO_lumped</t>
  </si>
  <si>
    <t>ES_hydro-STO_DetLumped</t>
  </si>
  <si>
    <t>ES_hydro-STO_lumped</t>
  </si>
  <si>
    <t>FR_hydro-STO_DetLumped</t>
  </si>
  <si>
    <t>FR_hydro-STO_lumped</t>
  </si>
  <si>
    <t>HR_hydro-STO_lumped</t>
  </si>
  <si>
    <t>IT_hydro-STO_DetLumped</t>
  </si>
  <si>
    <t>IT_hydro-STO_lumped</t>
  </si>
  <si>
    <t>NO_hydro-STO_DetLumped</t>
  </si>
  <si>
    <t>NO_hydro-STO_lumped</t>
  </si>
  <si>
    <t>PT_hydro-STO_lumped</t>
  </si>
  <si>
    <t>RO_hydro-STO_DetLumped</t>
  </si>
  <si>
    <t>RO_hydro-STO_lumped</t>
  </si>
  <si>
    <t>SE_hydro-STO_DetLumped</t>
  </si>
  <si>
    <t>SE_hydro-STO_lumped</t>
  </si>
  <si>
    <t>SK_hydro-STO_lumped</t>
  </si>
  <si>
    <t>AT_hydro-PHS_DetLumped</t>
  </si>
  <si>
    <t>BE_hydro-PHS_DetLumped</t>
  </si>
  <si>
    <t>BG_hydro-PHS_DetLumped</t>
  </si>
  <si>
    <t>CH_hydro-PHS_DetLumped</t>
  </si>
  <si>
    <t>CZ_hydro-PHS_DetLumped</t>
  </si>
  <si>
    <t>DE_hydro-PHS_DetLumped</t>
  </si>
  <si>
    <t>EL_hydro-PHS_DetLumped</t>
  </si>
  <si>
    <t>ES_hydro-PHS_DetLumped</t>
  </si>
  <si>
    <t>FR_hydro-PHS_DetLumped</t>
  </si>
  <si>
    <t>GB_hydro-PHS_DetLumped</t>
  </si>
  <si>
    <t>IT_hydro-PHS_DetLumped</t>
  </si>
  <si>
    <t>LT_hydro-PHS_DetLumped</t>
  </si>
  <si>
    <t>LU_hydro-PHS_DetLumped</t>
  </si>
  <si>
    <t>NO_hydro-PHS_DetLumped</t>
  </si>
  <si>
    <t>PL_hydro-PHS_DetLumped</t>
  </si>
  <si>
    <t>PT_hydro-PHS_DetLumped</t>
  </si>
  <si>
    <t>SK_hydro-PHS_DetLumped</t>
  </si>
  <si>
    <t>Avg</t>
  </si>
  <si>
    <t>Lumped Minimum Hydro CFs</t>
  </si>
  <si>
    <t>ENTSO-E's datanase appears to be incomplete, with</t>
  </si>
  <si>
    <t>There are several sources of hydro data, including Eurostat, ENTSO-E.</t>
  </si>
  <si>
    <t>share total PHS</t>
  </si>
  <si>
    <t>CH_hydro-ROR_lumped</t>
  </si>
  <si>
    <t>LT_hydro-ROR_lumped</t>
  </si>
  <si>
    <t>LV_hydro-ROR_lumped</t>
  </si>
  <si>
    <t>RO_hydro-ROR_lumped</t>
  </si>
  <si>
    <t>SK_hydro-ROR_lumped</t>
  </si>
  <si>
    <t>LV_hydro-STO_lumped</t>
  </si>
  <si>
    <t>AT_hydro-PHS_lumped</t>
  </si>
  <si>
    <t>BE_hydro-PHS_lumped</t>
  </si>
  <si>
    <t>BG_hydro-PHS_lumped</t>
  </si>
  <si>
    <t>CH_hydro-PHS_lumped</t>
  </si>
  <si>
    <t>CZ_hydro-PHS_lumped</t>
  </si>
  <si>
    <t>DE_hydro-PHS_lumped</t>
  </si>
  <si>
    <t>EL_hydro-PHS_lumped</t>
  </si>
  <si>
    <t>FR_hydro-PHS_lumped</t>
  </si>
  <si>
    <t>GB_hydro-PHS_lumped</t>
  </si>
  <si>
    <t>ES_hydro-PHS_lumped</t>
  </si>
  <si>
    <t>IE_hydro-PHS_lumped</t>
  </si>
  <si>
    <t>IT_hydro-PHS_lumped</t>
  </si>
  <si>
    <t>LT_hydro-PHS_lumped</t>
  </si>
  <si>
    <t>LU_hydro-PHS_lumped</t>
  </si>
  <si>
    <t>LV_hydro-PHS_lumped</t>
  </si>
  <si>
    <t>NO_hydro-PHS_lumped</t>
  </si>
  <si>
    <t>PL_hydro-PHS_lumped</t>
  </si>
  <si>
    <t>PT_hydro-PHS_lumped</t>
  </si>
  <si>
    <t>SI_hydro-PHS_lumped</t>
  </si>
  <si>
    <t>SK_hydro-PHS_lumped</t>
  </si>
  <si>
    <t>Lumped Hydro min CF</t>
  </si>
  <si>
    <t>Reservoir size</t>
  </si>
  <si>
    <t>Min and Avg annual cap factors from Eurostat (1990-2015)</t>
  </si>
  <si>
    <t>http://www.bfe.admin.ch/themen/00490/00491/index.html?lang=en</t>
  </si>
  <si>
    <t>ENTSOE Transparency Platform</t>
  </si>
  <si>
    <t xml:space="preserve">https://transparency.entsoe.eu//  </t>
  </si>
  <si>
    <t>Contains list of mostly large plants by type (note: some may be double ups)</t>
  </si>
  <si>
    <t>http://enipedia.tudelft.nl/maps/PowerPlants.html</t>
  </si>
  <si>
    <t>Has plant names, but very few have capacities given, especially in Nordic Countries. I downloaded most of the data from Enipedia, but some may still only be on the websites</t>
  </si>
  <si>
    <t>http://globalenergyobservatory.org/select.php?tgl=Edit</t>
  </si>
  <si>
    <t>Has quite a lot of data. I downloaded most plants using python scraping, but more details you'll need to get manually for each location</t>
  </si>
  <si>
    <t>List of useful data sources for hydro plants</t>
  </si>
  <si>
    <t>http://clients.rte-france.com/lang/an/visiteurs/vie/prod/parc_reference.jsp</t>
  </si>
  <si>
    <t>RTE hydroplant list</t>
  </si>
  <si>
    <t xml:space="preserve">France hydro plants </t>
  </si>
  <si>
    <t>EDP list</t>
  </si>
  <si>
    <t>http://www.edpenergia.es/institucional/en/business/generation/hydro-electric-plants/</t>
  </si>
  <si>
    <t>Portugal hydro plants</t>
  </si>
  <si>
    <t>Verbund list</t>
  </si>
  <si>
    <t>https://www.verbund.com/en-at/about-verbund/power-plants/our-power-plants</t>
  </si>
  <si>
    <t>Austria and Germany list</t>
  </si>
  <si>
    <t>https://en.wikipedia.org/wiki/List_of_power_stations_in_Slovenia</t>
  </si>
  <si>
    <t>Calusia</t>
  </si>
  <si>
    <t>River Trent</t>
  </si>
  <si>
    <t>Infinis</t>
  </si>
  <si>
    <t>Altenwörth</t>
  </si>
  <si>
    <t>Danube</t>
  </si>
  <si>
    <t>Altenworth</t>
  </si>
  <si>
    <t xml:space="preserve">Chastang </t>
  </si>
  <si>
    <t>Servieres-le-Chateau</t>
  </si>
  <si>
    <t>Dordogne</t>
  </si>
  <si>
    <t>Chastang</t>
  </si>
  <si>
    <t>Max operation level is 177 m</t>
  </si>
  <si>
    <t>Melk</t>
  </si>
  <si>
    <t>https://www.verbund.com/en-at/about-verbund/power-plants/our-power-plants/aschach</t>
  </si>
  <si>
    <t>https://de.wikipedia.org/wiki/Kraftwerk_Aschach</t>
  </si>
  <si>
    <t>Donou</t>
  </si>
  <si>
    <t>Spillover area is 230 m lang en 24 m breed. Functions as baseload and helps to maintain an economic balance between hydro and thermal generation http://documents.worldbank.org/curated/en/877561468206061187/Austria-Aschach-Hydropower-Project</t>
  </si>
  <si>
    <t>Hafslund Produktion</t>
  </si>
  <si>
    <t>Glomma</t>
  </si>
  <si>
    <t>ECO-Energi</t>
  </si>
  <si>
    <t>Askim</t>
  </si>
  <si>
    <t>Solbergfoss II</t>
  </si>
  <si>
    <t>Vamma</t>
  </si>
  <si>
    <t>https://www.statkraft.com/energy-sources/Power-plants/Norway/Solbergfoss-I/</t>
  </si>
  <si>
    <t>https://en.wikipedia.org/wiki/Solbergfoss_Hydroelectric_Power_Station</t>
  </si>
  <si>
    <t>Iron Gate II/Portile de Fier II</t>
  </si>
  <si>
    <t>Energias de Portugal</t>
  </si>
  <si>
    <t>Sao Joao da Pesqueira</t>
  </si>
  <si>
    <t>Used for intermediate/peak load</t>
  </si>
  <si>
    <t>Spillway capacity [m3/s]</t>
  </si>
  <si>
    <t>http://www.a-nossa-energia.edp.pt/centros_produtores/info_tecnica.php?item_id=57&amp;cp_type=&amp;section_type=info_tecnica</t>
  </si>
  <si>
    <t>https://en.wikipedia.org/wiki/Valeira_Dam</t>
  </si>
  <si>
    <t>Danube/Donau</t>
  </si>
  <si>
    <t>Persenbeug</t>
  </si>
  <si>
    <t>Sixth of 10 power plants on Danube in Austria</t>
  </si>
  <si>
    <t>Located downstream of Abwinden-Asten</t>
  </si>
  <si>
    <t>https://www.verbund.com/en-at/about-verbund/power-plants/our-power-plants/ybbs-persenbeug</t>
  </si>
  <si>
    <t>https://de.wikipedia.org/wiki/Kraftwerk_Ybbs-Persenbeug</t>
  </si>
  <si>
    <t>Vuoksi</t>
  </si>
  <si>
    <t>Fortum</t>
  </si>
  <si>
    <t>kaplan</t>
  </si>
  <si>
    <t>Tainionkosken voimalaitos</t>
  </si>
  <si>
    <t>Tainionkoski</t>
  </si>
  <si>
    <t>3 Kaplan, 1 Bulb</t>
  </si>
  <si>
    <t>Saimaa lake</t>
  </si>
  <si>
    <t>Imatra/Tainionkoski</t>
  </si>
  <si>
    <t>Harrsele</t>
  </si>
  <si>
    <t>https://www.statkraft.com/energy-sources/Power-plants/Sweden/Harrsele/</t>
  </si>
  <si>
    <t>Ume river</t>
  </si>
  <si>
    <t>Vallabregues/Beaucaire</t>
  </si>
  <si>
    <t>Bulbes</t>
  </si>
  <si>
    <t>Beaucaire</t>
  </si>
  <si>
    <t>https://fr.wikipedia.org/wiki/Barrage_de_Vallabr%C3%A8gues</t>
  </si>
  <si>
    <t>Wallsee-Mitterkirchen</t>
  </si>
  <si>
    <t>Wallsee/Mitterkirchen</t>
  </si>
  <si>
    <t>230 meter x 24 meter</t>
  </si>
  <si>
    <t>http://www.a-nossa-energia.edp.pt/centros_produtores/info_tecnica.php?item_id=17&amp;cp_type=&amp;section_type=info_tecnica</t>
  </si>
  <si>
    <t>Marco de Canaveses</t>
  </si>
  <si>
    <t>Valeria Regua</t>
  </si>
  <si>
    <t>9th HPP on the Douro in Portugal</t>
  </si>
  <si>
    <t>Stauraum Altenworth</t>
  </si>
  <si>
    <t>Stauraum Ybbs-Persenbeug</t>
  </si>
  <si>
    <t>Stauraum Wallsee-Mitterkirchen</t>
  </si>
  <si>
    <t>https://www.google.com/url?q=http%3A%2F%2Fwww.engie.com%2Fwp-content%2Fuploads%2F2012%2F05%2Fbrochure-cnr-20102.pdf</t>
  </si>
  <si>
    <t>http://globalenergyobservatory.org/geoid/39756</t>
  </si>
  <si>
    <t xml:space="preserve">Melk </t>
  </si>
  <si>
    <t>Melk/Emmersdorf</t>
  </si>
  <si>
    <t>7th of 10 power plants on Danube</t>
  </si>
  <si>
    <t>Pochino</t>
  </si>
  <si>
    <t>Vila Nova de Foz Coa</t>
  </si>
  <si>
    <t>http://www.a-nossa-energia.edp.pt/centros_produtores/info_tecnica.php?item_id=40&amp;cp_type=he&amp;section_type=info_tecnica</t>
  </si>
  <si>
    <t>http://www.centrodeinformacao.ren.pt/PT/publicacoes/PublicacoesGerais/Hidroelectricidade%20em%20Portugal%20-%20Mem%C3%B3ria%20e%20desafio.pdf</t>
  </si>
  <si>
    <t>Bemposta?</t>
  </si>
  <si>
    <t>Bourg-les-Valence</t>
  </si>
  <si>
    <t>Valence</t>
  </si>
  <si>
    <t>CNR/Engie</t>
  </si>
  <si>
    <t xml:space="preserve">Gervans </t>
  </si>
  <si>
    <t>Peso da Régua</t>
  </si>
  <si>
    <t xml:space="preserve">8th plant in HPP chain on Douro </t>
  </si>
  <si>
    <t>Regua?</t>
  </si>
  <si>
    <t>Ottensheim-Wilhering</t>
  </si>
  <si>
    <t>Ottensheim/Wilhering</t>
  </si>
  <si>
    <t>3rd of 10 power plants on Danube, baseload</t>
  </si>
  <si>
    <t>Stauraum Ottensheim-Wilhering</t>
  </si>
  <si>
    <t>https://www.verbund.com/de-at/ueber-verbund/kraftwerke/unsere-kraftwerke/ottensheim-wilhering</t>
  </si>
  <si>
    <t>http://globalenergyobservatory.org/geoid/45164</t>
  </si>
  <si>
    <t>https://ipfs.io/ipfs/QmXoypizjW3WknFiJnKLwHCnL72vedxjQkDDP1mXWo6uco/wiki/List_of_dams_and_reservoirs_in_Austria.html</t>
  </si>
  <si>
    <t>https://de.wikipedia.org/wiki/Kraftwerk_Ottensheim-Wilhering</t>
  </si>
  <si>
    <t>Technical document EDP</t>
  </si>
  <si>
    <t>Fessenheim</t>
  </si>
  <si>
    <t>Ottmarsheim</t>
  </si>
  <si>
    <t>Kembs</t>
  </si>
  <si>
    <t>Strasbourg</t>
  </si>
  <si>
    <t>Gerstheim</t>
  </si>
  <si>
    <t>Rhinau</t>
  </si>
  <si>
    <t>Marckolsheim</t>
  </si>
  <si>
    <t>2 Kaplan, 4 Hélice?</t>
  </si>
  <si>
    <t>Ottsmarsheim</t>
  </si>
  <si>
    <t>https://www.edf.fr/sites/default/files/Hydraulique/Alsace-Vosges/documents/les_amenagements_hydroelectriques_du_rhin_franco-allemand.pdf</t>
  </si>
  <si>
    <t>Gambsheim</t>
  </si>
  <si>
    <t>Required minimum flow is 52 m3/s</t>
  </si>
  <si>
    <t>Nisa</t>
  </si>
  <si>
    <t>http://www.a-nossa-energia.edp.pt/centros_produtores/info_tecnica.php?item_id=28&amp;cp_type=&amp;section_type=info_tecnica</t>
  </si>
  <si>
    <t>https://company.sbb.ch/de/sbb-als-geschaeftspartner/leistungen-evu/energie/erzeugung/wasserkraftwerke/amsteg.html</t>
  </si>
  <si>
    <t>http://www.dem.si/en-gb/Power-plants-and-generation/Power-plants/Zlatoličje-HPP</t>
  </si>
  <si>
    <t>Formin</t>
  </si>
  <si>
    <t>DEM</t>
  </si>
  <si>
    <t>Ptuj Lake</t>
  </si>
  <si>
    <t>http://www.dem.si/en-gb/Power-plants-and-generation/Power-plants/Formin-HPP</t>
  </si>
  <si>
    <t>Markovci Small HPP</t>
  </si>
  <si>
    <t>Regulate water for Formin HPP. Ecologically acceptable flow of 5 m3/s in winter and 10 m3/s in summer into Drava riverbed</t>
  </si>
  <si>
    <t>Zlatolicje</t>
  </si>
  <si>
    <t>www.dem.si/en-gb/Power-plants-and-generation/Power-plants/Zlatoličje-HPP</t>
  </si>
  <si>
    <t>http://www.dem.si/en-gb/Power-plants-and-generation/Power-plants/Markovci-Small-HPP</t>
  </si>
  <si>
    <t>Melje Small HPP</t>
  </si>
  <si>
    <t>Mjelski</t>
  </si>
  <si>
    <t>Regulates water for Zlatolicje. 10 m3/s discharge in winter and 20 m3/s in summer</t>
  </si>
  <si>
    <t>Melje reservoir</t>
  </si>
  <si>
    <t>Mariborski otok</t>
  </si>
  <si>
    <t>Maribor</t>
  </si>
  <si>
    <t>Mariborski Otok reservoir</t>
  </si>
  <si>
    <t>Fala HPP</t>
  </si>
  <si>
    <t>http://www.dem.si/en-gb/Power-plants-and-generation/Power-plants/Melje-Small-HPP</t>
  </si>
  <si>
    <t>www.dem.si/en-gb/Power-plants-and-generation/Power-plants/Mariborski-otok-HPP</t>
  </si>
  <si>
    <t>Fala</t>
  </si>
  <si>
    <t>Koroska</t>
  </si>
  <si>
    <t>Ozbalt HPP</t>
  </si>
  <si>
    <t>Fifth HPP on Drava</t>
  </si>
  <si>
    <t>http://www.dem.si/en-gb/Power-plants-and-generation/Power-plants/Fala-HPP</t>
  </si>
  <si>
    <t>Ozbalt</t>
  </si>
  <si>
    <t>Fala reservoir</t>
  </si>
  <si>
    <t>Fourth HPP on Drava</t>
  </si>
  <si>
    <t>Ozbalt reservoir</t>
  </si>
  <si>
    <t>Mm3</t>
  </si>
  <si>
    <t xml:space="preserve">Vuzenica </t>
  </si>
  <si>
    <t>HPP at Lavamund</t>
  </si>
  <si>
    <t>First HPP on Drava</t>
  </si>
  <si>
    <t>http://www.dem.si/en-gb/Power-plants-and-generation/Power-plants/Vuzenica-HPP</t>
  </si>
  <si>
    <t>http://www.dem.si/en-gb/Power-plants-and-generation/Power-plants/Vuhred-HPP</t>
  </si>
  <si>
    <t>http://www.dem.si/en-gb/Power-plants-and-generation/Power-plants/Ožbalt-HPP</t>
  </si>
  <si>
    <t>http://www.dem.si/en-gb/Power-plants-and-generation/Power-plants/Dravograd-HPP</t>
  </si>
  <si>
    <t>Orange</t>
  </si>
  <si>
    <t>Wisla</t>
  </si>
  <si>
    <t>Wloclawek reservoir</t>
  </si>
  <si>
    <t xml:space="preserve">Water in reservoir meant to be retained for 2 to 7 days </t>
  </si>
  <si>
    <t>https://www.researchgate.net/profile/Michal_Habel2/publication/266072268_Dynamics_of_the_Vistula_River_channel_deformations_downstream_of_the_Wloclawek_Reservoir/links/542424610cf26120b7a71ebe/Dynamics-of-the-Vistula-River-channel-deformations-downstream-of-the-Wloclawek-Reservoir.pdf</t>
  </si>
  <si>
    <t>http://www.energa-hydro.pl/obiekty/lista-obiektow/wloclawek,50,obiekt.html</t>
  </si>
  <si>
    <t>Energa Wytwarzanie</t>
  </si>
  <si>
    <t>SHEM</t>
  </si>
  <si>
    <t>Ussel</t>
  </si>
  <si>
    <t xml:space="preserve">Dordogne reservoir </t>
  </si>
  <si>
    <t>Or STO?</t>
  </si>
  <si>
    <t>https://fr.wikipedia.org/wiki/Barrage_de_Marèges#cite_note-5</t>
  </si>
  <si>
    <t>Rheinkraftwerk Iffezheim</t>
  </si>
  <si>
    <t>EnBW/EDF</t>
  </si>
  <si>
    <t>Rhine</t>
  </si>
  <si>
    <t>https://www.enbw.com/erneuerbare-energien/wasser/standorte.html</t>
  </si>
  <si>
    <t>Rorhturbinen</t>
  </si>
  <si>
    <t>1978 / 2013</t>
  </si>
  <si>
    <t>Iffezheim reseseroir</t>
  </si>
  <si>
    <t>nvt</t>
  </si>
  <si>
    <t>Baix-le-logis-neuf</t>
  </si>
  <si>
    <t>Skelleftea</t>
  </si>
  <si>
    <t>https://www.statkraft.com/energy-sources/Power-plants/Sweden/Kvistforsen/</t>
  </si>
  <si>
    <t>Kvistforsens</t>
  </si>
  <si>
    <t>Wien</t>
  </si>
  <si>
    <t>Bulb</t>
  </si>
  <si>
    <t>http://www.poyry.com/sites/default/files/media/related_material/50.pdf</t>
  </si>
  <si>
    <t>Bub</t>
  </si>
  <si>
    <t>https://www.cez.cz/en/power-plants-and-environment/cez-hydraulic-power-plants.html</t>
  </si>
  <si>
    <t>Chech</t>
  </si>
  <si>
    <t>Diverted flow of main river?</t>
  </si>
  <si>
    <t>http://www.poyry.com/sites/default/files/media/related_material/49.pdf</t>
  </si>
  <si>
    <t>Main river</t>
  </si>
  <si>
    <t xml:space="preserve">Reservoir head regulated between 50.5 and 52 meters </t>
  </si>
  <si>
    <t>Vila Nova de Gaia</t>
  </si>
  <si>
    <t>Last plain in river chain Douro</t>
  </si>
  <si>
    <t>http://www.a-nossa-energia.edp.pt/centros_produtores/info_tecnica.php?item_id=20&amp;cp_type=&amp;section_type=info_tecnica</t>
  </si>
  <si>
    <t>Contronei</t>
  </si>
  <si>
    <t>Fiume Neto</t>
  </si>
  <si>
    <t>Cedegolo</t>
  </si>
  <si>
    <t>Korsselbranna</t>
  </si>
  <si>
    <t>Norraker</t>
  </si>
  <si>
    <t>https://www.statkraft.com/energy-sources/Power-plants/Sweden/Korsselbranna/</t>
  </si>
  <si>
    <t>https://powerplants.vattenfall.com/alvkarleby</t>
  </si>
  <si>
    <t>Dalalv</t>
  </si>
  <si>
    <t>Alvkarleby</t>
  </si>
  <si>
    <t>Della Nuova Biaschina</t>
  </si>
  <si>
    <t>AET</t>
  </si>
  <si>
    <t>Ticino</t>
  </si>
  <si>
    <t>Personico</t>
  </si>
  <si>
    <t>Piotiino</t>
  </si>
  <si>
    <t>Bacino Val d'ambra</t>
  </si>
  <si>
    <t>Nivo basin - additional reservoir</t>
  </si>
  <si>
    <t>Bacino di Nivo</t>
  </si>
  <si>
    <t>http://globalenergyobservatory.org/geoid/39746</t>
  </si>
  <si>
    <t>Lavorgo</t>
  </si>
  <si>
    <t>Piottino</t>
  </si>
  <si>
    <t>Bacino Rhodes</t>
  </si>
  <si>
    <t>Tremorgio</t>
  </si>
  <si>
    <t>https://www.aet.ch/IT/Impianto-idroelettrico-Piottino-57db1a00#.WlSlga6nG70</t>
  </si>
  <si>
    <t>https://www.aet.ch/Impianto-idroelettrico-Piottino-6ac6ec00</t>
  </si>
  <si>
    <t>https://www.aet.ch/IT/Impianto-idroelettrico-Nuova-Biaschina-af2c3e00#.WlSbqa6nG70</t>
  </si>
  <si>
    <t>Lago Tremorgio</t>
  </si>
  <si>
    <t>1000 hours per year generation</t>
  </si>
  <si>
    <t>PSH</t>
  </si>
  <si>
    <t>Lotschen</t>
  </si>
  <si>
    <t>Steg-Hohtenn</t>
  </si>
  <si>
    <t>EnAlpin AG/Rhonewerke AG</t>
  </si>
  <si>
    <t>Canton Vailais</t>
  </si>
  <si>
    <t>Stausee Ferden</t>
  </si>
  <si>
    <t>http://www.naturenergie.ch/enalpin/wasserkraftwerke/kraftwerk-loetschen-ag/</t>
  </si>
  <si>
    <t xml:space="preserve">https://de.wikipedia.org/wiki/Stausee_Ferden </t>
  </si>
  <si>
    <t>https://www.aet.ch/IT/Impianto-idroelettrico-Tremorgio-e68a9800#.WlTYYK6nG70</t>
  </si>
  <si>
    <t>RoR or RSH?</t>
  </si>
  <si>
    <t>Ryburg-Schworstadt</t>
  </si>
  <si>
    <t>Switzerland/Germany</t>
  </si>
  <si>
    <t>EnBW/Kanton Aargau/ Axpo/Alpiq/Energiedienst AG/Evonik Degussa</t>
  </si>
  <si>
    <t>Ryburg-Schwordstadt</t>
  </si>
  <si>
    <t>http://www.alpiq.com/alpiq-group/our-assets/hydropower/large-run-of-river-plants/ryburg-schwrstadt-run-of-river-power-station.jsp</t>
  </si>
  <si>
    <t>No RoR but reservoir?</t>
  </si>
  <si>
    <t>Energiedienst</t>
  </si>
  <si>
    <t>Straflo</t>
  </si>
  <si>
    <t xml:space="preserve">Laufenburg </t>
  </si>
  <si>
    <t>Albbruck-Dogern</t>
  </si>
  <si>
    <t>https://www.energiedienst.de/produktion/wasserkraftwerk-laufenburg/</t>
  </si>
  <si>
    <t>Albbruk-Dogern</t>
  </si>
  <si>
    <t>Rheinkraftwerk Sackingen AG</t>
  </si>
  <si>
    <t>http://www.rksag.de/unternehmen/</t>
  </si>
  <si>
    <t>Bad sackingen</t>
  </si>
  <si>
    <t>Germany/Switzerland</t>
  </si>
  <si>
    <t>Reckingen</t>
  </si>
  <si>
    <t>ENBw</t>
  </si>
  <si>
    <t>www.kraftwerk-reckingen.com/index.php/unternehmen/kerndaten</t>
  </si>
  <si>
    <t>https://www.edf.fr/sites/default/files/Hydraulique/Dordogne/documents/memoguide_de_chastang.pdf</t>
  </si>
  <si>
    <t>Verbois reservoir</t>
  </si>
  <si>
    <t>Russin</t>
  </si>
  <si>
    <t>Services Industriel Geneves</t>
  </si>
  <si>
    <t>http://www.sig-ge.ch/nous-connaitre/nos-activites/notre-patrimoine/connaitre-et-visiter-les-sites-sig/le-barrage-de-verbois</t>
  </si>
  <si>
    <t>https://www.google.nl/url?sa=t&amp;rct=j&amp;q=&amp;esrc=s&amp;source=web&amp;cd=1&amp;cad=rja&amp;uact=8&amp;ved=0ahUKEwjUzMrVk83YAhVlF8AKHVubBsoQFggnMAA&amp;url=https%3A%2F%2Fwww.e-periodica.ch%2Fcntmng%3Fpid%3Dsbz-002%3A1939%3A113%3A114%3A%3A687&amp;usg=AOvVaw2LZAlFsA_Oy-93pi_-zruj</t>
  </si>
  <si>
    <t>Seujet</t>
  </si>
  <si>
    <t>Augst/Wyhlen</t>
  </si>
  <si>
    <t>Kraftwerk Augst AG</t>
  </si>
  <si>
    <t>Augst</t>
  </si>
  <si>
    <t>2 Francis, 7 Straflo</t>
  </si>
  <si>
    <t>Wyhlen</t>
  </si>
  <si>
    <t>6 straflo, 5 Francis</t>
  </si>
  <si>
    <t>Wyhlen reservoir</t>
  </si>
  <si>
    <t>Augst reservoir</t>
  </si>
  <si>
    <t>https://www.energiedienst.de/produktion/wasserkraftwerk-wyhlen/</t>
  </si>
  <si>
    <t>https://www.kwa.ch/unternehmen/zahlen-fakten</t>
  </si>
  <si>
    <t>https://de.wikipedia.org/wiki/Staustufe_Augst/Wyhlen#Kraftwerk_Augst</t>
  </si>
  <si>
    <t>Birsfelden</t>
  </si>
  <si>
    <t>Basel</t>
  </si>
  <si>
    <t>Kraftwerl Birsfelden AG</t>
  </si>
  <si>
    <t>http://www.kw-birsfelden.ch/en/technik/generatoren/</t>
  </si>
  <si>
    <t>https://www.google.nl/url?sa=t&amp;rct=j&amp;q=&amp;esrc=s&amp;source=web&amp;cd=6&amp;cad=rja&amp;uact=8&amp;ved=0ahUKEwiZ0YK2vM3YAhWjIsAKHYPFCA8QFgg3MAU&amp;url=https%3A%2F%2Fwww.e-periodica.ch%2Fcntmng%3Fpid%3Dwbw-002%3A1957%3A44%3A%3A1589&amp;usg=AOvVaw2I7UY7VZmSt-1iJ7O7NAVB</t>
  </si>
  <si>
    <t>Lavey</t>
  </si>
  <si>
    <t>Diversion channel</t>
  </si>
  <si>
    <t>http://www.hevs.ch/media/document/0/hasmatuchi_hydro2014b.pdf</t>
  </si>
  <si>
    <t>https://infoscience.epfl.ch/record/162408/files/2010-746-Muller-Bieri-Boillat-Schleiss-Barrage_de_lavey.pdf</t>
  </si>
  <si>
    <t>https://www.google.nl/url?sa=t&amp;rct=j&amp;q=&amp;esrc=s&amp;source=web&amp;cd=3&amp;cad=rja&amp;uact=8&amp;ved=0ahUKEwi77fGzvc3YAhWLAMAKHepFAcsQFgg4MAI&amp;url=http%3A%2F%2Fwww.silnativa.ch%2Ffileadmin%2Fdocuments%2Fsilnativa.ch%2FLavey.pdf&amp;usg=AOvVaw04HCnO-2H7VJP50wnWEVmK</t>
  </si>
  <si>
    <t>Albbruck</t>
  </si>
  <si>
    <t>Main river, but there are some other brances in the pixel</t>
  </si>
  <si>
    <t>not in ENTSO-E</t>
  </si>
  <si>
    <t>Abwinden-Asten</t>
  </si>
  <si>
    <t>Asten</t>
  </si>
  <si>
    <t>Ottensheim-wilhering</t>
  </si>
  <si>
    <t>https://www.verbund.com/de-at/ueber-verbund/kraftwerke/unsere-kraftwerke/abwinden-asten</t>
  </si>
  <si>
    <t>https://de.wikipedia.org/wiki/Kraftwerk_Abwinden-Asten</t>
  </si>
  <si>
    <t>Jochenstein</t>
  </si>
  <si>
    <t>Partenstein/Jochenstein</t>
  </si>
  <si>
    <t>Germany/Austria</t>
  </si>
  <si>
    <t>Untergriesbach</t>
  </si>
  <si>
    <t>https://www.verbund.com/en-at/about-verbund/power-plants/our-power-plants/jochenstein</t>
  </si>
  <si>
    <t xml:space="preserve">http://holzmann.fh-potsdam.de/wp-content/uploads/2017/03/Jochensteinfertigge%C3%A4ndert.pdf
</t>
  </si>
  <si>
    <t>Olidan</t>
  </si>
  <si>
    <t>Gota alv</t>
  </si>
  <si>
    <t>Trolhattan</t>
  </si>
  <si>
    <t>Hojum</t>
  </si>
  <si>
    <t>Vagron</t>
  </si>
  <si>
    <t>Vargon</t>
  </si>
  <si>
    <t>Lake Vanern</t>
  </si>
  <si>
    <t>RSH</t>
  </si>
  <si>
    <t>Main water but small flow on the right side</t>
  </si>
  <si>
    <t>https://powerplants.vattenfall.com/vargon</t>
  </si>
  <si>
    <t>https://cas.oslo.no/getfile.php/137530/CAS_publications_events/CAS_publications/Seminar_booklets/PDF/0809Jakobsson.pdf</t>
  </si>
  <si>
    <t>https://sv.wikipedia.org/wiki/Varg%C3%B6ns_kraftverk</t>
  </si>
  <si>
    <t>https://powerplants.vattenfall.com/hojum</t>
  </si>
  <si>
    <t xml:space="preserve">http://evolution.skf.com/a-steady-flow/ </t>
  </si>
  <si>
    <t>https://powerplants.vattenfall.com/olidan</t>
  </si>
  <si>
    <t>https://sv.wikipedia.org/wiki/Olidans_kraftverk</t>
  </si>
  <si>
    <t>Diverted flow: a third?</t>
  </si>
  <si>
    <t>Lilla Edet</t>
  </si>
  <si>
    <t>Hojum/Vargon</t>
  </si>
  <si>
    <t>Kaplan, Lawaczeck, Propeller, Bulb</t>
  </si>
  <si>
    <t>https://powerplants.vattenfall.com/en/lilla-edet</t>
  </si>
  <si>
    <t>https://sv.wikipedia.org/wiki/Lilla_Edets_kraftverk</t>
  </si>
  <si>
    <t>Nog doen</t>
  </si>
  <si>
    <t>Braunau-Simbach</t>
  </si>
  <si>
    <t>Fortum chain</t>
  </si>
  <si>
    <t>Cakit</t>
  </si>
  <si>
    <t>Turkey</t>
  </si>
  <si>
    <t>Karaisali</t>
  </si>
  <si>
    <t>Diversion weir</t>
  </si>
  <si>
    <t>https://www.statkraft.no/globalassets/old-contains-the-old-folder-structure/documents/faktaark-cakit-eng-final-20101006_tcm10-11957.pdf</t>
  </si>
  <si>
    <t>https://www.google.nl/url?sa=t&amp;rct=j&amp;q=&amp;esrc=s&amp;source=web&amp;cd=3&amp;ved=0ahUKEwiT7Om278_YAhVQEuwKHaGDA6cQFgg1MAI&amp;url=https%3A%2F%2Fmer.markit.com%2Fbr-reg%2Fservices%2FprocessDocument%2FdownloadDocumentById%2F103000000016649&amp;usg=AOvVaw2UC7BzTyZLmU2e6FpNuBnx</t>
  </si>
  <si>
    <t>https://iam.innogy.com/en/about-innogy/innogy-innovation-technology/renewables/hydro-power/hydroelectric-power-station-radag</t>
  </si>
  <si>
    <t>https://www.researchgate.net/publication/294670963_Construction_of_a_new_hydro_power_plant_at_Albbruck-Dogern</t>
  </si>
  <si>
    <t>http://www.schluchseewerk.de/images/download/Plan-Schluchseewerk_Albbruck-Dogern.pdf</t>
  </si>
  <si>
    <t>Boylefoss</t>
  </si>
  <si>
    <t>Arendals Fossekampni</t>
  </si>
  <si>
    <t>Nidelva</t>
  </si>
  <si>
    <t>Haugsja/Boylefoss</t>
  </si>
  <si>
    <t>Svelgfoss</t>
  </si>
  <si>
    <t>https://atlas.nve.no/html5Viewer/?viewer=nveatlas</t>
  </si>
  <si>
    <t xml:space="preserve">Overview map Norwegian hydroplants </t>
  </si>
  <si>
    <t>Norsk hydro/statkraft</t>
  </si>
  <si>
    <t>https://www.statkraft.com/energy-sources/Power-plants/Norway/Svelgfoss/</t>
  </si>
  <si>
    <t>https://www.hydro.com/en/products/energy/our-power-plants/telemark/svelgfoss/</t>
  </si>
  <si>
    <t xml:space="preserve">Tinnelva </t>
  </si>
  <si>
    <t>https://www.arendalsfoss.no/en/power-production/</t>
  </si>
  <si>
    <t>https://no.wikipedia.org/wiki/B%C3%B8ylefoss_kraftverk</t>
  </si>
  <si>
    <t>Kaggefoss</t>
  </si>
  <si>
    <t>EB Kraftproduksjon AS</t>
  </si>
  <si>
    <t>Snarumselva</t>
  </si>
  <si>
    <t>https://www.glitreenergi.no/konsern/prosjekt/kaggefoss/</t>
  </si>
  <si>
    <t>https://no.wikipedia.org/wiki/Kaggefoss_kraftverk</t>
  </si>
  <si>
    <t>Tunnels</t>
  </si>
  <si>
    <t>10 Francis, 1 Kaplan</t>
  </si>
  <si>
    <t>http://www.e-co.no/?module=Articles;action=Article.publicShow;ID=1699</t>
  </si>
  <si>
    <t>Kykkelsrud Fossumfoss</t>
  </si>
  <si>
    <t>Lake Oyeren</t>
  </si>
  <si>
    <t>Two branches, takes the lefst branch</t>
  </si>
  <si>
    <t>Main</t>
  </si>
  <si>
    <t>http://www.e-co.no/Norsk/Forside/Kraftverk/Glomma/Kykkelsrud_kraftverk/</t>
  </si>
  <si>
    <t>Kykkelsrud</t>
  </si>
  <si>
    <t>Sarp</t>
  </si>
  <si>
    <t>Sarpsborg</t>
  </si>
  <si>
    <t>http://www.e-co.no/Norsk/Forside/Kraftverk/Glomma/Sarp_kraftverk/</t>
  </si>
  <si>
    <t>Solbergfoss I and II</t>
  </si>
  <si>
    <t>Borregaard</t>
  </si>
  <si>
    <t>Hafslund</t>
  </si>
  <si>
    <t>Borregaard industries</t>
  </si>
  <si>
    <t>http://www.e-co.no/Norsk/Forside/Kraftverk/Glomma/Hafslund_kraftverk/</t>
  </si>
  <si>
    <t>https://no.wikipedia.org/wiki/Borregaard_kraftverk</t>
  </si>
  <si>
    <t>Ranasfoss III</t>
  </si>
  <si>
    <t>Ranasfoss II</t>
  </si>
  <si>
    <t>Propeller?</t>
  </si>
  <si>
    <t>Akershus energi</t>
  </si>
  <si>
    <t>Sorum</t>
  </si>
  <si>
    <t>Gomma</t>
  </si>
  <si>
    <t>Bingsfoss</t>
  </si>
  <si>
    <t>http://akershusenergi.no/no/vannkraft/vaare-kraftverk/copy_ranasfoss3</t>
  </si>
  <si>
    <t>http://akershusenergi.no/no/vannkraft/vaare-kraftverk/raanaasfoss2</t>
  </si>
  <si>
    <t>Sorumsan</t>
  </si>
  <si>
    <t>Ranasfoss II and III</t>
  </si>
  <si>
    <t>Rorhturbiner</t>
  </si>
  <si>
    <t>http://akershusenergi.no/no/vannkraft/vaare-kraftverk/bingsfoss</t>
  </si>
  <si>
    <t>Nemunas</t>
  </si>
  <si>
    <t>or RSH?</t>
  </si>
  <si>
    <t>Lietuvos Energija</t>
  </si>
  <si>
    <t>Kaunas or Kauno Algirdo brazausko</t>
  </si>
  <si>
    <t>Kauno Marios</t>
  </si>
  <si>
    <t>Main (river)</t>
  </si>
  <si>
    <t>https://gamyba.le.lt/en/activities/electricity-generation/kaunas-algirdas-brazauskas-hydroelectric-power-plant-khpp</t>
  </si>
  <si>
    <t>https://lt.wikipedia.org/wiki/Kauno_Algirdo_Brazausko_hidroelektrin%C4%97</t>
  </si>
  <si>
    <t>ESB Group</t>
  </si>
  <si>
    <t>River Shannon</t>
  </si>
  <si>
    <t>3 Francis, 1 Kaplan</t>
  </si>
  <si>
    <t>Diversion of Shannon river</t>
  </si>
  <si>
    <t>https://www.esb.ie/our-businesses/generation-energy-trading-new/generation-asset-map#ardnacrusha</t>
  </si>
  <si>
    <t>https://en.wikipedia.org/wiki/Shannon_hydroelectric_scheme</t>
  </si>
  <si>
    <t>No storage on the lakes anymore? &gt; wikipedia</t>
  </si>
  <si>
    <t>Cathaleen's Fall</t>
  </si>
  <si>
    <t>Belleek</t>
  </si>
  <si>
    <t>River Erne</t>
  </si>
  <si>
    <t>Assaroe lake</t>
  </si>
  <si>
    <t>https://www.esb.ie/docs/default-source/education-hub/erne-stations74dc5b2d46d164eb900aff0000c22e36</t>
  </si>
  <si>
    <t>Ballyshannon</t>
  </si>
  <si>
    <t>Finland more?</t>
  </si>
  <si>
    <t>Kendoon</t>
  </si>
  <si>
    <t>kendoon Loch, water of Ken</t>
  </si>
  <si>
    <t>Water of Ken</t>
  </si>
  <si>
    <t>Scottish power</t>
  </si>
  <si>
    <t>Carsfad</t>
  </si>
  <si>
    <t>Loch Carsfad</t>
  </si>
  <si>
    <t>Earlstoun</t>
  </si>
  <si>
    <t>New Galloway</t>
  </si>
  <si>
    <t>Earlstoun Loch</t>
  </si>
  <si>
    <t>Drumjohn</t>
  </si>
  <si>
    <t>Tongland</t>
  </si>
  <si>
    <t>Kirkcudbirght</t>
  </si>
  <si>
    <t>River Dee</t>
  </si>
  <si>
    <t>RoR/RSH</t>
  </si>
  <si>
    <t>Carsphaim</t>
  </si>
  <si>
    <t>Water of Deugh</t>
  </si>
  <si>
    <t>Loch Doon</t>
  </si>
  <si>
    <t>River Doon</t>
  </si>
  <si>
    <t>https://www.scottishpower.com/userfiles/file/GallowayTechnical2011.pdf</t>
  </si>
  <si>
    <t>Meschora dam</t>
  </si>
  <si>
    <t>Plastiras</t>
  </si>
  <si>
    <t>Sykia</t>
  </si>
  <si>
    <t xml:space="preserve">Avise </t>
  </si>
  <si>
    <t>Seems more RSH</t>
  </si>
  <si>
    <t>Compagnia valdostana delle Acque</t>
  </si>
  <si>
    <t>Dora baltea</t>
  </si>
  <si>
    <t>Lago di Beauregard</t>
  </si>
  <si>
    <t>Uses reservoir</t>
  </si>
  <si>
    <t>http://www.cvaspa.it/acqua/impianti/avise/</t>
  </si>
  <si>
    <t>https://it.wikipedia.org/wiki/Centrale_idroelettrica_di_Avise</t>
  </si>
  <si>
    <t>Tank with daila regulation</t>
  </si>
  <si>
    <t>Serbatoio del Poglia</t>
  </si>
  <si>
    <t>Isola Serafini</t>
  </si>
  <si>
    <t>Moticelle d'Ongina</t>
  </si>
  <si>
    <t>Po</t>
  </si>
  <si>
    <t>https://www.enelgreenpower.com/where-we-are?topic=hydro&amp;plant_name=&amp;continent=EUROPE&amp;nation=Italy</t>
  </si>
  <si>
    <t>http://orizzontenergia.it/download/Appr/RINNOVABILI/2013_12_30_centrali%20idroelettriche_Univ%20Pavia.pdf</t>
  </si>
  <si>
    <t>_x000C_</t>
  </si>
  <si>
    <t>https://www.progettodighe.it/main/le-centrali/article/isola-serafini-monticelli-d-ongina</t>
  </si>
  <si>
    <t>Castelbello</t>
  </si>
  <si>
    <t>Bressanone</t>
  </si>
  <si>
    <t>http://www.alperia.eu/cosa-facciamo/idroelettrico/centrali-di-glorenza-e-castelbello.html</t>
  </si>
  <si>
    <t>Adige</t>
  </si>
  <si>
    <t>Alperia</t>
  </si>
  <si>
    <t>Lago Fortezza</t>
  </si>
  <si>
    <t>Storage (hours)</t>
  </si>
  <si>
    <t>plus</t>
  </si>
  <si>
    <t>https://en.wikipedia.org/wiki/Beeston_Hydro</t>
  </si>
  <si>
    <t>http://www.smith-root.com/barriers/sites/beeston-hydropower-plant</t>
  </si>
  <si>
    <t>LAT river net work</t>
  </si>
  <si>
    <t>LON river network</t>
  </si>
  <si>
    <t>not in GranD</t>
  </si>
  <si>
    <t xml:space="preserve">Wehra </t>
  </si>
  <si>
    <t>Cedegolo?</t>
  </si>
  <si>
    <t>Storglomvatnet</t>
  </si>
  <si>
    <t>Chateau-neuf-du-Rhone</t>
  </si>
  <si>
    <t>Montelimar</t>
  </si>
  <si>
    <t>Diverted flow (river divided in two)</t>
  </si>
  <si>
    <t>http://www.engie.com/wp-content/uploads/2012/05/brochure-cnr-20102.pdf</t>
  </si>
  <si>
    <t>Avignon</t>
  </si>
  <si>
    <t>Diverted flow (river divided in 3)</t>
  </si>
  <si>
    <t>Qouesques</t>
  </si>
  <si>
    <t>Aurillac</t>
  </si>
  <si>
    <t>Couesque reservoir</t>
  </si>
  <si>
    <t>http://globalenergyobservatory.org/geoid/39721</t>
  </si>
  <si>
    <t>Main flow</t>
  </si>
  <si>
    <t>Sablons</t>
  </si>
  <si>
    <t>not in ETNSO-E</t>
  </si>
  <si>
    <t>Saint Rambert d'Albon</t>
  </si>
  <si>
    <t>Diverted flow (divided by two)</t>
  </si>
  <si>
    <t>https://www.edf.fr/sites/default/files/Hydraulique/pays-de-savoie/documents/edf_passy.pdf</t>
  </si>
  <si>
    <t>Diverted flow, tunnels</t>
  </si>
  <si>
    <t>Barrage des Houches</t>
  </si>
  <si>
    <t>Arve</t>
  </si>
  <si>
    <t>Passsy</t>
  </si>
  <si>
    <t>http://www.axpo.com/axpo/ch/en/dossiers/dossier-hydropower.html</t>
  </si>
  <si>
    <t>not in ENTSO-e</t>
  </si>
  <si>
    <t>Ror?</t>
  </si>
  <si>
    <t>Scracinec</t>
  </si>
  <si>
    <t>Varazdin</t>
  </si>
  <si>
    <t>http://proizvodnja.hep.hr/proizvodnja/en/basicdata/hydro/north/varazdin.aspx</t>
  </si>
  <si>
    <t>Diversion</t>
  </si>
  <si>
    <t>Reservoir for daily regulation. First of three on Drave river</t>
  </si>
  <si>
    <t>3 Bulb, 1 Kaplan</t>
  </si>
  <si>
    <t>http://proizvodnja.hep.hr/proizvodnja/en/basicdata/hydro/north/cakovec.aspx</t>
  </si>
  <si>
    <t>Lake Ormosko</t>
  </si>
  <si>
    <t>Lake Varazdin</t>
  </si>
  <si>
    <t>Lake Dubrava</t>
  </si>
  <si>
    <t>Drave</t>
  </si>
  <si>
    <t>3 Bulb, 2 Kaplan</t>
  </si>
  <si>
    <t xml:space="preserve">Reservoir for daily regulation. </t>
  </si>
  <si>
    <t>Krokstrommen</t>
  </si>
  <si>
    <t>Harjedalen</t>
  </si>
  <si>
    <t>Ljusnan</t>
  </si>
  <si>
    <t>https://www3.fortum.com/about-us/our-company/our-energy-production/our-power-plants/ljusnan</t>
  </si>
  <si>
    <t>https://www.svk.se/siteassets/jobba-har/dokument/analysis-of-a-load-frequency-control-implementation-in-swedish-run-of-river-hydropower-stations---andreas-westberg---svk.pdf</t>
  </si>
  <si>
    <t>2 Francis, 1 Kaplan</t>
  </si>
  <si>
    <t>http://www.diva-portal.org/smash/get/diva2:1056073/FULLTEXT01.pdf</t>
  </si>
  <si>
    <t>Langstrommen</t>
  </si>
  <si>
    <t>RSH or Ror?</t>
  </si>
  <si>
    <t>Midskog</t>
  </si>
  <si>
    <t>Indalsalven</t>
  </si>
  <si>
    <t>Naverede</t>
  </si>
  <si>
    <t>Stugun</t>
  </si>
  <si>
    <t>https://powerplants.vattenfall.com/midskog</t>
  </si>
  <si>
    <t>https://powerplants.vattenfall.com/stugun</t>
  </si>
  <si>
    <t>https://powerplants.vattenfall.com/naverede</t>
  </si>
  <si>
    <t>Brezice</t>
  </si>
  <si>
    <t>HSE</t>
  </si>
  <si>
    <t>www.he-ss.si/eng/he-brezice-specifications.html</t>
  </si>
  <si>
    <t>5th</t>
  </si>
  <si>
    <t>Krško</t>
  </si>
  <si>
    <t>4th</t>
  </si>
  <si>
    <t>Arto-Blanca</t>
  </si>
  <si>
    <t>Third</t>
  </si>
  <si>
    <t>http://www.he-ss.si/eng/he-blanca-specifications.html</t>
  </si>
  <si>
    <t>Boštanj</t>
  </si>
  <si>
    <t>Second</t>
  </si>
  <si>
    <t>www.he-ss.si/eng/he-bostanj-specifications.html</t>
  </si>
  <si>
    <t>http://www.he-ss.si/eng/he-krsko-general-info.html</t>
  </si>
  <si>
    <t>Bostanj</t>
  </si>
  <si>
    <t>Krsko</t>
  </si>
  <si>
    <t>CEZ group</t>
  </si>
  <si>
    <t>Moldau</t>
  </si>
  <si>
    <t>Use to serve peakload. KPMG clasifices as RoR, maybe STO then?</t>
  </si>
  <si>
    <t>https://www.cez.cz/en/power-plants-and-environment/hydraulic-power-plants/slapy.html</t>
  </si>
  <si>
    <t>Slapy reservoir</t>
  </si>
  <si>
    <t>Stechovice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</si>
</sst>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164" formatCode="#,##0.0"/>
    <numFmt numFmtId="165" formatCode="0.000"/>
    <numFmt numFmtId="166" formatCode="0.0"/>
    <numFmt numFmtId="167" formatCode="0.0000000"/>
    <numFmt numFmtId="168" formatCode="0.000000"/>
    <numFmt numFmtId="169" formatCode="0.00000"/>
    <numFmt numFmtId="170" formatCode="#,##0.000000"/>
    <numFmt numFmtId="171" formatCode="0.0000"/>
    <numFmt numFmtId="172" formatCode="0.0%"/>
  </numFmts>
  <fonts count="69" x14ac:knownFonts="1">
    <font>
      <sz val="11"/>
      <color theme="1"/>
      <name val="Calibri"/>
      <family val="2"/>
      <scheme val="minor"/>
    </font>
    <font>
      <u/>
      <sz val="11"/>
      <color theme="10"/>
      <name val="Calibri"/>
      <family val="2"/>
    </font>
    <font>
      <sz val="11"/>
      <color theme="0"/>
      <name val="Calibri"/>
      <family val="2"/>
      <scheme val="minor"/>
    </font>
    <font>
      <sz val="9"/>
      <color indexed="81"/>
      <name val="Tahoma"/>
      <family val="2"/>
    </font>
    <font>
      <b/>
      <sz val="9"/>
      <color indexed="81"/>
      <name val="Tahoma"/>
      <family val="2"/>
    </font>
    <font>
      <sz val="11"/>
      <color theme="1"/>
      <name val="Calibri"/>
      <family val="2"/>
      <scheme val="minor"/>
    </font>
    <font>
      <sz val="8"/>
      <name val="Calibri"/>
      <family val="2"/>
      <scheme val="minor"/>
    </font>
    <font>
      <b/>
      <sz val="8"/>
      <name val="Calibri"/>
      <family val="2"/>
      <scheme val="minor"/>
    </font>
    <font>
      <u/>
      <sz val="8"/>
      <name val="Calibri"/>
      <family val="2"/>
      <scheme val="minor"/>
    </font>
    <font>
      <vertAlign val="superscript"/>
      <sz val="8"/>
      <name val="Calibri"/>
      <family val="2"/>
      <scheme val="minor"/>
    </font>
    <font>
      <b/>
      <sz val="10"/>
      <name val="Calibri"/>
      <family val="2"/>
      <scheme val="minor"/>
    </font>
    <font>
      <sz val="10"/>
      <name val="Calibri"/>
      <family val="2"/>
      <scheme val="minor"/>
    </font>
    <font>
      <sz val="10"/>
      <color rgb="FF333333"/>
      <name val="Calibri"/>
      <family val="2"/>
      <scheme val="minor"/>
    </font>
    <font>
      <sz val="10"/>
      <color rgb="FF545454"/>
      <name val="Calibri"/>
      <family val="2"/>
      <scheme val="minor"/>
    </font>
    <font>
      <sz val="10"/>
      <color theme="1"/>
      <name val="Calibri"/>
      <family val="2"/>
      <scheme val="minor"/>
    </font>
    <font>
      <b/>
      <sz val="11"/>
      <color theme="1"/>
      <name val="Calibri"/>
      <family val="2"/>
      <scheme val="minor"/>
    </font>
    <font>
      <sz val="11"/>
      <color rgb="FFFF0000"/>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i/>
      <sz val="11"/>
      <color rgb="FF7F7F7F"/>
      <name val="Calibri"/>
      <family val="2"/>
      <scheme val="minor"/>
    </font>
    <font>
      <sz val="11"/>
      <color rgb="FF000000"/>
      <name val="Calibri"/>
      <family val="2"/>
      <scheme val="minor"/>
    </font>
    <font>
      <i/>
      <sz val="10"/>
      <name val="Calibri"/>
      <family val="2"/>
      <scheme val="minor"/>
    </font>
    <font>
      <sz val="11"/>
      <name val="Calibri"/>
      <family val="2"/>
      <scheme val="minor"/>
    </font>
    <font>
      <b/>
      <sz val="11"/>
      <name val="Calibri"/>
      <family val="2"/>
      <scheme val="minor"/>
    </font>
    <font>
      <i/>
      <sz val="11"/>
      <name val="Calibri"/>
      <family val="2"/>
      <scheme val="minor"/>
    </font>
    <font>
      <i/>
      <sz val="10"/>
      <color rgb="FF00B050"/>
      <name val="Calibri"/>
      <family val="2"/>
      <scheme val="minor"/>
    </font>
    <font>
      <sz val="10"/>
      <color rgb="FF00B050"/>
      <name val="Calibri"/>
      <family val="2"/>
      <scheme val="minor"/>
    </font>
    <font>
      <b/>
      <i/>
      <sz val="10"/>
      <name val="Calibri"/>
      <family val="2"/>
      <scheme val="minor"/>
    </font>
    <font>
      <sz val="10"/>
      <color rgb="FF000000"/>
      <name val="Calibri"/>
      <family val="2"/>
      <scheme val="minor"/>
    </font>
    <font>
      <b/>
      <sz val="10"/>
      <color rgb="FF000000"/>
      <name val="Calibri"/>
      <family val="2"/>
      <scheme val="minor"/>
    </font>
    <font>
      <i/>
      <sz val="10"/>
      <color rgb="FFFF0000"/>
      <name val="Calibri"/>
      <family val="2"/>
      <scheme val="minor"/>
    </font>
    <font>
      <sz val="10"/>
      <color rgb="FFFF0000"/>
      <name val="Calibri"/>
      <family val="2"/>
      <scheme val="minor"/>
    </font>
    <font>
      <b/>
      <i/>
      <sz val="11"/>
      <color theme="1"/>
      <name val="Calibri"/>
      <family val="2"/>
      <scheme val="minor"/>
    </font>
    <font>
      <i/>
      <sz val="11"/>
      <color theme="1"/>
      <name val="Calibri"/>
      <family val="2"/>
      <scheme val="minor"/>
    </font>
    <font>
      <sz val="10"/>
      <color theme="0"/>
      <name val="Calibri"/>
      <family val="2"/>
      <scheme val="minor"/>
    </font>
    <font>
      <sz val="10"/>
      <color rgb="FF0070C0"/>
      <name val="Calibri"/>
      <family val="2"/>
      <scheme val="minor"/>
    </font>
    <font>
      <sz val="10"/>
      <color rgb="FF00B0F0"/>
      <name val="Calibri"/>
      <family val="2"/>
      <scheme val="minor"/>
    </font>
    <font>
      <sz val="11"/>
      <color rgb="FF0070C0"/>
      <name val="Calibri"/>
      <family val="2"/>
      <scheme val="minor"/>
    </font>
    <font>
      <i/>
      <sz val="11"/>
      <color rgb="FF0070C0"/>
      <name val="Calibri"/>
      <family val="2"/>
      <scheme val="minor"/>
    </font>
    <font>
      <b/>
      <sz val="12"/>
      <color rgb="FF000000"/>
      <name val="Calibri"/>
      <family val="2"/>
      <scheme val="minor"/>
    </font>
    <font>
      <b/>
      <sz val="10"/>
      <color rgb="FFFF0000"/>
      <name val="Calibri"/>
      <family val="2"/>
      <scheme val="minor"/>
    </font>
    <font>
      <sz val="10"/>
      <color rgb="FF7030A0"/>
      <name val="Calibri"/>
      <family val="2"/>
      <scheme val="minor"/>
    </font>
    <font>
      <sz val="10"/>
      <name val="Arial"/>
      <family val="2"/>
    </font>
    <font>
      <i/>
      <sz val="11"/>
      <color rgb="FF000000"/>
      <name val="Calibri"/>
      <family val="2"/>
      <scheme val="minor"/>
    </font>
    <font>
      <b/>
      <sz val="11"/>
      <color rgb="FFFF0000"/>
      <name val="Calibri"/>
      <family val="2"/>
      <scheme val="minor"/>
    </font>
    <font>
      <b/>
      <sz val="11"/>
      <color rgb="FF0070C0"/>
      <name val="Calibri"/>
      <family val="2"/>
      <scheme val="minor"/>
    </font>
    <font>
      <b/>
      <sz val="11"/>
      <color rgb="FF000000"/>
      <name val="Calibri"/>
      <family val="2"/>
      <scheme val="minor"/>
    </font>
    <font>
      <b/>
      <sz val="12"/>
      <color theme="1"/>
      <name val="Calibri"/>
      <family val="2"/>
      <scheme val="minor"/>
    </font>
    <font>
      <b/>
      <sz val="12"/>
      <color theme="0"/>
      <name val="Calibri"/>
      <family val="2"/>
      <scheme val="minor"/>
    </font>
    <font>
      <i/>
      <sz val="11"/>
      <color theme="4" tint="-0.249977111117893"/>
      <name val="Calibri"/>
      <family val="2"/>
      <scheme val="minor"/>
    </font>
    <font>
      <b/>
      <sz val="11"/>
      <color rgb="FFFFFF00"/>
      <name val="Calibri"/>
      <family val="2"/>
      <scheme val="minor"/>
    </font>
    <font>
      <sz val="11"/>
      <name val="Arial"/>
      <family val="2"/>
    </font>
    <font>
      <b/>
      <sz val="11"/>
      <color theme="8" tint="-0.499984740745262"/>
      <name val="Calibri"/>
      <family val="2"/>
      <scheme val="minor"/>
    </font>
    <font>
      <b/>
      <u/>
      <sz val="11"/>
      <color theme="1"/>
      <name val="Calibri"/>
      <family val="2"/>
      <scheme val="minor"/>
    </font>
    <font>
      <b/>
      <sz val="10"/>
      <color indexed="81"/>
      <name val="Calibri"/>
      <family val="2"/>
    </font>
    <font>
      <b/>
      <sz val="7"/>
      <color rgb="FF000000"/>
      <name val="Arial"/>
      <family val="2"/>
    </font>
    <font>
      <sz val="8"/>
      <color rgb="FF000000"/>
      <name val="Times New Roman"/>
      <family val="1"/>
    </font>
    <font>
      <sz val="9"/>
      <color indexed="81"/>
      <name val="Tahoma"/>
      <charset val="1"/>
    </font>
    <font>
      <b/>
      <sz val="9"/>
      <color indexed="81"/>
      <name val="Tahoma"/>
      <charset val="1"/>
    </font>
  </fonts>
  <fills count="64">
    <fill>
      <patternFill patternType="none"/>
    </fill>
    <fill>
      <patternFill patternType="gray125"/>
    </fill>
    <fill>
      <patternFill patternType="solid">
        <fgColor theme="0" tint="-0.249977111117893"/>
        <bgColor indexed="64"/>
      </patternFill>
    </fill>
    <fill>
      <patternFill patternType="solid">
        <fgColor indexed="8"/>
      </patternFill>
    </fill>
    <fill>
      <patternFill patternType="solid">
        <fgColor theme="9" tint="0.59999389629810485"/>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8" tint="0.79998168889431442"/>
        <bgColor indexed="64"/>
      </patternFill>
    </fill>
    <fill>
      <patternFill patternType="solid">
        <fgColor theme="6" tint="0.59999389629810485"/>
        <bgColor indexed="64"/>
      </patternFill>
    </fill>
    <fill>
      <patternFill patternType="solid">
        <fgColor theme="0" tint="-0.14999847407452621"/>
        <bgColor indexed="64"/>
      </patternFill>
    </fill>
    <fill>
      <patternFill patternType="solid">
        <fgColor rgb="FF00B0F0"/>
        <bgColor indexed="64"/>
      </patternFill>
    </fill>
    <fill>
      <patternFill patternType="solid">
        <fgColor theme="9" tint="-0.249977111117893"/>
        <bgColor indexed="64"/>
      </patternFill>
    </fill>
    <fill>
      <patternFill patternType="solid">
        <fgColor rgb="FFFF0000"/>
        <bgColor indexed="64"/>
      </patternFill>
    </fill>
    <fill>
      <patternFill patternType="solid">
        <fgColor rgb="FF7030A0"/>
        <bgColor indexed="64"/>
      </patternFill>
    </fill>
    <fill>
      <patternFill patternType="solid">
        <fgColor theme="7" tint="0.39997558519241921"/>
        <bgColor indexed="64"/>
      </patternFill>
    </fill>
    <fill>
      <patternFill patternType="solid">
        <fgColor theme="6" tint="0.39997558519241921"/>
        <bgColor indexed="64"/>
      </patternFill>
    </fill>
    <fill>
      <patternFill patternType="solid">
        <fgColor rgb="FF0070C0"/>
        <bgColor indexed="64"/>
      </patternFill>
    </fill>
    <fill>
      <patternFill patternType="solid">
        <fgColor theme="4" tint="0.39997558519241921"/>
        <bgColor indexed="64"/>
      </patternFill>
    </fill>
    <fill>
      <patternFill patternType="solid">
        <fgColor theme="5" tint="0.59999389629810485"/>
        <bgColor indexed="64"/>
      </patternFill>
    </fill>
    <fill>
      <patternFill patternType="solid">
        <fgColor theme="0" tint="-4.9989318521683403E-2"/>
        <bgColor indexed="64"/>
      </patternFill>
    </fill>
    <fill>
      <patternFill patternType="solid">
        <fgColor theme="8" tint="0.59999389629810485"/>
        <bgColor indexed="64"/>
      </patternFill>
    </fill>
    <fill>
      <patternFill patternType="solid">
        <fgColor theme="4" tint="0.79998168889431442"/>
        <bgColor theme="4" tint="0.79998168889431442"/>
      </patternFill>
    </fill>
    <fill>
      <patternFill patternType="solid">
        <fgColor theme="6" tint="0.79998168889431442"/>
        <bgColor indexed="64"/>
      </patternFill>
    </fill>
    <fill>
      <patternFill patternType="solid">
        <fgColor theme="4" tint="0.59999389629810485"/>
        <bgColor indexed="64"/>
      </patternFill>
    </fill>
    <fill>
      <patternFill patternType="solid">
        <fgColor rgb="FFC00000"/>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7" tint="0.79998168889431442"/>
        <bgColor indexed="64"/>
      </patternFill>
    </fill>
    <fill>
      <patternFill patternType="solid">
        <fgColor theme="8" tint="-0.249977111117893"/>
        <bgColor indexed="64"/>
      </patternFill>
    </fill>
    <fill>
      <patternFill patternType="solid">
        <fgColor theme="7"/>
        <bgColor indexed="64"/>
      </patternFill>
    </fill>
    <fill>
      <patternFill patternType="solid">
        <fgColor theme="0"/>
        <bgColor indexed="64"/>
      </patternFill>
    </fill>
    <fill>
      <patternFill patternType="solid">
        <fgColor theme="5" tint="0.39997558519241921"/>
        <bgColor indexed="64"/>
      </patternFill>
    </fill>
    <fill>
      <patternFill patternType="solid">
        <fgColor rgb="FFFFC000"/>
        <bgColor indexed="64"/>
      </patternFill>
    </fill>
    <fill>
      <patternFill patternType="solid">
        <fgColor theme="5" tint="-0.249977111117893"/>
        <bgColor indexed="64"/>
      </patternFill>
    </fill>
  </fills>
  <borders count="33">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top/>
      <bottom style="thin">
        <color auto="1"/>
      </bottom>
      <diagonal/>
    </border>
    <border>
      <left style="thin">
        <color rgb="FF000000"/>
      </left>
      <right/>
      <top style="thin">
        <color rgb="FF000000"/>
      </top>
      <bottom style="thin">
        <color rgb="FF000000"/>
      </bottom>
      <diagonal/>
    </border>
    <border>
      <left style="thin">
        <color auto="1"/>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top/>
      <bottom style="thin">
        <color theme="4" tint="0.39997558519241921"/>
      </bottom>
      <diagonal/>
    </border>
    <border>
      <left/>
      <right/>
      <top style="thin">
        <color auto="1"/>
      </top>
      <bottom style="thin">
        <color auto="1"/>
      </bottom>
      <diagonal/>
    </border>
    <border>
      <left style="thin">
        <color auto="1"/>
      </left>
      <right/>
      <top/>
      <bottom style="thin">
        <color auto="1"/>
      </bottom>
      <diagonal/>
    </border>
    <border>
      <left style="thin">
        <color auto="1"/>
      </left>
      <right style="thin">
        <color auto="1"/>
      </right>
      <top/>
      <bottom/>
      <diagonal/>
    </border>
    <border>
      <left style="medium">
        <color auto="1"/>
      </left>
      <right/>
      <top style="medium">
        <color auto="1"/>
      </top>
      <bottom style="medium">
        <color auto="1"/>
      </bottom>
      <diagonal/>
    </border>
    <border>
      <left/>
      <right/>
      <top style="medium">
        <color auto="1"/>
      </top>
      <bottom style="medium">
        <color auto="1"/>
      </bottom>
      <diagonal/>
    </border>
    <border>
      <left/>
      <right style="medium">
        <color auto="1"/>
      </right>
      <top style="medium">
        <color auto="1"/>
      </top>
      <bottom style="medium">
        <color auto="1"/>
      </bottom>
      <diagonal/>
    </border>
    <border>
      <left/>
      <right style="thin">
        <color auto="1"/>
      </right>
      <top/>
      <bottom/>
      <diagonal/>
    </border>
    <border>
      <left/>
      <right style="thin">
        <color auto="1"/>
      </right>
      <top/>
      <bottom style="thin">
        <color auto="1"/>
      </bottom>
      <diagonal/>
    </border>
  </borders>
  <cellStyleXfs count="46">
    <xf numFmtId="0" fontId="0" fillId="0" borderId="0"/>
    <xf numFmtId="0" fontId="1" fillId="0" borderId="0" applyNumberFormat="0" applyFill="0" applyBorder="0" applyAlignment="0" applyProtection="0">
      <alignment vertical="top"/>
      <protection locked="0"/>
    </xf>
    <xf numFmtId="9" fontId="5" fillId="0" borderId="0" applyFont="0" applyFill="0" applyBorder="0" applyAlignment="0" applyProtection="0"/>
    <xf numFmtId="0" fontId="17" fillId="0" borderId="0" applyNumberFormat="0" applyFill="0" applyBorder="0" applyAlignment="0" applyProtection="0"/>
    <xf numFmtId="0" fontId="18" fillId="0" borderId="6" applyNumberFormat="0" applyFill="0" applyAlignment="0" applyProtection="0"/>
    <xf numFmtId="0" fontId="19" fillId="0" borderId="7" applyNumberFormat="0" applyFill="0" applyAlignment="0" applyProtection="0"/>
    <xf numFmtId="0" fontId="20" fillId="0" borderId="8" applyNumberFormat="0" applyFill="0" applyAlignment="0" applyProtection="0"/>
    <xf numFmtId="0" fontId="20" fillId="0" borderId="0" applyNumberFormat="0" applyFill="0" applyBorder="0" applyAlignment="0" applyProtection="0"/>
    <xf numFmtId="0" fontId="21" fillId="5" borderId="0" applyNumberFormat="0" applyBorder="0" applyAlignment="0" applyProtection="0"/>
    <xf numFmtId="0" fontId="22" fillId="6" borderId="0" applyNumberFormat="0" applyBorder="0" applyAlignment="0" applyProtection="0"/>
    <xf numFmtId="0" fontId="23" fillId="7" borderId="0" applyNumberFormat="0" applyBorder="0" applyAlignment="0" applyProtection="0"/>
    <xf numFmtId="0" fontId="24" fillId="8" borderId="9" applyNumberFormat="0" applyAlignment="0" applyProtection="0"/>
    <xf numFmtId="0" fontId="25" fillId="9" borderId="10" applyNumberFormat="0" applyAlignment="0" applyProtection="0"/>
    <xf numFmtId="0" fontId="26" fillId="9" borderId="9" applyNumberFormat="0" applyAlignment="0" applyProtection="0"/>
    <xf numFmtId="0" fontId="27" fillId="0" borderId="11" applyNumberFormat="0" applyFill="0" applyAlignment="0" applyProtection="0"/>
    <xf numFmtId="0" fontId="28" fillId="10" borderId="12" applyNumberFormat="0" applyAlignment="0" applyProtection="0"/>
    <xf numFmtId="0" fontId="16" fillId="0" borderId="0" applyNumberFormat="0" applyFill="0" applyBorder="0" applyAlignment="0" applyProtection="0"/>
    <xf numFmtId="0" fontId="5" fillId="11" borderId="13" applyNumberFormat="0" applyFont="0" applyAlignment="0" applyProtection="0"/>
    <xf numFmtId="0" fontId="29" fillId="0" borderId="0" applyNumberFormat="0" applyFill="0" applyBorder="0" applyAlignment="0" applyProtection="0"/>
    <xf numFmtId="0" fontId="15" fillId="0" borderId="14" applyNumberFormat="0" applyFill="0" applyAlignment="0" applyProtection="0"/>
    <xf numFmtId="0" fontId="2" fillId="12" borderId="0" applyNumberFormat="0" applyBorder="0" applyAlignment="0" applyProtection="0"/>
    <xf numFmtId="0" fontId="5" fillId="13" borderId="0" applyNumberFormat="0" applyBorder="0" applyAlignment="0" applyProtection="0"/>
    <xf numFmtId="0" fontId="5" fillId="14" borderId="0" applyNumberFormat="0" applyBorder="0" applyAlignment="0" applyProtection="0"/>
    <xf numFmtId="0" fontId="2" fillId="15" borderId="0" applyNumberFormat="0" applyBorder="0" applyAlignment="0" applyProtection="0"/>
    <xf numFmtId="0" fontId="2"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2" fillId="19" borderId="0" applyNumberFormat="0" applyBorder="0" applyAlignment="0" applyProtection="0"/>
    <xf numFmtId="0" fontId="2"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2" fillId="23" borderId="0" applyNumberFormat="0" applyBorder="0" applyAlignment="0" applyProtection="0"/>
    <xf numFmtId="0" fontId="2"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2" fillId="27" borderId="0" applyNumberFormat="0" applyBorder="0" applyAlignment="0" applyProtection="0"/>
    <xf numFmtId="0" fontId="2"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2" fillId="31" borderId="0" applyNumberFormat="0" applyBorder="0" applyAlignment="0" applyProtection="0"/>
    <xf numFmtId="0" fontId="2"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2" fillId="35" borderId="0" applyNumberFormat="0" applyBorder="0" applyAlignment="0" applyProtection="0"/>
    <xf numFmtId="0" fontId="30" fillId="0" borderId="0"/>
    <xf numFmtId="0" fontId="52" fillId="0" borderId="0">
      <alignment vertical="center"/>
    </xf>
  </cellStyleXfs>
  <cellXfs count="408">
    <xf numFmtId="0" fontId="0" fillId="0" borderId="0" xfId="0"/>
    <xf numFmtId="0" fontId="6" fillId="0" borderId="0" xfId="0" applyFont="1" applyFill="1" applyBorder="1" applyAlignment="1">
      <alignment horizontal="left" vertical="top"/>
    </xf>
    <xf numFmtId="0" fontId="6" fillId="0" borderId="0" xfId="0" applyFont="1" applyFill="1" applyBorder="1" applyAlignment="1">
      <alignment horizontal="left" vertical="top" wrapText="1"/>
    </xf>
    <xf numFmtId="166" fontId="6" fillId="0" borderId="0" xfId="0" applyNumberFormat="1" applyFont="1" applyFill="1" applyBorder="1" applyAlignment="1">
      <alignment horizontal="left" vertical="top"/>
    </xf>
    <xf numFmtId="166" fontId="6" fillId="0" borderId="0" xfId="0" applyNumberFormat="1" applyFont="1" applyFill="1" applyBorder="1" applyAlignment="1">
      <alignment horizontal="right" vertical="top" wrapText="1"/>
    </xf>
    <xf numFmtId="166" fontId="6" fillId="0" borderId="0" xfId="0" applyNumberFormat="1" applyFont="1" applyFill="1" applyBorder="1" applyAlignment="1">
      <alignment horizontal="right" vertical="top"/>
    </xf>
    <xf numFmtId="0" fontId="7" fillId="0" borderId="0" xfId="0" applyFont="1" applyFill="1" applyBorder="1" applyAlignment="1">
      <alignment horizontal="left" vertical="top"/>
    </xf>
    <xf numFmtId="0" fontId="7" fillId="0" borderId="0" xfId="0" applyFont="1" applyFill="1" applyBorder="1" applyAlignment="1">
      <alignment horizontal="left" vertical="top" wrapText="1"/>
    </xf>
    <xf numFmtId="0" fontId="8" fillId="0" borderId="0" xfId="1" applyFont="1" applyFill="1" applyBorder="1" applyAlignment="1" applyProtection="1">
      <alignment horizontal="left" vertical="top" wrapText="1"/>
    </xf>
    <xf numFmtId="166" fontId="6" fillId="0" borderId="0" xfId="0" applyNumberFormat="1" applyFont="1" applyFill="1" applyBorder="1" applyAlignment="1">
      <alignment horizontal="right" wrapText="1"/>
    </xf>
    <xf numFmtId="166" fontId="8" fillId="0" borderId="0" xfId="1" applyNumberFormat="1" applyFont="1" applyFill="1" applyBorder="1" applyAlignment="1" applyProtection="1">
      <alignment horizontal="right" wrapText="1"/>
    </xf>
    <xf numFmtId="3" fontId="6" fillId="0" borderId="0" xfId="0" applyNumberFormat="1" applyFont="1" applyFill="1" applyBorder="1" applyAlignment="1">
      <alignment wrapText="1"/>
    </xf>
    <xf numFmtId="0" fontId="6" fillId="0" borderId="0" xfId="0" applyFont="1" applyFill="1" applyBorder="1"/>
    <xf numFmtId="3" fontId="6" fillId="0" borderId="0" xfId="0" applyNumberFormat="1" applyFont="1" applyFill="1" applyBorder="1" applyAlignment="1">
      <alignment horizontal="left" vertical="top"/>
    </xf>
    <xf numFmtId="0" fontId="9" fillId="0" borderId="0" xfId="0" applyFont="1" applyFill="1" applyBorder="1" applyAlignment="1">
      <alignment wrapText="1"/>
    </xf>
    <xf numFmtId="49" fontId="7" fillId="0" borderId="0" xfId="0" applyNumberFormat="1" applyFont="1" applyFill="1" applyBorder="1" applyAlignment="1">
      <alignment wrapText="1"/>
    </xf>
    <xf numFmtId="49" fontId="8" fillId="0" borderId="0" xfId="1" applyNumberFormat="1" applyFont="1" applyFill="1" applyBorder="1" applyAlignment="1" applyProtection="1">
      <alignment wrapText="1"/>
    </xf>
    <xf numFmtId="49" fontId="6" fillId="0" borderId="0" xfId="0" applyNumberFormat="1" applyFont="1" applyFill="1" applyBorder="1" applyAlignment="1">
      <alignment wrapText="1"/>
    </xf>
    <xf numFmtId="49" fontId="6" fillId="0" borderId="0" xfId="0" applyNumberFormat="1" applyFont="1" applyFill="1" applyBorder="1" applyAlignment="1"/>
    <xf numFmtId="49" fontId="8" fillId="0" borderId="0" xfId="1" applyNumberFormat="1" applyFont="1" applyFill="1" applyBorder="1" applyAlignment="1" applyProtection="1"/>
    <xf numFmtId="0" fontId="10" fillId="3" borderId="1" xfId="0" applyFont="1" applyFill="1" applyBorder="1" applyProtection="1">
      <protection locked="0"/>
    </xf>
    <xf numFmtId="0" fontId="11" fillId="0" borderId="0" xfId="0" applyFont="1" applyFill="1" applyProtection="1">
      <protection locked="0"/>
    </xf>
    <xf numFmtId="0" fontId="12" fillId="0" borderId="4" xfId="0" applyFont="1" applyFill="1" applyBorder="1" applyAlignment="1" applyProtection="1">
      <alignment wrapText="1"/>
      <protection locked="0"/>
    </xf>
    <xf numFmtId="0" fontId="13" fillId="0" borderId="0" xfId="0" applyFont="1" applyFill="1" applyProtection="1">
      <protection locked="0"/>
    </xf>
    <xf numFmtId="0" fontId="14" fillId="2" borderId="0" xfId="0" applyFont="1" applyFill="1" applyAlignment="1">
      <alignment horizontal="left" vertical="top"/>
    </xf>
    <xf numFmtId="1" fontId="14" fillId="2" borderId="0" xfId="0" applyNumberFormat="1" applyFont="1" applyFill="1" applyAlignment="1">
      <alignment horizontal="right" vertical="top"/>
    </xf>
    <xf numFmtId="9" fontId="14" fillId="2" borderId="0" xfId="2" applyFont="1" applyFill="1" applyAlignment="1">
      <alignment horizontal="left" vertical="top"/>
    </xf>
    <xf numFmtId="0" fontId="14" fillId="2" borderId="0" xfId="0" applyFont="1" applyFill="1"/>
    <xf numFmtId="0" fontId="14" fillId="0" borderId="0" xfId="0" applyFont="1" applyFill="1" applyAlignment="1">
      <alignment horizontal="left" vertical="top"/>
    </xf>
    <xf numFmtId="1" fontId="14" fillId="0" borderId="0" xfId="0" applyNumberFormat="1" applyFont="1" applyFill="1" applyAlignment="1">
      <alignment horizontal="right" vertical="top"/>
    </xf>
    <xf numFmtId="9" fontId="14" fillId="0" borderId="0" xfId="2" applyFont="1" applyFill="1" applyAlignment="1">
      <alignment horizontal="left" vertical="top"/>
    </xf>
    <xf numFmtId="0" fontId="14" fillId="0" borderId="0" xfId="0" applyFont="1"/>
    <xf numFmtId="0" fontId="10" fillId="0" borderId="0" xfId="0" applyFont="1" applyFill="1" applyBorder="1" applyAlignment="1">
      <alignment horizontal="left" vertical="top"/>
    </xf>
    <xf numFmtId="0" fontId="11" fillId="0" borderId="0" xfId="0" applyFont="1" applyFill="1" applyBorder="1" applyAlignment="1">
      <alignment horizontal="left" vertical="top"/>
    </xf>
    <xf numFmtId="166" fontId="14" fillId="0" borderId="0" xfId="0" applyNumberFormat="1" applyFont="1" applyFill="1" applyAlignment="1">
      <alignment horizontal="left" vertical="top"/>
    </xf>
    <xf numFmtId="0" fontId="11" fillId="0" borderId="3" xfId="0" applyFont="1" applyFill="1" applyBorder="1" applyAlignment="1">
      <alignment horizontal="left" vertical="top"/>
    </xf>
    <xf numFmtId="1" fontId="14" fillId="0" borderId="3" xfId="0" applyNumberFormat="1" applyFont="1" applyFill="1" applyBorder="1" applyAlignment="1">
      <alignment horizontal="right" vertical="top"/>
    </xf>
    <xf numFmtId="0" fontId="14" fillId="0" borderId="3" xfId="0" applyFont="1" applyFill="1" applyBorder="1" applyAlignment="1">
      <alignment horizontal="left" vertical="top"/>
    </xf>
    <xf numFmtId="0" fontId="14" fillId="0" borderId="3" xfId="0" applyFont="1" applyBorder="1"/>
    <xf numFmtId="0" fontId="11" fillId="2" borderId="0" xfId="0" applyFont="1" applyFill="1" applyBorder="1" applyAlignment="1">
      <alignment horizontal="left" vertical="top"/>
    </xf>
    <xf numFmtId="1" fontId="14" fillId="0" borderId="0" xfId="0" applyNumberFormat="1" applyFont="1" applyFill="1" applyAlignment="1">
      <alignment horizontal="left" vertical="top"/>
    </xf>
    <xf numFmtId="0" fontId="14" fillId="0" borderId="1" xfId="0" applyFont="1" applyBorder="1" applyProtection="1">
      <protection locked="0"/>
    </xf>
    <xf numFmtId="0" fontId="14" fillId="0" borderId="2" xfId="0" applyFont="1" applyFill="1" applyBorder="1" applyAlignment="1">
      <alignment horizontal="left" vertical="top"/>
    </xf>
    <xf numFmtId="1" fontId="14" fillId="0" borderId="2" xfId="0" applyNumberFormat="1" applyFont="1" applyFill="1" applyBorder="1" applyAlignment="1">
      <alignment horizontal="right" vertical="top"/>
    </xf>
    <xf numFmtId="9" fontId="14" fillId="0" borderId="2" xfId="2" applyFont="1" applyFill="1" applyBorder="1" applyAlignment="1">
      <alignment horizontal="left" vertical="top"/>
    </xf>
    <xf numFmtId="0" fontId="11" fillId="4" borderId="0" xfId="0" applyFont="1" applyFill="1" applyBorder="1" applyAlignment="1">
      <alignment horizontal="left" vertical="top"/>
    </xf>
    <xf numFmtId="1" fontId="14" fillId="4" borderId="0" xfId="0" applyNumberFormat="1" applyFont="1" applyFill="1" applyAlignment="1">
      <alignment horizontal="right" vertical="top"/>
    </xf>
    <xf numFmtId="1" fontId="14" fillId="4" borderId="0" xfId="0" applyNumberFormat="1" applyFont="1" applyFill="1" applyAlignment="1">
      <alignment horizontal="left" vertical="top"/>
    </xf>
    <xf numFmtId="9" fontId="14" fillId="4" borderId="0" xfId="2" applyFont="1" applyFill="1" applyAlignment="1">
      <alignment horizontal="left" vertical="top"/>
    </xf>
    <xf numFmtId="49" fontId="6" fillId="0" borderId="0" xfId="0" applyNumberFormat="1" applyFont="1" applyFill="1" applyBorder="1" applyAlignment="1">
      <alignment horizontal="left" vertical="top"/>
    </xf>
    <xf numFmtId="0" fontId="8" fillId="0" borderId="0" xfId="1" applyFont="1" applyFill="1" applyBorder="1" applyAlignment="1" applyProtection="1">
      <alignment wrapText="1"/>
    </xf>
    <xf numFmtId="0" fontId="6" fillId="0" borderId="0" xfId="0" applyFont="1" applyFill="1" applyBorder="1" applyAlignment="1">
      <alignment wrapText="1"/>
    </xf>
    <xf numFmtId="166" fontId="7" fillId="0" borderId="0" xfId="1" applyNumberFormat="1" applyFont="1" applyFill="1" applyBorder="1" applyAlignment="1" applyProtection="1">
      <alignment horizontal="right" vertical="top" wrapText="1"/>
    </xf>
    <xf numFmtId="49" fontId="6" fillId="0" borderId="0" xfId="0" applyNumberFormat="1" applyFont="1" applyFill="1" applyBorder="1"/>
    <xf numFmtId="49" fontId="6" fillId="0" borderId="0" xfId="0" applyNumberFormat="1" applyFont="1" applyFill="1" applyBorder="1" applyAlignment="1">
      <alignment vertical="top" wrapText="1"/>
    </xf>
    <xf numFmtId="0" fontId="6" fillId="0" borderId="0" xfId="0" applyFont="1" applyFill="1" applyBorder="1" applyAlignment="1">
      <alignment vertical="top" wrapText="1"/>
    </xf>
    <xf numFmtId="1" fontId="11" fillId="0" borderId="0" xfId="0" applyNumberFormat="1" applyFont="1" applyFill="1" applyBorder="1" applyAlignment="1">
      <alignment horizontal="left" vertical="top"/>
    </xf>
    <xf numFmtId="0" fontId="11" fillId="0" borderId="0" xfId="0" applyNumberFormat="1" applyFont="1" applyFill="1" applyBorder="1" applyAlignment="1">
      <alignment horizontal="left" vertical="top"/>
    </xf>
    <xf numFmtId="1" fontId="10" fillId="0" borderId="0" xfId="0" applyNumberFormat="1" applyFont="1" applyFill="1" applyBorder="1" applyAlignment="1">
      <alignment horizontal="left" vertical="top" wrapText="1"/>
    </xf>
    <xf numFmtId="167" fontId="10" fillId="0" borderId="0" xfId="0" applyNumberFormat="1" applyFont="1" applyFill="1" applyBorder="1" applyAlignment="1">
      <alignment horizontal="left" vertical="top" wrapText="1"/>
    </xf>
    <xf numFmtId="168" fontId="10" fillId="0" borderId="0" xfId="0" applyNumberFormat="1" applyFont="1" applyFill="1" applyBorder="1" applyAlignment="1">
      <alignment horizontal="left" vertical="top" wrapText="1"/>
    </xf>
    <xf numFmtId="166" fontId="10" fillId="0" borderId="0" xfId="0" applyNumberFormat="1" applyFont="1" applyFill="1" applyBorder="1" applyAlignment="1">
      <alignment horizontal="left" vertical="top" wrapText="1"/>
    </xf>
    <xf numFmtId="2" fontId="10" fillId="0" borderId="0" xfId="0" applyNumberFormat="1" applyFont="1" applyFill="1" applyBorder="1" applyAlignment="1">
      <alignment horizontal="left" vertical="top" wrapText="1"/>
    </xf>
    <xf numFmtId="165" fontId="10" fillId="0" borderId="0" xfId="0" applyNumberFormat="1" applyFont="1" applyFill="1" applyBorder="1" applyAlignment="1">
      <alignment horizontal="left" vertical="top" wrapText="1"/>
    </xf>
    <xf numFmtId="169" fontId="10" fillId="0" borderId="0" xfId="0" applyNumberFormat="1" applyFont="1" applyFill="1" applyBorder="1" applyAlignment="1">
      <alignment horizontal="left" vertical="top" wrapText="1"/>
    </xf>
    <xf numFmtId="164" fontId="10" fillId="0" borderId="0" xfId="0" applyNumberFormat="1" applyFont="1" applyFill="1" applyBorder="1" applyAlignment="1">
      <alignment horizontal="left" vertical="top" wrapText="1"/>
    </xf>
    <xf numFmtId="1" fontId="31" fillId="0" borderId="0" xfId="0" applyNumberFormat="1" applyFont="1" applyFill="1" applyBorder="1" applyAlignment="1">
      <alignment horizontal="left" vertical="top"/>
    </xf>
    <xf numFmtId="1" fontId="11" fillId="0" borderId="0" xfId="1" applyNumberFormat="1" applyFont="1" applyFill="1" applyBorder="1" applyAlignment="1" applyProtection="1">
      <alignment horizontal="left" vertical="top"/>
    </xf>
    <xf numFmtId="0" fontId="10" fillId="0" borderId="0" xfId="0" applyFont="1" applyFill="1" applyBorder="1" applyAlignment="1">
      <alignment horizontal="left" vertical="top" wrapText="1"/>
    </xf>
    <xf numFmtId="167" fontId="11" fillId="0" borderId="0" xfId="0" applyNumberFormat="1" applyFont="1" applyFill="1" applyBorder="1" applyAlignment="1">
      <alignment horizontal="left" vertical="top"/>
    </xf>
    <xf numFmtId="168" fontId="11" fillId="0" borderId="0" xfId="0" applyNumberFormat="1" applyFont="1" applyFill="1" applyBorder="1" applyAlignment="1">
      <alignment horizontal="left" vertical="top"/>
    </xf>
    <xf numFmtId="166" fontId="11" fillId="0" borderId="0" xfId="0" applyNumberFormat="1" applyFont="1" applyFill="1" applyBorder="1" applyAlignment="1">
      <alignment horizontal="left" vertical="top"/>
    </xf>
    <xf numFmtId="2" fontId="11" fillId="0" borderId="0" xfId="0" applyNumberFormat="1" applyFont="1" applyFill="1" applyBorder="1" applyAlignment="1">
      <alignment horizontal="left" vertical="top"/>
    </xf>
    <xf numFmtId="165" fontId="11" fillId="0" borderId="0" xfId="0" applyNumberFormat="1" applyFont="1" applyFill="1" applyBorder="1" applyAlignment="1">
      <alignment horizontal="left" vertical="top"/>
    </xf>
    <xf numFmtId="169" fontId="11" fillId="0" borderId="0" xfId="0" applyNumberFormat="1" applyFont="1" applyFill="1" applyBorder="1" applyAlignment="1">
      <alignment horizontal="left" vertical="top"/>
    </xf>
    <xf numFmtId="164" fontId="11" fillId="0" borderId="0" xfId="0" applyNumberFormat="1" applyFont="1" applyFill="1" applyBorder="1" applyAlignment="1">
      <alignment horizontal="left" vertical="top"/>
    </xf>
    <xf numFmtId="0" fontId="11" fillId="0" borderId="0" xfId="0" applyFont="1" applyFill="1" applyBorder="1" applyAlignment="1">
      <alignment horizontal="left"/>
    </xf>
    <xf numFmtId="167" fontId="11" fillId="0" borderId="0" xfId="1" applyNumberFormat="1" applyFont="1" applyFill="1" applyBorder="1" applyAlignment="1" applyProtection="1">
      <alignment horizontal="left" vertical="top"/>
    </xf>
    <xf numFmtId="0" fontId="11" fillId="0" borderId="0" xfId="1" applyFont="1" applyFill="1" applyBorder="1" applyAlignment="1" applyProtection="1">
      <alignment horizontal="left" vertical="top"/>
    </xf>
    <xf numFmtId="166" fontId="11" fillId="0" borderId="0" xfId="1" applyNumberFormat="1" applyFont="1" applyFill="1" applyBorder="1" applyAlignment="1" applyProtection="1">
      <alignment horizontal="left" vertical="top"/>
    </xf>
    <xf numFmtId="1" fontId="11" fillId="0" borderId="0" xfId="0" applyNumberFormat="1" applyFont="1" applyFill="1" applyBorder="1" applyAlignment="1">
      <alignment horizontal="left"/>
    </xf>
    <xf numFmtId="0" fontId="11" fillId="0" borderId="0" xfId="1" applyNumberFormat="1" applyFont="1" applyFill="1" applyBorder="1" applyAlignment="1" applyProtection="1">
      <alignment horizontal="left" vertical="top"/>
    </xf>
    <xf numFmtId="0" fontId="0" fillId="0" borderId="3" xfId="0" applyBorder="1"/>
    <xf numFmtId="0" fontId="32" fillId="0" borderId="0" xfId="0" applyFont="1"/>
    <xf numFmtId="0" fontId="32" fillId="0" borderId="3" xfId="0" applyFont="1" applyBorder="1"/>
    <xf numFmtId="1" fontId="32" fillId="0" borderId="0" xfId="0" applyNumberFormat="1" applyFont="1" applyFill="1" applyBorder="1" applyAlignment="1">
      <alignment vertical="top"/>
    </xf>
    <xf numFmtId="1" fontId="32" fillId="0" borderId="5" xfId="0" applyNumberFormat="1" applyFont="1" applyFill="1" applyBorder="1" applyAlignment="1">
      <alignment vertical="top"/>
    </xf>
    <xf numFmtId="1" fontId="32" fillId="0" borderId="5" xfId="1" applyNumberFormat="1" applyFont="1" applyFill="1" applyBorder="1" applyAlignment="1" applyProtection="1">
      <alignment horizontal="left" vertical="top"/>
    </xf>
    <xf numFmtId="1" fontId="32" fillId="0" borderId="5" xfId="0" applyNumberFormat="1" applyFont="1" applyFill="1" applyBorder="1" applyAlignment="1">
      <alignment horizontal="left" vertical="top"/>
    </xf>
    <xf numFmtId="166" fontId="32" fillId="0" borderId="5" xfId="0" applyNumberFormat="1" applyFont="1" applyFill="1" applyBorder="1" applyAlignment="1">
      <alignment vertical="top"/>
    </xf>
    <xf numFmtId="1" fontId="32" fillId="0" borderId="0" xfId="0" applyNumberFormat="1" applyFont="1" applyFill="1" applyAlignment="1">
      <alignment vertical="top"/>
    </xf>
    <xf numFmtId="0" fontId="32" fillId="0" borderId="5" xfId="0" applyNumberFormat="1" applyFont="1" applyFill="1" applyBorder="1" applyAlignment="1">
      <alignment vertical="top"/>
    </xf>
    <xf numFmtId="166" fontId="32" fillId="0" borderId="5" xfId="1" applyNumberFormat="1" applyFont="1" applyFill="1" applyBorder="1" applyAlignment="1" applyProtection="1">
      <alignment vertical="top"/>
    </xf>
    <xf numFmtId="0" fontId="0" fillId="0" borderId="0" xfId="0" applyBorder="1"/>
    <xf numFmtId="0" fontId="15" fillId="0" borderId="0" xfId="0" applyFont="1"/>
    <xf numFmtId="1" fontId="33" fillId="0" borderId="0" xfId="0" applyNumberFormat="1" applyFont="1" applyFill="1" applyBorder="1" applyAlignment="1">
      <alignment horizontal="left" vertical="top" wrapText="1"/>
    </xf>
    <xf numFmtId="0" fontId="0" fillId="0" borderId="0" xfId="0" applyFont="1"/>
    <xf numFmtId="1" fontId="32" fillId="0" borderId="0" xfId="0" applyNumberFormat="1" applyFont="1" applyFill="1" applyBorder="1" applyAlignment="1">
      <alignment horizontal="left" vertical="top"/>
    </xf>
    <xf numFmtId="1" fontId="34" fillId="0" borderId="0" xfId="0" applyNumberFormat="1" applyFont="1" applyFill="1" applyBorder="1" applyAlignment="1">
      <alignment horizontal="left" vertical="top"/>
    </xf>
    <xf numFmtId="1" fontId="32" fillId="0" borderId="0" xfId="1" applyNumberFormat="1" applyFont="1" applyFill="1" applyBorder="1" applyAlignment="1" applyProtection="1">
      <alignment horizontal="left" vertical="top"/>
    </xf>
    <xf numFmtId="0" fontId="32" fillId="0" borderId="0" xfId="0" applyNumberFormat="1" applyFont="1" applyFill="1" applyBorder="1" applyAlignment="1">
      <alignment horizontal="left" vertical="top"/>
    </xf>
    <xf numFmtId="1" fontId="31" fillId="4" borderId="0" xfId="0" applyNumberFormat="1" applyFont="1" applyFill="1" applyBorder="1" applyAlignment="1">
      <alignment horizontal="left" vertical="top"/>
    </xf>
    <xf numFmtId="1" fontId="11" fillId="4" borderId="0" xfId="0" applyNumberFormat="1" applyFont="1" applyFill="1" applyBorder="1" applyAlignment="1">
      <alignment horizontal="left" vertical="top"/>
    </xf>
    <xf numFmtId="0" fontId="11" fillId="4" borderId="0" xfId="0" applyFont="1" applyFill="1" applyBorder="1" applyAlignment="1">
      <alignment horizontal="left"/>
    </xf>
    <xf numFmtId="167" fontId="11" fillId="4" borderId="0" xfId="0" applyNumberFormat="1" applyFont="1" applyFill="1" applyBorder="1" applyAlignment="1">
      <alignment horizontal="left" vertical="top"/>
    </xf>
    <xf numFmtId="168" fontId="11" fillId="4" borderId="0" xfId="0" applyNumberFormat="1" applyFont="1" applyFill="1" applyBorder="1" applyAlignment="1">
      <alignment horizontal="left" vertical="top"/>
    </xf>
    <xf numFmtId="166" fontId="11" fillId="4" borderId="0" xfId="0" applyNumberFormat="1" applyFont="1" applyFill="1" applyBorder="1" applyAlignment="1">
      <alignment horizontal="left" vertical="top"/>
    </xf>
    <xf numFmtId="165" fontId="11" fillId="4" borderId="0" xfId="0" applyNumberFormat="1" applyFont="1" applyFill="1" applyBorder="1" applyAlignment="1">
      <alignment horizontal="left" vertical="top"/>
    </xf>
    <xf numFmtId="2" fontId="11" fillId="4" borderId="0" xfId="0" applyNumberFormat="1" applyFont="1" applyFill="1" applyBorder="1" applyAlignment="1">
      <alignment horizontal="left" vertical="top"/>
    </xf>
    <xf numFmtId="169" fontId="11" fillId="4" borderId="0" xfId="0" applyNumberFormat="1" applyFont="1" applyFill="1" applyBorder="1" applyAlignment="1">
      <alignment horizontal="left" vertical="top"/>
    </xf>
    <xf numFmtId="164" fontId="11" fillId="4" borderId="0" xfId="0" applyNumberFormat="1" applyFont="1" applyFill="1" applyBorder="1" applyAlignment="1">
      <alignment horizontal="left" vertical="top"/>
    </xf>
    <xf numFmtId="1" fontId="11" fillId="4" borderId="0" xfId="1" applyNumberFormat="1" applyFont="1" applyFill="1" applyBorder="1" applyAlignment="1" applyProtection="1">
      <alignment horizontal="left" vertical="top"/>
    </xf>
    <xf numFmtId="1" fontId="35" fillId="4" borderId="0" xfId="0" applyNumberFormat="1" applyFont="1" applyFill="1" applyBorder="1" applyAlignment="1">
      <alignment horizontal="left" vertical="top"/>
    </xf>
    <xf numFmtId="1" fontId="36" fillId="4" borderId="0" xfId="0" applyNumberFormat="1" applyFont="1" applyFill="1" applyBorder="1" applyAlignment="1">
      <alignment horizontal="left" vertical="top"/>
    </xf>
    <xf numFmtId="0" fontId="36" fillId="4" borderId="0" xfId="0" applyFont="1" applyFill="1" applyBorder="1" applyAlignment="1">
      <alignment horizontal="left"/>
    </xf>
    <xf numFmtId="167" fontId="36" fillId="4" borderId="0" xfId="0" applyNumberFormat="1" applyFont="1" applyFill="1" applyBorder="1" applyAlignment="1">
      <alignment horizontal="left" vertical="top"/>
    </xf>
    <xf numFmtId="168" fontId="36" fillId="4" borderId="0" xfId="0" applyNumberFormat="1" applyFont="1" applyFill="1" applyBorder="1" applyAlignment="1">
      <alignment horizontal="left" vertical="top"/>
    </xf>
    <xf numFmtId="166" fontId="36" fillId="4" borderId="0" xfId="0" applyNumberFormat="1" applyFont="1" applyFill="1" applyBorder="1" applyAlignment="1">
      <alignment horizontal="left" vertical="top"/>
    </xf>
    <xf numFmtId="165" fontId="36" fillId="4" borderId="0" xfId="0" applyNumberFormat="1" applyFont="1" applyFill="1" applyBorder="1" applyAlignment="1">
      <alignment horizontal="left" vertical="top"/>
    </xf>
    <xf numFmtId="2" fontId="36" fillId="4" borderId="0" xfId="0" applyNumberFormat="1" applyFont="1" applyFill="1" applyBorder="1" applyAlignment="1">
      <alignment horizontal="left" vertical="top"/>
    </xf>
    <xf numFmtId="169" fontId="36" fillId="4" borderId="0" xfId="0" applyNumberFormat="1" applyFont="1" applyFill="1" applyBorder="1" applyAlignment="1">
      <alignment horizontal="left" vertical="top"/>
    </xf>
    <xf numFmtId="164" fontId="36" fillId="4" borderId="0" xfId="0" applyNumberFormat="1" applyFont="1" applyFill="1" applyBorder="1" applyAlignment="1">
      <alignment horizontal="left" vertical="top"/>
    </xf>
    <xf numFmtId="0" fontId="15" fillId="0" borderId="0" xfId="0" applyFont="1" applyAlignment="1">
      <alignment horizontal="center"/>
    </xf>
    <xf numFmtId="1" fontId="37" fillId="0" borderId="0" xfId="0" applyNumberFormat="1" applyFont="1" applyFill="1" applyBorder="1" applyAlignment="1">
      <alignment horizontal="left" vertical="top" wrapText="1"/>
    </xf>
    <xf numFmtId="0" fontId="0" fillId="0" borderId="0" xfId="0" applyAlignment="1">
      <alignment horizontal="center"/>
    </xf>
    <xf numFmtId="0" fontId="38" fillId="0" borderId="0" xfId="0" applyFont="1" applyFill="1" applyBorder="1" applyAlignment="1">
      <alignment horizontal="center" vertical="top"/>
    </xf>
    <xf numFmtId="0" fontId="39" fillId="0" borderId="0" xfId="0" applyFont="1" applyFill="1" applyBorder="1" applyAlignment="1">
      <alignment horizontal="center" textRotation="90"/>
    </xf>
    <xf numFmtId="0" fontId="0" fillId="0" borderId="0" xfId="0" applyFill="1"/>
    <xf numFmtId="0" fontId="39" fillId="0" borderId="15" xfId="0" applyFont="1" applyFill="1" applyBorder="1" applyAlignment="1">
      <alignment horizontal="center" vertical="top"/>
    </xf>
    <xf numFmtId="0" fontId="0" fillId="0" borderId="0" xfId="0" applyFill="1" applyAlignment="1">
      <alignment horizontal="center"/>
    </xf>
    <xf numFmtId="0" fontId="39" fillId="0" borderId="0" xfId="0" applyFont="1" applyFill="1" applyBorder="1" applyAlignment="1">
      <alignment horizontal="left" textRotation="90"/>
    </xf>
    <xf numFmtId="0" fontId="38" fillId="0" borderId="0" xfId="0" quotePrefix="1" applyFont="1" applyFill="1" applyBorder="1" applyAlignment="1">
      <alignment horizontal="left" textRotation="90" wrapText="1"/>
    </xf>
    <xf numFmtId="1" fontId="40" fillId="0" borderId="0" xfId="0" applyNumberFormat="1" applyFont="1" applyFill="1" applyBorder="1" applyAlignment="1">
      <alignment horizontal="left" vertical="top"/>
    </xf>
    <xf numFmtId="1" fontId="10" fillId="0" borderId="0" xfId="0" applyNumberFormat="1" applyFont="1" applyFill="1" applyBorder="1" applyAlignment="1">
      <alignment horizontal="center" vertical="top" wrapText="1"/>
    </xf>
    <xf numFmtId="1" fontId="11" fillId="0" borderId="0" xfId="0" applyNumberFormat="1" applyFont="1" applyFill="1" applyBorder="1" applyAlignment="1">
      <alignment horizontal="center" vertical="top"/>
    </xf>
    <xf numFmtId="1" fontId="0" fillId="0" borderId="0" xfId="0" applyNumberFormat="1" applyFill="1" applyAlignment="1">
      <alignment horizontal="center"/>
    </xf>
    <xf numFmtId="0" fontId="0" fillId="0" borderId="15" xfId="0" applyFill="1" applyBorder="1"/>
    <xf numFmtId="0" fontId="0" fillId="0" borderId="15" xfId="0" applyFill="1" applyBorder="1" applyAlignment="1">
      <alignment horizontal="center"/>
    </xf>
    <xf numFmtId="9" fontId="0" fillId="0" borderId="0" xfId="2" applyFont="1" applyFill="1" applyAlignment="1">
      <alignment horizontal="center"/>
    </xf>
    <xf numFmtId="0" fontId="1" fillId="0" borderId="0" xfId="1" applyAlignment="1" applyProtection="1"/>
    <xf numFmtId="1" fontId="41" fillId="0" borderId="0" xfId="0" applyNumberFormat="1" applyFont="1" applyFill="1" applyBorder="1" applyAlignment="1">
      <alignment horizontal="left" vertical="top"/>
    </xf>
    <xf numFmtId="0" fontId="0" fillId="36" borderId="0" xfId="0" applyFill="1"/>
    <xf numFmtId="0" fontId="16" fillId="36" borderId="0" xfId="0" applyFont="1" applyFill="1"/>
    <xf numFmtId="1" fontId="1" fillId="0" borderId="0" xfId="1" applyNumberFormat="1" applyFill="1" applyBorder="1" applyAlignment="1" applyProtection="1">
      <alignment horizontal="left" vertical="top"/>
    </xf>
    <xf numFmtId="0" fontId="32" fillId="0" borderId="0" xfId="0" applyFont="1" applyFill="1" applyAlignment="1">
      <alignment horizontal="left"/>
    </xf>
    <xf numFmtId="1" fontId="33" fillId="2" borderId="0" xfId="0" applyNumberFormat="1" applyFont="1" applyFill="1" applyBorder="1" applyAlignment="1">
      <alignment horizontal="left" vertical="top" wrapText="1"/>
    </xf>
    <xf numFmtId="0" fontId="15" fillId="2" borderId="0" xfId="0" applyFont="1" applyFill="1"/>
    <xf numFmtId="0" fontId="0" fillId="2" borderId="0" xfId="0" applyFont="1" applyFill="1"/>
    <xf numFmtId="0" fontId="0" fillId="37" borderId="0" xfId="0" applyFill="1"/>
    <xf numFmtId="0" fontId="0" fillId="38" borderId="0" xfId="0" applyFill="1"/>
    <xf numFmtId="0" fontId="15" fillId="37" borderId="0" xfId="0" applyFont="1" applyFill="1"/>
    <xf numFmtId="0" fontId="15" fillId="38" borderId="0" xfId="0" applyFont="1" applyFill="1"/>
    <xf numFmtId="0" fontId="16" fillId="37" borderId="0" xfId="0" applyFont="1" applyFill="1"/>
    <xf numFmtId="0" fontId="15" fillId="39" borderId="0" xfId="0" applyFont="1" applyFill="1" applyAlignment="1">
      <alignment vertical="center"/>
    </xf>
    <xf numFmtId="0" fontId="15" fillId="39" borderId="0" xfId="0" applyFont="1" applyFill="1" applyAlignment="1">
      <alignment horizontal="center" vertical="center"/>
    </xf>
    <xf numFmtId="0" fontId="15" fillId="39" borderId="0" xfId="0" applyFont="1" applyFill="1" applyAlignment="1"/>
    <xf numFmtId="0" fontId="41" fillId="0" borderId="0" xfId="0" applyFont="1" applyFill="1" applyBorder="1" applyAlignment="1">
      <alignment horizontal="left"/>
    </xf>
    <xf numFmtId="0" fontId="11" fillId="36" borderId="0" xfId="0" applyFont="1" applyFill="1" applyBorder="1" applyAlignment="1">
      <alignment horizontal="left"/>
    </xf>
    <xf numFmtId="0" fontId="43" fillId="0" borderId="0" xfId="0" applyFont="1" applyAlignment="1">
      <alignment horizontal="center"/>
    </xf>
    <xf numFmtId="0" fontId="43" fillId="0" borderId="0" xfId="0" applyFont="1"/>
    <xf numFmtId="0" fontId="42" fillId="2" borderId="0" xfId="0" applyFont="1" applyFill="1" applyAlignment="1">
      <alignment horizontal="center"/>
    </xf>
    <xf numFmtId="0" fontId="0" fillId="2" borderId="0" xfId="0" applyFill="1"/>
    <xf numFmtId="0" fontId="15" fillId="40" borderId="0" xfId="0" applyFont="1" applyFill="1" applyAlignment="1">
      <alignment horizontal="center"/>
    </xf>
    <xf numFmtId="0" fontId="15" fillId="41" borderId="0" xfId="0" applyFont="1" applyFill="1" applyAlignment="1">
      <alignment horizontal="center"/>
    </xf>
    <xf numFmtId="1" fontId="0" fillId="0" borderId="0" xfId="0" applyNumberFormat="1" applyAlignment="1">
      <alignment horizontal="center"/>
    </xf>
    <xf numFmtId="1" fontId="11" fillId="42" borderId="0" xfId="0" applyNumberFormat="1" applyFont="1" applyFill="1" applyBorder="1" applyAlignment="1">
      <alignment horizontal="left" vertical="top"/>
    </xf>
    <xf numFmtId="1" fontId="44" fillId="43" borderId="0" xfId="0" applyNumberFormat="1" applyFont="1" applyFill="1" applyBorder="1" applyAlignment="1">
      <alignment horizontal="left" vertical="top"/>
    </xf>
    <xf numFmtId="1" fontId="11" fillId="41" borderId="0" xfId="0" applyNumberFormat="1" applyFont="1" applyFill="1" applyBorder="1" applyAlignment="1">
      <alignment horizontal="left" vertical="top"/>
    </xf>
    <xf numFmtId="1" fontId="44" fillId="44" borderId="0" xfId="0" applyNumberFormat="1" applyFont="1" applyFill="1" applyBorder="1" applyAlignment="1">
      <alignment horizontal="left" vertical="top"/>
    </xf>
    <xf numFmtId="0" fontId="15" fillId="39" borderId="0" xfId="0" applyFont="1" applyFill="1"/>
    <xf numFmtId="1" fontId="46" fillId="4" borderId="0" xfId="0" applyNumberFormat="1" applyFont="1" applyFill="1" applyBorder="1" applyAlignment="1">
      <alignment horizontal="left" vertical="top"/>
    </xf>
    <xf numFmtId="1" fontId="1" fillId="4" borderId="0" xfId="1" applyNumberFormat="1" applyFill="1" applyBorder="1" applyAlignment="1" applyProtection="1">
      <alignment horizontal="left" vertical="top"/>
    </xf>
    <xf numFmtId="1" fontId="36" fillId="45" borderId="0" xfId="0" applyNumberFormat="1" applyFont="1" applyFill="1" applyBorder="1" applyAlignment="1">
      <alignment horizontal="left" vertical="top"/>
    </xf>
    <xf numFmtId="1" fontId="46" fillId="0" borderId="0" xfId="0" applyNumberFormat="1" applyFont="1" applyFill="1" applyBorder="1" applyAlignment="1">
      <alignment horizontal="left" vertical="top"/>
    </xf>
    <xf numFmtId="0" fontId="1" fillId="0" borderId="0" xfId="1" applyFill="1" applyBorder="1" applyAlignment="1" applyProtection="1">
      <alignment horizontal="left" vertical="top"/>
    </xf>
    <xf numFmtId="1" fontId="41" fillId="0" borderId="0" xfId="1" applyNumberFormat="1" applyFont="1" applyFill="1" applyBorder="1" applyAlignment="1" applyProtection="1">
      <alignment horizontal="left" vertical="top"/>
    </xf>
    <xf numFmtId="1" fontId="41" fillId="0" borderId="0" xfId="0" applyNumberFormat="1" applyFont="1" applyFill="1" applyBorder="1" applyAlignment="1">
      <alignment horizontal="center" vertical="top"/>
    </xf>
    <xf numFmtId="167" fontId="41" fillId="0" borderId="0" xfId="0" applyNumberFormat="1" applyFont="1" applyFill="1" applyBorder="1" applyAlignment="1">
      <alignment horizontal="left" vertical="top"/>
    </xf>
    <xf numFmtId="168" fontId="41" fillId="0" borderId="0" xfId="0" applyNumberFormat="1" applyFont="1" applyFill="1" applyBorder="1" applyAlignment="1">
      <alignment horizontal="left" vertical="top"/>
    </xf>
    <xf numFmtId="166" fontId="41" fillId="0" borderId="0" xfId="0" applyNumberFormat="1" applyFont="1" applyFill="1" applyBorder="1" applyAlignment="1">
      <alignment horizontal="left" vertical="top"/>
    </xf>
    <xf numFmtId="165" fontId="41" fillId="0" borderId="0" xfId="0" applyNumberFormat="1" applyFont="1" applyFill="1" applyBorder="1" applyAlignment="1">
      <alignment horizontal="left" vertical="top"/>
    </xf>
    <xf numFmtId="169" fontId="41" fillId="0" borderId="0" xfId="0" applyNumberFormat="1" applyFont="1" applyFill="1" applyBorder="1" applyAlignment="1">
      <alignment horizontal="left" vertical="top"/>
    </xf>
    <xf numFmtId="2" fontId="41" fillId="0" borderId="0" xfId="0" applyNumberFormat="1" applyFont="1" applyFill="1" applyBorder="1" applyAlignment="1">
      <alignment horizontal="left" vertical="top"/>
    </xf>
    <xf numFmtId="169" fontId="45" fillId="0" borderId="0" xfId="0" applyNumberFormat="1" applyFont="1" applyFill="1" applyBorder="1" applyAlignment="1">
      <alignment horizontal="left" vertical="top"/>
    </xf>
    <xf numFmtId="164" fontId="45" fillId="0" borderId="0" xfId="0" applyNumberFormat="1" applyFont="1" applyFill="1" applyBorder="1" applyAlignment="1">
      <alignment horizontal="left" vertical="top"/>
    </xf>
    <xf numFmtId="166" fontId="45" fillId="0" borderId="0" xfId="0" applyNumberFormat="1" applyFont="1" applyFill="1" applyBorder="1" applyAlignment="1">
      <alignment horizontal="left" vertical="top"/>
    </xf>
    <xf numFmtId="168" fontId="45" fillId="0" borderId="0" xfId="0" applyNumberFormat="1" applyFont="1" applyFill="1" applyBorder="1" applyAlignment="1">
      <alignment horizontal="left" vertical="top"/>
    </xf>
    <xf numFmtId="2" fontId="45" fillId="0" borderId="0" xfId="0" applyNumberFormat="1" applyFont="1" applyFill="1" applyBorder="1" applyAlignment="1">
      <alignment horizontal="left" vertical="top"/>
    </xf>
    <xf numFmtId="1" fontId="45" fillId="0" borderId="0" xfId="0" applyNumberFormat="1" applyFont="1" applyFill="1" applyBorder="1" applyAlignment="1">
      <alignment horizontal="left" vertical="top"/>
    </xf>
    <xf numFmtId="168" fontId="40" fillId="0" borderId="0" xfId="0" applyNumberFormat="1" applyFont="1" applyFill="1" applyBorder="1" applyAlignment="1">
      <alignment horizontal="left" vertical="top"/>
    </xf>
    <xf numFmtId="170" fontId="45" fillId="0" borderId="0" xfId="0" applyNumberFormat="1" applyFont="1" applyFill="1" applyBorder="1" applyAlignment="1">
      <alignment horizontal="left" vertical="top"/>
    </xf>
    <xf numFmtId="1" fontId="47" fillId="0" borderId="0" xfId="0" applyNumberFormat="1" applyFont="1" applyFill="1" applyBorder="1" applyAlignment="1">
      <alignment horizontal="left" vertical="top"/>
    </xf>
    <xf numFmtId="1" fontId="47" fillId="0" borderId="0" xfId="1" applyNumberFormat="1" applyFont="1" applyFill="1" applyBorder="1" applyAlignment="1" applyProtection="1">
      <alignment horizontal="left" vertical="top"/>
    </xf>
    <xf numFmtId="1" fontId="48" fillId="0" borderId="0" xfId="0" applyNumberFormat="1" applyFont="1" applyFill="1" applyBorder="1" applyAlignment="1">
      <alignment horizontal="left" vertical="top"/>
    </xf>
    <xf numFmtId="0" fontId="47" fillId="0" borderId="0" xfId="0" applyNumberFormat="1" applyFont="1" applyFill="1" applyBorder="1" applyAlignment="1">
      <alignment horizontal="left" vertical="top"/>
    </xf>
    <xf numFmtId="0" fontId="49" fillId="0" borderId="0" xfId="0" applyFont="1" applyFill="1" applyBorder="1" applyAlignment="1">
      <alignment horizontal="left" vertical="top"/>
    </xf>
    <xf numFmtId="0" fontId="43" fillId="0" borderId="0" xfId="0" applyFont="1" applyFill="1"/>
    <xf numFmtId="0" fontId="16" fillId="0" borderId="0" xfId="0" applyFont="1" applyFill="1"/>
    <xf numFmtId="0" fontId="2" fillId="46" borderId="0" xfId="0" applyFont="1" applyFill="1"/>
    <xf numFmtId="0" fontId="2" fillId="46" borderId="0" xfId="0" applyFont="1" applyFill="1" applyAlignment="1">
      <alignment horizontal="center"/>
    </xf>
    <xf numFmtId="0" fontId="28" fillId="46" borderId="0" xfId="0" applyFont="1" applyFill="1"/>
    <xf numFmtId="0" fontId="28" fillId="47" borderId="0" xfId="0" applyFont="1" applyFill="1"/>
    <xf numFmtId="0" fontId="2" fillId="47" borderId="0" xfId="0" applyFont="1" applyFill="1"/>
    <xf numFmtId="0" fontId="2" fillId="47" borderId="0" xfId="0" applyFont="1" applyFill="1" applyAlignment="1">
      <alignment horizontal="center"/>
    </xf>
    <xf numFmtId="0" fontId="47" fillId="0" borderId="0" xfId="0" applyFont="1"/>
    <xf numFmtId="1" fontId="51" fillId="0" borderId="0" xfId="0" applyNumberFormat="1" applyFont="1" applyFill="1" applyBorder="1" applyAlignment="1">
      <alignment horizontal="left" vertical="top"/>
    </xf>
    <xf numFmtId="0" fontId="1" fillId="0" borderId="0" xfId="1" applyNumberFormat="1" applyFill="1" applyBorder="1" applyAlignment="1" applyProtection="1">
      <alignment horizontal="left" vertical="top"/>
    </xf>
    <xf numFmtId="0" fontId="1" fillId="0" borderId="0" xfId="1" applyFill="1" applyAlignment="1" applyProtection="1"/>
    <xf numFmtId="166" fontId="50" fillId="0" borderId="0" xfId="0" applyNumberFormat="1" applyFont="1" applyFill="1" applyBorder="1" applyAlignment="1">
      <alignment horizontal="center" vertical="top" wrapText="1"/>
    </xf>
    <xf numFmtId="166" fontId="11" fillId="0" borderId="0" xfId="0" applyNumberFormat="1" applyFont="1" applyFill="1" applyBorder="1" applyAlignment="1">
      <alignment horizontal="center" vertical="top"/>
    </xf>
    <xf numFmtId="166" fontId="31" fillId="0" borderId="0" xfId="0" applyNumberFormat="1" applyFont="1" applyFill="1" applyBorder="1" applyAlignment="1">
      <alignment horizontal="center" vertical="top"/>
    </xf>
    <xf numFmtId="171" fontId="11" fillId="0" borderId="0" xfId="0" applyNumberFormat="1" applyFont="1" applyFill="1" applyBorder="1" applyAlignment="1">
      <alignment horizontal="center" vertical="top"/>
    </xf>
    <xf numFmtId="1" fontId="50" fillId="0" borderId="0" xfId="0" applyNumberFormat="1" applyFont="1" applyFill="1" applyBorder="1" applyAlignment="1">
      <alignment horizontal="center" vertical="top" wrapText="1"/>
    </xf>
    <xf numFmtId="0" fontId="32" fillId="37" borderId="0" xfId="0" applyFont="1" applyFill="1"/>
    <xf numFmtId="0" fontId="16" fillId="0" borderId="0" xfId="0" applyFont="1"/>
    <xf numFmtId="0" fontId="43" fillId="49" borderId="0" xfId="0" applyFont="1" applyFill="1" applyBorder="1" applyAlignment="1">
      <alignment horizontal="center"/>
    </xf>
    <xf numFmtId="0" fontId="30" fillId="0" borderId="0" xfId="0" applyFont="1" applyFill="1" applyBorder="1" applyAlignment="1">
      <alignment horizontal="center" vertical="top"/>
    </xf>
    <xf numFmtId="0" fontId="15" fillId="0" borderId="0" xfId="0" applyFont="1" applyFill="1"/>
    <xf numFmtId="0" fontId="0" fillId="0" borderId="0" xfId="0" applyFont="1" applyFill="1"/>
    <xf numFmtId="0" fontId="0" fillId="0" borderId="0" xfId="0" applyFill="1" applyAlignment="1">
      <alignment wrapText="1"/>
    </xf>
    <xf numFmtId="0" fontId="0" fillId="0" borderId="0" xfId="0" applyFill="1" applyAlignment="1"/>
    <xf numFmtId="0" fontId="0" fillId="0" borderId="0" xfId="0" applyAlignment="1"/>
    <xf numFmtId="0" fontId="0" fillId="0" borderId="16" xfId="0" applyBorder="1" applyAlignment="1">
      <alignment vertical="center"/>
    </xf>
    <xf numFmtId="0" fontId="0" fillId="0" borderId="17" xfId="0" applyFont="1" applyFill="1" applyBorder="1"/>
    <xf numFmtId="0" fontId="0" fillId="0" borderId="17" xfId="0" applyFill="1" applyBorder="1" applyAlignment="1"/>
    <xf numFmtId="0" fontId="0" fillId="0" borderId="17" xfId="0" applyBorder="1"/>
    <xf numFmtId="0" fontId="0" fillId="0" borderId="18" xfId="0" applyBorder="1"/>
    <xf numFmtId="0" fontId="0" fillId="0" borderId="19" xfId="0" applyBorder="1" applyAlignment="1">
      <alignment vertical="center"/>
    </xf>
    <xf numFmtId="0" fontId="0" fillId="0" borderId="0" xfId="0" applyFont="1" applyFill="1" applyBorder="1"/>
    <xf numFmtId="0" fontId="0" fillId="0" borderId="0" xfId="0" applyFill="1" applyBorder="1"/>
    <xf numFmtId="0" fontId="0" fillId="0" borderId="20" xfId="0" applyBorder="1"/>
    <xf numFmtId="0" fontId="0" fillId="0" borderId="0" xfId="0" applyBorder="1" applyAlignment="1"/>
    <xf numFmtId="0" fontId="0" fillId="0" borderId="0" xfId="0" applyFill="1" applyBorder="1" applyAlignment="1"/>
    <xf numFmtId="0" fontId="0" fillId="0" borderId="21" xfId="0" applyBorder="1" applyAlignment="1">
      <alignment vertical="center"/>
    </xf>
    <xf numFmtId="0" fontId="0" fillId="0" borderId="22" xfId="0" applyBorder="1" applyAlignment="1"/>
    <xf numFmtId="0" fontId="0" fillId="0" borderId="22" xfId="0" applyBorder="1"/>
    <xf numFmtId="0" fontId="0" fillId="0" borderId="23" xfId="0" applyBorder="1"/>
    <xf numFmtId="0" fontId="15" fillId="51" borderId="24" xfId="0" applyFont="1" applyFill="1" applyBorder="1"/>
    <xf numFmtId="0" fontId="47" fillId="0" borderId="0" xfId="0" applyFont="1" applyFill="1" applyAlignment="1">
      <alignment horizontal="center"/>
    </xf>
    <xf numFmtId="0" fontId="0" fillId="37" borderId="0" xfId="0" applyFill="1" applyAlignment="1">
      <alignment horizontal="center"/>
    </xf>
    <xf numFmtId="0" fontId="47" fillId="37" borderId="0" xfId="0" applyFont="1" applyFill="1" applyAlignment="1">
      <alignment horizontal="center"/>
    </xf>
    <xf numFmtId="0" fontId="32" fillId="0" borderId="0" xfId="0" applyFont="1" applyFill="1" applyAlignment="1">
      <alignment horizontal="center"/>
    </xf>
    <xf numFmtId="0" fontId="53" fillId="0" borderId="0" xfId="0" applyFont="1" applyFill="1" applyBorder="1" applyAlignment="1">
      <alignment horizontal="left" vertical="top"/>
    </xf>
    <xf numFmtId="1" fontId="11" fillId="52" borderId="0" xfId="0" applyNumberFormat="1" applyFont="1" applyFill="1" applyBorder="1" applyAlignment="1">
      <alignment horizontal="left" vertical="top"/>
    </xf>
    <xf numFmtId="1" fontId="11" fillId="50" borderId="0" xfId="0" applyNumberFormat="1" applyFont="1" applyFill="1" applyBorder="1" applyAlignment="1">
      <alignment horizontal="left" vertical="top"/>
    </xf>
    <xf numFmtId="1" fontId="11" fillId="36" borderId="0" xfId="0" applyNumberFormat="1" applyFont="1" applyFill="1" applyBorder="1" applyAlignment="1">
      <alignment horizontal="left"/>
    </xf>
    <xf numFmtId="0" fontId="43" fillId="0" borderId="0" xfId="0" applyFont="1" applyFill="1" applyAlignment="1">
      <alignment horizontal="center"/>
    </xf>
    <xf numFmtId="0" fontId="47" fillId="0" borderId="0" xfId="0" applyFont="1" applyFill="1"/>
    <xf numFmtId="0" fontId="30" fillId="0" borderId="2" xfId="0" applyFont="1" applyFill="1" applyBorder="1" applyAlignment="1">
      <alignment horizontal="center" vertical="top"/>
    </xf>
    <xf numFmtId="0" fontId="0" fillId="0" borderId="2" xfId="0" applyFill="1" applyBorder="1"/>
    <xf numFmtId="0" fontId="0" fillId="0" borderId="2" xfId="0" applyFill="1" applyBorder="1" applyAlignment="1">
      <alignment horizontal="center"/>
    </xf>
    <xf numFmtId="0" fontId="30" fillId="0" borderId="22" xfId="0" applyFont="1" applyFill="1" applyBorder="1" applyAlignment="1">
      <alignment horizontal="center" vertical="top"/>
    </xf>
    <xf numFmtId="0" fontId="0" fillId="0" borderId="22" xfId="0" applyFill="1" applyBorder="1"/>
    <xf numFmtId="0" fontId="0" fillId="0" borderId="22" xfId="0" applyFill="1" applyBorder="1" applyAlignment="1">
      <alignment horizontal="center"/>
    </xf>
    <xf numFmtId="0" fontId="15" fillId="0" borderId="0" xfId="0" applyFont="1" applyFill="1" applyAlignment="1">
      <alignment horizontal="center"/>
    </xf>
    <xf numFmtId="0" fontId="16" fillId="0" borderId="0" xfId="0" applyFont="1" applyFill="1" applyAlignment="1">
      <alignment horizontal="center"/>
    </xf>
    <xf numFmtId="0" fontId="42" fillId="0" borderId="15" xfId="0" applyFont="1" applyFill="1" applyBorder="1"/>
    <xf numFmtId="0" fontId="54" fillId="0" borderId="15" xfId="0" applyFont="1" applyFill="1" applyBorder="1" applyAlignment="1">
      <alignment horizontal="center"/>
    </xf>
    <xf numFmtId="0" fontId="55" fillId="0" borderId="15" xfId="0" applyFont="1" applyFill="1" applyBorder="1" applyAlignment="1">
      <alignment horizontal="center"/>
    </xf>
    <xf numFmtId="0" fontId="56" fillId="36" borderId="0" xfId="0" applyFont="1" applyFill="1" applyBorder="1" applyAlignment="1">
      <alignment horizontal="left" vertical="top"/>
    </xf>
    <xf numFmtId="0" fontId="15" fillId="55" borderId="0" xfId="0" applyFont="1" applyFill="1" applyAlignment="1">
      <alignment horizontal="left"/>
    </xf>
    <xf numFmtId="0" fontId="1" fillId="0" borderId="0" xfId="1" applyFill="1" applyAlignment="1" applyProtection="1">
      <alignment horizontal="center"/>
    </xf>
    <xf numFmtId="0" fontId="15" fillId="45" borderId="0" xfId="0" applyFont="1" applyFill="1" applyAlignment="1">
      <alignment wrapText="1"/>
    </xf>
    <xf numFmtId="0" fontId="0" fillId="45" borderId="0" xfId="0" applyFill="1" applyAlignment="1">
      <alignment wrapText="1"/>
    </xf>
    <xf numFmtId="0" fontId="0" fillId="0" borderId="0" xfId="0" applyFill="1" applyBorder="1" applyAlignment="1">
      <alignment horizontal="center"/>
    </xf>
    <xf numFmtId="172" fontId="0" fillId="0" borderId="0" xfId="2" applyNumberFormat="1" applyFont="1" applyFill="1" applyAlignment="1">
      <alignment horizontal="center"/>
    </xf>
    <xf numFmtId="0" fontId="0" fillId="0" borderId="0" xfId="0" quotePrefix="1" applyFill="1"/>
    <xf numFmtId="2" fontId="0" fillId="0" borderId="0" xfId="0" applyNumberFormat="1" applyFill="1" applyAlignment="1">
      <alignment horizontal="center"/>
    </xf>
    <xf numFmtId="0" fontId="42" fillId="0" borderId="0" xfId="0" applyFont="1" applyFill="1"/>
    <xf numFmtId="0" fontId="42" fillId="0" borderId="0" xfId="0" applyFont="1" applyFill="1" applyAlignment="1">
      <alignment horizontal="left"/>
    </xf>
    <xf numFmtId="1" fontId="43" fillId="0" borderId="0" xfId="0" applyNumberFormat="1" applyFont="1" applyFill="1" applyAlignment="1">
      <alignment horizontal="center"/>
    </xf>
    <xf numFmtId="1" fontId="43" fillId="0" borderId="25" xfId="0" applyNumberFormat="1" applyFont="1" applyFill="1" applyBorder="1" applyAlignment="1">
      <alignment horizontal="center"/>
    </xf>
    <xf numFmtId="0" fontId="2" fillId="41" borderId="0" xfId="0" applyFont="1" applyFill="1" applyAlignment="1">
      <alignment horizontal="center" vertical="center" wrapText="1"/>
    </xf>
    <xf numFmtId="0" fontId="43" fillId="0" borderId="0" xfId="0" applyFont="1" applyFill="1" applyAlignment="1">
      <alignment horizontal="center" vertical="center" wrapText="1"/>
    </xf>
    <xf numFmtId="0" fontId="15" fillId="51" borderId="0" xfId="0" applyFont="1" applyFill="1" applyBorder="1"/>
    <xf numFmtId="0" fontId="43" fillId="0" borderId="27" xfId="0" applyFont="1" applyFill="1" applyBorder="1" applyAlignment="1">
      <alignment horizontal="center"/>
    </xf>
    <xf numFmtId="1" fontId="0" fillId="0" borderId="27" xfId="0" applyNumberFormat="1" applyFill="1" applyBorder="1" applyAlignment="1">
      <alignment horizontal="center"/>
    </xf>
    <xf numFmtId="1" fontId="16" fillId="0" borderId="0" xfId="0" applyNumberFormat="1" applyFont="1" applyFill="1" applyAlignment="1">
      <alignment horizontal="center"/>
    </xf>
    <xf numFmtId="0" fontId="59" fillId="0" borderId="0" xfId="0" applyFont="1" applyFill="1"/>
    <xf numFmtId="171" fontId="11" fillId="0" borderId="0" xfId="0" applyNumberFormat="1" applyFont="1" applyFill="1" applyBorder="1" applyAlignment="1">
      <alignment horizontal="left" vertical="top"/>
    </xf>
    <xf numFmtId="171" fontId="41" fillId="0" borderId="0" xfId="0" applyNumberFormat="1" applyFont="1" applyFill="1" applyBorder="1" applyAlignment="1">
      <alignment horizontal="left" vertical="top"/>
    </xf>
    <xf numFmtId="0" fontId="0" fillId="57" borderId="0" xfId="0" applyFill="1"/>
    <xf numFmtId="0" fontId="0" fillId="56" borderId="0" xfId="0" applyFill="1"/>
    <xf numFmtId="0" fontId="0" fillId="0" borderId="16" xfId="0" applyFill="1" applyBorder="1" applyAlignment="1">
      <alignment horizontal="center"/>
    </xf>
    <xf numFmtId="0" fontId="0" fillId="0" borderId="17" xfId="0" applyFill="1" applyBorder="1"/>
    <xf numFmtId="0" fontId="0" fillId="0" borderId="18" xfId="0" applyFill="1" applyBorder="1"/>
    <xf numFmtId="0" fontId="0" fillId="0" borderId="19" xfId="0" applyFill="1" applyBorder="1" applyAlignment="1">
      <alignment horizontal="center"/>
    </xf>
    <xf numFmtId="0" fontId="0" fillId="0" borderId="20" xfId="0" applyFill="1" applyBorder="1"/>
    <xf numFmtId="0" fontId="15" fillId="0" borderId="19" xfId="0" applyFont="1" applyFill="1" applyBorder="1" applyAlignment="1">
      <alignment horizontal="left"/>
    </xf>
    <xf numFmtId="0" fontId="15" fillId="0" borderId="0" xfId="0" applyFont="1" applyFill="1" applyBorder="1" applyAlignment="1">
      <alignment horizontal="center"/>
    </xf>
    <xf numFmtId="0" fontId="59" fillId="0" borderId="19" xfId="0" applyFont="1" applyFill="1" applyBorder="1"/>
    <xf numFmtId="0" fontId="47" fillId="0" borderId="0" xfId="0" applyFont="1" applyFill="1" applyBorder="1" applyAlignment="1">
      <alignment horizontal="center"/>
    </xf>
    <xf numFmtId="0" fontId="55" fillId="0" borderId="0" xfId="0" applyFont="1" applyFill="1" applyBorder="1" applyAlignment="1">
      <alignment horizontal="center"/>
    </xf>
    <xf numFmtId="0" fontId="16" fillId="0" borderId="0" xfId="0" applyFont="1" applyFill="1" applyBorder="1"/>
    <xf numFmtId="0" fontId="15" fillId="0" borderId="0" xfId="0" applyFont="1" applyFill="1" applyBorder="1"/>
    <xf numFmtId="0" fontId="47" fillId="37" borderId="20" xfId="0" applyFont="1" applyFill="1" applyBorder="1"/>
    <xf numFmtId="0" fontId="43" fillId="0" borderId="0" xfId="0" applyFont="1" applyFill="1" applyBorder="1"/>
    <xf numFmtId="0" fontId="0" fillId="0" borderId="21" xfId="0" applyFill="1" applyBorder="1" applyAlignment="1">
      <alignment horizontal="center"/>
    </xf>
    <xf numFmtId="0" fontId="0" fillId="0" borderId="23" xfId="0" applyFill="1" applyBorder="1"/>
    <xf numFmtId="0" fontId="43" fillId="39" borderId="19" xfId="0" applyFont="1" applyFill="1" applyBorder="1" applyAlignment="1">
      <alignment horizontal="left"/>
    </xf>
    <xf numFmtId="0" fontId="43" fillId="39" borderId="0" xfId="0" applyFont="1" applyFill="1" applyBorder="1" applyAlignment="1"/>
    <xf numFmtId="0" fontId="0" fillId="40" borderId="0" xfId="0" applyFill="1"/>
    <xf numFmtId="0" fontId="57" fillId="0" borderId="0" xfId="0" applyFont="1" applyFill="1" applyBorder="1" applyAlignment="1">
      <alignment horizontal="center" vertical="center" wrapText="1"/>
    </xf>
    <xf numFmtId="0" fontId="59" fillId="0" borderId="0" xfId="0" applyFont="1" applyFill="1" applyBorder="1"/>
    <xf numFmtId="0" fontId="15" fillId="36" borderId="0" xfId="0" applyFont="1" applyFill="1"/>
    <xf numFmtId="0" fontId="28" fillId="58" borderId="0" xfId="0" applyFont="1" applyFill="1"/>
    <xf numFmtId="172" fontId="0" fillId="0" borderId="0" xfId="2" applyNumberFormat="1" applyFont="1" applyFill="1" applyAlignment="1">
      <alignment horizontal="left"/>
    </xf>
    <xf numFmtId="0" fontId="43" fillId="0" borderId="0" xfId="0" applyFont="1" applyFill="1" applyAlignment="1">
      <alignment horizontal="right"/>
    </xf>
    <xf numFmtId="0" fontId="0" fillId="0" borderId="5" xfId="0" applyFill="1" applyBorder="1"/>
    <xf numFmtId="2" fontId="0" fillId="0" borderId="5" xfId="0" applyNumberFormat="1" applyFill="1" applyBorder="1" applyAlignment="1">
      <alignment horizontal="center"/>
    </xf>
    <xf numFmtId="0" fontId="0" fillId="0" borderId="31" xfId="0" applyFill="1" applyBorder="1"/>
    <xf numFmtId="0" fontId="43" fillId="0" borderId="3" xfId="0" applyFont="1" applyFill="1" applyBorder="1"/>
    <xf numFmtId="2" fontId="0" fillId="0" borderId="3" xfId="0" applyNumberFormat="1" applyFill="1" applyBorder="1" applyAlignment="1">
      <alignment horizontal="center"/>
    </xf>
    <xf numFmtId="2" fontId="0" fillId="0" borderId="26" xfId="0" applyNumberFormat="1" applyFill="1" applyBorder="1" applyAlignment="1">
      <alignment horizontal="center"/>
    </xf>
    <xf numFmtId="9" fontId="0" fillId="0" borderId="31" xfId="2" applyFont="1" applyFill="1" applyBorder="1" applyAlignment="1">
      <alignment horizontal="center"/>
    </xf>
    <xf numFmtId="9" fontId="0" fillId="0" borderId="32" xfId="2" applyFont="1" applyFill="1" applyBorder="1" applyAlignment="1">
      <alignment horizontal="center"/>
    </xf>
    <xf numFmtId="0" fontId="31" fillId="4" borderId="0" xfId="0" applyFont="1" applyFill="1" applyBorder="1" applyAlignment="1">
      <alignment horizontal="right"/>
    </xf>
    <xf numFmtId="1" fontId="0" fillId="0" borderId="3" xfId="0" applyNumberFormat="1" applyFill="1" applyBorder="1" applyAlignment="1">
      <alignment horizontal="center"/>
    </xf>
    <xf numFmtId="2" fontId="0" fillId="36" borderId="5" xfId="0" applyNumberFormat="1" applyFill="1" applyBorder="1" applyAlignment="1">
      <alignment horizontal="center"/>
    </xf>
    <xf numFmtId="166" fontId="16" fillId="0" borderId="0" xfId="0" applyNumberFormat="1" applyFont="1" applyFill="1"/>
    <xf numFmtId="1" fontId="11" fillId="0" borderId="19" xfId="0" applyNumberFormat="1" applyFont="1" applyFill="1" applyBorder="1" applyAlignment="1">
      <alignment horizontal="left" vertical="top"/>
    </xf>
    <xf numFmtId="0" fontId="0" fillId="39" borderId="19" xfId="0" applyFill="1" applyBorder="1" applyAlignment="1">
      <alignment horizontal="left"/>
    </xf>
    <xf numFmtId="0" fontId="0" fillId="39" borderId="0" xfId="0" applyFill="1" applyBorder="1"/>
    <xf numFmtId="0" fontId="60" fillId="40" borderId="0" xfId="0" applyFont="1" applyFill="1"/>
    <xf numFmtId="171" fontId="0" fillId="0" borderId="0" xfId="0" applyNumberFormat="1"/>
    <xf numFmtId="0" fontId="43" fillId="40" borderId="0" xfId="0" applyFont="1" applyFill="1"/>
    <xf numFmtId="0" fontId="42" fillId="0" borderId="0" xfId="0" applyFont="1"/>
    <xf numFmtId="0" fontId="53" fillId="0" borderId="0" xfId="0" applyFont="1" applyFill="1" applyBorder="1" applyAlignment="1">
      <alignment horizontal="center" vertical="top"/>
    </xf>
    <xf numFmtId="0" fontId="60" fillId="59" borderId="0" xfId="0" applyFont="1" applyFill="1"/>
    <xf numFmtId="0" fontId="0" fillId="59" borderId="0" xfId="0" applyFill="1"/>
    <xf numFmtId="0" fontId="43" fillId="59" borderId="0" xfId="0" applyFont="1" applyFill="1"/>
    <xf numFmtId="0" fontId="0" fillId="0" borderId="0" xfId="0" applyAlignment="1">
      <alignment vertical="center"/>
    </xf>
    <xf numFmtId="0" fontId="0" fillId="0" borderId="0" xfId="0" applyAlignment="1">
      <alignment horizontal="right" vertical="center"/>
    </xf>
    <xf numFmtId="0" fontId="61" fillId="0" borderId="0" xfId="0" applyFont="1" applyAlignment="1">
      <alignment horizontal="center"/>
    </xf>
    <xf numFmtId="9" fontId="0" fillId="0" borderId="0" xfId="0" applyNumberFormat="1" applyAlignment="1">
      <alignment horizontal="center"/>
    </xf>
    <xf numFmtId="0" fontId="62" fillId="0" borderId="0" xfId="0" applyFont="1" applyFill="1" applyAlignment="1">
      <alignment horizontal="center"/>
    </xf>
    <xf numFmtId="0" fontId="0" fillId="0" borderId="16" xfId="0" applyBorder="1"/>
    <xf numFmtId="0" fontId="61" fillId="0" borderId="17" xfId="0" applyFont="1" applyBorder="1" applyAlignment="1">
      <alignment horizontal="center"/>
    </xf>
    <xf numFmtId="0" fontId="61" fillId="0" borderId="18" xfId="0" applyFont="1" applyBorder="1" applyAlignment="1">
      <alignment horizontal="center"/>
    </xf>
    <xf numFmtId="0" fontId="30" fillId="0" borderId="19" xfId="0" applyFont="1" applyFill="1" applyBorder="1" applyAlignment="1">
      <alignment horizontal="center" vertical="top"/>
    </xf>
    <xf numFmtId="9" fontId="0" fillId="0" borderId="0" xfId="0" applyNumberFormat="1" applyBorder="1" applyAlignment="1">
      <alignment horizontal="center"/>
    </xf>
    <xf numFmtId="9" fontId="0" fillId="0" borderId="20" xfId="0" applyNumberFormat="1" applyBorder="1" applyAlignment="1">
      <alignment horizontal="center"/>
    </xf>
    <xf numFmtId="0" fontId="30" fillId="0" borderId="21" xfId="0" applyFont="1" applyFill="1" applyBorder="1" applyAlignment="1">
      <alignment horizontal="center" vertical="top"/>
    </xf>
    <xf numFmtId="9" fontId="0" fillId="0" borderId="22" xfId="0" applyNumberFormat="1" applyBorder="1" applyAlignment="1">
      <alignment horizontal="center"/>
    </xf>
    <xf numFmtId="9" fontId="0" fillId="0" borderId="23" xfId="0" applyNumberFormat="1" applyBorder="1" applyAlignment="1">
      <alignment horizontal="center"/>
    </xf>
    <xf numFmtId="0" fontId="16" fillId="0" borderId="19" xfId="0" applyFont="1" applyFill="1" applyBorder="1" applyAlignment="1">
      <alignment horizontal="center" vertical="top"/>
    </xf>
    <xf numFmtId="9" fontId="16" fillId="0" borderId="0" xfId="0" applyNumberFormat="1" applyFont="1" applyBorder="1" applyAlignment="1">
      <alignment horizontal="center"/>
    </xf>
    <xf numFmtId="9" fontId="16" fillId="0" borderId="20" xfId="0" applyNumberFormat="1" applyFont="1" applyBorder="1" applyAlignment="1">
      <alignment horizontal="center"/>
    </xf>
    <xf numFmtId="0" fontId="0" fillId="60" borderId="0" xfId="0" applyFill="1"/>
    <xf numFmtId="0" fontId="1" fillId="60" borderId="0" xfId="1" applyFill="1" applyAlignment="1" applyProtection="1"/>
    <xf numFmtId="0" fontId="63" fillId="60" borderId="0" xfId="0" applyFont="1" applyFill="1"/>
    <xf numFmtId="166" fontId="11" fillId="61" borderId="0" xfId="0" applyNumberFormat="1" applyFont="1" applyFill="1" applyBorder="1" applyAlignment="1">
      <alignment horizontal="left" vertical="top"/>
    </xf>
    <xf numFmtId="164" fontId="11" fillId="61" borderId="0" xfId="0" applyNumberFormat="1" applyFont="1" applyFill="1" applyBorder="1" applyAlignment="1">
      <alignment horizontal="left" vertical="top"/>
    </xf>
    <xf numFmtId="9" fontId="11" fillId="0" borderId="0" xfId="2" applyFont="1" applyFill="1" applyBorder="1" applyAlignment="1">
      <alignment horizontal="left" vertical="top"/>
    </xf>
    <xf numFmtId="0" fontId="65" fillId="0" borderId="0" xfId="0" applyFont="1"/>
    <xf numFmtId="0" fontId="66" fillId="0" borderId="0" xfId="0" applyFont="1"/>
    <xf numFmtId="164" fontId="11" fillId="48" borderId="0" xfId="0" applyNumberFormat="1" applyFont="1" applyFill="1" applyBorder="1" applyAlignment="1">
      <alignment horizontal="left" vertical="top"/>
    </xf>
    <xf numFmtId="1" fontId="11" fillId="61" borderId="0" xfId="0" applyNumberFormat="1" applyFont="1" applyFill="1" applyBorder="1" applyAlignment="1">
      <alignment horizontal="left" vertical="top"/>
    </xf>
    <xf numFmtId="1" fontId="11" fillId="0" borderId="3" xfId="0" applyNumberFormat="1" applyFont="1" applyFill="1" applyBorder="1" applyAlignment="1">
      <alignment horizontal="left" vertical="top"/>
    </xf>
    <xf numFmtId="1" fontId="11" fillId="0" borderId="3" xfId="0" applyNumberFormat="1" applyFont="1" applyFill="1" applyBorder="1" applyAlignment="1">
      <alignment horizontal="center" vertical="top"/>
    </xf>
    <xf numFmtId="1" fontId="31" fillId="0" borderId="3" xfId="0" applyNumberFormat="1" applyFont="1" applyFill="1" applyBorder="1" applyAlignment="1">
      <alignment horizontal="left" vertical="top"/>
    </xf>
    <xf numFmtId="167" fontId="11" fillId="0" borderId="3" xfId="0" applyNumberFormat="1" applyFont="1" applyFill="1" applyBorder="1" applyAlignment="1">
      <alignment horizontal="left" vertical="top"/>
    </xf>
    <xf numFmtId="168" fontId="11" fillId="0" borderId="3" xfId="0" applyNumberFormat="1" applyFont="1" applyFill="1" applyBorder="1" applyAlignment="1">
      <alignment horizontal="left" vertical="top"/>
    </xf>
    <xf numFmtId="166" fontId="11" fillId="0" borderId="3" xfId="0" applyNumberFormat="1" applyFont="1" applyFill="1" applyBorder="1" applyAlignment="1">
      <alignment horizontal="left" vertical="top"/>
    </xf>
    <xf numFmtId="165" fontId="11" fillId="0" borderId="3" xfId="0" applyNumberFormat="1" applyFont="1" applyFill="1" applyBorder="1" applyAlignment="1">
      <alignment horizontal="left" vertical="top"/>
    </xf>
    <xf numFmtId="169" fontId="11" fillId="0" borderId="3" xfId="0" applyNumberFormat="1" applyFont="1" applyFill="1" applyBorder="1" applyAlignment="1">
      <alignment horizontal="left" vertical="top"/>
    </xf>
    <xf numFmtId="164" fontId="11" fillId="0" borderId="3" xfId="0" applyNumberFormat="1" applyFont="1" applyFill="1" applyBorder="1" applyAlignment="1">
      <alignment horizontal="left" vertical="top"/>
    </xf>
    <xf numFmtId="2" fontId="11" fillId="0" borderId="3" xfId="0" applyNumberFormat="1" applyFont="1" applyFill="1" applyBorder="1" applyAlignment="1">
      <alignment horizontal="left" vertical="top"/>
    </xf>
    <xf numFmtId="1" fontId="10" fillId="0" borderId="0" xfId="0" applyNumberFormat="1" applyFont="1" applyFill="1" applyBorder="1" applyAlignment="1">
      <alignment horizontal="left" vertical="top"/>
    </xf>
    <xf numFmtId="1" fontId="41" fillId="50" borderId="0" xfId="0" applyNumberFormat="1" applyFont="1" applyFill="1" applyBorder="1" applyAlignment="1">
      <alignment horizontal="left" vertical="top"/>
    </xf>
    <xf numFmtId="1" fontId="41" fillId="50" borderId="0" xfId="0" applyNumberFormat="1" applyFont="1" applyFill="1" applyBorder="1" applyAlignment="1">
      <alignment horizontal="center" vertical="top"/>
    </xf>
    <xf numFmtId="167" fontId="41" fillId="50" borderId="0" xfId="0" applyNumberFormat="1" applyFont="1" applyFill="1" applyBorder="1" applyAlignment="1">
      <alignment horizontal="left" vertical="top"/>
    </xf>
    <xf numFmtId="168" fontId="41" fillId="50" borderId="0" xfId="0" applyNumberFormat="1" applyFont="1" applyFill="1" applyBorder="1" applyAlignment="1">
      <alignment horizontal="left" vertical="top"/>
    </xf>
    <xf numFmtId="166" fontId="41" fillId="50" borderId="0" xfId="0" applyNumberFormat="1" applyFont="1" applyFill="1" applyBorder="1" applyAlignment="1">
      <alignment horizontal="left" vertical="top"/>
    </xf>
    <xf numFmtId="165" fontId="41" fillId="50" borderId="0" xfId="0" applyNumberFormat="1" applyFont="1" applyFill="1" applyBorder="1" applyAlignment="1">
      <alignment horizontal="left" vertical="top"/>
    </xf>
    <xf numFmtId="166" fontId="11" fillId="55" borderId="0" xfId="0" applyNumberFormat="1" applyFont="1" applyFill="1" applyBorder="1" applyAlignment="1">
      <alignment horizontal="left" vertical="top"/>
    </xf>
    <xf numFmtId="1" fontId="11" fillId="45" borderId="0" xfId="0" applyNumberFormat="1" applyFont="1" applyFill="1" applyBorder="1" applyAlignment="1">
      <alignment horizontal="left" vertical="top"/>
    </xf>
    <xf numFmtId="1" fontId="11" fillId="55" borderId="0" xfId="0" applyNumberFormat="1" applyFont="1" applyFill="1" applyBorder="1" applyAlignment="1">
      <alignment horizontal="left" vertical="top"/>
    </xf>
    <xf numFmtId="1" fontId="11" fillId="55" borderId="0" xfId="0" applyNumberFormat="1" applyFont="1" applyFill="1" applyBorder="1" applyAlignment="1">
      <alignment horizontal="center" vertical="top"/>
    </xf>
    <xf numFmtId="1" fontId="31" fillId="55" borderId="0" xfId="0" applyNumberFormat="1" applyFont="1" applyFill="1" applyBorder="1" applyAlignment="1">
      <alignment horizontal="left" vertical="top"/>
    </xf>
    <xf numFmtId="167" fontId="11" fillId="55" borderId="0" xfId="0" applyNumberFormat="1" applyFont="1" applyFill="1" applyBorder="1" applyAlignment="1">
      <alignment horizontal="left" vertical="top"/>
    </xf>
    <xf numFmtId="168" fontId="11" fillId="55" borderId="0" xfId="0" applyNumberFormat="1" applyFont="1" applyFill="1" applyBorder="1" applyAlignment="1">
      <alignment horizontal="left" vertical="top"/>
    </xf>
    <xf numFmtId="165" fontId="11" fillId="55" borderId="0" xfId="0" applyNumberFormat="1" applyFont="1" applyFill="1" applyBorder="1" applyAlignment="1">
      <alignment horizontal="left" vertical="top"/>
    </xf>
    <xf numFmtId="169" fontId="11" fillId="55" borderId="0" xfId="0" applyNumberFormat="1" applyFont="1" applyFill="1" applyBorder="1" applyAlignment="1">
      <alignment horizontal="left" vertical="top"/>
    </xf>
    <xf numFmtId="164" fontId="11" fillId="55" borderId="0" xfId="0" applyNumberFormat="1" applyFont="1" applyFill="1" applyBorder="1" applyAlignment="1">
      <alignment horizontal="left" vertical="top"/>
    </xf>
    <xf numFmtId="2" fontId="11" fillId="55" borderId="0" xfId="0" applyNumberFormat="1" applyFont="1" applyFill="1" applyBorder="1" applyAlignment="1">
      <alignment horizontal="left" vertical="top"/>
    </xf>
    <xf numFmtId="166" fontId="11" fillId="55" borderId="0" xfId="0" applyNumberFormat="1" applyFont="1" applyFill="1" applyBorder="1" applyAlignment="1">
      <alignment horizontal="center" vertical="top"/>
    </xf>
    <xf numFmtId="1" fontId="41" fillId="61" borderId="0" xfId="0" applyNumberFormat="1" applyFont="1" applyFill="1" applyBorder="1" applyAlignment="1">
      <alignment horizontal="left" vertical="top"/>
    </xf>
    <xf numFmtId="168" fontId="11" fillId="45" borderId="0" xfId="0" applyNumberFormat="1" applyFont="1" applyFill="1" applyBorder="1" applyAlignment="1">
      <alignment horizontal="left" vertical="top"/>
    </xf>
    <xf numFmtId="0" fontId="65" fillId="0" borderId="0" xfId="0" applyFont="1" applyAlignment="1">
      <alignment horizontal="left" vertical="center" wrapText="1"/>
    </xf>
    <xf numFmtId="9" fontId="31" fillId="0" borderId="0" xfId="2" applyFont="1" applyFill="1" applyBorder="1" applyAlignment="1">
      <alignment horizontal="left" vertical="top"/>
    </xf>
    <xf numFmtId="1" fontId="11" fillId="48" borderId="0" xfId="0" applyNumberFormat="1" applyFont="1" applyFill="1" applyBorder="1" applyAlignment="1">
      <alignment horizontal="left" vertical="top"/>
    </xf>
    <xf numFmtId="168" fontId="11" fillId="44" borderId="0" xfId="0" applyNumberFormat="1" applyFont="1" applyFill="1" applyBorder="1" applyAlignment="1">
      <alignment horizontal="left" vertical="top"/>
    </xf>
    <xf numFmtId="168" fontId="31" fillId="0" borderId="0" xfId="0" applyNumberFormat="1" applyFont="1" applyFill="1" applyBorder="1" applyAlignment="1">
      <alignment horizontal="left" vertical="top"/>
    </xf>
    <xf numFmtId="168" fontId="11" fillId="48" borderId="0" xfId="0" applyNumberFormat="1" applyFont="1" applyFill="1" applyBorder="1" applyAlignment="1">
      <alignment horizontal="left" vertical="top"/>
    </xf>
    <xf numFmtId="168" fontId="11" fillId="62" borderId="0" xfId="0" applyNumberFormat="1" applyFont="1" applyFill="1" applyBorder="1" applyAlignment="1">
      <alignment horizontal="left" vertical="top"/>
    </xf>
    <xf numFmtId="168" fontId="41" fillId="62" borderId="0" xfId="0" applyNumberFormat="1" applyFont="1" applyFill="1" applyBorder="1" applyAlignment="1">
      <alignment horizontal="left" vertical="top"/>
    </xf>
    <xf numFmtId="168" fontId="11" fillId="63" borderId="0" xfId="0" applyNumberFormat="1" applyFont="1" applyFill="1" applyBorder="1" applyAlignment="1">
      <alignment horizontal="left" vertical="top"/>
    </xf>
    <xf numFmtId="1" fontId="11" fillId="63" borderId="0" xfId="0" applyNumberFormat="1" applyFont="1" applyFill="1" applyBorder="1" applyAlignment="1">
      <alignment horizontal="left" vertical="top"/>
    </xf>
    <xf numFmtId="0" fontId="57" fillId="36" borderId="28" xfId="0" applyFont="1" applyFill="1" applyBorder="1" applyAlignment="1">
      <alignment horizontal="center" vertical="center" wrapText="1"/>
    </xf>
    <xf numFmtId="0" fontId="57" fillId="36" borderId="29" xfId="0" applyFont="1" applyFill="1" applyBorder="1" applyAlignment="1">
      <alignment horizontal="center" vertical="center" wrapText="1"/>
    </xf>
    <xf numFmtId="0" fontId="57" fillId="36" borderId="30" xfId="0" applyFont="1" applyFill="1" applyBorder="1" applyAlignment="1">
      <alignment horizontal="center" vertical="center" wrapText="1"/>
    </xf>
    <xf numFmtId="0" fontId="15" fillId="2" borderId="0" xfId="0" applyFont="1" applyFill="1" applyAlignment="1">
      <alignment horizontal="center"/>
    </xf>
    <xf numFmtId="0" fontId="15" fillId="53" borderId="0" xfId="0" applyFont="1" applyFill="1" applyAlignment="1">
      <alignment horizontal="center" vertical="center" wrapText="1"/>
    </xf>
    <xf numFmtId="0" fontId="15" fillId="48" borderId="0" xfId="0" applyFont="1" applyFill="1" applyAlignment="1">
      <alignment horizontal="center" vertical="center" wrapText="1"/>
    </xf>
    <xf numFmtId="0" fontId="57" fillId="55" borderId="0" xfId="0" applyFont="1" applyFill="1" applyAlignment="1">
      <alignment horizontal="center" vertical="center" wrapText="1"/>
    </xf>
    <xf numFmtId="0" fontId="58" fillId="54" borderId="0" xfId="0" applyFont="1" applyFill="1" applyAlignment="1">
      <alignment horizontal="center" vertical="center" wrapText="1"/>
    </xf>
    <xf numFmtId="1" fontId="14" fillId="0" borderId="0" xfId="0" applyNumberFormat="1" applyFont="1" applyFill="1" applyBorder="1" applyAlignment="1">
      <alignment horizontal="left" vertical="top"/>
    </xf>
  </cellXfs>
  <cellStyles count="46">
    <cellStyle name="20% - Accent1" xfId="21" builtinId="30" customBuiltin="1"/>
    <cellStyle name="20% - Accent2" xfId="25" builtinId="34" customBuiltin="1"/>
    <cellStyle name="20% - Accent3" xfId="29" builtinId="38" customBuiltin="1"/>
    <cellStyle name="20% - Accent4" xfId="33" builtinId="42" customBuiltin="1"/>
    <cellStyle name="20% - Accent5" xfId="37" builtinId="46" customBuiltin="1"/>
    <cellStyle name="20% - Accent6" xfId="41" builtinId="50" customBuiltin="1"/>
    <cellStyle name="40% - Accent1" xfId="22" builtinId="31" customBuiltin="1"/>
    <cellStyle name="40% - Accent2" xfId="26" builtinId="35" customBuiltin="1"/>
    <cellStyle name="40% - Accent3" xfId="30" builtinId="39" customBuiltin="1"/>
    <cellStyle name="40% - Accent4" xfId="34" builtinId="43" customBuiltin="1"/>
    <cellStyle name="40% - Accent5" xfId="38" builtinId="47" customBuiltin="1"/>
    <cellStyle name="40% - Accent6" xfId="42" builtinId="51" customBuiltin="1"/>
    <cellStyle name="60% - Accent1" xfId="23" builtinId="32" customBuiltin="1"/>
    <cellStyle name="60% - Accent2" xfId="27" builtinId="36" customBuiltin="1"/>
    <cellStyle name="60% - Accent3" xfId="31" builtinId="40" customBuiltin="1"/>
    <cellStyle name="60% - Accent4" xfId="35" builtinId="44" customBuiltin="1"/>
    <cellStyle name="60% - Accent5" xfId="39" builtinId="48" customBuiltin="1"/>
    <cellStyle name="60% - Accent6" xfId="43" builtinId="52" customBuiltin="1"/>
    <cellStyle name="Accent1" xfId="20" builtinId="29" customBuiltin="1"/>
    <cellStyle name="Accent2" xfId="24" builtinId="33" customBuiltin="1"/>
    <cellStyle name="Accent3" xfId="28" builtinId="37" customBuiltin="1"/>
    <cellStyle name="Accent4" xfId="32" builtinId="41" customBuiltin="1"/>
    <cellStyle name="Accent5" xfId="36" builtinId="45" customBuiltin="1"/>
    <cellStyle name="Accent6" xfId="40" builtinId="49" customBuiltin="1"/>
    <cellStyle name="Berekening" xfId="13" builtinId="22" customBuiltin="1"/>
    <cellStyle name="Controlecel" xfId="15" builtinId="23" customBuiltin="1"/>
    <cellStyle name="Gekoppelde cel" xfId="14" builtinId="24" customBuiltin="1"/>
    <cellStyle name="Goed" xfId="8" builtinId="26" customBuiltin="1"/>
    <cellStyle name="Hyperlink" xfId="1" builtinId="8"/>
    <cellStyle name="Invoer" xfId="11" builtinId="20" customBuiltin="1"/>
    <cellStyle name="Kop 1" xfId="4" builtinId="16" customBuiltin="1"/>
    <cellStyle name="Kop 2" xfId="5" builtinId="17" customBuiltin="1"/>
    <cellStyle name="Kop 3" xfId="6" builtinId="18" customBuiltin="1"/>
    <cellStyle name="Kop 4" xfId="7" builtinId="19" customBuiltin="1"/>
    <cellStyle name="Neutraal" xfId="10" builtinId="28" customBuiltin="1"/>
    <cellStyle name="Normal 2" xfId="45" xr:uid="{00000000-0005-0000-0000-000026000000}"/>
    <cellStyle name="Notitie" xfId="17" builtinId="10" customBuiltin="1"/>
    <cellStyle name="Ongeldig" xfId="9" builtinId="27" customBuiltin="1"/>
    <cellStyle name="Procent" xfId="2" builtinId="5"/>
    <cellStyle name="Standaard" xfId="0" builtinId="0"/>
    <cellStyle name="Standaard 2" xfId="44" xr:uid="{00000000-0005-0000-0000-00002A000000}"/>
    <cellStyle name="Titel" xfId="3" builtinId="15" customBuiltin="1"/>
    <cellStyle name="Totaal" xfId="19" builtinId="25" customBuiltin="1"/>
    <cellStyle name="Uitvoer" xfId="12" builtinId="21" customBuiltin="1"/>
    <cellStyle name="Verklarende tekst" xfId="18" builtinId="53" customBuiltin="1"/>
    <cellStyle name="Waarschuwingstekst" xfId="16" builtinId="11" customBuiltin="1"/>
  </cellStyles>
  <dxfs count="4">
    <dxf>
      <fill>
        <patternFill>
          <bgColor rgb="FFFF0000"/>
        </patternFill>
      </fill>
    </dxf>
    <dxf>
      <fill>
        <patternFill>
          <bgColor rgb="FF92D050"/>
        </patternFill>
      </fill>
    </dxf>
    <dxf>
      <fill>
        <patternFill>
          <bgColor rgb="FF00B050"/>
        </patternFill>
      </fill>
    </dxf>
    <dxf>
      <fill>
        <patternFill>
          <bgColor rgb="FFFFFF00"/>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 Id="rId30" Type="http://schemas.openxmlformats.org/officeDocument/2006/relationships/calcChain" Target="calcChain.xml"/></Relationships>
</file>

<file path=xl/charts/_rels/chart3.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1634750338989"/>
          <c:y val="9.5381944444444394E-2"/>
          <c:w val="0.52635628238777799"/>
          <c:h val="0.748569967436019"/>
        </c:manualLayout>
      </c:layout>
      <c:scatterChart>
        <c:scatterStyle val="lineMarker"/>
        <c:varyColors val="0"/>
        <c:ser>
          <c:idx val="1"/>
          <c:order val="0"/>
          <c:tx>
            <c:strRef>
              <c:f>'Analysis all data'!$D$2</c:f>
              <c:strCache>
                <c:ptCount val="1"/>
                <c:pt idx="0">
                  <c:v>Capacity constraint</c:v>
                </c:pt>
              </c:strCache>
            </c:strRef>
          </c:tx>
          <c:spPr>
            <a:ln w="28575">
              <a:noFill/>
            </a:ln>
          </c:spPr>
          <c:marker>
            <c:symbol val="square"/>
            <c:size val="4"/>
          </c:marker>
          <c:xVal>
            <c:numRef>
              <c:f>'Analysis all data'!$F$3:$F$101</c:f>
              <c:numCache>
                <c:formatCode>General</c:formatCode>
                <c:ptCount val="99"/>
                <c:pt idx="0">
                  <c:v>0</c:v>
                </c:pt>
                <c:pt idx="1">
                  <c:v>126</c:v>
                </c:pt>
                <c:pt idx="2">
                  <c:v>189</c:v>
                </c:pt>
                <c:pt idx="3">
                  <c:v>224</c:v>
                </c:pt>
                <c:pt idx="4">
                  <c:v>251</c:v>
                </c:pt>
                <c:pt idx="5">
                  <c:v>275</c:v>
                </c:pt>
                <c:pt idx="6">
                  <c:v>287</c:v>
                </c:pt>
                <c:pt idx="7">
                  <c:v>298</c:v>
                </c:pt>
                <c:pt idx="8">
                  <c:v>305</c:v>
                </c:pt>
                <c:pt idx="9">
                  <c:v>314</c:v>
                </c:pt>
                <c:pt idx="10">
                  <c:v>321</c:v>
                </c:pt>
                <c:pt idx="11">
                  <c:v>337</c:v>
                </c:pt>
                <c:pt idx="12">
                  <c:v>344</c:v>
                </c:pt>
                <c:pt idx="13">
                  <c:v>356</c:v>
                </c:pt>
                <c:pt idx="14">
                  <c:v>362</c:v>
                </c:pt>
                <c:pt idx="15">
                  <c:v>370</c:v>
                </c:pt>
                <c:pt idx="16">
                  <c:v>382</c:v>
                </c:pt>
                <c:pt idx="17">
                  <c:v>388</c:v>
                </c:pt>
                <c:pt idx="18">
                  <c:v>398</c:v>
                </c:pt>
                <c:pt idx="19">
                  <c:v>405</c:v>
                </c:pt>
                <c:pt idx="20">
                  <c:v>407</c:v>
                </c:pt>
                <c:pt idx="21">
                  <c:v>411</c:v>
                </c:pt>
                <c:pt idx="22">
                  <c:v>418</c:v>
                </c:pt>
                <c:pt idx="23">
                  <c:v>424</c:v>
                </c:pt>
                <c:pt idx="24">
                  <c:v>424</c:v>
                </c:pt>
                <c:pt idx="25">
                  <c:v>429</c:v>
                </c:pt>
                <c:pt idx="26">
                  <c:v>434</c:v>
                </c:pt>
                <c:pt idx="27">
                  <c:v>436</c:v>
                </c:pt>
                <c:pt idx="28">
                  <c:v>439</c:v>
                </c:pt>
                <c:pt idx="29">
                  <c:v>441</c:v>
                </c:pt>
                <c:pt idx="30">
                  <c:v>444</c:v>
                </c:pt>
                <c:pt idx="31">
                  <c:v>447</c:v>
                </c:pt>
                <c:pt idx="32">
                  <c:v>447</c:v>
                </c:pt>
                <c:pt idx="33">
                  <c:v>451</c:v>
                </c:pt>
                <c:pt idx="34">
                  <c:v>458</c:v>
                </c:pt>
                <c:pt idx="35">
                  <c:v>458</c:v>
                </c:pt>
                <c:pt idx="36">
                  <c:v>461</c:v>
                </c:pt>
                <c:pt idx="37">
                  <c:v>468</c:v>
                </c:pt>
                <c:pt idx="38">
                  <c:v>470</c:v>
                </c:pt>
                <c:pt idx="39">
                  <c:v>474</c:v>
                </c:pt>
                <c:pt idx="40">
                  <c:v>477</c:v>
                </c:pt>
                <c:pt idx="41">
                  <c:v>478</c:v>
                </c:pt>
                <c:pt idx="42">
                  <c:v>479</c:v>
                </c:pt>
                <c:pt idx="43">
                  <c:v>481</c:v>
                </c:pt>
                <c:pt idx="44">
                  <c:v>484</c:v>
                </c:pt>
                <c:pt idx="45">
                  <c:v>489</c:v>
                </c:pt>
                <c:pt idx="46">
                  <c:v>492</c:v>
                </c:pt>
                <c:pt idx="47">
                  <c:v>493</c:v>
                </c:pt>
                <c:pt idx="48">
                  <c:v>495</c:v>
                </c:pt>
                <c:pt idx="49">
                  <c:v>497</c:v>
                </c:pt>
                <c:pt idx="50">
                  <c:v>497</c:v>
                </c:pt>
                <c:pt idx="51">
                  <c:v>498</c:v>
                </c:pt>
                <c:pt idx="52">
                  <c:v>499</c:v>
                </c:pt>
                <c:pt idx="53">
                  <c:v>499</c:v>
                </c:pt>
                <c:pt idx="54">
                  <c:v>500</c:v>
                </c:pt>
                <c:pt idx="55">
                  <c:v>501</c:v>
                </c:pt>
                <c:pt idx="56">
                  <c:v>501</c:v>
                </c:pt>
                <c:pt idx="57">
                  <c:v>502</c:v>
                </c:pt>
                <c:pt idx="58">
                  <c:v>502</c:v>
                </c:pt>
                <c:pt idx="59">
                  <c:v>502</c:v>
                </c:pt>
                <c:pt idx="60">
                  <c:v>503</c:v>
                </c:pt>
                <c:pt idx="61">
                  <c:v>504</c:v>
                </c:pt>
                <c:pt idx="62">
                  <c:v>504</c:v>
                </c:pt>
                <c:pt idx="63">
                  <c:v>504</c:v>
                </c:pt>
                <c:pt idx="64">
                  <c:v>505</c:v>
                </c:pt>
                <c:pt idx="65">
                  <c:v>506</c:v>
                </c:pt>
                <c:pt idx="66">
                  <c:v>507</c:v>
                </c:pt>
                <c:pt idx="67">
                  <c:v>507</c:v>
                </c:pt>
                <c:pt idx="68">
                  <c:v>507</c:v>
                </c:pt>
                <c:pt idx="69">
                  <c:v>507</c:v>
                </c:pt>
                <c:pt idx="70">
                  <c:v>507</c:v>
                </c:pt>
                <c:pt idx="71">
                  <c:v>507</c:v>
                </c:pt>
                <c:pt idx="72">
                  <c:v>507</c:v>
                </c:pt>
                <c:pt idx="73">
                  <c:v>508</c:v>
                </c:pt>
                <c:pt idx="74">
                  <c:v>509</c:v>
                </c:pt>
                <c:pt idx="75">
                  <c:v>509</c:v>
                </c:pt>
                <c:pt idx="76">
                  <c:v>509</c:v>
                </c:pt>
                <c:pt idx="77">
                  <c:v>509</c:v>
                </c:pt>
                <c:pt idx="78">
                  <c:v>509</c:v>
                </c:pt>
                <c:pt idx="79">
                  <c:v>510</c:v>
                </c:pt>
                <c:pt idx="80">
                  <c:v>510</c:v>
                </c:pt>
                <c:pt idx="81">
                  <c:v>512</c:v>
                </c:pt>
                <c:pt idx="82">
                  <c:v>512</c:v>
                </c:pt>
                <c:pt idx="83">
                  <c:v>512</c:v>
                </c:pt>
                <c:pt idx="84">
                  <c:v>512</c:v>
                </c:pt>
                <c:pt idx="85">
                  <c:v>513</c:v>
                </c:pt>
                <c:pt idx="86">
                  <c:v>514</c:v>
                </c:pt>
                <c:pt idx="87">
                  <c:v>514</c:v>
                </c:pt>
                <c:pt idx="88">
                  <c:v>514</c:v>
                </c:pt>
                <c:pt idx="89">
                  <c:v>515</c:v>
                </c:pt>
                <c:pt idx="90">
                  <c:v>515</c:v>
                </c:pt>
                <c:pt idx="91">
                  <c:v>517</c:v>
                </c:pt>
                <c:pt idx="92">
                  <c:v>518</c:v>
                </c:pt>
                <c:pt idx="93">
                  <c:v>518</c:v>
                </c:pt>
                <c:pt idx="94">
                  <c:v>518</c:v>
                </c:pt>
                <c:pt idx="95">
                  <c:v>518</c:v>
                </c:pt>
                <c:pt idx="96">
                  <c:v>518</c:v>
                </c:pt>
                <c:pt idx="97">
                  <c:v>519</c:v>
                </c:pt>
                <c:pt idx="98">
                  <c:v>520</c:v>
                </c:pt>
              </c:numCache>
            </c:numRef>
          </c:xVal>
          <c:yVal>
            <c:numRef>
              <c:f>'Analysis all data'!$D$3:$D$101</c:f>
              <c:numCache>
                <c:formatCode>General</c:formatCode>
                <c:ptCount val="9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numCache>
            </c:numRef>
          </c:yVal>
          <c:smooth val="0"/>
          <c:extLst>
            <c:ext xmlns:c16="http://schemas.microsoft.com/office/drawing/2014/chart" uri="{C3380CC4-5D6E-409C-BE32-E72D297353CC}">
              <c16:uniqueId val="{00000000-B427-45E6-93F7-5A7AFE5F5FF8}"/>
            </c:ext>
          </c:extLst>
        </c:ser>
        <c:dLbls>
          <c:showLegendKey val="0"/>
          <c:showVal val="0"/>
          <c:showCatName val="0"/>
          <c:showSerName val="0"/>
          <c:showPercent val="0"/>
          <c:showBubbleSize val="0"/>
        </c:dLbls>
        <c:axId val="-1879878032"/>
        <c:axId val="-1879873184"/>
      </c:scatterChart>
      <c:scatterChart>
        <c:scatterStyle val="lineMarker"/>
        <c:varyColors val="0"/>
        <c:ser>
          <c:idx val="0"/>
          <c:order val="1"/>
          <c:tx>
            <c:strRef>
              <c:f>'Analysis all data'!$E$2</c:f>
              <c:strCache>
                <c:ptCount val="1"/>
                <c:pt idx="0">
                  <c:v>% of total capacity covered</c:v>
                </c:pt>
              </c:strCache>
            </c:strRef>
          </c:tx>
          <c:spPr>
            <a:ln w="28575">
              <a:noFill/>
            </a:ln>
          </c:spPr>
          <c:xVal>
            <c:numRef>
              <c:f>'Analysis all data'!$F$3:$F$128</c:f>
              <c:numCache>
                <c:formatCode>General</c:formatCode>
                <c:ptCount val="126"/>
                <c:pt idx="0">
                  <c:v>0</c:v>
                </c:pt>
                <c:pt idx="1">
                  <c:v>126</c:v>
                </c:pt>
                <c:pt idx="2">
                  <c:v>189</c:v>
                </c:pt>
                <c:pt idx="3">
                  <c:v>224</c:v>
                </c:pt>
                <c:pt idx="4">
                  <c:v>251</c:v>
                </c:pt>
                <c:pt idx="5">
                  <c:v>275</c:v>
                </c:pt>
                <c:pt idx="6">
                  <c:v>287</c:v>
                </c:pt>
                <c:pt idx="7">
                  <c:v>298</c:v>
                </c:pt>
                <c:pt idx="8">
                  <c:v>305</c:v>
                </c:pt>
                <c:pt idx="9">
                  <c:v>314</c:v>
                </c:pt>
                <c:pt idx="10">
                  <c:v>321</c:v>
                </c:pt>
                <c:pt idx="11">
                  <c:v>337</c:v>
                </c:pt>
                <c:pt idx="12">
                  <c:v>344</c:v>
                </c:pt>
                <c:pt idx="13">
                  <c:v>356</c:v>
                </c:pt>
                <c:pt idx="14">
                  <c:v>362</c:v>
                </c:pt>
                <c:pt idx="15">
                  <c:v>370</c:v>
                </c:pt>
                <c:pt idx="16">
                  <c:v>382</c:v>
                </c:pt>
                <c:pt idx="17">
                  <c:v>388</c:v>
                </c:pt>
                <c:pt idx="18">
                  <c:v>398</c:v>
                </c:pt>
                <c:pt idx="19">
                  <c:v>405</c:v>
                </c:pt>
                <c:pt idx="20">
                  <c:v>407</c:v>
                </c:pt>
                <c:pt idx="21">
                  <c:v>411</c:v>
                </c:pt>
                <c:pt idx="22">
                  <c:v>418</c:v>
                </c:pt>
                <c:pt idx="23">
                  <c:v>424</c:v>
                </c:pt>
                <c:pt idx="24">
                  <c:v>424</c:v>
                </c:pt>
                <c:pt idx="25">
                  <c:v>429</c:v>
                </c:pt>
                <c:pt idx="26">
                  <c:v>434</c:v>
                </c:pt>
                <c:pt idx="27">
                  <c:v>436</c:v>
                </c:pt>
                <c:pt idx="28">
                  <c:v>439</c:v>
                </c:pt>
                <c:pt idx="29">
                  <c:v>441</c:v>
                </c:pt>
                <c:pt idx="30">
                  <c:v>444</c:v>
                </c:pt>
                <c:pt idx="31">
                  <c:v>447</c:v>
                </c:pt>
                <c:pt idx="32">
                  <c:v>447</c:v>
                </c:pt>
                <c:pt idx="33">
                  <c:v>451</c:v>
                </c:pt>
                <c:pt idx="34">
                  <c:v>458</c:v>
                </c:pt>
                <c:pt idx="35">
                  <c:v>458</c:v>
                </c:pt>
                <c:pt idx="36">
                  <c:v>461</c:v>
                </c:pt>
                <c:pt idx="37">
                  <c:v>468</c:v>
                </c:pt>
                <c:pt idx="38">
                  <c:v>470</c:v>
                </c:pt>
                <c:pt idx="39">
                  <c:v>474</c:v>
                </c:pt>
                <c:pt idx="40">
                  <c:v>477</c:v>
                </c:pt>
                <c:pt idx="41">
                  <c:v>478</c:v>
                </c:pt>
                <c:pt idx="42">
                  <c:v>479</c:v>
                </c:pt>
                <c:pt idx="43">
                  <c:v>481</c:v>
                </c:pt>
                <c:pt idx="44">
                  <c:v>484</c:v>
                </c:pt>
                <c:pt idx="45">
                  <c:v>489</c:v>
                </c:pt>
                <c:pt idx="46">
                  <c:v>492</c:v>
                </c:pt>
                <c:pt idx="47">
                  <c:v>493</c:v>
                </c:pt>
                <c:pt idx="48">
                  <c:v>495</c:v>
                </c:pt>
                <c:pt idx="49">
                  <c:v>497</c:v>
                </c:pt>
                <c:pt idx="50">
                  <c:v>497</c:v>
                </c:pt>
                <c:pt idx="51">
                  <c:v>498</c:v>
                </c:pt>
                <c:pt idx="52">
                  <c:v>499</c:v>
                </c:pt>
                <c:pt idx="53">
                  <c:v>499</c:v>
                </c:pt>
                <c:pt idx="54">
                  <c:v>500</c:v>
                </c:pt>
                <c:pt idx="55">
                  <c:v>501</c:v>
                </c:pt>
                <c:pt idx="56">
                  <c:v>501</c:v>
                </c:pt>
                <c:pt idx="57">
                  <c:v>502</c:v>
                </c:pt>
                <c:pt idx="58">
                  <c:v>502</c:v>
                </c:pt>
                <c:pt idx="59">
                  <c:v>502</c:v>
                </c:pt>
                <c:pt idx="60">
                  <c:v>503</c:v>
                </c:pt>
                <c:pt idx="61">
                  <c:v>504</c:v>
                </c:pt>
                <c:pt idx="62">
                  <c:v>504</c:v>
                </c:pt>
                <c:pt idx="63">
                  <c:v>504</c:v>
                </c:pt>
                <c:pt idx="64">
                  <c:v>505</c:v>
                </c:pt>
                <c:pt idx="65">
                  <c:v>506</c:v>
                </c:pt>
                <c:pt idx="66">
                  <c:v>507</c:v>
                </c:pt>
                <c:pt idx="67">
                  <c:v>507</c:v>
                </c:pt>
                <c:pt idx="68">
                  <c:v>507</c:v>
                </c:pt>
                <c:pt idx="69">
                  <c:v>507</c:v>
                </c:pt>
                <c:pt idx="70">
                  <c:v>507</c:v>
                </c:pt>
                <c:pt idx="71">
                  <c:v>507</c:v>
                </c:pt>
                <c:pt idx="72">
                  <c:v>507</c:v>
                </c:pt>
                <c:pt idx="73">
                  <c:v>508</c:v>
                </c:pt>
                <c:pt idx="74">
                  <c:v>509</c:v>
                </c:pt>
                <c:pt idx="75">
                  <c:v>509</c:v>
                </c:pt>
                <c:pt idx="76">
                  <c:v>509</c:v>
                </c:pt>
                <c:pt idx="77">
                  <c:v>509</c:v>
                </c:pt>
                <c:pt idx="78">
                  <c:v>509</c:v>
                </c:pt>
                <c:pt idx="79">
                  <c:v>510</c:v>
                </c:pt>
                <c:pt idx="80">
                  <c:v>510</c:v>
                </c:pt>
                <c:pt idx="81">
                  <c:v>512</c:v>
                </c:pt>
                <c:pt idx="82">
                  <c:v>512</c:v>
                </c:pt>
                <c:pt idx="83">
                  <c:v>512</c:v>
                </c:pt>
                <c:pt idx="84">
                  <c:v>512</c:v>
                </c:pt>
                <c:pt idx="85">
                  <c:v>513</c:v>
                </c:pt>
                <c:pt idx="86">
                  <c:v>514</c:v>
                </c:pt>
                <c:pt idx="87">
                  <c:v>514</c:v>
                </c:pt>
                <c:pt idx="88">
                  <c:v>514</c:v>
                </c:pt>
                <c:pt idx="89">
                  <c:v>515</c:v>
                </c:pt>
                <c:pt idx="90">
                  <c:v>515</c:v>
                </c:pt>
                <c:pt idx="91">
                  <c:v>517</c:v>
                </c:pt>
                <c:pt idx="92">
                  <c:v>518</c:v>
                </c:pt>
                <c:pt idx="93">
                  <c:v>518</c:v>
                </c:pt>
                <c:pt idx="94">
                  <c:v>518</c:v>
                </c:pt>
                <c:pt idx="95">
                  <c:v>518</c:v>
                </c:pt>
                <c:pt idx="96">
                  <c:v>518</c:v>
                </c:pt>
                <c:pt idx="97">
                  <c:v>519</c:v>
                </c:pt>
                <c:pt idx="98">
                  <c:v>520</c:v>
                </c:pt>
                <c:pt idx="99">
                  <c:v>520</c:v>
                </c:pt>
                <c:pt idx="100">
                  <c:v>521</c:v>
                </c:pt>
                <c:pt idx="101">
                  <c:v>523</c:v>
                </c:pt>
                <c:pt idx="102">
                  <c:v>524</c:v>
                </c:pt>
                <c:pt idx="103">
                  <c:v>525</c:v>
                </c:pt>
                <c:pt idx="104">
                  <c:v>525</c:v>
                </c:pt>
                <c:pt idx="105">
                  <c:v>525</c:v>
                </c:pt>
                <c:pt idx="106">
                  <c:v>526</c:v>
                </c:pt>
                <c:pt idx="107">
                  <c:v>527</c:v>
                </c:pt>
                <c:pt idx="108">
                  <c:v>527</c:v>
                </c:pt>
                <c:pt idx="109">
                  <c:v>527</c:v>
                </c:pt>
                <c:pt idx="110">
                  <c:v>527</c:v>
                </c:pt>
                <c:pt idx="111">
                  <c:v>527</c:v>
                </c:pt>
                <c:pt idx="112">
                  <c:v>527</c:v>
                </c:pt>
                <c:pt idx="113">
                  <c:v>529</c:v>
                </c:pt>
                <c:pt idx="114">
                  <c:v>529</c:v>
                </c:pt>
                <c:pt idx="115">
                  <c:v>529</c:v>
                </c:pt>
                <c:pt idx="116">
                  <c:v>529</c:v>
                </c:pt>
                <c:pt idx="117">
                  <c:v>531</c:v>
                </c:pt>
                <c:pt idx="118">
                  <c:v>531</c:v>
                </c:pt>
                <c:pt idx="119">
                  <c:v>531</c:v>
                </c:pt>
                <c:pt idx="120">
                  <c:v>531</c:v>
                </c:pt>
                <c:pt idx="121">
                  <c:v>532</c:v>
                </c:pt>
                <c:pt idx="122">
                  <c:v>532</c:v>
                </c:pt>
                <c:pt idx="123">
                  <c:v>532</c:v>
                </c:pt>
                <c:pt idx="124">
                  <c:v>532</c:v>
                </c:pt>
                <c:pt idx="125">
                  <c:v>533</c:v>
                </c:pt>
              </c:numCache>
            </c:numRef>
          </c:xVal>
          <c:yVal>
            <c:numRef>
              <c:f>'Analysis all data'!$E$3:$E$128</c:f>
              <c:numCache>
                <c:formatCode>0%</c:formatCode>
                <c:ptCount val="126"/>
                <c:pt idx="0">
                  <c:v>0</c:v>
                </c:pt>
                <c:pt idx="1">
                  <c:v>1.4819273371961396E-3</c:v>
                </c:pt>
                <c:pt idx="2">
                  <c:v>6.1017889170874948E-3</c:v>
                </c:pt>
                <c:pt idx="3">
                  <c:v>1.028488801823548E-2</c:v>
                </c:pt>
                <c:pt idx="4">
                  <c:v>1.5058262564028342E-2</c:v>
                </c:pt>
                <c:pt idx="5">
                  <c:v>2.0529423318464454E-2</c:v>
                </c:pt>
                <c:pt idx="6">
                  <c:v>2.3827109252645112E-2</c:v>
                </c:pt>
                <c:pt idx="7">
                  <c:v>2.7465935111051366E-2</c:v>
                </c:pt>
                <c:pt idx="8">
                  <c:v>3.0141299122856877E-2</c:v>
                </c:pt>
                <c:pt idx="9">
                  <c:v>3.3937772976549208E-2</c:v>
                </c:pt>
                <c:pt idx="10">
                  <c:v>3.7285854581354118E-2</c:v>
                </c:pt>
                <c:pt idx="11">
                  <c:v>4.5886715701223484E-2</c:v>
                </c:pt>
                <c:pt idx="12">
                  <c:v>4.9980394791930526E-2</c:v>
                </c:pt>
                <c:pt idx="13">
                  <c:v>5.7609524006430005E-2</c:v>
                </c:pt>
                <c:pt idx="14">
                  <c:v>6.1677359163483596E-2</c:v>
                </c:pt>
                <c:pt idx="15">
                  <c:v>6.7569776036471005E-2</c:v>
                </c:pt>
                <c:pt idx="16">
                  <c:v>7.7041577720461704E-2</c:v>
                </c:pt>
                <c:pt idx="17">
                  <c:v>8.2013950555386184E-2</c:v>
                </c:pt>
                <c:pt idx="18">
                  <c:v>9.1044854731248959E-2</c:v>
                </c:pt>
                <c:pt idx="19">
                  <c:v>9.7717758400570648E-2</c:v>
                </c:pt>
                <c:pt idx="20">
                  <c:v>9.9728416438809336E-2</c:v>
                </c:pt>
                <c:pt idx="21">
                  <c:v>0.10386861461009259</c:v>
                </c:pt>
                <c:pt idx="22">
                  <c:v>0.11155976926536036</c:v>
                </c:pt>
                <c:pt idx="23">
                  <c:v>0.118434255617179</c:v>
                </c:pt>
                <c:pt idx="24">
                  <c:v>0.118434255617179</c:v>
                </c:pt>
                <c:pt idx="25">
                  <c:v>0.12471433149496822</c:v>
                </c:pt>
                <c:pt idx="26">
                  <c:v>0.13122700277563851</c:v>
                </c:pt>
                <c:pt idx="27">
                  <c:v>0.13394630147465489</c:v>
                </c:pt>
                <c:pt idx="28">
                  <c:v>0.13820538174074404</c:v>
                </c:pt>
                <c:pt idx="29">
                  <c:v>0.14113608381704565</c:v>
                </c:pt>
                <c:pt idx="30">
                  <c:v>0.14564326584620796</c:v>
                </c:pt>
                <c:pt idx="31">
                  <c:v>0.15034169298440581</c:v>
                </c:pt>
                <c:pt idx="32">
                  <c:v>0.15034169298440581</c:v>
                </c:pt>
                <c:pt idx="33">
                  <c:v>0.15700425908026611</c:v>
                </c:pt>
                <c:pt idx="34">
                  <c:v>0.16906820730969824</c:v>
                </c:pt>
                <c:pt idx="35">
                  <c:v>0.16906820730969824</c:v>
                </c:pt>
                <c:pt idx="36">
                  <c:v>0.17451610852384611</c:v>
                </c:pt>
                <c:pt idx="37">
                  <c:v>0.18764482681980052</c:v>
                </c:pt>
                <c:pt idx="38">
                  <c:v>0.19153175444127993</c:v>
                </c:pt>
                <c:pt idx="39">
                  <c:v>0.19942966056577532</c:v>
                </c:pt>
                <c:pt idx="40">
                  <c:v>0.20551849133452899</c:v>
                </c:pt>
                <c:pt idx="41">
                  <c:v>0.20759634360026666</c:v>
                </c:pt>
                <c:pt idx="42">
                  <c:v>0.20974139009350329</c:v>
                </c:pt>
                <c:pt idx="43">
                  <c:v>0.21416587153497454</c:v>
                </c:pt>
                <c:pt idx="44">
                  <c:v>0.22087495671141108</c:v>
                </c:pt>
                <c:pt idx="45">
                  <c:v>0.23231606613979494</c:v>
                </c:pt>
                <c:pt idx="46">
                  <c:v>0.23932494094661153</c:v>
                </c:pt>
                <c:pt idx="47">
                  <c:v>0.24170258284272927</c:v>
                </c:pt>
                <c:pt idx="48">
                  <c:v>0.24661809902361612</c:v>
                </c:pt>
                <c:pt idx="49">
                  <c:v>0.25161114700546333</c:v>
                </c:pt>
                <c:pt idx="50">
                  <c:v>0.25161114700546333</c:v>
                </c:pt>
                <c:pt idx="51">
                  <c:v>0.25419554037080866</c:v>
                </c:pt>
                <c:pt idx="52">
                  <c:v>0.25687503941199874</c:v>
                </c:pt>
                <c:pt idx="53">
                  <c:v>0.25687503941199874</c:v>
                </c:pt>
                <c:pt idx="54">
                  <c:v>0.25961449637926481</c:v>
                </c:pt>
                <c:pt idx="55">
                  <c:v>0.26243665393422194</c:v>
                </c:pt>
                <c:pt idx="56">
                  <c:v>0.26243665393422194</c:v>
                </c:pt>
                <c:pt idx="57">
                  <c:v>0.26537252479725426</c:v>
                </c:pt>
                <c:pt idx="58">
                  <c:v>0.26537252479725426</c:v>
                </c:pt>
                <c:pt idx="59">
                  <c:v>0.26537252479725426</c:v>
                </c:pt>
                <c:pt idx="60">
                  <c:v>0.26846862804893795</c:v>
                </c:pt>
                <c:pt idx="61">
                  <c:v>0.27156990008735238</c:v>
                </c:pt>
                <c:pt idx="62">
                  <c:v>0.27156990008735238</c:v>
                </c:pt>
                <c:pt idx="63">
                  <c:v>0.27156990008735238</c:v>
                </c:pt>
                <c:pt idx="64">
                  <c:v>0.27482623572768755</c:v>
                </c:pt>
                <c:pt idx="65">
                  <c:v>0.27813425923532958</c:v>
                </c:pt>
                <c:pt idx="66">
                  <c:v>0.28149397061027853</c:v>
                </c:pt>
                <c:pt idx="67">
                  <c:v>0.28149397061027853</c:v>
                </c:pt>
                <c:pt idx="68">
                  <c:v>0.28149397061027853</c:v>
                </c:pt>
                <c:pt idx="69">
                  <c:v>0.28149397061027853</c:v>
                </c:pt>
                <c:pt idx="70">
                  <c:v>0.28149397061027853</c:v>
                </c:pt>
                <c:pt idx="71">
                  <c:v>0.28149397061027853</c:v>
                </c:pt>
                <c:pt idx="72">
                  <c:v>0.28149397061027853</c:v>
                </c:pt>
                <c:pt idx="73">
                  <c:v>0.28521549705637589</c:v>
                </c:pt>
                <c:pt idx="74">
                  <c:v>0.28901455530343351</c:v>
                </c:pt>
                <c:pt idx="75">
                  <c:v>0.28901455530343351</c:v>
                </c:pt>
                <c:pt idx="76">
                  <c:v>0.28901455530343351</c:v>
                </c:pt>
                <c:pt idx="77">
                  <c:v>0.28901455530343351</c:v>
                </c:pt>
                <c:pt idx="78">
                  <c:v>0.28901455530343351</c:v>
                </c:pt>
                <c:pt idx="79">
                  <c:v>0.29305137774010298</c:v>
                </c:pt>
                <c:pt idx="80">
                  <c:v>0.29305137774010298</c:v>
                </c:pt>
                <c:pt idx="81">
                  <c:v>0.30132143650920812</c:v>
                </c:pt>
                <c:pt idx="82">
                  <c:v>0.30132143650920812</c:v>
                </c:pt>
                <c:pt idx="83">
                  <c:v>0.30132143650920812</c:v>
                </c:pt>
                <c:pt idx="84">
                  <c:v>0.30132143650920812</c:v>
                </c:pt>
                <c:pt idx="85">
                  <c:v>0.30566321736298829</c:v>
                </c:pt>
                <c:pt idx="86">
                  <c:v>0.3100928675911902</c:v>
                </c:pt>
                <c:pt idx="87">
                  <c:v>0.3100928675911902</c:v>
                </c:pt>
                <c:pt idx="88">
                  <c:v>0.3100928675911902</c:v>
                </c:pt>
                <c:pt idx="89">
                  <c:v>0.31465949066775545</c:v>
                </c:pt>
                <c:pt idx="90">
                  <c:v>0.31465949066775545</c:v>
                </c:pt>
                <c:pt idx="91">
                  <c:v>0.32396330678299873</c:v>
                </c:pt>
                <c:pt idx="92">
                  <c:v>0.32869791542831139</c:v>
                </c:pt>
                <c:pt idx="93">
                  <c:v>0.32869791542831139</c:v>
                </c:pt>
                <c:pt idx="94">
                  <c:v>0.32869791542831139</c:v>
                </c:pt>
                <c:pt idx="95">
                  <c:v>0.32869791542831139</c:v>
                </c:pt>
                <c:pt idx="96">
                  <c:v>0.32869791542831139</c:v>
                </c:pt>
                <c:pt idx="97">
                  <c:v>0.3336599506897745</c:v>
                </c:pt>
                <c:pt idx="98">
                  <c:v>0.33870985532565934</c:v>
                </c:pt>
                <c:pt idx="99">
                  <c:v>0.33870985532565934</c:v>
                </c:pt>
                <c:pt idx="100">
                  <c:v>0.34383729176250444</c:v>
                </c:pt>
                <c:pt idx="101">
                  <c:v>0.35417486522388586</c:v>
                </c:pt>
                <c:pt idx="102">
                  <c:v>0.35942635254226768</c:v>
                </c:pt>
                <c:pt idx="103">
                  <c:v>0.36472952772795636</c:v>
                </c:pt>
                <c:pt idx="104">
                  <c:v>0.36472952772795636</c:v>
                </c:pt>
                <c:pt idx="105">
                  <c:v>0.36472952772795636</c:v>
                </c:pt>
                <c:pt idx="106">
                  <c:v>0.37015675379518159</c:v>
                </c:pt>
                <c:pt idx="107">
                  <c:v>0.37563566772971374</c:v>
                </c:pt>
                <c:pt idx="108">
                  <c:v>0.37563566772971374</c:v>
                </c:pt>
                <c:pt idx="109">
                  <c:v>0.37563566772971374</c:v>
                </c:pt>
                <c:pt idx="110">
                  <c:v>0.37563566772971374</c:v>
                </c:pt>
                <c:pt idx="111">
                  <c:v>0.37563566772971374</c:v>
                </c:pt>
                <c:pt idx="112">
                  <c:v>0.37563566772971374</c:v>
                </c:pt>
                <c:pt idx="113">
                  <c:v>0.38725510030030647</c:v>
                </c:pt>
                <c:pt idx="114">
                  <c:v>0.38725510030030647</c:v>
                </c:pt>
                <c:pt idx="115">
                  <c:v>0.38725510030030647</c:v>
                </c:pt>
                <c:pt idx="116">
                  <c:v>0.38725510030030647</c:v>
                </c:pt>
                <c:pt idx="117">
                  <c:v>0.39929837338281582</c:v>
                </c:pt>
                <c:pt idx="118">
                  <c:v>0.39929837338281582</c:v>
                </c:pt>
                <c:pt idx="119">
                  <c:v>0.39929837338281582</c:v>
                </c:pt>
                <c:pt idx="120">
                  <c:v>0.39929837338281582</c:v>
                </c:pt>
                <c:pt idx="121">
                  <c:v>0.40550091745964462</c:v>
                </c:pt>
                <c:pt idx="122">
                  <c:v>0.40550091745964462</c:v>
                </c:pt>
                <c:pt idx="123">
                  <c:v>0.40550091745964462</c:v>
                </c:pt>
                <c:pt idx="124">
                  <c:v>0.40550091745964462</c:v>
                </c:pt>
                <c:pt idx="125">
                  <c:v>0.41191021300570113</c:v>
                </c:pt>
              </c:numCache>
            </c:numRef>
          </c:yVal>
          <c:smooth val="0"/>
          <c:extLst>
            <c:ext xmlns:c16="http://schemas.microsoft.com/office/drawing/2014/chart" uri="{C3380CC4-5D6E-409C-BE32-E72D297353CC}">
              <c16:uniqueId val="{00000001-B427-45E6-93F7-5A7AFE5F5FF8}"/>
            </c:ext>
          </c:extLst>
        </c:ser>
        <c:dLbls>
          <c:showLegendKey val="0"/>
          <c:showVal val="0"/>
          <c:showCatName val="0"/>
          <c:showSerName val="0"/>
          <c:showPercent val="0"/>
          <c:showBubbleSize val="0"/>
        </c:dLbls>
        <c:axId val="-1879858368"/>
        <c:axId val="-1879865488"/>
      </c:scatterChart>
      <c:valAx>
        <c:axId val="-1879878032"/>
        <c:scaling>
          <c:orientation val="minMax"/>
        </c:scaling>
        <c:delete val="0"/>
        <c:axPos val="b"/>
        <c:title>
          <c:tx>
            <c:rich>
              <a:bodyPr/>
              <a:lstStyle/>
              <a:p>
                <a:pPr>
                  <a:defRPr sz="1000" baseline="0"/>
                </a:pPr>
                <a:r>
                  <a:rPr lang="en-US" sz="1000" b="1" i="0" baseline="0"/>
                  <a:t>Number of plants with capacity &lt; capacity constraint</a:t>
                </a:r>
              </a:p>
              <a:p>
                <a:pPr>
                  <a:defRPr sz="1000" baseline="0"/>
                </a:pPr>
                <a:r>
                  <a:rPr lang="en-US" sz="1000" b="1" i="0" baseline="0"/>
                  <a:t> </a:t>
                </a:r>
                <a:endParaRPr lang="en-GB" sz="1000" baseline="0"/>
              </a:p>
            </c:rich>
          </c:tx>
          <c:overlay val="0"/>
        </c:title>
        <c:numFmt formatCode="General" sourceLinked="1"/>
        <c:majorTickMark val="out"/>
        <c:minorTickMark val="none"/>
        <c:tickLblPos val="nextTo"/>
        <c:crossAx val="-1879873184"/>
        <c:crosses val="autoZero"/>
        <c:crossBetween val="midCat"/>
      </c:valAx>
      <c:valAx>
        <c:axId val="-1879873184"/>
        <c:scaling>
          <c:orientation val="minMax"/>
        </c:scaling>
        <c:delete val="0"/>
        <c:axPos val="l"/>
        <c:majorGridlines/>
        <c:title>
          <c:tx>
            <c:rich>
              <a:bodyPr rot="-5400000" vert="horz"/>
              <a:lstStyle/>
              <a:p>
                <a:pPr>
                  <a:defRPr/>
                </a:pPr>
                <a:r>
                  <a:rPr lang="en-US" baseline="0"/>
                  <a:t>Capacity constraint (MW)</a:t>
                </a:r>
              </a:p>
            </c:rich>
          </c:tx>
          <c:overlay val="0"/>
        </c:title>
        <c:numFmt formatCode="General" sourceLinked="1"/>
        <c:majorTickMark val="out"/>
        <c:minorTickMark val="none"/>
        <c:tickLblPos val="nextTo"/>
        <c:crossAx val="-1879878032"/>
        <c:crosses val="autoZero"/>
        <c:crossBetween val="midCat"/>
      </c:valAx>
      <c:valAx>
        <c:axId val="-1879865488"/>
        <c:scaling>
          <c:orientation val="minMax"/>
        </c:scaling>
        <c:delete val="0"/>
        <c:axPos val="r"/>
        <c:title>
          <c:tx>
            <c:rich>
              <a:bodyPr rot="-5400000" vert="horz"/>
              <a:lstStyle/>
              <a:p>
                <a:pPr>
                  <a:defRPr/>
                </a:pPr>
                <a:r>
                  <a:rPr lang="en-GB"/>
                  <a:t>% of total capacity</a:t>
                </a:r>
                <a:r>
                  <a:rPr lang="en-GB" baseline="0"/>
                  <a:t> covered</a:t>
                </a:r>
              </a:p>
            </c:rich>
          </c:tx>
          <c:overlay val="0"/>
        </c:title>
        <c:numFmt formatCode="0%" sourceLinked="1"/>
        <c:majorTickMark val="out"/>
        <c:minorTickMark val="none"/>
        <c:tickLblPos val="nextTo"/>
        <c:crossAx val="-1879858368"/>
        <c:crosses val="max"/>
        <c:crossBetween val="midCat"/>
      </c:valAx>
      <c:valAx>
        <c:axId val="-1879858368"/>
        <c:scaling>
          <c:orientation val="minMax"/>
        </c:scaling>
        <c:delete val="1"/>
        <c:axPos val="b"/>
        <c:numFmt formatCode="General" sourceLinked="1"/>
        <c:majorTickMark val="out"/>
        <c:minorTickMark val="none"/>
        <c:tickLblPos val="none"/>
        <c:crossAx val="-1879865488"/>
        <c:crosses val="autoZero"/>
        <c:crossBetween val="midCat"/>
      </c:valAx>
    </c:plotArea>
    <c:legend>
      <c:legendPos val="r"/>
      <c:layout>
        <c:manualLayout>
          <c:xMode val="edge"/>
          <c:yMode val="edge"/>
          <c:x val="0.73064554241899304"/>
          <c:y val="8.3045439632545903E-2"/>
          <c:w val="0.25525576674516898"/>
          <c:h val="0.12557578740157499"/>
        </c:manualLayout>
      </c:layout>
      <c:overlay val="0"/>
    </c:legend>
    <c:plotVisOnly val="1"/>
    <c:dispBlanksAs val="gap"/>
    <c:showDLblsOverMax val="0"/>
  </c:chart>
  <c:printSettings>
    <c:headerFooter/>
    <c:pageMargins b="0.750000000000006" l="0.70000000000000095" r="0.70000000000000095" t="0.750000000000006"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01634750338989"/>
          <c:y val="9.5381944444444394E-2"/>
          <c:w val="0.52635628238777799"/>
          <c:h val="0.748569967436019"/>
        </c:manualLayout>
      </c:layout>
      <c:scatterChart>
        <c:scatterStyle val="lineMarker"/>
        <c:varyColors val="0"/>
        <c:ser>
          <c:idx val="1"/>
          <c:order val="0"/>
          <c:tx>
            <c:strRef>
              <c:f>'Analysis all data'!$D$2</c:f>
              <c:strCache>
                <c:ptCount val="1"/>
                <c:pt idx="0">
                  <c:v>Capacity constraint</c:v>
                </c:pt>
              </c:strCache>
            </c:strRef>
          </c:tx>
          <c:spPr>
            <a:ln w="28575">
              <a:noFill/>
            </a:ln>
          </c:spPr>
          <c:marker>
            <c:symbol val="square"/>
            <c:size val="4"/>
          </c:marker>
          <c:xVal>
            <c:numRef>
              <c:f>'Analysis all data'!$F$3:$F$101</c:f>
              <c:numCache>
                <c:formatCode>General</c:formatCode>
                <c:ptCount val="99"/>
                <c:pt idx="0">
                  <c:v>0</c:v>
                </c:pt>
                <c:pt idx="1">
                  <c:v>126</c:v>
                </c:pt>
                <c:pt idx="2">
                  <c:v>189</c:v>
                </c:pt>
                <c:pt idx="3">
                  <c:v>224</c:v>
                </c:pt>
                <c:pt idx="4">
                  <c:v>251</c:v>
                </c:pt>
                <c:pt idx="5">
                  <c:v>275</c:v>
                </c:pt>
                <c:pt idx="6">
                  <c:v>287</c:v>
                </c:pt>
                <c:pt idx="7">
                  <c:v>298</c:v>
                </c:pt>
                <c:pt idx="8">
                  <c:v>305</c:v>
                </c:pt>
                <c:pt idx="9">
                  <c:v>314</c:v>
                </c:pt>
                <c:pt idx="10">
                  <c:v>321</c:v>
                </c:pt>
                <c:pt idx="11">
                  <c:v>337</c:v>
                </c:pt>
                <c:pt idx="12">
                  <c:v>344</c:v>
                </c:pt>
                <c:pt idx="13">
                  <c:v>356</c:v>
                </c:pt>
                <c:pt idx="14">
                  <c:v>362</c:v>
                </c:pt>
                <c:pt idx="15">
                  <c:v>370</c:v>
                </c:pt>
                <c:pt idx="16">
                  <c:v>382</c:v>
                </c:pt>
                <c:pt idx="17">
                  <c:v>388</c:v>
                </c:pt>
                <c:pt idx="18">
                  <c:v>398</c:v>
                </c:pt>
                <c:pt idx="19">
                  <c:v>405</c:v>
                </c:pt>
                <c:pt idx="20">
                  <c:v>407</c:v>
                </c:pt>
                <c:pt idx="21">
                  <c:v>411</c:v>
                </c:pt>
                <c:pt idx="22">
                  <c:v>418</c:v>
                </c:pt>
                <c:pt idx="23">
                  <c:v>424</c:v>
                </c:pt>
                <c:pt idx="24">
                  <c:v>424</c:v>
                </c:pt>
                <c:pt idx="25">
                  <c:v>429</c:v>
                </c:pt>
                <c:pt idx="26">
                  <c:v>434</c:v>
                </c:pt>
                <c:pt idx="27">
                  <c:v>436</c:v>
                </c:pt>
                <c:pt idx="28">
                  <c:v>439</c:v>
                </c:pt>
                <c:pt idx="29">
                  <c:v>441</c:v>
                </c:pt>
                <c:pt idx="30">
                  <c:v>444</c:v>
                </c:pt>
                <c:pt idx="31">
                  <c:v>447</c:v>
                </c:pt>
                <c:pt idx="32">
                  <c:v>447</c:v>
                </c:pt>
                <c:pt idx="33">
                  <c:v>451</c:v>
                </c:pt>
                <c:pt idx="34">
                  <c:v>458</c:v>
                </c:pt>
                <c:pt idx="35">
                  <c:v>458</c:v>
                </c:pt>
                <c:pt idx="36">
                  <c:v>461</c:v>
                </c:pt>
                <c:pt idx="37">
                  <c:v>468</c:v>
                </c:pt>
                <c:pt idx="38">
                  <c:v>470</c:v>
                </c:pt>
                <c:pt idx="39">
                  <c:v>474</c:v>
                </c:pt>
                <c:pt idx="40">
                  <c:v>477</c:v>
                </c:pt>
                <c:pt idx="41">
                  <c:v>478</c:v>
                </c:pt>
                <c:pt idx="42">
                  <c:v>479</c:v>
                </c:pt>
                <c:pt idx="43">
                  <c:v>481</c:v>
                </c:pt>
                <c:pt idx="44">
                  <c:v>484</c:v>
                </c:pt>
                <c:pt idx="45">
                  <c:v>489</c:v>
                </c:pt>
                <c:pt idx="46">
                  <c:v>492</c:v>
                </c:pt>
                <c:pt idx="47">
                  <c:v>493</c:v>
                </c:pt>
                <c:pt idx="48">
                  <c:v>495</c:v>
                </c:pt>
                <c:pt idx="49">
                  <c:v>497</c:v>
                </c:pt>
                <c:pt idx="50">
                  <c:v>497</c:v>
                </c:pt>
                <c:pt idx="51">
                  <c:v>498</c:v>
                </c:pt>
                <c:pt idx="52">
                  <c:v>499</c:v>
                </c:pt>
                <c:pt idx="53">
                  <c:v>499</c:v>
                </c:pt>
                <c:pt idx="54">
                  <c:v>500</c:v>
                </c:pt>
                <c:pt idx="55">
                  <c:v>501</c:v>
                </c:pt>
                <c:pt idx="56">
                  <c:v>501</c:v>
                </c:pt>
                <c:pt idx="57">
                  <c:v>502</c:v>
                </c:pt>
                <c:pt idx="58">
                  <c:v>502</c:v>
                </c:pt>
                <c:pt idx="59">
                  <c:v>502</c:v>
                </c:pt>
                <c:pt idx="60">
                  <c:v>503</c:v>
                </c:pt>
                <c:pt idx="61">
                  <c:v>504</c:v>
                </c:pt>
                <c:pt idx="62">
                  <c:v>504</c:v>
                </c:pt>
                <c:pt idx="63">
                  <c:v>504</c:v>
                </c:pt>
                <c:pt idx="64">
                  <c:v>505</c:v>
                </c:pt>
                <c:pt idx="65">
                  <c:v>506</c:v>
                </c:pt>
                <c:pt idx="66">
                  <c:v>507</c:v>
                </c:pt>
                <c:pt idx="67">
                  <c:v>507</c:v>
                </c:pt>
                <c:pt idx="68">
                  <c:v>507</c:v>
                </c:pt>
                <c:pt idx="69">
                  <c:v>507</c:v>
                </c:pt>
                <c:pt idx="70">
                  <c:v>507</c:v>
                </c:pt>
                <c:pt idx="71">
                  <c:v>507</c:v>
                </c:pt>
                <c:pt idx="72">
                  <c:v>507</c:v>
                </c:pt>
                <c:pt idx="73">
                  <c:v>508</c:v>
                </c:pt>
                <c:pt idx="74">
                  <c:v>509</c:v>
                </c:pt>
                <c:pt idx="75">
                  <c:v>509</c:v>
                </c:pt>
                <c:pt idx="76">
                  <c:v>509</c:v>
                </c:pt>
                <c:pt idx="77">
                  <c:v>509</c:v>
                </c:pt>
                <c:pt idx="78">
                  <c:v>509</c:v>
                </c:pt>
                <c:pt idx="79">
                  <c:v>510</c:v>
                </c:pt>
                <c:pt idx="80">
                  <c:v>510</c:v>
                </c:pt>
                <c:pt idx="81">
                  <c:v>512</c:v>
                </c:pt>
                <c:pt idx="82">
                  <c:v>512</c:v>
                </c:pt>
                <c:pt idx="83">
                  <c:v>512</c:v>
                </c:pt>
                <c:pt idx="84">
                  <c:v>512</c:v>
                </c:pt>
                <c:pt idx="85">
                  <c:v>513</c:v>
                </c:pt>
                <c:pt idx="86">
                  <c:v>514</c:v>
                </c:pt>
                <c:pt idx="87">
                  <c:v>514</c:v>
                </c:pt>
                <c:pt idx="88">
                  <c:v>514</c:v>
                </c:pt>
                <c:pt idx="89">
                  <c:v>515</c:v>
                </c:pt>
                <c:pt idx="90">
                  <c:v>515</c:v>
                </c:pt>
                <c:pt idx="91">
                  <c:v>517</c:v>
                </c:pt>
                <c:pt idx="92">
                  <c:v>518</c:v>
                </c:pt>
                <c:pt idx="93">
                  <c:v>518</c:v>
                </c:pt>
                <c:pt idx="94">
                  <c:v>518</c:v>
                </c:pt>
                <c:pt idx="95">
                  <c:v>518</c:v>
                </c:pt>
                <c:pt idx="96">
                  <c:v>518</c:v>
                </c:pt>
                <c:pt idx="97">
                  <c:v>519</c:v>
                </c:pt>
                <c:pt idx="98">
                  <c:v>520</c:v>
                </c:pt>
              </c:numCache>
            </c:numRef>
          </c:xVal>
          <c:yVal>
            <c:numRef>
              <c:f>'Analysis all data'!$D$3:$D$101</c:f>
              <c:numCache>
                <c:formatCode>General</c:formatCode>
                <c:ptCount val="99"/>
                <c:pt idx="0">
                  <c:v>0</c:v>
                </c:pt>
                <c:pt idx="1">
                  <c:v>10</c:v>
                </c:pt>
                <c:pt idx="2">
                  <c:v>20</c:v>
                </c:pt>
                <c:pt idx="3">
                  <c:v>30</c:v>
                </c:pt>
                <c:pt idx="4">
                  <c:v>40</c:v>
                </c:pt>
                <c:pt idx="5">
                  <c:v>50</c:v>
                </c:pt>
                <c:pt idx="6">
                  <c:v>60</c:v>
                </c:pt>
                <c:pt idx="7">
                  <c:v>70</c:v>
                </c:pt>
                <c:pt idx="8">
                  <c:v>80</c:v>
                </c:pt>
                <c:pt idx="9">
                  <c:v>90</c:v>
                </c:pt>
                <c:pt idx="10">
                  <c:v>100</c:v>
                </c:pt>
                <c:pt idx="11">
                  <c:v>110</c:v>
                </c:pt>
                <c:pt idx="12">
                  <c:v>120</c:v>
                </c:pt>
                <c:pt idx="13">
                  <c:v>130</c:v>
                </c:pt>
                <c:pt idx="14">
                  <c:v>140</c:v>
                </c:pt>
                <c:pt idx="15">
                  <c:v>150</c:v>
                </c:pt>
                <c:pt idx="16">
                  <c:v>160</c:v>
                </c:pt>
                <c:pt idx="17">
                  <c:v>170</c:v>
                </c:pt>
                <c:pt idx="18">
                  <c:v>180</c:v>
                </c:pt>
                <c:pt idx="19">
                  <c:v>190</c:v>
                </c:pt>
                <c:pt idx="20">
                  <c:v>200</c:v>
                </c:pt>
                <c:pt idx="21">
                  <c:v>210</c:v>
                </c:pt>
                <c:pt idx="22">
                  <c:v>220</c:v>
                </c:pt>
                <c:pt idx="23">
                  <c:v>230</c:v>
                </c:pt>
                <c:pt idx="24">
                  <c:v>240</c:v>
                </c:pt>
                <c:pt idx="25">
                  <c:v>250</c:v>
                </c:pt>
                <c:pt idx="26">
                  <c:v>260</c:v>
                </c:pt>
                <c:pt idx="27">
                  <c:v>270</c:v>
                </c:pt>
                <c:pt idx="28">
                  <c:v>280</c:v>
                </c:pt>
                <c:pt idx="29">
                  <c:v>290</c:v>
                </c:pt>
                <c:pt idx="30">
                  <c:v>300</c:v>
                </c:pt>
                <c:pt idx="31">
                  <c:v>310</c:v>
                </c:pt>
                <c:pt idx="32">
                  <c:v>320</c:v>
                </c:pt>
                <c:pt idx="33">
                  <c:v>330</c:v>
                </c:pt>
                <c:pt idx="34">
                  <c:v>340</c:v>
                </c:pt>
                <c:pt idx="35">
                  <c:v>350</c:v>
                </c:pt>
                <c:pt idx="36">
                  <c:v>360</c:v>
                </c:pt>
                <c:pt idx="37">
                  <c:v>370</c:v>
                </c:pt>
                <c:pt idx="38">
                  <c:v>380</c:v>
                </c:pt>
                <c:pt idx="39">
                  <c:v>390</c:v>
                </c:pt>
                <c:pt idx="40">
                  <c:v>400</c:v>
                </c:pt>
                <c:pt idx="41">
                  <c:v>410</c:v>
                </c:pt>
                <c:pt idx="42">
                  <c:v>420</c:v>
                </c:pt>
                <c:pt idx="43">
                  <c:v>430</c:v>
                </c:pt>
                <c:pt idx="44">
                  <c:v>440</c:v>
                </c:pt>
                <c:pt idx="45">
                  <c:v>450</c:v>
                </c:pt>
                <c:pt idx="46">
                  <c:v>460</c:v>
                </c:pt>
                <c:pt idx="47">
                  <c:v>470</c:v>
                </c:pt>
                <c:pt idx="48">
                  <c:v>480</c:v>
                </c:pt>
                <c:pt idx="49">
                  <c:v>490</c:v>
                </c:pt>
                <c:pt idx="50">
                  <c:v>500</c:v>
                </c:pt>
                <c:pt idx="51">
                  <c:v>510</c:v>
                </c:pt>
                <c:pt idx="52">
                  <c:v>520</c:v>
                </c:pt>
                <c:pt idx="53">
                  <c:v>530</c:v>
                </c:pt>
                <c:pt idx="54">
                  <c:v>540</c:v>
                </c:pt>
                <c:pt idx="55">
                  <c:v>550</c:v>
                </c:pt>
                <c:pt idx="56">
                  <c:v>560</c:v>
                </c:pt>
                <c:pt idx="57">
                  <c:v>570</c:v>
                </c:pt>
                <c:pt idx="58">
                  <c:v>580</c:v>
                </c:pt>
                <c:pt idx="59">
                  <c:v>590</c:v>
                </c:pt>
                <c:pt idx="60">
                  <c:v>600</c:v>
                </c:pt>
                <c:pt idx="61">
                  <c:v>610</c:v>
                </c:pt>
                <c:pt idx="62">
                  <c:v>620</c:v>
                </c:pt>
                <c:pt idx="63">
                  <c:v>630</c:v>
                </c:pt>
                <c:pt idx="64">
                  <c:v>640</c:v>
                </c:pt>
                <c:pt idx="65">
                  <c:v>650</c:v>
                </c:pt>
                <c:pt idx="66">
                  <c:v>660</c:v>
                </c:pt>
                <c:pt idx="67">
                  <c:v>670</c:v>
                </c:pt>
                <c:pt idx="68">
                  <c:v>680</c:v>
                </c:pt>
                <c:pt idx="69">
                  <c:v>690</c:v>
                </c:pt>
                <c:pt idx="70">
                  <c:v>700</c:v>
                </c:pt>
                <c:pt idx="71">
                  <c:v>710</c:v>
                </c:pt>
                <c:pt idx="72">
                  <c:v>720</c:v>
                </c:pt>
                <c:pt idx="73">
                  <c:v>730</c:v>
                </c:pt>
                <c:pt idx="74">
                  <c:v>740</c:v>
                </c:pt>
                <c:pt idx="75">
                  <c:v>750</c:v>
                </c:pt>
                <c:pt idx="76">
                  <c:v>760</c:v>
                </c:pt>
                <c:pt idx="77">
                  <c:v>770</c:v>
                </c:pt>
                <c:pt idx="78">
                  <c:v>780</c:v>
                </c:pt>
                <c:pt idx="79">
                  <c:v>790</c:v>
                </c:pt>
                <c:pt idx="80">
                  <c:v>800</c:v>
                </c:pt>
                <c:pt idx="81">
                  <c:v>810</c:v>
                </c:pt>
                <c:pt idx="82">
                  <c:v>820</c:v>
                </c:pt>
                <c:pt idx="83">
                  <c:v>830</c:v>
                </c:pt>
                <c:pt idx="84">
                  <c:v>840</c:v>
                </c:pt>
                <c:pt idx="85">
                  <c:v>850</c:v>
                </c:pt>
                <c:pt idx="86">
                  <c:v>860</c:v>
                </c:pt>
                <c:pt idx="87">
                  <c:v>870</c:v>
                </c:pt>
                <c:pt idx="88">
                  <c:v>880</c:v>
                </c:pt>
                <c:pt idx="89">
                  <c:v>890</c:v>
                </c:pt>
                <c:pt idx="90">
                  <c:v>900</c:v>
                </c:pt>
                <c:pt idx="91">
                  <c:v>910</c:v>
                </c:pt>
                <c:pt idx="92">
                  <c:v>920</c:v>
                </c:pt>
                <c:pt idx="93">
                  <c:v>930</c:v>
                </c:pt>
                <c:pt idx="94">
                  <c:v>940</c:v>
                </c:pt>
                <c:pt idx="95">
                  <c:v>950</c:v>
                </c:pt>
                <c:pt idx="96">
                  <c:v>960</c:v>
                </c:pt>
                <c:pt idx="97">
                  <c:v>970</c:v>
                </c:pt>
                <c:pt idx="98">
                  <c:v>980</c:v>
                </c:pt>
              </c:numCache>
            </c:numRef>
          </c:yVal>
          <c:smooth val="0"/>
          <c:extLst>
            <c:ext xmlns:c16="http://schemas.microsoft.com/office/drawing/2014/chart" uri="{C3380CC4-5D6E-409C-BE32-E72D297353CC}">
              <c16:uniqueId val="{00000000-5D6B-4D74-B269-28604D63EF7A}"/>
            </c:ext>
          </c:extLst>
        </c:ser>
        <c:dLbls>
          <c:showLegendKey val="0"/>
          <c:showVal val="0"/>
          <c:showCatName val="0"/>
          <c:showSerName val="0"/>
          <c:showPercent val="0"/>
          <c:showBubbleSize val="0"/>
        </c:dLbls>
        <c:axId val="-1880565808"/>
        <c:axId val="-1880558336"/>
      </c:scatterChart>
      <c:scatterChart>
        <c:scatterStyle val="lineMarker"/>
        <c:varyColors val="0"/>
        <c:ser>
          <c:idx val="0"/>
          <c:order val="1"/>
          <c:tx>
            <c:strRef>
              <c:f>'Analysis all data'!$E$2</c:f>
              <c:strCache>
                <c:ptCount val="1"/>
                <c:pt idx="0">
                  <c:v>% of total capacity covered</c:v>
                </c:pt>
              </c:strCache>
            </c:strRef>
          </c:tx>
          <c:spPr>
            <a:ln w="28575">
              <a:noFill/>
            </a:ln>
          </c:spPr>
          <c:xVal>
            <c:numRef>
              <c:f>'Analysis all data'!$F$3:$F$128</c:f>
              <c:numCache>
                <c:formatCode>General</c:formatCode>
                <c:ptCount val="126"/>
                <c:pt idx="0">
                  <c:v>0</c:v>
                </c:pt>
                <c:pt idx="1">
                  <c:v>126</c:v>
                </c:pt>
                <c:pt idx="2">
                  <c:v>189</c:v>
                </c:pt>
                <c:pt idx="3">
                  <c:v>224</c:v>
                </c:pt>
                <c:pt idx="4">
                  <c:v>251</c:v>
                </c:pt>
                <c:pt idx="5">
                  <c:v>275</c:v>
                </c:pt>
                <c:pt idx="6">
                  <c:v>287</c:v>
                </c:pt>
                <c:pt idx="7">
                  <c:v>298</c:v>
                </c:pt>
                <c:pt idx="8">
                  <c:v>305</c:v>
                </c:pt>
                <c:pt idx="9">
                  <c:v>314</c:v>
                </c:pt>
                <c:pt idx="10">
                  <c:v>321</c:v>
                </c:pt>
                <c:pt idx="11">
                  <c:v>337</c:v>
                </c:pt>
                <c:pt idx="12">
                  <c:v>344</c:v>
                </c:pt>
                <c:pt idx="13">
                  <c:v>356</c:v>
                </c:pt>
                <c:pt idx="14">
                  <c:v>362</c:v>
                </c:pt>
                <c:pt idx="15">
                  <c:v>370</c:v>
                </c:pt>
                <c:pt idx="16">
                  <c:v>382</c:v>
                </c:pt>
                <c:pt idx="17">
                  <c:v>388</c:v>
                </c:pt>
                <c:pt idx="18">
                  <c:v>398</c:v>
                </c:pt>
                <c:pt idx="19">
                  <c:v>405</c:v>
                </c:pt>
                <c:pt idx="20">
                  <c:v>407</c:v>
                </c:pt>
                <c:pt idx="21">
                  <c:v>411</c:v>
                </c:pt>
                <c:pt idx="22">
                  <c:v>418</c:v>
                </c:pt>
                <c:pt idx="23">
                  <c:v>424</c:v>
                </c:pt>
                <c:pt idx="24">
                  <c:v>424</c:v>
                </c:pt>
                <c:pt idx="25">
                  <c:v>429</c:v>
                </c:pt>
                <c:pt idx="26">
                  <c:v>434</c:v>
                </c:pt>
                <c:pt idx="27">
                  <c:v>436</c:v>
                </c:pt>
                <c:pt idx="28">
                  <c:v>439</c:v>
                </c:pt>
                <c:pt idx="29">
                  <c:v>441</c:v>
                </c:pt>
                <c:pt idx="30">
                  <c:v>444</c:v>
                </c:pt>
                <c:pt idx="31">
                  <c:v>447</c:v>
                </c:pt>
                <c:pt idx="32">
                  <c:v>447</c:v>
                </c:pt>
                <c:pt idx="33">
                  <c:v>451</c:v>
                </c:pt>
                <c:pt idx="34">
                  <c:v>458</c:v>
                </c:pt>
                <c:pt idx="35">
                  <c:v>458</c:v>
                </c:pt>
                <c:pt idx="36">
                  <c:v>461</c:v>
                </c:pt>
                <c:pt idx="37">
                  <c:v>468</c:v>
                </c:pt>
                <c:pt idx="38">
                  <c:v>470</c:v>
                </c:pt>
                <c:pt idx="39">
                  <c:v>474</c:v>
                </c:pt>
                <c:pt idx="40">
                  <c:v>477</c:v>
                </c:pt>
                <c:pt idx="41">
                  <c:v>478</c:v>
                </c:pt>
                <c:pt idx="42">
                  <c:v>479</c:v>
                </c:pt>
                <c:pt idx="43">
                  <c:v>481</c:v>
                </c:pt>
                <c:pt idx="44">
                  <c:v>484</c:v>
                </c:pt>
                <c:pt idx="45">
                  <c:v>489</c:v>
                </c:pt>
                <c:pt idx="46">
                  <c:v>492</c:v>
                </c:pt>
                <c:pt idx="47">
                  <c:v>493</c:v>
                </c:pt>
                <c:pt idx="48">
                  <c:v>495</c:v>
                </c:pt>
                <c:pt idx="49">
                  <c:v>497</c:v>
                </c:pt>
                <c:pt idx="50">
                  <c:v>497</c:v>
                </c:pt>
                <c:pt idx="51">
                  <c:v>498</c:v>
                </c:pt>
                <c:pt idx="52">
                  <c:v>499</c:v>
                </c:pt>
                <c:pt idx="53">
                  <c:v>499</c:v>
                </c:pt>
                <c:pt idx="54">
                  <c:v>500</c:v>
                </c:pt>
                <c:pt idx="55">
                  <c:v>501</c:v>
                </c:pt>
                <c:pt idx="56">
                  <c:v>501</c:v>
                </c:pt>
                <c:pt idx="57">
                  <c:v>502</c:v>
                </c:pt>
                <c:pt idx="58">
                  <c:v>502</c:v>
                </c:pt>
                <c:pt idx="59">
                  <c:v>502</c:v>
                </c:pt>
                <c:pt idx="60">
                  <c:v>503</c:v>
                </c:pt>
                <c:pt idx="61">
                  <c:v>504</c:v>
                </c:pt>
                <c:pt idx="62">
                  <c:v>504</c:v>
                </c:pt>
                <c:pt idx="63">
                  <c:v>504</c:v>
                </c:pt>
                <c:pt idx="64">
                  <c:v>505</c:v>
                </c:pt>
                <c:pt idx="65">
                  <c:v>506</c:v>
                </c:pt>
                <c:pt idx="66">
                  <c:v>507</c:v>
                </c:pt>
                <c:pt idx="67">
                  <c:v>507</c:v>
                </c:pt>
                <c:pt idx="68">
                  <c:v>507</c:v>
                </c:pt>
                <c:pt idx="69">
                  <c:v>507</c:v>
                </c:pt>
                <c:pt idx="70">
                  <c:v>507</c:v>
                </c:pt>
                <c:pt idx="71">
                  <c:v>507</c:v>
                </c:pt>
                <c:pt idx="72">
                  <c:v>507</c:v>
                </c:pt>
                <c:pt idx="73">
                  <c:v>508</c:v>
                </c:pt>
                <c:pt idx="74">
                  <c:v>509</c:v>
                </c:pt>
                <c:pt idx="75">
                  <c:v>509</c:v>
                </c:pt>
                <c:pt idx="76">
                  <c:v>509</c:v>
                </c:pt>
                <c:pt idx="77">
                  <c:v>509</c:v>
                </c:pt>
                <c:pt idx="78">
                  <c:v>509</c:v>
                </c:pt>
                <c:pt idx="79">
                  <c:v>510</c:v>
                </c:pt>
                <c:pt idx="80">
                  <c:v>510</c:v>
                </c:pt>
                <c:pt idx="81">
                  <c:v>512</c:v>
                </c:pt>
                <c:pt idx="82">
                  <c:v>512</c:v>
                </c:pt>
                <c:pt idx="83">
                  <c:v>512</c:v>
                </c:pt>
                <c:pt idx="84">
                  <c:v>512</c:v>
                </c:pt>
                <c:pt idx="85">
                  <c:v>513</c:v>
                </c:pt>
                <c:pt idx="86">
                  <c:v>514</c:v>
                </c:pt>
                <c:pt idx="87">
                  <c:v>514</c:v>
                </c:pt>
                <c:pt idx="88">
                  <c:v>514</c:v>
                </c:pt>
                <c:pt idx="89">
                  <c:v>515</c:v>
                </c:pt>
                <c:pt idx="90">
                  <c:v>515</c:v>
                </c:pt>
                <c:pt idx="91">
                  <c:v>517</c:v>
                </c:pt>
                <c:pt idx="92">
                  <c:v>518</c:v>
                </c:pt>
                <c:pt idx="93">
                  <c:v>518</c:v>
                </c:pt>
                <c:pt idx="94">
                  <c:v>518</c:v>
                </c:pt>
                <c:pt idx="95">
                  <c:v>518</c:v>
                </c:pt>
                <c:pt idx="96">
                  <c:v>518</c:v>
                </c:pt>
                <c:pt idx="97">
                  <c:v>519</c:v>
                </c:pt>
                <c:pt idx="98">
                  <c:v>520</c:v>
                </c:pt>
                <c:pt idx="99">
                  <c:v>520</c:v>
                </c:pt>
                <c:pt idx="100">
                  <c:v>521</c:v>
                </c:pt>
                <c:pt idx="101">
                  <c:v>523</c:v>
                </c:pt>
                <c:pt idx="102">
                  <c:v>524</c:v>
                </c:pt>
                <c:pt idx="103">
                  <c:v>525</c:v>
                </c:pt>
                <c:pt idx="104">
                  <c:v>525</c:v>
                </c:pt>
                <c:pt idx="105">
                  <c:v>525</c:v>
                </c:pt>
                <c:pt idx="106">
                  <c:v>526</c:v>
                </c:pt>
                <c:pt idx="107">
                  <c:v>527</c:v>
                </c:pt>
                <c:pt idx="108">
                  <c:v>527</c:v>
                </c:pt>
                <c:pt idx="109">
                  <c:v>527</c:v>
                </c:pt>
                <c:pt idx="110">
                  <c:v>527</c:v>
                </c:pt>
                <c:pt idx="111">
                  <c:v>527</c:v>
                </c:pt>
                <c:pt idx="112">
                  <c:v>527</c:v>
                </c:pt>
                <c:pt idx="113">
                  <c:v>529</c:v>
                </c:pt>
                <c:pt idx="114">
                  <c:v>529</c:v>
                </c:pt>
                <c:pt idx="115">
                  <c:v>529</c:v>
                </c:pt>
                <c:pt idx="116">
                  <c:v>529</c:v>
                </c:pt>
                <c:pt idx="117">
                  <c:v>531</c:v>
                </c:pt>
                <c:pt idx="118">
                  <c:v>531</c:v>
                </c:pt>
                <c:pt idx="119">
                  <c:v>531</c:v>
                </c:pt>
                <c:pt idx="120">
                  <c:v>531</c:v>
                </c:pt>
                <c:pt idx="121">
                  <c:v>532</c:v>
                </c:pt>
                <c:pt idx="122">
                  <c:v>532</c:v>
                </c:pt>
                <c:pt idx="123">
                  <c:v>532</c:v>
                </c:pt>
                <c:pt idx="124">
                  <c:v>532</c:v>
                </c:pt>
                <c:pt idx="125">
                  <c:v>533</c:v>
                </c:pt>
              </c:numCache>
            </c:numRef>
          </c:xVal>
          <c:yVal>
            <c:numRef>
              <c:f>'Analysis all data'!$E$3:$E$128</c:f>
              <c:numCache>
                <c:formatCode>0%</c:formatCode>
                <c:ptCount val="126"/>
                <c:pt idx="0">
                  <c:v>0</c:v>
                </c:pt>
                <c:pt idx="1">
                  <c:v>1.4819273371961396E-3</c:v>
                </c:pt>
                <c:pt idx="2">
                  <c:v>6.1017889170874948E-3</c:v>
                </c:pt>
                <c:pt idx="3">
                  <c:v>1.028488801823548E-2</c:v>
                </c:pt>
                <c:pt idx="4">
                  <c:v>1.5058262564028342E-2</c:v>
                </c:pt>
                <c:pt idx="5">
                  <c:v>2.0529423318464454E-2</c:v>
                </c:pt>
                <c:pt idx="6">
                  <c:v>2.3827109252645112E-2</c:v>
                </c:pt>
                <c:pt idx="7">
                  <c:v>2.7465935111051366E-2</c:v>
                </c:pt>
                <c:pt idx="8">
                  <c:v>3.0141299122856877E-2</c:v>
                </c:pt>
                <c:pt idx="9">
                  <c:v>3.3937772976549208E-2</c:v>
                </c:pt>
                <c:pt idx="10">
                  <c:v>3.7285854581354118E-2</c:v>
                </c:pt>
                <c:pt idx="11">
                  <c:v>4.5886715701223484E-2</c:v>
                </c:pt>
                <c:pt idx="12">
                  <c:v>4.9980394791930526E-2</c:v>
                </c:pt>
                <c:pt idx="13">
                  <c:v>5.7609524006430005E-2</c:v>
                </c:pt>
                <c:pt idx="14">
                  <c:v>6.1677359163483596E-2</c:v>
                </c:pt>
                <c:pt idx="15">
                  <c:v>6.7569776036471005E-2</c:v>
                </c:pt>
                <c:pt idx="16">
                  <c:v>7.7041577720461704E-2</c:v>
                </c:pt>
                <c:pt idx="17">
                  <c:v>8.2013950555386184E-2</c:v>
                </c:pt>
                <c:pt idx="18">
                  <c:v>9.1044854731248959E-2</c:v>
                </c:pt>
                <c:pt idx="19">
                  <c:v>9.7717758400570648E-2</c:v>
                </c:pt>
                <c:pt idx="20">
                  <c:v>9.9728416438809336E-2</c:v>
                </c:pt>
                <c:pt idx="21">
                  <c:v>0.10386861461009259</c:v>
                </c:pt>
                <c:pt idx="22">
                  <c:v>0.11155976926536036</c:v>
                </c:pt>
                <c:pt idx="23">
                  <c:v>0.118434255617179</c:v>
                </c:pt>
                <c:pt idx="24">
                  <c:v>0.118434255617179</c:v>
                </c:pt>
                <c:pt idx="25">
                  <c:v>0.12471433149496822</c:v>
                </c:pt>
                <c:pt idx="26">
                  <c:v>0.13122700277563851</c:v>
                </c:pt>
                <c:pt idx="27">
                  <c:v>0.13394630147465489</c:v>
                </c:pt>
                <c:pt idx="28">
                  <c:v>0.13820538174074404</c:v>
                </c:pt>
                <c:pt idx="29">
                  <c:v>0.14113608381704565</c:v>
                </c:pt>
                <c:pt idx="30">
                  <c:v>0.14564326584620796</c:v>
                </c:pt>
                <c:pt idx="31">
                  <c:v>0.15034169298440581</c:v>
                </c:pt>
                <c:pt idx="32">
                  <c:v>0.15034169298440581</c:v>
                </c:pt>
                <c:pt idx="33">
                  <c:v>0.15700425908026611</c:v>
                </c:pt>
                <c:pt idx="34">
                  <c:v>0.16906820730969824</c:v>
                </c:pt>
                <c:pt idx="35">
                  <c:v>0.16906820730969824</c:v>
                </c:pt>
                <c:pt idx="36">
                  <c:v>0.17451610852384611</c:v>
                </c:pt>
                <c:pt idx="37">
                  <c:v>0.18764482681980052</c:v>
                </c:pt>
                <c:pt idx="38">
                  <c:v>0.19153175444127993</c:v>
                </c:pt>
                <c:pt idx="39">
                  <c:v>0.19942966056577532</c:v>
                </c:pt>
                <c:pt idx="40">
                  <c:v>0.20551849133452899</c:v>
                </c:pt>
                <c:pt idx="41">
                  <c:v>0.20759634360026666</c:v>
                </c:pt>
                <c:pt idx="42">
                  <c:v>0.20974139009350329</c:v>
                </c:pt>
                <c:pt idx="43">
                  <c:v>0.21416587153497454</c:v>
                </c:pt>
                <c:pt idx="44">
                  <c:v>0.22087495671141108</c:v>
                </c:pt>
                <c:pt idx="45">
                  <c:v>0.23231606613979494</c:v>
                </c:pt>
                <c:pt idx="46">
                  <c:v>0.23932494094661153</c:v>
                </c:pt>
                <c:pt idx="47">
                  <c:v>0.24170258284272927</c:v>
                </c:pt>
                <c:pt idx="48">
                  <c:v>0.24661809902361612</c:v>
                </c:pt>
                <c:pt idx="49">
                  <c:v>0.25161114700546333</c:v>
                </c:pt>
                <c:pt idx="50">
                  <c:v>0.25161114700546333</c:v>
                </c:pt>
                <c:pt idx="51">
                  <c:v>0.25419554037080866</c:v>
                </c:pt>
                <c:pt idx="52">
                  <c:v>0.25687503941199874</c:v>
                </c:pt>
                <c:pt idx="53">
                  <c:v>0.25687503941199874</c:v>
                </c:pt>
                <c:pt idx="54">
                  <c:v>0.25961449637926481</c:v>
                </c:pt>
                <c:pt idx="55">
                  <c:v>0.26243665393422194</c:v>
                </c:pt>
                <c:pt idx="56">
                  <c:v>0.26243665393422194</c:v>
                </c:pt>
                <c:pt idx="57">
                  <c:v>0.26537252479725426</c:v>
                </c:pt>
                <c:pt idx="58">
                  <c:v>0.26537252479725426</c:v>
                </c:pt>
                <c:pt idx="59">
                  <c:v>0.26537252479725426</c:v>
                </c:pt>
                <c:pt idx="60">
                  <c:v>0.26846862804893795</c:v>
                </c:pt>
                <c:pt idx="61">
                  <c:v>0.27156990008735238</c:v>
                </c:pt>
                <c:pt idx="62">
                  <c:v>0.27156990008735238</c:v>
                </c:pt>
                <c:pt idx="63">
                  <c:v>0.27156990008735238</c:v>
                </c:pt>
                <c:pt idx="64">
                  <c:v>0.27482623572768755</c:v>
                </c:pt>
                <c:pt idx="65">
                  <c:v>0.27813425923532958</c:v>
                </c:pt>
                <c:pt idx="66">
                  <c:v>0.28149397061027853</c:v>
                </c:pt>
                <c:pt idx="67">
                  <c:v>0.28149397061027853</c:v>
                </c:pt>
                <c:pt idx="68">
                  <c:v>0.28149397061027853</c:v>
                </c:pt>
                <c:pt idx="69">
                  <c:v>0.28149397061027853</c:v>
                </c:pt>
                <c:pt idx="70">
                  <c:v>0.28149397061027853</c:v>
                </c:pt>
                <c:pt idx="71">
                  <c:v>0.28149397061027853</c:v>
                </c:pt>
                <c:pt idx="72">
                  <c:v>0.28149397061027853</c:v>
                </c:pt>
                <c:pt idx="73">
                  <c:v>0.28521549705637589</c:v>
                </c:pt>
                <c:pt idx="74">
                  <c:v>0.28901455530343351</c:v>
                </c:pt>
                <c:pt idx="75">
                  <c:v>0.28901455530343351</c:v>
                </c:pt>
                <c:pt idx="76">
                  <c:v>0.28901455530343351</c:v>
                </c:pt>
                <c:pt idx="77">
                  <c:v>0.28901455530343351</c:v>
                </c:pt>
                <c:pt idx="78">
                  <c:v>0.28901455530343351</c:v>
                </c:pt>
                <c:pt idx="79">
                  <c:v>0.29305137774010298</c:v>
                </c:pt>
                <c:pt idx="80">
                  <c:v>0.29305137774010298</c:v>
                </c:pt>
                <c:pt idx="81">
                  <c:v>0.30132143650920812</c:v>
                </c:pt>
                <c:pt idx="82">
                  <c:v>0.30132143650920812</c:v>
                </c:pt>
                <c:pt idx="83">
                  <c:v>0.30132143650920812</c:v>
                </c:pt>
                <c:pt idx="84">
                  <c:v>0.30132143650920812</c:v>
                </c:pt>
                <c:pt idx="85">
                  <c:v>0.30566321736298829</c:v>
                </c:pt>
                <c:pt idx="86">
                  <c:v>0.3100928675911902</c:v>
                </c:pt>
                <c:pt idx="87">
                  <c:v>0.3100928675911902</c:v>
                </c:pt>
                <c:pt idx="88">
                  <c:v>0.3100928675911902</c:v>
                </c:pt>
                <c:pt idx="89">
                  <c:v>0.31465949066775545</c:v>
                </c:pt>
                <c:pt idx="90">
                  <c:v>0.31465949066775545</c:v>
                </c:pt>
                <c:pt idx="91">
                  <c:v>0.32396330678299873</c:v>
                </c:pt>
                <c:pt idx="92">
                  <c:v>0.32869791542831139</c:v>
                </c:pt>
                <c:pt idx="93">
                  <c:v>0.32869791542831139</c:v>
                </c:pt>
                <c:pt idx="94">
                  <c:v>0.32869791542831139</c:v>
                </c:pt>
                <c:pt idx="95">
                  <c:v>0.32869791542831139</c:v>
                </c:pt>
                <c:pt idx="96">
                  <c:v>0.32869791542831139</c:v>
                </c:pt>
                <c:pt idx="97">
                  <c:v>0.3336599506897745</c:v>
                </c:pt>
                <c:pt idx="98">
                  <c:v>0.33870985532565934</c:v>
                </c:pt>
                <c:pt idx="99">
                  <c:v>0.33870985532565934</c:v>
                </c:pt>
                <c:pt idx="100">
                  <c:v>0.34383729176250444</c:v>
                </c:pt>
                <c:pt idx="101">
                  <c:v>0.35417486522388586</c:v>
                </c:pt>
                <c:pt idx="102">
                  <c:v>0.35942635254226768</c:v>
                </c:pt>
                <c:pt idx="103">
                  <c:v>0.36472952772795636</c:v>
                </c:pt>
                <c:pt idx="104">
                  <c:v>0.36472952772795636</c:v>
                </c:pt>
                <c:pt idx="105">
                  <c:v>0.36472952772795636</c:v>
                </c:pt>
                <c:pt idx="106">
                  <c:v>0.37015675379518159</c:v>
                </c:pt>
                <c:pt idx="107">
                  <c:v>0.37563566772971374</c:v>
                </c:pt>
                <c:pt idx="108">
                  <c:v>0.37563566772971374</c:v>
                </c:pt>
                <c:pt idx="109">
                  <c:v>0.37563566772971374</c:v>
                </c:pt>
                <c:pt idx="110">
                  <c:v>0.37563566772971374</c:v>
                </c:pt>
                <c:pt idx="111">
                  <c:v>0.37563566772971374</c:v>
                </c:pt>
                <c:pt idx="112">
                  <c:v>0.37563566772971374</c:v>
                </c:pt>
                <c:pt idx="113">
                  <c:v>0.38725510030030647</c:v>
                </c:pt>
                <c:pt idx="114">
                  <c:v>0.38725510030030647</c:v>
                </c:pt>
                <c:pt idx="115">
                  <c:v>0.38725510030030647</c:v>
                </c:pt>
                <c:pt idx="116">
                  <c:v>0.38725510030030647</c:v>
                </c:pt>
                <c:pt idx="117">
                  <c:v>0.39929837338281582</c:v>
                </c:pt>
                <c:pt idx="118">
                  <c:v>0.39929837338281582</c:v>
                </c:pt>
                <c:pt idx="119">
                  <c:v>0.39929837338281582</c:v>
                </c:pt>
                <c:pt idx="120">
                  <c:v>0.39929837338281582</c:v>
                </c:pt>
                <c:pt idx="121">
                  <c:v>0.40550091745964462</c:v>
                </c:pt>
                <c:pt idx="122">
                  <c:v>0.40550091745964462</c:v>
                </c:pt>
                <c:pt idx="123">
                  <c:v>0.40550091745964462</c:v>
                </c:pt>
                <c:pt idx="124">
                  <c:v>0.40550091745964462</c:v>
                </c:pt>
                <c:pt idx="125">
                  <c:v>0.41191021300570113</c:v>
                </c:pt>
              </c:numCache>
            </c:numRef>
          </c:yVal>
          <c:smooth val="0"/>
          <c:extLst>
            <c:ext xmlns:c16="http://schemas.microsoft.com/office/drawing/2014/chart" uri="{C3380CC4-5D6E-409C-BE32-E72D297353CC}">
              <c16:uniqueId val="{00000001-5D6B-4D74-B269-28604D63EF7A}"/>
            </c:ext>
          </c:extLst>
        </c:ser>
        <c:dLbls>
          <c:showLegendKey val="0"/>
          <c:showVal val="0"/>
          <c:showCatName val="0"/>
          <c:showSerName val="0"/>
          <c:showPercent val="0"/>
          <c:showBubbleSize val="0"/>
        </c:dLbls>
        <c:axId val="-1880543888"/>
        <c:axId val="-1880551008"/>
      </c:scatterChart>
      <c:valAx>
        <c:axId val="-1880565808"/>
        <c:scaling>
          <c:orientation val="minMax"/>
        </c:scaling>
        <c:delete val="0"/>
        <c:axPos val="b"/>
        <c:title>
          <c:tx>
            <c:rich>
              <a:bodyPr/>
              <a:lstStyle/>
              <a:p>
                <a:pPr>
                  <a:defRPr sz="1000" baseline="0"/>
                </a:pPr>
                <a:r>
                  <a:rPr lang="en-US" sz="1000" b="1" i="0" baseline="0"/>
                  <a:t>Number of plants with capacity &lt; capacity constraint</a:t>
                </a:r>
              </a:p>
              <a:p>
                <a:pPr>
                  <a:defRPr sz="1000" baseline="0"/>
                </a:pPr>
                <a:r>
                  <a:rPr lang="en-US" sz="1000" b="1" i="0" baseline="0"/>
                  <a:t> </a:t>
                </a:r>
                <a:endParaRPr lang="en-GB" sz="1000" baseline="0"/>
              </a:p>
            </c:rich>
          </c:tx>
          <c:overlay val="0"/>
        </c:title>
        <c:numFmt formatCode="General" sourceLinked="1"/>
        <c:majorTickMark val="out"/>
        <c:minorTickMark val="none"/>
        <c:tickLblPos val="nextTo"/>
        <c:crossAx val="-1880558336"/>
        <c:crosses val="autoZero"/>
        <c:crossBetween val="midCat"/>
      </c:valAx>
      <c:valAx>
        <c:axId val="-1880558336"/>
        <c:scaling>
          <c:orientation val="minMax"/>
        </c:scaling>
        <c:delete val="0"/>
        <c:axPos val="l"/>
        <c:majorGridlines/>
        <c:title>
          <c:tx>
            <c:rich>
              <a:bodyPr rot="-5400000" vert="horz"/>
              <a:lstStyle/>
              <a:p>
                <a:pPr>
                  <a:defRPr/>
                </a:pPr>
                <a:r>
                  <a:rPr lang="en-US" baseline="0"/>
                  <a:t>Capacity constraint (MW)</a:t>
                </a:r>
              </a:p>
            </c:rich>
          </c:tx>
          <c:overlay val="0"/>
        </c:title>
        <c:numFmt formatCode="General" sourceLinked="1"/>
        <c:majorTickMark val="out"/>
        <c:minorTickMark val="none"/>
        <c:tickLblPos val="nextTo"/>
        <c:crossAx val="-1880565808"/>
        <c:crosses val="autoZero"/>
        <c:crossBetween val="midCat"/>
      </c:valAx>
      <c:valAx>
        <c:axId val="-1880551008"/>
        <c:scaling>
          <c:orientation val="minMax"/>
        </c:scaling>
        <c:delete val="0"/>
        <c:axPos val="r"/>
        <c:title>
          <c:tx>
            <c:rich>
              <a:bodyPr rot="-5400000" vert="horz"/>
              <a:lstStyle/>
              <a:p>
                <a:pPr>
                  <a:defRPr/>
                </a:pPr>
                <a:r>
                  <a:rPr lang="en-GB"/>
                  <a:t>% of total capacity</a:t>
                </a:r>
                <a:r>
                  <a:rPr lang="en-GB" baseline="0"/>
                  <a:t> covered</a:t>
                </a:r>
              </a:p>
            </c:rich>
          </c:tx>
          <c:overlay val="0"/>
        </c:title>
        <c:numFmt formatCode="0%" sourceLinked="1"/>
        <c:majorTickMark val="out"/>
        <c:minorTickMark val="none"/>
        <c:tickLblPos val="nextTo"/>
        <c:crossAx val="-1880543888"/>
        <c:crosses val="max"/>
        <c:crossBetween val="midCat"/>
      </c:valAx>
      <c:valAx>
        <c:axId val="-1880543888"/>
        <c:scaling>
          <c:orientation val="minMax"/>
        </c:scaling>
        <c:delete val="1"/>
        <c:axPos val="b"/>
        <c:numFmt formatCode="General" sourceLinked="1"/>
        <c:majorTickMark val="out"/>
        <c:minorTickMark val="none"/>
        <c:tickLblPos val="none"/>
        <c:crossAx val="-1880551008"/>
        <c:crosses val="autoZero"/>
        <c:crossBetween val="midCat"/>
      </c:valAx>
    </c:plotArea>
    <c:legend>
      <c:legendPos val="r"/>
      <c:layout>
        <c:manualLayout>
          <c:xMode val="edge"/>
          <c:yMode val="edge"/>
          <c:x val="0.73064554241899304"/>
          <c:y val="8.3045439632545903E-2"/>
          <c:w val="0.25525576674516898"/>
          <c:h val="0.12557578740157499"/>
        </c:manualLayout>
      </c:layout>
      <c:overlay val="0"/>
    </c:legend>
    <c:plotVisOnly val="1"/>
    <c:dispBlanksAs val="gap"/>
    <c:showDLblsOverMax val="0"/>
  </c:chart>
  <c:printSettings>
    <c:headerFooter/>
    <c:pageMargins b="0.750000000000006" l="0.70000000000000095" r="0.70000000000000095" t="0.750000000000006"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nl-NL"/>
              <a:t>Storage hours RoR plants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nl-NL"/>
        </a:p>
      </c:txPr>
    </c:title>
    <c:autoTitleDeleted val="0"/>
    <c:plotArea>
      <c:layout/>
      <c:barChart>
        <c:barDir val="col"/>
        <c:grouping val="clustered"/>
        <c:varyColors val="0"/>
        <c:ser>
          <c:idx val="0"/>
          <c:order val="0"/>
          <c:spPr>
            <a:solidFill>
              <a:schemeClr val="accent1"/>
            </a:solidFill>
            <a:ln>
              <a:noFill/>
            </a:ln>
            <a:effectLst/>
          </c:spPr>
          <c:invertIfNegative val="0"/>
          <c:val>
            <c:numRef>
              <c:f>Generators!$F$256:$F$261</c:f>
              <c:numCache>
                <c:formatCode>0</c:formatCode>
                <c:ptCount val="6"/>
                <c:pt idx="0">
                  <c:v>7</c:v>
                </c:pt>
                <c:pt idx="1">
                  <c:v>17</c:v>
                </c:pt>
                <c:pt idx="2">
                  <c:v>11</c:v>
                </c:pt>
                <c:pt idx="3">
                  <c:v>3</c:v>
                </c:pt>
                <c:pt idx="4">
                  <c:v>3</c:v>
                </c:pt>
                <c:pt idx="5">
                  <c:v>4</c:v>
                </c:pt>
              </c:numCache>
            </c:numRef>
          </c:val>
          <c:extLst>
            <c:ext xmlns:c16="http://schemas.microsoft.com/office/drawing/2014/chart" uri="{C3380CC4-5D6E-409C-BE32-E72D297353CC}">
              <c16:uniqueId val="{00000000-887D-4308-BEB9-DD6F1351245B}"/>
            </c:ext>
          </c:extLst>
        </c:ser>
        <c:dLbls>
          <c:showLegendKey val="0"/>
          <c:showVal val="0"/>
          <c:showCatName val="0"/>
          <c:showSerName val="0"/>
          <c:showPercent val="0"/>
          <c:showBubbleSize val="0"/>
        </c:dLbls>
        <c:gapWidth val="219"/>
        <c:overlap val="-27"/>
        <c:axId val="526107400"/>
        <c:axId val="526108384"/>
      </c:barChart>
      <c:catAx>
        <c:axId val="526107400"/>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Category</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526108384"/>
        <c:crosses val="autoZero"/>
        <c:auto val="1"/>
        <c:lblAlgn val="ctr"/>
        <c:lblOffset val="100"/>
        <c:noMultiLvlLbl val="0"/>
      </c:catAx>
      <c:valAx>
        <c:axId val="52610838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Number of plants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nl-NL"/>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nl-NL"/>
          </a:p>
        </c:txPr>
        <c:crossAx val="52610740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nl-NL"/>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Eurostat (2015)</c:v>
          </c:tx>
          <c:spPr>
            <a:solidFill>
              <a:srgbClr val="0070C0"/>
            </a:solidFill>
          </c:spPr>
          <c:invertIfNegative val="0"/>
          <c:cat>
            <c:strRef>
              <c:f>'Country Totals'!$B$6:$B$36</c:f>
              <c:strCache>
                <c:ptCount val="31"/>
                <c:pt idx="0">
                  <c:v>AT</c:v>
                </c:pt>
                <c:pt idx="1">
                  <c:v>BE</c:v>
                </c:pt>
                <c:pt idx="2">
                  <c:v>BG</c:v>
                </c:pt>
                <c:pt idx="3">
                  <c:v>CH</c:v>
                </c:pt>
                <c:pt idx="4">
                  <c:v>CY</c:v>
                </c:pt>
                <c:pt idx="5">
                  <c:v>CZ</c:v>
                </c:pt>
                <c:pt idx="6">
                  <c:v>DE</c:v>
                </c:pt>
                <c:pt idx="7">
                  <c:v>DK</c:v>
                </c:pt>
                <c:pt idx="8">
                  <c:v>EE</c:v>
                </c:pt>
                <c:pt idx="9">
                  <c:v>ES</c:v>
                </c:pt>
                <c:pt idx="10">
                  <c:v>FI</c:v>
                </c:pt>
                <c:pt idx="11">
                  <c:v>FR</c:v>
                </c:pt>
                <c:pt idx="12">
                  <c:v>GB</c:v>
                </c:pt>
                <c:pt idx="13">
                  <c:v>EL</c:v>
                </c:pt>
                <c:pt idx="14">
                  <c:v>HR</c:v>
                </c:pt>
                <c:pt idx="15">
                  <c:v>HU</c:v>
                </c:pt>
                <c:pt idx="16">
                  <c:v>IE</c:v>
                </c:pt>
                <c:pt idx="17">
                  <c:v>IT</c:v>
                </c:pt>
                <c:pt idx="18">
                  <c:v>LT</c:v>
                </c:pt>
                <c:pt idx="19">
                  <c:v>LU</c:v>
                </c:pt>
                <c:pt idx="20">
                  <c:v>LV</c:v>
                </c:pt>
                <c:pt idx="21">
                  <c:v>NI</c:v>
                </c:pt>
                <c:pt idx="22">
                  <c:v>NL</c:v>
                </c:pt>
                <c:pt idx="23">
                  <c:v>NO</c:v>
                </c:pt>
                <c:pt idx="24">
                  <c:v>PL</c:v>
                </c:pt>
                <c:pt idx="25">
                  <c:v>PT</c:v>
                </c:pt>
                <c:pt idx="26">
                  <c:v>RO</c:v>
                </c:pt>
                <c:pt idx="27">
                  <c:v>SE</c:v>
                </c:pt>
                <c:pt idx="28">
                  <c:v>SI</c:v>
                </c:pt>
                <c:pt idx="29">
                  <c:v>SK</c:v>
                </c:pt>
                <c:pt idx="30">
                  <c:v>EU28+NO+CH</c:v>
                </c:pt>
              </c:strCache>
            </c:strRef>
          </c:cat>
          <c:val>
            <c:numRef>
              <c:f>'Country Totals'!$F$6:$F$35</c:f>
              <c:numCache>
                <c:formatCode>General</c:formatCode>
                <c:ptCount val="30"/>
                <c:pt idx="0">
                  <c:v>13351</c:v>
                </c:pt>
                <c:pt idx="1">
                  <c:v>1422</c:v>
                </c:pt>
                <c:pt idx="2">
                  <c:v>3219</c:v>
                </c:pt>
                <c:pt idx="3">
                  <c:v>13760</c:v>
                </c:pt>
                <c:pt idx="4">
                  <c:v>0</c:v>
                </c:pt>
                <c:pt idx="5">
                  <c:v>2260</c:v>
                </c:pt>
                <c:pt idx="6">
                  <c:v>11399</c:v>
                </c:pt>
                <c:pt idx="7">
                  <c:v>7</c:v>
                </c:pt>
                <c:pt idx="8">
                  <c:v>6</c:v>
                </c:pt>
                <c:pt idx="9">
                  <c:v>20053</c:v>
                </c:pt>
                <c:pt idx="10">
                  <c:v>3249</c:v>
                </c:pt>
                <c:pt idx="11">
                  <c:v>25278</c:v>
                </c:pt>
                <c:pt idx="12">
                  <c:v>4503</c:v>
                </c:pt>
                <c:pt idx="13">
                  <c:v>3392</c:v>
                </c:pt>
                <c:pt idx="14">
                  <c:v>2208</c:v>
                </c:pt>
                <c:pt idx="15">
                  <c:v>57</c:v>
                </c:pt>
                <c:pt idx="16">
                  <c:v>529</c:v>
                </c:pt>
                <c:pt idx="17">
                  <c:v>22220</c:v>
                </c:pt>
                <c:pt idx="18">
                  <c:v>877</c:v>
                </c:pt>
                <c:pt idx="19">
                  <c:v>1330</c:v>
                </c:pt>
                <c:pt idx="20">
                  <c:v>1589</c:v>
                </c:pt>
                <c:pt idx="21">
                  <c:v>#N/A</c:v>
                </c:pt>
                <c:pt idx="22">
                  <c:v>37</c:v>
                </c:pt>
                <c:pt idx="23">
                  <c:v>31372</c:v>
                </c:pt>
                <c:pt idx="24">
                  <c:v>2370</c:v>
                </c:pt>
                <c:pt idx="25">
                  <c:v>6168</c:v>
                </c:pt>
                <c:pt idx="26">
                  <c:v>6730</c:v>
                </c:pt>
                <c:pt idx="27">
                  <c:v>16329</c:v>
                </c:pt>
                <c:pt idx="28">
                  <c:v>1295</c:v>
                </c:pt>
                <c:pt idx="29">
                  <c:v>2522</c:v>
                </c:pt>
              </c:numCache>
            </c:numRef>
          </c:val>
          <c:extLst>
            <c:ext xmlns:c16="http://schemas.microsoft.com/office/drawing/2014/chart" uri="{C3380CC4-5D6E-409C-BE32-E72D297353CC}">
              <c16:uniqueId val="{00000000-80D5-4DA6-9F25-25850EE34A1F}"/>
            </c:ext>
          </c:extLst>
        </c:ser>
        <c:ser>
          <c:idx val="1"/>
          <c:order val="1"/>
          <c:tx>
            <c:v>Included in Database</c:v>
          </c:tx>
          <c:spPr>
            <a:solidFill>
              <a:schemeClr val="accent6">
                <a:lumMod val="75000"/>
              </a:schemeClr>
            </a:solidFill>
          </c:spPr>
          <c:invertIfNegative val="0"/>
          <c:cat>
            <c:strRef>
              <c:f>'Country Totals'!$B$6:$B$36</c:f>
              <c:strCache>
                <c:ptCount val="31"/>
                <c:pt idx="0">
                  <c:v>AT</c:v>
                </c:pt>
                <c:pt idx="1">
                  <c:v>BE</c:v>
                </c:pt>
                <c:pt idx="2">
                  <c:v>BG</c:v>
                </c:pt>
                <c:pt idx="3">
                  <c:v>CH</c:v>
                </c:pt>
                <c:pt idx="4">
                  <c:v>CY</c:v>
                </c:pt>
                <c:pt idx="5">
                  <c:v>CZ</c:v>
                </c:pt>
                <c:pt idx="6">
                  <c:v>DE</c:v>
                </c:pt>
                <c:pt idx="7">
                  <c:v>DK</c:v>
                </c:pt>
                <c:pt idx="8">
                  <c:v>EE</c:v>
                </c:pt>
                <c:pt idx="9">
                  <c:v>ES</c:v>
                </c:pt>
                <c:pt idx="10">
                  <c:v>FI</c:v>
                </c:pt>
                <c:pt idx="11">
                  <c:v>FR</c:v>
                </c:pt>
                <c:pt idx="12">
                  <c:v>GB</c:v>
                </c:pt>
                <c:pt idx="13">
                  <c:v>EL</c:v>
                </c:pt>
                <c:pt idx="14">
                  <c:v>HR</c:v>
                </c:pt>
                <c:pt idx="15">
                  <c:v>HU</c:v>
                </c:pt>
                <c:pt idx="16">
                  <c:v>IE</c:v>
                </c:pt>
                <c:pt idx="17">
                  <c:v>IT</c:v>
                </c:pt>
                <c:pt idx="18">
                  <c:v>LT</c:v>
                </c:pt>
                <c:pt idx="19">
                  <c:v>LU</c:v>
                </c:pt>
                <c:pt idx="20">
                  <c:v>LV</c:v>
                </c:pt>
                <c:pt idx="21">
                  <c:v>NI</c:v>
                </c:pt>
                <c:pt idx="22">
                  <c:v>NL</c:v>
                </c:pt>
                <c:pt idx="23">
                  <c:v>NO</c:v>
                </c:pt>
                <c:pt idx="24">
                  <c:v>PL</c:v>
                </c:pt>
                <c:pt idx="25">
                  <c:v>PT</c:v>
                </c:pt>
                <c:pt idx="26">
                  <c:v>RO</c:v>
                </c:pt>
                <c:pt idx="27">
                  <c:v>SE</c:v>
                </c:pt>
                <c:pt idx="28">
                  <c:v>SI</c:v>
                </c:pt>
                <c:pt idx="29">
                  <c:v>SK</c:v>
                </c:pt>
                <c:pt idx="30">
                  <c:v>EU28+NO+CH</c:v>
                </c:pt>
              </c:strCache>
            </c:strRef>
          </c:cat>
          <c:val>
            <c:numRef>
              <c:f>'Country Totals'!$H$6:$H$35</c:f>
              <c:numCache>
                <c:formatCode>0</c:formatCode>
                <c:ptCount val="30"/>
                <c:pt idx="0" formatCode="General">
                  <c:v>#N/A</c:v>
                </c:pt>
                <c:pt idx="1">
                  <c:v>#N/A</c:v>
                </c:pt>
                <c:pt idx="2">
                  <c:v>#N/A</c:v>
                </c:pt>
                <c:pt idx="3">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80D5-4DA6-9F25-25850EE34A1F}"/>
            </c:ext>
          </c:extLst>
        </c:ser>
        <c:dLbls>
          <c:showLegendKey val="0"/>
          <c:showVal val="0"/>
          <c:showCatName val="0"/>
          <c:showSerName val="0"/>
          <c:showPercent val="0"/>
          <c:showBubbleSize val="0"/>
        </c:dLbls>
        <c:gapWidth val="50"/>
        <c:axId val="-1878492256"/>
        <c:axId val="-1878485136"/>
      </c:barChart>
      <c:catAx>
        <c:axId val="-1878492256"/>
        <c:scaling>
          <c:orientation val="minMax"/>
        </c:scaling>
        <c:delete val="0"/>
        <c:axPos val="b"/>
        <c:title>
          <c:tx>
            <c:rich>
              <a:bodyPr/>
              <a:lstStyle/>
              <a:p>
                <a:pPr>
                  <a:defRPr/>
                </a:pPr>
                <a:r>
                  <a:rPr lang="en-AU"/>
                  <a:t>Country</a:t>
                </a:r>
              </a:p>
            </c:rich>
          </c:tx>
          <c:overlay val="0"/>
        </c:title>
        <c:numFmt formatCode="General" sourceLinked="0"/>
        <c:majorTickMark val="out"/>
        <c:minorTickMark val="none"/>
        <c:tickLblPos val="nextTo"/>
        <c:crossAx val="-1878485136"/>
        <c:crosses val="autoZero"/>
        <c:auto val="1"/>
        <c:lblAlgn val="ctr"/>
        <c:lblOffset val="100"/>
        <c:noMultiLvlLbl val="0"/>
      </c:catAx>
      <c:valAx>
        <c:axId val="-1878485136"/>
        <c:scaling>
          <c:orientation val="minMax"/>
        </c:scaling>
        <c:delete val="0"/>
        <c:axPos val="l"/>
        <c:majorGridlines/>
        <c:title>
          <c:tx>
            <c:rich>
              <a:bodyPr rot="-5400000" vert="horz"/>
              <a:lstStyle/>
              <a:p>
                <a:pPr>
                  <a:defRPr/>
                </a:pPr>
                <a:r>
                  <a:rPr lang="en-AU"/>
                  <a:t>Installed hydro capacity (GW)</a:t>
                </a:r>
              </a:p>
            </c:rich>
          </c:tx>
          <c:overlay val="0"/>
        </c:title>
        <c:numFmt formatCode="General" sourceLinked="1"/>
        <c:majorTickMark val="out"/>
        <c:minorTickMark val="none"/>
        <c:tickLblPos val="nextTo"/>
        <c:crossAx val="-1878492256"/>
        <c:crosses val="autoZero"/>
        <c:crossBetween val="between"/>
        <c:dispUnits>
          <c:builtInUnit val="thousands"/>
        </c:dispUnits>
      </c:valAx>
    </c:plotArea>
    <c:legend>
      <c:legendPos val="tr"/>
      <c:layout>
        <c:manualLayout>
          <c:xMode val="edge"/>
          <c:yMode val="edge"/>
          <c:x val="8.9048267032556597E-2"/>
          <c:y val="7.7109242771560699E-2"/>
          <c:w val="0.15926523538651699"/>
          <c:h val="0.132275403592333"/>
        </c:manualLayout>
      </c:layout>
      <c:overlay val="1"/>
      <c:spPr>
        <a:solidFill>
          <a:schemeClr val="bg1"/>
        </a:solidFill>
        <a:ln>
          <a:solidFill>
            <a:schemeClr val="bg1">
              <a:lumMod val="85000"/>
            </a:schemeClr>
          </a:solidFill>
        </a:ln>
      </c:spPr>
    </c:legend>
    <c:plotVisOnly val="1"/>
    <c:dispBlanksAs val="gap"/>
    <c:showDLblsOverMax val="0"/>
  </c:chart>
  <c:spPr>
    <a:ln>
      <a:noFill/>
    </a:ln>
  </c:spPr>
  <c:txPr>
    <a:bodyPr/>
    <a:lstStyle/>
    <a:p>
      <a:pPr>
        <a:defRPr sz="1100" b="0"/>
      </a:pPr>
      <a:endParaRPr lang="nl-NL"/>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2"/>
          <c:order val="0"/>
          <c:tx>
            <c:strRef>
              <c:f>'Country Totals'!$F$99</c:f>
              <c:strCache>
                <c:ptCount val="1"/>
                <c:pt idx="0">
                  <c:v>Eurostat (2015)</c:v>
                </c:pt>
              </c:strCache>
            </c:strRef>
          </c:tx>
          <c:invertIfNegative val="0"/>
          <c:cat>
            <c:strRef>
              <c:f>'Country Totals'!$B$100:$B$103</c:f>
              <c:strCache>
                <c:ptCount val="4"/>
                <c:pt idx="0">
                  <c:v>Run-of-river (RoR)</c:v>
                </c:pt>
                <c:pt idx="1">
                  <c:v>Storage (STO)</c:v>
                </c:pt>
                <c:pt idx="2">
                  <c:v>Pumped storage (PHS)</c:v>
                </c:pt>
                <c:pt idx="3">
                  <c:v>Total</c:v>
                </c:pt>
              </c:strCache>
            </c:strRef>
          </c:cat>
          <c:val>
            <c:numRef>
              <c:f>'Country Totals'!$F$100:$F$103</c:f>
              <c:numCache>
                <c:formatCode>General</c:formatCode>
                <c:ptCount val="4"/>
                <c:pt idx="3">
                  <c:v>197425</c:v>
                </c:pt>
              </c:numCache>
            </c:numRef>
          </c:val>
          <c:extLst>
            <c:ext xmlns:c16="http://schemas.microsoft.com/office/drawing/2014/chart" uri="{C3380CC4-5D6E-409C-BE32-E72D297353CC}">
              <c16:uniqueId val="{00000000-55BC-46BF-87AC-558E73DE3313}"/>
            </c:ext>
          </c:extLst>
        </c:ser>
        <c:ser>
          <c:idx val="3"/>
          <c:order val="1"/>
          <c:tx>
            <c:strRef>
              <c:f>'Country Totals'!$E$99</c:f>
              <c:strCache>
                <c:ptCount val="1"/>
                <c:pt idx="0">
                  <c:v>DNV GL</c:v>
                </c:pt>
              </c:strCache>
            </c:strRef>
          </c:tx>
          <c:invertIfNegative val="0"/>
          <c:cat>
            <c:strRef>
              <c:f>'Country Totals'!$B$100:$B$103</c:f>
              <c:strCache>
                <c:ptCount val="4"/>
                <c:pt idx="0">
                  <c:v>Run-of-river (RoR)</c:v>
                </c:pt>
                <c:pt idx="1">
                  <c:v>Storage (STO)</c:v>
                </c:pt>
                <c:pt idx="2">
                  <c:v>Pumped storage (PHS)</c:v>
                </c:pt>
                <c:pt idx="3">
                  <c:v>Total</c:v>
                </c:pt>
              </c:strCache>
            </c:strRef>
          </c:cat>
          <c:val>
            <c:numRef>
              <c:f>'Country Totals'!$E$100:$E$103</c:f>
              <c:numCache>
                <c:formatCode>General</c:formatCode>
                <c:ptCount val="4"/>
                <c:pt idx="0">
                  <c:v>66000</c:v>
                </c:pt>
                <c:pt idx="1">
                  <c:v>103000</c:v>
                </c:pt>
                <c:pt idx="2">
                  <c:v>47000</c:v>
                </c:pt>
                <c:pt idx="3">
                  <c:v>216000</c:v>
                </c:pt>
              </c:numCache>
            </c:numRef>
          </c:val>
          <c:extLst>
            <c:ext xmlns:c16="http://schemas.microsoft.com/office/drawing/2014/chart" uri="{C3380CC4-5D6E-409C-BE32-E72D297353CC}">
              <c16:uniqueId val="{00000001-55BC-46BF-87AC-558E73DE3313}"/>
            </c:ext>
          </c:extLst>
        </c:ser>
        <c:ser>
          <c:idx val="1"/>
          <c:order val="2"/>
          <c:tx>
            <c:strRef>
              <c:f>'Country Totals'!$D$99</c:f>
              <c:strCache>
                <c:ptCount val="1"/>
                <c:pt idx="0">
                  <c:v>ENTSOE (2016)</c:v>
                </c:pt>
              </c:strCache>
            </c:strRef>
          </c:tx>
          <c:spPr>
            <a:solidFill>
              <a:srgbClr val="0070C0"/>
            </a:solidFill>
          </c:spPr>
          <c:invertIfNegative val="0"/>
          <c:cat>
            <c:strRef>
              <c:f>'Country Totals'!$B$100:$B$103</c:f>
              <c:strCache>
                <c:ptCount val="4"/>
                <c:pt idx="0">
                  <c:v>Run-of-river (RoR)</c:v>
                </c:pt>
                <c:pt idx="1">
                  <c:v>Storage (STO)</c:v>
                </c:pt>
                <c:pt idx="2">
                  <c:v>Pumped storage (PHS)</c:v>
                </c:pt>
                <c:pt idx="3">
                  <c:v>Total</c:v>
                </c:pt>
              </c:strCache>
            </c:strRef>
          </c:cat>
          <c:val>
            <c:numRef>
              <c:f>'Country Totals'!$D$100:$D$103</c:f>
              <c:numCache>
                <c:formatCode>General</c:formatCode>
                <c:ptCount val="4"/>
                <c:pt idx="0">
                  <c:v>35934</c:v>
                </c:pt>
                <c:pt idx="1">
                  <c:v>81979</c:v>
                </c:pt>
                <c:pt idx="2">
                  <c:v>45217</c:v>
                </c:pt>
                <c:pt idx="3">
                  <c:v>163130</c:v>
                </c:pt>
              </c:numCache>
            </c:numRef>
          </c:val>
          <c:extLst>
            <c:ext xmlns:c16="http://schemas.microsoft.com/office/drawing/2014/chart" uri="{C3380CC4-5D6E-409C-BE32-E72D297353CC}">
              <c16:uniqueId val="{00000002-55BC-46BF-87AC-558E73DE3313}"/>
            </c:ext>
          </c:extLst>
        </c:ser>
        <c:ser>
          <c:idx val="0"/>
          <c:order val="3"/>
          <c:tx>
            <c:strRef>
              <c:f>'Country Totals'!$C$99</c:f>
              <c:strCache>
                <c:ptCount val="1"/>
                <c:pt idx="0">
                  <c:v>This study: Detailed plants</c:v>
                </c:pt>
              </c:strCache>
            </c:strRef>
          </c:tx>
          <c:spPr>
            <a:solidFill>
              <a:schemeClr val="accent6">
                <a:lumMod val="75000"/>
              </a:schemeClr>
            </a:solidFill>
          </c:spPr>
          <c:invertIfNegative val="0"/>
          <c:cat>
            <c:strRef>
              <c:f>'Country Totals'!$B$100:$B$103</c:f>
              <c:strCache>
                <c:ptCount val="4"/>
                <c:pt idx="0">
                  <c:v>Run-of-river (RoR)</c:v>
                </c:pt>
                <c:pt idx="1">
                  <c:v>Storage (STO)</c:v>
                </c:pt>
                <c:pt idx="2">
                  <c:v>Pumped storage (PHS)</c:v>
                </c:pt>
                <c:pt idx="3">
                  <c:v>Total</c:v>
                </c:pt>
              </c:strCache>
            </c:strRef>
          </c:cat>
          <c:val>
            <c:numRef>
              <c:f>'Country Totals'!$C$100:$C$103</c:f>
              <c:numCache>
                <c:formatCode>General</c:formatCode>
                <c:ptCount val="4"/>
                <c:pt idx="0">
                  <c:v>#N/A</c:v>
                </c:pt>
                <c:pt idx="1">
                  <c:v>#N/A</c:v>
                </c:pt>
                <c:pt idx="2">
                  <c:v>#N/A</c:v>
                </c:pt>
                <c:pt idx="3">
                  <c:v>#N/A</c:v>
                </c:pt>
              </c:numCache>
            </c:numRef>
          </c:val>
          <c:extLst>
            <c:ext xmlns:c16="http://schemas.microsoft.com/office/drawing/2014/chart" uri="{C3380CC4-5D6E-409C-BE32-E72D297353CC}">
              <c16:uniqueId val="{00000003-55BC-46BF-87AC-558E73DE3313}"/>
            </c:ext>
          </c:extLst>
        </c:ser>
        <c:dLbls>
          <c:showLegendKey val="0"/>
          <c:showVal val="0"/>
          <c:showCatName val="0"/>
          <c:showSerName val="0"/>
          <c:showPercent val="0"/>
          <c:showBubbleSize val="0"/>
        </c:dLbls>
        <c:gapWidth val="150"/>
        <c:axId val="-1881371648"/>
        <c:axId val="-1881367520"/>
      </c:barChart>
      <c:catAx>
        <c:axId val="-1881371648"/>
        <c:scaling>
          <c:orientation val="minMax"/>
        </c:scaling>
        <c:delete val="0"/>
        <c:axPos val="b"/>
        <c:numFmt formatCode="General" sourceLinked="0"/>
        <c:majorTickMark val="out"/>
        <c:minorTickMark val="none"/>
        <c:tickLblPos val="nextTo"/>
        <c:crossAx val="-1881367520"/>
        <c:crosses val="autoZero"/>
        <c:auto val="1"/>
        <c:lblAlgn val="ctr"/>
        <c:lblOffset val="100"/>
        <c:noMultiLvlLbl val="0"/>
      </c:catAx>
      <c:valAx>
        <c:axId val="-1881367520"/>
        <c:scaling>
          <c:orientation val="minMax"/>
        </c:scaling>
        <c:delete val="0"/>
        <c:axPos val="l"/>
        <c:majorGridlines/>
        <c:title>
          <c:tx>
            <c:rich>
              <a:bodyPr rot="-5400000" vert="horz"/>
              <a:lstStyle/>
              <a:p>
                <a:pPr>
                  <a:defRPr/>
                </a:pPr>
                <a:r>
                  <a:rPr lang="en-AU"/>
                  <a:t>Installed capacity (GW)</a:t>
                </a:r>
              </a:p>
            </c:rich>
          </c:tx>
          <c:overlay val="0"/>
        </c:title>
        <c:numFmt formatCode="General" sourceLinked="1"/>
        <c:majorTickMark val="out"/>
        <c:minorTickMark val="none"/>
        <c:tickLblPos val="nextTo"/>
        <c:crossAx val="-1881371648"/>
        <c:crosses val="autoZero"/>
        <c:crossBetween val="between"/>
        <c:dispUnits>
          <c:builtInUnit val="thousands"/>
        </c:dispUnits>
      </c:valAx>
    </c:plotArea>
    <c:legend>
      <c:legendPos val="r"/>
      <c:layout>
        <c:manualLayout>
          <c:xMode val="edge"/>
          <c:yMode val="edge"/>
          <c:x val="0.14196592254982801"/>
          <c:y val="8.5661684513573394E-2"/>
          <c:w val="0.35039862734397798"/>
          <c:h val="0.36149504114792103"/>
        </c:manualLayout>
      </c:layout>
      <c:overlay val="1"/>
      <c:spPr>
        <a:solidFill>
          <a:schemeClr val="bg1"/>
        </a:solidFill>
        <a:ln>
          <a:solidFill>
            <a:schemeClr val="bg1">
              <a:lumMod val="75000"/>
            </a:schemeClr>
          </a:solidFill>
        </a:ln>
      </c:spPr>
    </c:legend>
    <c:plotVisOnly val="1"/>
    <c:dispBlanksAs val="gap"/>
    <c:showDLblsOverMax val="0"/>
  </c:chart>
  <c:spPr>
    <a:ln>
      <a:noFill/>
    </a:ln>
  </c:spPr>
  <c:txPr>
    <a:bodyPr/>
    <a:lstStyle/>
    <a:p>
      <a:pPr>
        <a:defRPr sz="1200" b="0"/>
      </a:pPr>
      <a:endParaRPr lang="nl-NL"/>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v>Eurostat (2015)</c:v>
          </c:tx>
          <c:spPr>
            <a:solidFill>
              <a:srgbClr val="0070C0"/>
            </a:solidFill>
          </c:spPr>
          <c:invertIfNegative val="0"/>
          <c:cat>
            <c:strRef>
              <c:f>'Country Totals (All Aggregated)'!$B$6:$B$36</c:f>
              <c:strCache>
                <c:ptCount val="31"/>
                <c:pt idx="0">
                  <c:v>AT</c:v>
                </c:pt>
                <c:pt idx="1">
                  <c:v>BE</c:v>
                </c:pt>
                <c:pt idx="2">
                  <c:v>BG</c:v>
                </c:pt>
                <c:pt idx="3">
                  <c:v>CH</c:v>
                </c:pt>
                <c:pt idx="4">
                  <c:v>CY</c:v>
                </c:pt>
                <c:pt idx="5">
                  <c:v>CZ</c:v>
                </c:pt>
                <c:pt idx="6">
                  <c:v>DE</c:v>
                </c:pt>
                <c:pt idx="7">
                  <c:v>DK</c:v>
                </c:pt>
                <c:pt idx="8">
                  <c:v>EE</c:v>
                </c:pt>
                <c:pt idx="9">
                  <c:v>ES</c:v>
                </c:pt>
                <c:pt idx="10">
                  <c:v>FI</c:v>
                </c:pt>
                <c:pt idx="11">
                  <c:v>FR</c:v>
                </c:pt>
                <c:pt idx="12">
                  <c:v>GB</c:v>
                </c:pt>
                <c:pt idx="13">
                  <c:v>EL</c:v>
                </c:pt>
                <c:pt idx="14">
                  <c:v>HR</c:v>
                </c:pt>
                <c:pt idx="15">
                  <c:v>HU</c:v>
                </c:pt>
                <c:pt idx="16">
                  <c:v>IE</c:v>
                </c:pt>
                <c:pt idx="17">
                  <c:v>IT</c:v>
                </c:pt>
                <c:pt idx="18">
                  <c:v>LT</c:v>
                </c:pt>
                <c:pt idx="19">
                  <c:v>LU</c:v>
                </c:pt>
                <c:pt idx="20">
                  <c:v>LV</c:v>
                </c:pt>
                <c:pt idx="21">
                  <c:v>NI</c:v>
                </c:pt>
                <c:pt idx="22">
                  <c:v>NL</c:v>
                </c:pt>
                <c:pt idx="23">
                  <c:v>NO</c:v>
                </c:pt>
                <c:pt idx="24">
                  <c:v>PL</c:v>
                </c:pt>
                <c:pt idx="25">
                  <c:v>PT</c:v>
                </c:pt>
                <c:pt idx="26">
                  <c:v>RO</c:v>
                </c:pt>
                <c:pt idx="27">
                  <c:v>SE</c:v>
                </c:pt>
                <c:pt idx="28">
                  <c:v>SI</c:v>
                </c:pt>
                <c:pt idx="29">
                  <c:v>SK</c:v>
                </c:pt>
                <c:pt idx="30">
                  <c:v>EU28+NO+CH</c:v>
                </c:pt>
              </c:strCache>
            </c:strRef>
          </c:cat>
          <c:val>
            <c:numRef>
              <c:f>'Country Totals (All Aggregated)'!$F$6:$F$35</c:f>
              <c:numCache>
                <c:formatCode>General</c:formatCode>
                <c:ptCount val="30"/>
                <c:pt idx="0">
                  <c:v>13351</c:v>
                </c:pt>
                <c:pt idx="1">
                  <c:v>1422</c:v>
                </c:pt>
                <c:pt idx="2">
                  <c:v>3219</c:v>
                </c:pt>
                <c:pt idx="3">
                  <c:v>13760</c:v>
                </c:pt>
                <c:pt idx="4">
                  <c:v>0</c:v>
                </c:pt>
                <c:pt idx="5">
                  <c:v>2260</c:v>
                </c:pt>
                <c:pt idx="6">
                  <c:v>11399</c:v>
                </c:pt>
                <c:pt idx="7">
                  <c:v>7</c:v>
                </c:pt>
                <c:pt idx="8">
                  <c:v>6</c:v>
                </c:pt>
                <c:pt idx="9">
                  <c:v>20053</c:v>
                </c:pt>
                <c:pt idx="10">
                  <c:v>3249</c:v>
                </c:pt>
                <c:pt idx="11">
                  <c:v>25278</c:v>
                </c:pt>
                <c:pt idx="12">
                  <c:v>4503</c:v>
                </c:pt>
                <c:pt idx="13">
                  <c:v>3392</c:v>
                </c:pt>
                <c:pt idx="14">
                  <c:v>2208</c:v>
                </c:pt>
                <c:pt idx="15">
                  <c:v>57</c:v>
                </c:pt>
                <c:pt idx="16">
                  <c:v>529</c:v>
                </c:pt>
                <c:pt idx="17">
                  <c:v>22220</c:v>
                </c:pt>
                <c:pt idx="18">
                  <c:v>877</c:v>
                </c:pt>
                <c:pt idx="19">
                  <c:v>1330</c:v>
                </c:pt>
                <c:pt idx="20">
                  <c:v>1589</c:v>
                </c:pt>
                <c:pt idx="21">
                  <c:v>#N/A</c:v>
                </c:pt>
                <c:pt idx="22">
                  <c:v>37</c:v>
                </c:pt>
                <c:pt idx="23">
                  <c:v>31372</c:v>
                </c:pt>
                <c:pt idx="24">
                  <c:v>2370</c:v>
                </c:pt>
                <c:pt idx="25">
                  <c:v>6168</c:v>
                </c:pt>
                <c:pt idx="26">
                  <c:v>6730</c:v>
                </c:pt>
                <c:pt idx="27">
                  <c:v>16329</c:v>
                </c:pt>
                <c:pt idx="28">
                  <c:v>1295</c:v>
                </c:pt>
                <c:pt idx="29">
                  <c:v>2522</c:v>
                </c:pt>
              </c:numCache>
            </c:numRef>
          </c:val>
          <c:extLst>
            <c:ext xmlns:c16="http://schemas.microsoft.com/office/drawing/2014/chart" uri="{C3380CC4-5D6E-409C-BE32-E72D297353CC}">
              <c16:uniqueId val="{00000000-8AE1-4211-963D-DC241F6F9E59}"/>
            </c:ext>
          </c:extLst>
        </c:ser>
        <c:ser>
          <c:idx val="1"/>
          <c:order val="1"/>
          <c:tx>
            <c:v>Included in Database</c:v>
          </c:tx>
          <c:spPr>
            <a:solidFill>
              <a:schemeClr val="accent6">
                <a:lumMod val="75000"/>
              </a:schemeClr>
            </a:solidFill>
          </c:spPr>
          <c:invertIfNegative val="0"/>
          <c:cat>
            <c:strRef>
              <c:f>'Country Totals (All Aggregated)'!$B$6:$B$36</c:f>
              <c:strCache>
                <c:ptCount val="31"/>
                <c:pt idx="0">
                  <c:v>AT</c:v>
                </c:pt>
                <c:pt idx="1">
                  <c:v>BE</c:v>
                </c:pt>
                <c:pt idx="2">
                  <c:v>BG</c:v>
                </c:pt>
                <c:pt idx="3">
                  <c:v>CH</c:v>
                </c:pt>
                <c:pt idx="4">
                  <c:v>CY</c:v>
                </c:pt>
                <c:pt idx="5">
                  <c:v>CZ</c:v>
                </c:pt>
                <c:pt idx="6">
                  <c:v>DE</c:v>
                </c:pt>
                <c:pt idx="7">
                  <c:v>DK</c:v>
                </c:pt>
                <c:pt idx="8">
                  <c:v>EE</c:v>
                </c:pt>
                <c:pt idx="9">
                  <c:v>ES</c:v>
                </c:pt>
                <c:pt idx="10">
                  <c:v>FI</c:v>
                </c:pt>
                <c:pt idx="11">
                  <c:v>FR</c:v>
                </c:pt>
                <c:pt idx="12">
                  <c:v>GB</c:v>
                </c:pt>
                <c:pt idx="13">
                  <c:v>EL</c:v>
                </c:pt>
                <c:pt idx="14">
                  <c:v>HR</c:v>
                </c:pt>
                <c:pt idx="15">
                  <c:v>HU</c:v>
                </c:pt>
                <c:pt idx="16">
                  <c:v>IE</c:v>
                </c:pt>
                <c:pt idx="17">
                  <c:v>IT</c:v>
                </c:pt>
                <c:pt idx="18">
                  <c:v>LT</c:v>
                </c:pt>
                <c:pt idx="19">
                  <c:v>LU</c:v>
                </c:pt>
                <c:pt idx="20">
                  <c:v>LV</c:v>
                </c:pt>
                <c:pt idx="21">
                  <c:v>NI</c:v>
                </c:pt>
                <c:pt idx="22">
                  <c:v>NL</c:v>
                </c:pt>
                <c:pt idx="23">
                  <c:v>NO</c:v>
                </c:pt>
                <c:pt idx="24">
                  <c:v>PL</c:v>
                </c:pt>
                <c:pt idx="25">
                  <c:v>PT</c:v>
                </c:pt>
                <c:pt idx="26">
                  <c:v>RO</c:v>
                </c:pt>
                <c:pt idx="27">
                  <c:v>SE</c:v>
                </c:pt>
                <c:pt idx="28">
                  <c:v>SI</c:v>
                </c:pt>
                <c:pt idx="29">
                  <c:v>SK</c:v>
                </c:pt>
                <c:pt idx="30">
                  <c:v>EU28+NO+CH</c:v>
                </c:pt>
              </c:strCache>
            </c:strRef>
          </c:cat>
          <c:val>
            <c:numRef>
              <c:f>'Country Totals (All Aggregated)'!$H$6:$H$35</c:f>
              <c:numCache>
                <c:formatCode>0</c:formatCode>
                <c:ptCount val="30"/>
                <c:pt idx="0" formatCode="General">
                  <c:v>#N/A</c:v>
                </c:pt>
                <c:pt idx="1">
                  <c:v>#N/A</c:v>
                </c:pt>
                <c:pt idx="2">
                  <c:v>#N/A</c:v>
                </c:pt>
                <c:pt idx="3">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numCache>
            </c:numRef>
          </c:val>
          <c:extLst>
            <c:ext xmlns:c16="http://schemas.microsoft.com/office/drawing/2014/chart" uri="{C3380CC4-5D6E-409C-BE32-E72D297353CC}">
              <c16:uniqueId val="{00000001-8AE1-4211-963D-DC241F6F9E59}"/>
            </c:ext>
          </c:extLst>
        </c:ser>
        <c:dLbls>
          <c:showLegendKey val="0"/>
          <c:showVal val="0"/>
          <c:showCatName val="0"/>
          <c:showSerName val="0"/>
          <c:showPercent val="0"/>
          <c:showBubbleSize val="0"/>
        </c:dLbls>
        <c:gapWidth val="50"/>
        <c:axId val="-1880202704"/>
        <c:axId val="-1880195584"/>
      </c:barChart>
      <c:catAx>
        <c:axId val="-1880202704"/>
        <c:scaling>
          <c:orientation val="minMax"/>
        </c:scaling>
        <c:delete val="0"/>
        <c:axPos val="b"/>
        <c:title>
          <c:tx>
            <c:rich>
              <a:bodyPr/>
              <a:lstStyle/>
              <a:p>
                <a:pPr>
                  <a:defRPr/>
                </a:pPr>
                <a:r>
                  <a:rPr lang="en-AU"/>
                  <a:t>Country</a:t>
                </a:r>
              </a:p>
            </c:rich>
          </c:tx>
          <c:overlay val="0"/>
        </c:title>
        <c:numFmt formatCode="General" sourceLinked="0"/>
        <c:majorTickMark val="out"/>
        <c:minorTickMark val="none"/>
        <c:tickLblPos val="nextTo"/>
        <c:crossAx val="-1880195584"/>
        <c:crosses val="autoZero"/>
        <c:auto val="1"/>
        <c:lblAlgn val="ctr"/>
        <c:lblOffset val="100"/>
        <c:noMultiLvlLbl val="0"/>
      </c:catAx>
      <c:valAx>
        <c:axId val="-1880195584"/>
        <c:scaling>
          <c:orientation val="minMax"/>
        </c:scaling>
        <c:delete val="0"/>
        <c:axPos val="l"/>
        <c:majorGridlines/>
        <c:title>
          <c:tx>
            <c:rich>
              <a:bodyPr rot="-5400000" vert="horz"/>
              <a:lstStyle/>
              <a:p>
                <a:pPr>
                  <a:defRPr/>
                </a:pPr>
                <a:r>
                  <a:rPr lang="en-AU"/>
                  <a:t>Installed hydro capacity (GW)</a:t>
                </a:r>
              </a:p>
            </c:rich>
          </c:tx>
          <c:overlay val="0"/>
        </c:title>
        <c:numFmt formatCode="General" sourceLinked="1"/>
        <c:majorTickMark val="out"/>
        <c:minorTickMark val="none"/>
        <c:tickLblPos val="nextTo"/>
        <c:crossAx val="-1880202704"/>
        <c:crosses val="autoZero"/>
        <c:crossBetween val="between"/>
        <c:dispUnits>
          <c:builtInUnit val="thousands"/>
        </c:dispUnits>
      </c:valAx>
    </c:plotArea>
    <c:legend>
      <c:legendPos val="tr"/>
      <c:layout>
        <c:manualLayout>
          <c:xMode val="edge"/>
          <c:yMode val="edge"/>
          <c:x val="8.9048267032556597E-2"/>
          <c:y val="7.7109242771560699E-2"/>
          <c:w val="0.15926523538651699"/>
          <c:h val="0.132275403592333"/>
        </c:manualLayout>
      </c:layout>
      <c:overlay val="1"/>
      <c:spPr>
        <a:solidFill>
          <a:schemeClr val="bg1"/>
        </a:solidFill>
        <a:ln>
          <a:solidFill>
            <a:schemeClr val="bg1">
              <a:lumMod val="85000"/>
            </a:schemeClr>
          </a:solidFill>
        </a:ln>
      </c:spPr>
    </c:legend>
    <c:plotVisOnly val="1"/>
    <c:dispBlanksAs val="gap"/>
    <c:showDLblsOverMax val="0"/>
  </c:chart>
  <c:spPr>
    <a:ln>
      <a:noFill/>
    </a:ln>
  </c:spPr>
  <c:txPr>
    <a:bodyPr/>
    <a:lstStyle/>
    <a:p>
      <a:pPr>
        <a:defRPr sz="1100" b="0"/>
      </a:pPr>
      <a:endParaRPr lang="nl-NL"/>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nl-NL"/>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2"/>
          <c:order val="0"/>
          <c:tx>
            <c:strRef>
              <c:f>'Country Totals (All Aggregated)'!$F$99</c:f>
              <c:strCache>
                <c:ptCount val="1"/>
                <c:pt idx="0">
                  <c:v>Eurostat (2015)</c:v>
                </c:pt>
              </c:strCache>
            </c:strRef>
          </c:tx>
          <c:invertIfNegative val="0"/>
          <c:cat>
            <c:strRef>
              <c:f>'Country Totals (All Aggregated)'!$B$100:$B$103</c:f>
              <c:strCache>
                <c:ptCount val="4"/>
                <c:pt idx="0">
                  <c:v>Run-of-river (RoR)</c:v>
                </c:pt>
                <c:pt idx="1">
                  <c:v>Storage (STO)</c:v>
                </c:pt>
                <c:pt idx="2">
                  <c:v>Pumped storage (PHS)</c:v>
                </c:pt>
                <c:pt idx="3">
                  <c:v>Total</c:v>
                </c:pt>
              </c:strCache>
            </c:strRef>
          </c:cat>
          <c:val>
            <c:numRef>
              <c:f>'Country Totals (All Aggregated)'!$F$100:$F$103</c:f>
              <c:numCache>
                <c:formatCode>General</c:formatCode>
                <c:ptCount val="4"/>
                <c:pt idx="3">
                  <c:v>197425</c:v>
                </c:pt>
              </c:numCache>
            </c:numRef>
          </c:val>
          <c:extLst>
            <c:ext xmlns:c16="http://schemas.microsoft.com/office/drawing/2014/chart" uri="{C3380CC4-5D6E-409C-BE32-E72D297353CC}">
              <c16:uniqueId val="{00000000-7644-43D3-B996-77B08E8EF0AF}"/>
            </c:ext>
          </c:extLst>
        </c:ser>
        <c:ser>
          <c:idx val="3"/>
          <c:order val="1"/>
          <c:tx>
            <c:strRef>
              <c:f>'Country Totals (All Aggregated)'!$E$99</c:f>
              <c:strCache>
                <c:ptCount val="1"/>
                <c:pt idx="0">
                  <c:v>DNV GL</c:v>
                </c:pt>
              </c:strCache>
            </c:strRef>
          </c:tx>
          <c:invertIfNegative val="0"/>
          <c:cat>
            <c:strRef>
              <c:f>'Country Totals (All Aggregated)'!$B$100:$B$103</c:f>
              <c:strCache>
                <c:ptCount val="4"/>
                <c:pt idx="0">
                  <c:v>Run-of-river (RoR)</c:v>
                </c:pt>
                <c:pt idx="1">
                  <c:v>Storage (STO)</c:v>
                </c:pt>
                <c:pt idx="2">
                  <c:v>Pumped storage (PHS)</c:v>
                </c:pt>
                <c:pt idx="3">
                  <c:v>Total</c:v>
                </c:pt>
              </c:strCache>
            </c:strRef>
          </c:cat>
          <c:val>
            <c:numRef>
              <c:f>'Country Totals (All Aggregated)'!$E$100:$E$103</c:f>
              <c:numCache>
                <c:formatCode>General</c:formatCode>
                <c:ptCount val="4"/>
                <c:pt idx="0">
                  <c:v>66000</c:v>
                </c:pt>
                <c:pt idx="1">
                  <c:v>103000</c:v>
                </c:pt>
                <c:pt idx="2">
                  <c:v>47000</c:v>
                </c:pt>
                <c:pt idx="3">
                  <c:v>216000</c:v>
                </c:pt>
              </c:numCache>
            </c:numRef>
          </c:val>
          <c:extLst>
            <c:ext xmlns:c16="http://schemas.microsoft.com/office/drawing/2014/chart" uri="{C3380CC4-5D6E-409C-BE32-E72D297353CC}">
              <c16:uniqueId val="{00000001-7644-43D3-B996-77B08E8EF0AF}"/>
            </c:ext>
          </c:extLst>
        </c:ser>
        <c:ser>
          <c:idx val="1"/>
          <c:order val="2"/>
          <c:tx>
            <c:strRef>
              <c:f>'Country Totals (All Aggregated)'!$D$99</c:f>
              <c:strCache>
                <c:ptCount val="1"/>
                <c:pt idx="0">
                  <c:v>ENTSOE (2016)</c:v>
                </c:pt>
              </c:strCache>
            </c:strRef>
          </c:tx>
          <c:spPr>
            <a:solidFill>
              <a:srgbClr val="0070C0"/>
            </a:solidFill>
          </c:spPr>
          <c:invertIfNegative val="0"/>
          <c:cat>
            <c:strRef>
              <c:f>'Country Totals (All Aggregated)'!$B$100:$B$103</c:f>
              <c:strCache>
                <c:ptCount val="4"/>
                <c:pt idx="0">
                  <c:v>Run-of-river (RoR)</c:v>
                </c:pt>
                <c:pt idx="1">
                  <c:v>Storage (STO)</c:v>
                </c:pt>
                <c:pt idx="2">
                  <c:v>Pumped storage (PHS)</c:v>
                </c:pt>
                <c:pt idx="3">
                  <c:v>Total</c:v>
                </c:pt>
              </c:strCache>
            </c:strRef>
          </c:cat>
          <c:val>
            <c:numRef>
              <c:f>'Country Totals (All Aggregated)'!$D$100:$D$103</c:f>
              <c:numCache>
                <c:formatCode>General</c:formatCode>
                <c:ptCount val="4"/>
                <c:pt idx="0">
                  <c:v>35934</c:v>
                </c:pt>
                <c:pt idx="1">
                  <c:v>81979</c:v>
                </c:pt>
                <c:pt idx="2">
                  <c:v>45217</c:v>
                </c:pt>
                <c:pt idx="3">
                  <c:v>163130</c:v>
                </c:pt>
              </c:numCache>
            </c:numRef>
          </c:val>
          <c:extLst>
            <c:ext xmlns:c16="http://schemas.microsoft.com/office/drawing/2014/chart" uri="{C3380CC4-5D6E-409C-BE32-E72D297353CC}">
              <c16:uniqueId val="{00000002-7644-43D3-B996-77B08E8EF0AF}"/>
            </c:ext>
          </c:extLst>
        </c:ser>
        <c:ser>
          <c:idx val="0"/>
          <c:order val="3"/>
          <c:tx>
            <c:strRef>
              <c:f>'Country Totals (All Aggregated)'!$C$99</c:f>
              <c:strCache>
                <c:ptCount val="1"/>
                <c:pt idx="0">
                  <c:v>This study: Detailed plants</c:v>
                </c:pt>
              </c:strCache>
            </c:strRef>
          </c:tx>
          <c:spPr>
            <a:solidFill>
              <a:schemeClr val="accent6">
                <a:lumMod val="75000"/>
              </a:schemeClr>
            </a:solidFill>
          </c:spPr>
          <c:invertIfNegative val="0"/>
          <c:cat>
            <c:strRef>
              <c:f>'Country Totals (All Aggregated)'!$B$100:$B$103</c:f>
              <c:strCache>
                <c:ptCount val="4"/>
                <c:pt idx="0">
                  <c:v>Run-of-river (RoR)</c:v>
                </c:pt>
                <c:pt idx="1">
                  <c:v>Storage (STO)</c:v>
                </c:pt>
                <c:pt idx="2">
                  <c:v>Pumped storage (PHS)</c:v>
                </c:pt>
                <c:pt idx="3">
                  <c:v>Total</c:v>
                </c:pt>
              </c:strCache>
            </c:strRef>
          </c:cat>
          <c:val>
            <c:numRef>
              <c:f>'Country Totals (All Aggregated)'!$C$100:$C$103</c:f>
              <c:numCache>
                <c:formatCode>General</c:formatCode>
                <c:ptCount val="4"/>
                <c:pt idx="0">
                  <c:v>0</c:v>
                </c:pt>
                <c:pt idx="1">
                  <c:v>0</c:v>
                </c:pt>
                <c:pt idx="2">
                  <c:v>0</c:v>
                </c:pt>
                <c:pt idx="3">
                  <c:v>0</c:v>
                </c:pt>
              </c:numCache>
            </c:numRef>
          </c:val>
          <c:extLst>
            <c:ext xmlns:c16="http://schemas.microsoft.com/office/drawing/2014/chart" uri="{C3380CC4-5D6E-409C-BE32-E72D297353CC}">
              <c16:uniqueId val="{00000003-7644-43D3-B996-77B08E8EF0AF}"/>
            </c:ext>
          </c:extLst>
        </c:ser>
        <c:dLbls>
          <c:showLegendKey val="0"/>
          <c:showVal val="0"/>
          <c:showCatName val="0"/>
          <c:showSerName val="0"/>
          <c:showPercent val="0"/>
          <c:showBubbleSize val="0"/>
        </c:dLbls>
        <c:gapWidth val="150"/>
        <c:axId val="-1880117568"/>
        <c:axId val="-1876951040"/>
      </c:barChart>
      <c:catAx>
        <c:axId val="-1880117568"/>
        <c:scaling>
          <c:orientation val="minMax"/>
        </c:scaling>
        <c:delete val="0"/>
        <c:axPos val="b"/>
        <c:numFmt formatCode="General" sourceLinked="0"/>
        <c:majorTickMark val="out"/>
        <c:minorTickMark val="none"/>
        <c:tickLblPos val="nextTo"/>
        <c:crossAx val="-1876951040"/>
        <c:crosses val="autoZero"/>
        <c:auto val="1"/>
        <c:lblAlgn val="ctr"/>
        <c:lblOffset val="100"/>
        <c:noMultiLvlLbl val="0"/>
      </c:catAx>
      <c:valAx>
        <c:axId val="-1876951040"/>
        <c:scaling>
          <c:orientation val="minMax"/>
        </c:scaling>
        <c:delete val="0"/>
        <c:axPos val="l"/>
        <c:majorGridlines/>
        <c:title>
          <c:tx>
            <c:rich>
              <a:bodyPr rot="-5400000" vert="horz"/>
              <a:lstStyle/>
              <a:p>
                <a:pPr>
                  <a:defRPr/>
                </a:pPr>
                <a:r>
                  <a:rPr lang="en-AU"/>
                  <a:t>Installed capacity (GW)</a:t>
                </a:r>
              </a:p>
            </c:rich>
          </c:tx>
          <c:overlay val="0"/>
        </c:title>
        <c:numFmt formatCode="General" sourceLinked="1"/>
        <c:majorTickMark val="out"/>
        <c:minorTickMark val="none"/>
        <c:tickLblPos val="nextTo"/>
        <c:crossAx val="-1880117568"/>
        <c:crosses val="autoZero"/>
        <c:crossBetween val="between"/>
        <c:dispUnits>
          <c:builtInUnit val="thousands"/>
        </c:dispUnits>
      </c:valAx>
    </c:plotArea>
    <c:legend>
      <c:legendPos val="r"/>
      <c:layout>
        <c:manualLayout>
          <c:xMode val="edge"/>
          <c:yMode val="edge"/>
          <c:x val="0.14196592254982801"/>
          <c:y val="8.5661684513573394E-2"/>
          <c:w val="0.35039862734397798"/>
          <c:h val="0.36149504114792103"/>
        </c:manualLayout>
      </c:layout>
      <c:overlay val="1"/>
      <c:spPr>
        <a:solidFill>
          <a:schemeClr val="bg1"/>
        </a:solidFill>
        <a:ln>
          <a:solidFill>
            <a:schemeClr val="bg1">
              <a:lumMod val="75000"/>
            </a:schemeClr>
          </a:solidFill>
        </a:ln>
      </c:spPr>
    </c:legend>
    <c:plotVisOnly val="1"/>
    <c:dispBlanksAs val="gap"/>
    <c:showDLblsOverMax val="0"/>
  </c:chart>
  <c:spPr>
    <a:ln>
      <a:noFill/>
    </a:ln>
  </c:spPr>
  <c:txPr>
    <a:bodyPr/>
    <a:lstStyle/>
    <a:p>
      <a:pPr>
        <a:defRPr sz="1200" b="0"/>
      </a:pPr>
      <a:endParaRPr lang="nl-NL"/>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1.xml"/><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2" Type="http://schemas.openxmlformats.org/officeDocument/2006/relationships/chart" Target="../charts/chart7.xml"/><Relationship Id="rId1" Type="http://schemas.openxmlformats.org/officeDocument/2006/relationships/chart" Target="../charts/chart6.xml"/></Relationships>
</file>

<file path=xl/drawings/drawing1.xml><?xml version="1.0" encoding="utf-8"?>
<xdr:wsDr xmlns:xdr="http://schemas.openxmlformats.org/drawingml/2006/spreadsheetDrawing" xmlns:a="http://schemas.openxmlformats.org/drawingml/2006/main">
  <xdr:twoCellAnchor editAs="oneCell">
    <xdr:from>
      <xdr:col>4</xdr:col>
      <xdr:colOff>0</xdr:colOff>
      <xdr:row>14</xdr:row>
      <xdr:rowOff>0</xdr:rowOff>
    </xdr:from>
    <xdr:to>
      <xdr:col>4</xdr:col>
      <xdr:colOff>161925</xdr:colOff>
      <xdr:row>15</xdr:row>
      <xdr:rowOff>19050</xdr:rowOff>
    </xdr:to>
    <xdr:pic>
      <xdr:nvPicPr>
        <xdr:cNvPr id="2062" name="Picture 14" descr="https://upload.wikimedia.org/wikipedia/commons/thumb/5/55/WMA_button2b.png/17px-WMA_button2b.png">
          <a:extLst>
            <a:ext uri="{FF2B5EF4-FFF2-40B4-BE49-F238E27FC236}">
              <a16:creationId xmlns:a16="http://schemas.microsoft.com/office/drawing/2014/main" id="{00000000-0008-0000-0000-00000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390525"/>
          <a:ext cx="161925" cy="161925"/>
        </a:xfrm>
        <a:prstGeom prst="rect">
          <a:avLst/>
        </a:prstGeom>
        <a:noFill/>
      </xdr:spPr>
    </xdr:pic>
    <xdr:clientData/>
  </xdr:twoCellAnchor>
  <xdr:twoCellAnchor editAs="oneCell">
    <xdr:from>
      <xdr:col>4</xdr:col>
      <xdr:colOff>0</xdr:colOff>
      <xdr:row>15</xdr:row>
      <xdr:rowOff>0</xdr:rowOff>
    </xdr:from>
    <xdr:to>
      <xdr:col>4</xdr:col>
      <xdr:colOff>161925</xdr:colOff>
      <xdr:row>16</xdr:row>
      <xdr:rowOff>19050</xdr:rowOff>
    </xdr:to>
    <xdr:pic>
      <xdr:nvPicPr>
        <xdr:cNvPr id="2063" name="Picture 15" descr="https://upload.wikimedia.org/wikipedia/commons/thumb/5/55/WMA_button2b.png/17px-WMA_button2b.png">
          <a:extLst>
            <a:ext uri="{FF2B5EF4-FFF2-40B4-BE49-F238E27FC236}">
              <a16:creationId xmlns:a16="http://schemas.microsoft.com/office/drawing/2014/main" id="{00000000-0008-0000-0000-00000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1733550"/>
          <a:ext cx="161925" cy="161925"/>
        </a:xfrm>
        <a:prstGeom prst="rect">
          <a:avLst/>
        </a:prstGeom>
        <a:noFill/>
      </xdr:spPr>
    </xdr:pic>
    <xdr:clientData/>
  </xdr:twoCellAnchor>
  <xdr:twoCellAnchor editAs="oneCell">
    <xdr:from>
      <xdr:col>4</xdr:col>
      <xdr:colOff>0</xdr:colOff>
      <xdr:row>20</xdr:row>
      <xdr:rowOff>0</xdr:rowOff>
    </xdr:from>
    <xdr:to>
      <xdr:col>4</xdr:col>
      <xdr:colOff>161925</xdr:colOff>
      <xdr:row>21</xdr:row>
      <xdr:rowOff>19050</xdr:rowOff>
    </xdr:to>
    <xdr:pic>
      <xdr:nvPicPr>
        <xdr:cNvPr id="2064" name="Picture 16" descr="https://upload.wikimedia.org/wikipedia/commons/thumb/5/55/WMA_button2b.png/17px-WMA_button2b.png">
          <a:extLst>
            <a:ext uri="{FF2B5EF4-FFF2-40B4-BE49-F238E27FC236}">
              <a16:creationId xmlns:a16="http://schemas.microsoft.com/office/drawing/2014/main" id="{00000000-0008-0000-0000-00001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2314575"/>
          <a:ext cx="161925" cy="161925"/>
        </a:xfrm>
        <a:prstGeom prst="rect">
          <a:avLst/>
        </a:prstGeom>
        <a:noFill/>
      </xdr:spPr>
    </xdr:pic>
    <xdr:clientData/>
  </xdr:twoCellAnchor>
  <xdr:twoCellAnchor editAs="oneCell">
    <xdr:from>
      <xdr:col>4</xdr:col>
      <xdr:colOff>0</xdr:colOff>
      <xdr:row>25</xdr:row>
      <xdr:rowOff>0</xdr:rowOff>
    </xdr:from>
    <xdr:to>
      <xdr:col>4</xdr:col>
      <xdr:colOff>161925</xdr:colOff>
      <xdr:row>26</xdr:row>
      <xdr:rowOff>19050</xdr:rowOff>
    </xdr:to>
    <xdr:pic>
      <xdr:nvPicPr>
        <xdr:cNvPr id="2065" name="Picture 17" descr="https://upload.wikimedia.org/wikipedia/commons/thumb/5/55/WMA_button2b.png/17px-WMA_button2b.png">
          <a:extLst>
            <a:ext uri="{FF2B5EF4-FFF2-40B4-BE49-F238E27FC236}">
              <a16:creationId xmlns:a16="http://schemas.microsoft.com/office/drawing/2014/main" id="{00000000-0008-0000-0000-00001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2895600"/>
          <a:ext cx="161925" cy="161925"/>
        </a:xfrm>
        <a:prstGeom prst="rect">
          <a:avLst/>
        </a:prstGeom>
        <a:noFill/>
      </xdr:spPr>
    </xdr:pic>
    <xdr:clientData/>
  </xdr:twoCellAnchor>
  <xdr:twoCellAnchor editAs="oneCell">
    <xdr:from>
      <xdr:col>4</xdr:col>
      <xdr:colOff>0</xdr:colOff>
      <xdr:row>22</xdr:row>
      <xdr:rowOff>0</xdr:rowOff>
    </xdr:from>
    <xdr:to>
      <xdr:col>4</xdr:col>
      <xdr:colOff>161925</xdr:colOff>
      <xdr:row>23</xdr:row>
      <xdr:rowOff>19050</xdr:rowOff>
    </xdr:to>
    <xdr:pic>
      <xdr:nvPicPr>
        <xdr:cNvPr id="2066" name="Picture 18" descr="https://upload.wikimedia.org/wikipedia/commons/thumb/5/55/WMA_button2b.png/17px-WMA_button2b.png">
          <a:extLst>
            <a:ext uri="{FF2B5EF4-FFF2-40B4-BE49-F238E27FC236}">
              <a16:creationId xmlns:a16="http://schemas.microsoft.com/office/drawing/2014/main" id="{00000000-0008-0000-0000-00001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3476625"/>
          <a:ext cx="161925" cy="161925"/>
        </a:xfrm>
        <a:prstGeom prst="rect">
          <a:avLst/>
        </a:prstGeom>
        <a:noFill/>
      </xdr:spPr>
    </xdr:pic>
    <xdr:clientData/>
  </xdr:twoCellAnchor>
  <xdr:twoCellAnchor editAs="oneCell">
    <xdr:from>
      <xdr:col>4</xdr:col>
      <xdr:colOff>0</xdr:colOff>
      <xdr:row>24</xdr:row>
      <xdr:rowOff>0</xdr:rowOff>
    </xdr:from>
    <xdr:to>
      <xdr:col>4</xdr:col>
      <xdr:colOff>161925</xdr:colOff>
      <xdr:row>25</xdr:row>
      <xdr:rowOff>19050</xdr:rowOff>
    </xdr:to>
    <xdr:pic>
      <xdr:nvPicPr>
        <xdr:cNvPr id="2067" name="Picture 19" descr="https://upload.wikimedia.org/wikipedia/commons/thumb/5/55/WMA_button2b.png/17px-WMA_button2b.png">
          <a:extLst>
            <a:ext uri="{FF2B5EF4-FFF2-40B4-BE49-F238E27FC236}">
              <a16:creationId xmlns:a16="http://schemas.microsoft.com/office/drawing/2014/main" id="{00000000-0008-0000-0000-00001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4057650"/>
          <a:ext cx="161925" cy="161925"/>
        </a:xfrm>
        <a:prstGeom prst="rect">
          <a:avLst/>
        </a:prstGeom>
        <a:noFill/>
      </xdr:spPr>
    </xdr:pic>
    <xdr:clientData/>
  </xdr:twoCellAnchor>
  <xdr:twoCellAnchor editAs="oneCell">
    <xdr:from>
      <xdr:col>4</xdr:col>
      <xdr:colOff>0</xdr:colOff>
      <xdr:row>18</xdr:row>
      <xdr:rowOff>0</xdr:rowOff>
    </xdr:from>
    <xdr:to>
      <xdr:col>4</xdr:col>
      <xdr:colOff>161925</xdr:colOff>
      <xdr:row>19</xdr:row>
      <xdr:rowOff>19050</xdr:rowOff>
    </xdr:to>
    <xdr:pic>
      <xdr:nvPicPr>
        <xdr:cNvPr id="2068" name="Picture 20" descr="https://upload.wikimedia.org/wikipedia/commons/thumb/5/55/WMA_button2b.png/17px-WMA_button2b.png">
          <a:extLst>
            <a:ext uri="{FF2B5EF4-FFF2-40B4-BE49-F238E27FC236}">
              <a16:creationId xmlns:a16="http://schemas.microsoft.com/office/drawing/2014/main" id="{00000000-0008-0000-0000-00001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4638675"/>
          <a:ext cx="161925" cy="161925"/>
        </a:xfrm>
        <a:prstGeom prst="rect">
          <a:avLst/>
        </a:prstGeom>
        <a:noFill/>
      </xdr:spPr>
    </xdr:pic>
    <xdr:clientData/>
  </xdr:twoCellAnchor>
  <xdr:twoCellAnchor editAs="oneCell">
    <xdr:from>
      <xdr:col>4</xdr:col>
      <xdr:colOff>0</xdr:colOff>
      <xdr:row>19</xdr:row>
      <xdr:rowOff>0</xdr:rowOff>
    </xdr:from>
    <xdr:to>
      <xdr:col>4</xdr:col>
      <xdr:colOff>161925</xdr:colOff>
      <xdr:row>20</xdr:row>
      <xdr:rowOff>19050</xdr:rowOff>
    </xdr:to>
    <xdr:pic>
      <xdr:nvPicPr>
        <xdr:cNvPr id="2069" name="Picture 21" descr="https://upload.wikimedia.org/wikipedia/commons/thumb/5/55/WMA_button2b.png/17px-WMA_button2b.png">
          <a:extLst>
            <a:ext uri="{FF2B5EF4-FFF2-40B4-BE49-F238E27FC236}">
              <a16:creationId xmlns:a16="http://schemas.microsoft.com/office/drawing/2014/main" id="{00000000-0008-0000-0000-00001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5219700"/>
          <a:ext cx="161925" cy="161925"/>
        </a:xfrm>
        <a:prstGeom prst="rect">
          <a:avLst/>
        </a:prstGeom>
        <a:noFill/>
      </xdr:spPr>
    </xdr:pic>
    <xdr:clientData/>
  </xdr:twoCellAnchor>
  <xdr:twoCellAnchor editAs="oneCell">
    <xdr:from>
      <xdr:col>4</xdr:col>
      <xdr:colOff>0</xdr:colOff>
      <xdr:row>21</xdr:row>
      <xdr:rowOff>0</xdr:rowOff>
    </xdr:from>
    <xdr:to>
      <xdr:col>4</xdr:col>
      <xdr:colOff>161925</xdr:colOff>
      <xdr:row>22</xdr:row>
      <xdr:rowOff>19050</xdr:rowOff>
    </xdr:to>
    <xdr:pic>
      <xdr:nvPicPr>
        <xdr:cNvPr id="2070" name="Picture 22" descr="https://upload.wikimedia.org/wikipedia/commons/thumb/5/55/WMA_button2b.png/17px-WMA_button2b.png">
          <a:extLst>
            <a:ext uri="{FF2B5EF4-FFF2-40B4-BE49-F238E27FC236}">
              <a16:creationId xmlns:a16="http://schemas.microsoft.com/office/drawing/2014/main" id="{00000000-0008-0000-0000-00001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5800725"/>
          <a:ext cx="161925" cy="161925"/>
        </a:xfrm>
        <a:prstGeom prst="rect">
          <a:avLst/>
        </a:prstGeom>
        <a:noFill/>
      </xdr:spPr>
    </xdr:pic>
    <xdr:clientData/>
  </xdr:twoCellAnchor>
  <xdr:twoCellAnchor editAs="oneCell">
    <xdr:from>
      <xdr:col>4</xdr:col>
      <xdr:colOff>0</xdr:colOff>
      <xdr:row>17</xdr:row>
      <xdr:rowOff>0</xdr:rowOff>
    </xdr:from>
    <xdr:to>
      <xdr:col>4</xdr:col>
      <xdr:colOff>161925</xdr:colOff>
      <xdr:row>18</xdr:row>
      <xdr:rowOff>19050</xdr:rowOff>
    </xdr:to>
    <xdr:pic>
      <xdr:nvPicPr>
        <xdr:cNvPr id="2071" name="Picture 23" descr="https://upload.wikimedia.org/wikipedia/commons/thumb/5/55/WMA_button2b.png/17px-WMA_button2b.png">
          <a:extLst>
            <a:ext uri="{FF2B5EF4-FFF2-40B4-BE49-F238E27FC236}">
              <a16:creationId xmlns:a16="http://schemas.microsoft.com/office/drawing/2014/main" id="{00000000-0008-0000-0000-00001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6381750"/>
          <a:ext cx="161925" cy="161925"/>
        </a:xfrm>
        <a:prstGeom prst="rect">
          <a:avLst/>
        </a:prstGeom>
        <a:noFill/>
      </xdr:spPr>
    </xdr:pic>
    <xdr:clientData/>
  </xdr:twoCellAnchor>
  <xdr:twoCellAnchor editAs="oneCell">
    <xdr:from>
      <xdr:col>4</xdr:col>
      <xdr:colOff>0</xdr:colOff>
      <xdr:row>16</xdr:row>
      <xdr:rowOff>0</xdr:rowOff>
    </xdr:from>
    <xdr:to>
      <xdr:col>4</xdr:col>
      <xdr:colOff>161925</xdr:colOff>
      <xdr:row>17</xdr:row>
      <xdr:rowOff>19050</xdr:rowOff>
    </xdr:to>
    <xdr:pic>
      <xdr:nvPicPr>
        <xdr:cNvPr id="2072" name="Picture 24" descr="https://upload.wikimedia.org/wikipedia/commons/thumb/5/55/WMA_button2b.png/17px-WMA_button2b.png">
          <a:extLst>
            <a:ext uri="{FF2B5EF4-FFF2-40B4-BE49-F238E27FC236}">
              <a16:creationId xmlns:a16="http://schemas.microsoft.com/office/drawing/2014/main" id="{00000000-0008-0000-0000-00001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6962775"/>
          <a:ext cx="161925" cy="161925"/>
        </a:xfrm>
        <a:prstGeom prst="rect">
          <a:avLst/>
        </a:prstGeom>
        <a:noFill/>
      </xdr:spPr>
    </xdr:pic>
    <xdr:clientData/>
  </xdr:twoCellAnchor>
  <xdr:twoCellAnchor editAs="oneCell">
    <xdr:from>
      <xdr:col>4</xdr:col>
      <xdr:colOff>0</xdr:colOff>
      <xdr:row>26</xdr:row>
      <xdr:rowOff>0</xdr:rowOff>
    </xdr:from>
    <xdr:to>
      <xdr:col>4</xdr:col>
      <xdr:colOff>161925</xdr:colOff>
      <xdr:row>27</xdr:row>
      <xdr:rowOff>19050</xdr:rowOff>
    </xdr:to>
    <xdr:pic>
      <xdr:nvPicPr>
        <xdr:cNvPr id="2073" name="Picture 25" descr="https://upload.wikimedia.org/wikipedia/commons/thumb/5/55/WMA_button2b.png/17px-WMA_button2b.png">
          <a:extLst>
            <a:ext uri="{FF2B5EF4-FFF2-40B4-BE49-F238E27FC236}">
              <a16:creationId xmlns:a16="http://schemas.microsoft.com/office/drawing/2014/main" id="{00000000-0008-0000-0000-00001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7543800"/>
          <a:ext cx="161925" cy="161925"/>
        </a:xfrm>
        <a:prstGeom prst="rect">
          <a:avLst/>
        </a:prstGeom>
        <a:noFill/>
      </xdr:spPr>
    </xdr:pic>
    <xdr:clientData/>
  </xdr:twoCellAnchor>
  <xdr:twoCellAnchor editAs="oneCell">
    <xdr:from>
      <xdr:col>4</xdr:col>
      <xdr:colOff>0</xdr:colOff>
      <xdr:row>23</xdr:row>
      <xdr:rowOff>0</xdr:rowOff>
    </xdr:from>
    <xdr:to>
      <xdr:col>4</xdr:col>
      <xdr:colOff>161925</xdr:colOff>
      <xdr:row>24</xdr:row>
      <xdr:rowOff>19050</xdr:rowOff>
    </xdr:to>
    <xdr:pic>
      <xdr:nvPicPr>
        <xdr:cNvPr id="2074" name="Picture 26" descr="https://upload.wikimedia.org/wikipedia/commons/thumb/5/55/WMA_button2b.png/17px-WMA_button2b.png">
          <a:extLst>
            <a:ext uri="{FF2B5EF4-FFF2-40B4-BE49-F238E27FC236}">
              <a16:creationId xmlns:a16="http://schemas.microsoft.com/office/drawing/2014/main" id="{00000000-0008-0000-0000-00001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619500" y="8124825"/>
          <a:ext cx="161925" cy="161925"/>
        </a:xfrm>
        <a:prstGeom prst="rect">
          <a:avLst/>
        </a:prstGeom>
        <a:noFill/>
      </xdr:spPr>
    </xdr:pic>
    <xdr:clientData/>
  </xdr:twoCellAnchor>
  <xdr:twoCellAnchor editAs="oneCell">
    <xdr:from>
      <xdr:col>4</xdr:col>
      <xdr:colOff>0</xdr:colOff>
      <xdr:row>40</xdr:row>
      <xdr:rowOff>0</xdr:rowOff>
    </xdr:from>
    <xdr:to>
      <xdr:col>4</xdr:col>
      <xdr:colOff>161925</xdr:colOff>
      <xdr:row>41</xdr:row>
      <xdr:rowOff>19050</xdr:rowOff>
    </xdr:to>
    <xdr:pic>
      <xdr:nvPicPr>
        <xdr:cNvPr id="2075" name="Picture 27" descr="https://upload.wikimedia.org/wikipedia/commons/thumb/5/55/WMA_button2b.png/17px-WMA_button2b.png">
          <a:extLst>
            <a:ext uri="{FF2B5EF4-FFF2-40B4-BE49-F238E27FC236}">
              <a16:creationId xmlns:a16="http://schemas.microsoft.com/office/drawing/2014/main" id="{00000000-0008-0000-0000-00001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3467100"/>
          <a:ext cx="161925" cy="161925"/>
        </a:xfrm>
        <a:prstGeom prst="rect">
          <a:avLst/>
        </a:prstGeom>
        <a:noFill/>
      </xdr:spPr>
    </xdr:pic>
    <xdr:clientData/>
  </xdr:twoCellAnchor>
  <xdr:twoCellAnchor editAs="oneCell">
    <xdr:from>
      <xdr:col>4</xdr:col>
      <xdr:colOff>0</xdr:colOff>
      <xdr:row>42</xdr:row>
      <xdr:rowOff>0</xdr:rowOff>
    </xdr:from>
    <xdr:to>
      <xdr:col>4</xdr:col>
      <xdr:colOff>161925</xdr:colOff>
      <xdr:row>43</xdr:row>
      <xdr:rowOff>19050</xdr:rowOff>
    </xdr:to>
    <xdr:pic>
      <xdr:nvPicPr>
        <xdr:cNvPr id="2076" name="Picture 28" descr="https://upload.wikimedia.org/wikipedia/commons/thumb/5/55/WMA_button2b.png/17px-WMA_button2b.png">
          <a:extLst>
            <a:ext uri="{FF2B5EF4-FFF2-40B4-BE49-F238E27FC236}">
              <a16:creationId xmlns:a16="http://schemas.microsoft.com/office/drawing/2014/main" id="{00000000-0008-0000-0000-00001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3714750"/>
          <a:ext cx="161925" cy="161925"/>
        </a:xfrm>
        <a:prstGeom prst="rect">
          <a:avLst/>
        </a:prstGeom>
        <a:noFill/>
      </xdr:spPr>
    </xdr:pic>
    <xdr:clientData/>
  </xdr:twoCellAnchor>
  <xdr:twoCellAnchor editAs="oneCell">
    <xdr:from>
      <xdr:col>4</xdr:col>
      <xdr:colOff>0</xdr:colOff>
      <xdr:row>28</xdr:row>
      <xdr:rowOff>0</xdr:rowOff>
    </xdr:from>
    <xdr:to>
      <xdr:col>4</xdr:col>
      <xdr:colOff>161925</xdr:colOff>
      <xdr:row>29</xdr:row>
      <xdr:rowOff>19050</xdr:rowOff>
    </xdr:to>
    <xdr:pic>
      <xdr:nvPicPr>
        <xdr:cNvPr id="2077" name="Picture 29" descr="https://upload.wikimedia.org/wikipedia/commons/thumb/5/55/WMA_button2b.png/17px-WMA_button2b.png">
          <a:extLst>
            <a:ext uri="{FF2B5EF4-FFF2-40B4-BE49-F238E27FC236}">
              <a16:creationId xmlns:a16="http://schemas.microsoft.com/office/drawing/2014/main" id="{00000000-0008-0000-0000-00001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3962400"/>
          <a:ext cx="161925" cy="161925"/>
        </a:xfrm>
        <a:prstGeom prst="rect">
          <a:avLst/>
        </a:prstGeom>
        <a:noFill/>
      </xdr:spPr>
    </xdr:pic>
    <xdr:clientData/>
  </xdr:twoCellAnchor>
  <xdr:twoCellAnchor editAs="oneCell">
    <xdr:from>
      <xdr:col>4</xdr:col>
      <xdr:colOff>0</xdr:colOff>
      <xdr:row>27</xdr:row>
      <xdr:rowOff>0</xdr:rowOff>
    </xdr:from>
    <xdr:to>
      <xdr:col>4</xdr:col>
      <xdr:colOff>161925</xdr:colOff>
      <xdr:row>28</xdr:row>
      <xdr:rowOff>19050</xdr:rowOff>
    </xdr:to>
    <xdr:pic>
      <xdr:nvPicPr>
        <xdr:cNvPr id="2078" name="Picture 30" descr="https://upload.wikimedia.org/wikipedia/commons/thumb/5/55/WMA_button2b.png/17px-WMA_button2b.png">
          <a:extLst>
            <a:ext uri="{FF2B5EF4-FFF2-40B4-BE49-F238E27FC236}">
              <a16:creationId xmlns:a16="http://schemas.microsoft.com/office/drawing/2014/main" id="{00000000-0008-0000-0000-00001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4210050"/>
          <a:ext cx="161925" cy="161925"/>
        </a:xfrm>
        <a:prstGeom prst="rect">
          <a:avLst/>
        </a:prstGeom>
        <a:noFill/>
      </xdr:spPr>
    </xdr:pic>
    <xdr:clientData/>
  </xdr:twoCellAnchor>
  <xdr:twoCellAnchor editAs="oneCell">
    <xdr:from>
      <xdr:col>4</xdr:col>
      <xdr:colOff>0</xdr:colOff>
      <xdr:row>37</xdr:row>
      <xdr:rowOff>0</xdr:rowOff>
    </xdr:from>
    <xdr:to>
      <xdr:col>4</xdr:col>
      <xdr:colOff>161925</xdr:colOff>
      <xdr:row>38</xdr:row>
      <xdr:rowOff>19050</xdr:rowOff>
    </xdr:to>
    <xdr:pic>
      <xdr:nvPicPr>
        <xdr:cNvPr id="2079" name="Picture 31" descr="https://upload.wikimedia.org/wikipedia/commons/thumb/5/55/WMA_button2b.png/17px-WMA_button2b.png">
          <a:extLst>
            <a:ext uri="{FF2B5EF4-FFF2-40B4-BE49-F238E27FC236}">
              <a16:creationId xmlns:a16="http://schemas.microsoft.com/office/drawing/2014/main" id="{00000000-0008-0000-0000-00001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4457700"/>
          <a:ext cx="161925" cy="161925"/>
        </a:xfrm>
        <a:prstGeom prst="rect">
          <a:avLst/>
        </a:prstGeom>
        <a:noFill/>
      </xdr:spPr>
    </xdr:pic>
    <xdr:clientData/>
  </xdr:twoCellAnchor>
  <xdr:twoCellAnchor editAs="oneCell">
    <xdr:from>
      <xdr:col>4</xdr:col>
      <xdr:colOff>0</xdr:colOff>
      <xdr:row>36</xdr:row>
      <xdr:rowOff>0</xdr:rowOff>
    </xdr:from>
    <xdr:to>
      <xdr:col>4</xdr:col>
      <xdr:colOff>161925</xdr:colOff>
      <xdr:row>37</xdr:row>
      <xdr:rowOff>19050</xdr:rowOff>
    </xdr:to>
    <xdr:pic>
      <xdr:nvPicPr>
        <xdr:cNvPr id="2080" name="Picture 32" descr="https://upload.wikimedia.org/wikipedia/commons/thumb/5/55/WMA_button2b.png/17px-WMA_button2b.png">
          <a:extLst>
            <a:ext uri="{FF2B5EF4-FFF2-40B4-BE49-F238E27FC236}">
              <a16:creationId xmlns:a16="http://schemas.microsoft.com/office/drawing/2014/main" id="{00000000-0008-0000-0000-00002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4953000"/>
          <a:ext cx="161925" cy="161925"/>
        </a:xfrm>
        <a:prstGeom prst="rect">
          <a:avLst/>
        </a:prstGeom>
        <a:noFill/>
      </xdr:spPr>
    </xdr:pic>
    <xdr:clientData/>
  </xdr:twoCellAnchor>
  <xdr:twoCellAnchor editAs="oneCell">
    <xdr:from>
      <xdr:col>4</xdr:col>
      <xdr:colOff>0</xdr:colOff>
      <xdr:row>35</xdr:row>
      <xdr:rowOff>0</xdr:rowOff>
    </xdr:from>
    <xdr:to>
      <xdr:col>4</xdr:col>
      <xdr:colOff>161925</xdr:colOff>
      <xdr:row>36</xdr:row>
      <xdr:rowOff>19050</xdr:rowOff>
    </xdr:to>
    <xdr:pic>
      <xdr:nvPicPr>
        <xdr:cNvPr id="2081" name="Picture 33" descr="https://upload.wikimedia.org/wikipedia/commons/thumb/5/55/WMA_button2b.png/17px-WMA_button2b.png">
          <a:extLst>
            <a:ext uri="{FF2B5EF4-FFF2-40B4-BE49-F238E27FC236}">
              <a16:creationId xmlns:a16="http://schemas.microsoft.com/office/drawing/2014/main" id="{00000000-0008-0000-0000-00002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5200650"/>
          <a:ext cx="161925" cy="161925"/>
        </a:xfrm>
        <a:prstGeom prst="rect">
          <a:avLst/>
        </a:prstGeom>
        <a:noFill/>
      </xdr:spPr>
    </xdr:pic>
    <xdr:clientData/>
  </xdr:twoCellAnchor>
  <xdr:twoCellAnchor editAs="oneCell">
    <xdr:from>
      <xdr:col>4</xdr:col>
      <xdr:colOff>0</xdr:colOff>
      <xdr:row>38</xdr:row>
      <xdr:rowOff>0</xdr:rowOff>
    </xdr:from>
    <xdr:to>
      <xdr:col>4</xdr:col>
      <xdr:colOff>161925</xdr:colOff>
      <xdr:row>39</xdr:row>
      <xdr:rowOff>19050</xdr:rowOff>
    </xdr:to>
    <xdr:pic>
      <xdr:nvPicPr>
        <xdr:cNvPr id="2082" name="Picture 34" descr="https://upload.wikimedia.org/wikipedia/commons/thumb/5/55/WMA_button2b.png/17px-WMA_button2b.png">
          <a:extLst>
            <a:ext uri="{FF2B5EF4-FFF2-40B4-BE49-F238E27FC236}">
              <a16:creationId xmlns:a16="http://schemas.microsoft.com/office/drawing/2014/main" id="{00000000-0008-0000-0000-00002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5448300"/>
          <a:ext cx="161925" cy="161925"/>
        </a:xfrm>
        <a:prstGeom prst="rect">
          <a:avLst/>
        </a:prstGeom>
        <a:noFill/>
      </xdr:spPr>
    </xdr:pic>
    <xdr:clientData/>
  </xdr:twoCellAnchor>
  <xdr:twoCellAnchor editAs="oneCell">
    <xdr:from>
      <xdr:col>4</xdr:col>
      <xdr:colOff>0</xdr:colOff>
      <xdr:row>34</xdr:row>
      <xdr:rowOff>0</xdr:rowOff>
    </xdr:from>
    <xdr:to>
      <xdr:col>4</xdr:col>
      <xdr:colOff>161925</xdr:colOff>
      <xdr:row>35</xdr:row>
      <xdr:rowOff>19050</xdr:rowOff>
    </xdr:to>
    <xdr:pic>
      <xdr:nvPicPr>
        <xdr:cNvPr id="2083" name="Picture 35" descr="https://upload.wikimedia.org/wikipedia/commons/thumb/5/55/WMA_button2b.png/17px-WMA_button2b.png">
          <a:extLst>
            <a:ext uri="{FF2B5EF4-FFF2-40B4-BE49-F238E27FC236}">
              <a16:creationId xmlns:a16="http://schemas.microsoft.com/office/drawing/2014/main" id="{00000000-0008-0000-0000-00002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5695950"/>
          <a:ext cx="161925" cy="161925"/>
        </a:xfrm>
        <a:prstGeom prst="rect">
          <a:avLst/>
        </a:prstGeom>
        <a:noFill/>
      </xdr:spPr>
    </xdr:pic>
    <xdr:clientData/>
  </xdr:twoCellAnchor>
  <xdr:twoCellAnchor editAs="oneCell">
    <xdr:from>
      <xdr:col>4</xdr:col>
      <xdr:colOff>0</xdr:colOff>
      <xdr:row>32</xdr:row>
      <xdr:rowOff>0</xdr:rowOff>
    </xdr:from>
    <xdr:to>
      <xdr:col>4</xdr:col>
      <xdr:colOff>161925</xdr:colOff>
      <xdr:row>33</xdr:row>
      <xdr:rowOff>19050</xdr:rowOff>
    </xdr:to>
    <xdr:pic>
      <xdr:nvPicPr>
        <xdr:cNvPr id="2084" name="Picture 36" descr="https://upload.wikimedia.org/wikipedia/commons/thumb/5/55/WMA_button2b.png/17px-WMA_button2b.png">
          <a:extLst>
            <a:ext uri="{FF2B5EF4-FFF2-40B4-BE49-F238E27FC236}">
              <a16:creationId xmlns:a16="http://schemas.microsoft.com/office/drawing/2014/main" id="{00000000-0008-0000-0000-00002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5943600"/>
          <a:ext cx="161925" cy="161925"/>
        </a:xfrm>
        <a:prstGeom prst="rect">
          <a:avLst/>
        </a:prstGeom>
        <a:noFill/>
      </xdr:spPr>
    </xdr:pic>
    <xdr:clientData/>
  </xdr:twoCellAnchor>
  <xdr:twoCellAnchor editAs="oneCell">
    <xdr:from>
      <xdr:col>4</xdr:col>
      <xdr:colOff>0</xdr:colOff>
      <xdr:row>33</xdr:row>
      <xdr:rowOff>0</xdr:rowOff>
    </xdr:from>
    <xdr:to>
      <xdr:col>4</xdr:col>
      <xdr:colOff>161925</xdr:colOff>
      <xdr:row>34</xdr:row>
      <xdr:rowOff>19050</xdr:rowOff>
    </xdr:to>
    <xdr:pic>
      <xdr:nvPicPr>
        <xdr:cNvPr id="2085" name="Picture 37" descr="https://upload.wikimedia.org/wikipedia/commons/thumb/5/55/WMA_button2b.png/17px-WMA_button2b.png">
          <a:extLst>
            <a:ext uri="{FF2B5EF4-FFF2-40B4-BE49-F238E27FC236}">
              <a16:creationId xmlns:a16="http://schemas.microsoft.com/office/drawing/2014/main" id="{00000000-0008-0000-0000-00002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6191250"/>
          <a:ext cx="161925" cy="161925"/>
        </a:xfrm>
        <a:prstGeom prst="rect">
          <a:avLst/>
        </a:prstGeom>
        <a:noFill/>
      </xdr:spPr>
    </xdr:pic>
    <xdr:clientData/>
  </xdr:twoCellAnchor>
  <xdr:twoCellAnchor editAs="oneCell">
    <xdr:from>
      <xdr:col>4</xdr:col>
      <xdr:colOff>0</xdr:colOff>
      <xdr:row>31</xdr:row>
      <xdr:rowOff>0</xdr:rowOff>
    </xdr:from>
    <xdr:to>
      <xdr:col>4</xdr:col>
      <xdr:colOff>161925</xdr:colOff>
      <xdr:row>32</xdr:row>
      <xdr:rowOff>19050</xdr:rowOff>
    </xdr:to>
    <xdr:pic>
      <xdr:nvPicPr>
        <xdr:cNvPr id="2086" name="Picture 38" descr="https://upload.wikimedia.org/wikipedia/commons/thumb/5/55/WMA_button2b.png/17px-WMA_button2b.png">
          <a:extLst>
            <a:ext uri="{FF2B5EF4-FFF2-40B4-BE49-F238E27FC236}">
              <a16:creationId xmlns:a16="http://schemas.microsoft.com/office/drawing/2014/main" id="{00000000-0008-0000-0000-00002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6438900"/>
          <a:ext cx="161925" cy="161925"/>
        </a:xfrm>
        <a:prstGeom prst="rect">
          <a:avLst/>
        </a:prstGeom>
        <a:noFill/>
      </xdr:spPr>
    </xdr:pic>
    <xdr:clientData/>
  </xdr:twoCellAnchor>
  <xdr:twoCellAnchor editAs="oneCell">
    <xdr:from>
      <xdr:col>4</xdr:col>
      <xdr:colOff>0</xdr:colOff>
      <xdr:row>29</xdr:row>
      <xdr:rowOff>0</xdr:rowOff>
    </xdr:from>
    <xdr:to>
      <xdr:col>4</xdr:col>
      <xdr:colOff>161925</xdr:colOff>
      <xdr:row>30</xdr:row>
      <xdr:rowOff>19050</xdr:rowOff>
    </xdr:to>
    <xdr:pic>
      <xdr:nvPicPr>
        <xdr:cNvPr id="2087" name="Picture 39" descr="https://upload.wikimedia.org/wikipedia/commons/thumb/5/55/WMA_button2b.png/17px-WMA_button2b.png">
          <a:extLst>
            <a:ext uri="{FF2B5EF4-FFF2-40B4-BE49-F238E27FC236}">
              <a16:creationId xmlns:a16="http://schemas.microsoft.com/office/drawing/2014/main" id="{00000000-0008-0000-0000-00002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6686550"/>
          <a:ext cx="161925" cy="161925"/>
        </a:xfrm>
        <a:prstGeom prst="rect">
          <a:avLst/>
        </a:prstGeom>
        <a:noFill/>
      </xdr:spPr>
    </xdr:pic>
    <xdr:clientData/>
  </xdr:twoCellAnchor>
  <xdr:twoCellAnchor editAs="oneCell">
    <xdr:from>
      <xdr:col>4</xdr:col>
      <xdr:colOff>0</xdr:colOff>
      <xdr:row>41</xdr:row>
      <xdr:rowOff>0</xdr:rowOff>
    </xdr:from>
    <xdr:to>
      <xdr:col>4</xdr:col>
      <xdr:colOff>161925</xdr:colOff>
      <xdr:row>42</xdr:row>
      <xdr:rowOff>19050</xdr:rowOff>
    </xdr:to>
    <xdr:pic>
      <xdr:nvPicPr>
        <xdr:cNvPr id="2088" name="Picture 40" descr="https://upload.wikimedia.org/wikipedia/commons/thumb/5/55/WMA_button2b.png/17px-WMA_button2b.png">
          <a:extLst>
            <a:ext uri="{FF2B5EF4-FFF2-40B4-BE49-F238E27FC236}">
              <a16:creationId xmlns:a16="http://schemas.microsoft.com/office/drawing/2014/main" id="{00000000-0008-0000-0000-00002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6934200"/>
          <a:ext cx="161925" cy="161925"/>
        </a:xfrm>
        <a:prstGeom prst="rect">
          <a:avLst/>
        </a:prstGeom>
        <a:noFill/>
      </xdr:spPr>
    </xdr:pic>
    <xdr:clientData/>
  </xdr:twoCellAnchor>
  <xdr:twoCellAnchor editAs="oneCell">
    <xdr:from>
      <xdr:col>4</xdr:col>
      <xdr:colOff>0</xdr:colOff>
      <xdr:row>39</xdr:row>
      <xdr:rowOff>0</xdr:rowOff>
    </xdr:from>
    <xdr:to>
      <xdr:col>4</xdr:col>
      <xdr:colOff>161925</xdr:colOff>
      <xdr:row>40</xdr:row>
      <xdr:rowOff>19050</xdr:rowOff>
    </xdr:to>
    <xdr:pic>
      <xdr:nvPicPr>
        <xdr:cNvPr id="2089" name="Picture 41" descr="https://upload.wikimedia.org/wikipedia/commons/thumb/5/55/WMA_button2b.png/17px-WMA_button2b.png">
          <a:extLst>
            <a:ext uri="{FF2B5EF4-FFF2-40B4-BE49-F238E27FC236}">
              <a16:creationId xmlns:a16="http://schemas.microsoft.com/office/drawing/2014/main" id="{00000000-0008-0000-0000-00002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810000" y="7181850"/>
          <a:ext cx="161925" cy="161925"/>
        </a:xfrm>
        <a:prstGeom prst="rect">
          <a:avLst/>
        </a:prstGeom>
        <a:noFill/>
      </xdr:spPr>
    </xdr:pic>
    <xdr:clientData/>
  </xdr:twoCellAnchor>
  <xdr:twoCellAnchor editAs="oneCell">
    <xdr:from>
      <xdr:col>4</xdr:col>
      <xdr:colOff>0</xdr:colOff>
      <xdr:row>50</xdr:row>
      <xdr:rowOff>0</xdr:rowOff>
    </xdr:from>
    <xdr:to>
      <xdr:col>4</xdr:col>
      <xdr:colOff>161925</xdr:colOff>
      <xdr:row>51</xdr:row>
      <xdr:rowOff>19050</xdr:rowOff>
    </xdr:to>
    <xdr:pic>
      <xdr:nvPicPr>
        <xdr:cNvPr id="2090" name="Picture 42" descr="https://upload.wikimedia.org/wikipedia/commons/thumb/5/55/WMA_button2b.png/17px-WMA_button2b.png">
          <a:extLst>
            <a:ext uri="{FF2B5EF4-FFF2-40B4-BE49-F238E27FC236}">
              <a16:creationId xmlns:a16="http://schemas.microsoft.com/office/drawing/2014/main" id="{00000000-0008-0000-0000-00002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210175" y="9410700"/>
          <a:ext cx="161925" cy="161925"/>
        </a:xfrm>
        <a:prstGeom prst="rect">
          <a:avLst/>
        </a:prstGeom>
        <a:noFill/>
      </xdr:spPr>
    </xdr:pic>
    <xdr:clientData/>
  </xdr:twoCellAnchor>
  <xdr:twoCellAnchor editAs="oneCell">
    <xdr:from>
      <xdr:col>4</xdr:col>
      <xdr:colOff>0</xdr:colOff>
      <xdr:row>51</xdr:row>
      <xdr:rowOff>0</xdr:rowOff>
    </xdr:from>
    <xdr:to>
      <xdr:col>4</xdr:col>
      <xdr:colOff>161925</xdr:colOff>
      <xdr:row>52</xdr:row>
      <xdr:rowOff>19050</xdr:rowOff>
    </xdr:to>
    <xdr:pic>
      <xdr:nvPicPr>
        <xdr:cNvPr id="2091" name="Picture 43" descr="https://upload.wikimedia.org/wikipedia/commons/thumb/5/55/WMA_button2b.png/17px-WMA_button2b.png">
          <a:extLst>
            <a:ext uri="{FF2B5EF4-FFF2-40B4-BE49-F238E27FC236}">
              <a16:creationId xmlns:a16="http://schemas.microsoft.com/office/drawing/2014/main" id="{00000000-0008-0000-0000-00002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210175" y="9658350"/>
          <a:ext cx="161925" cy="161925"/>
        </a:xfrm>
        <a:prstGeom prst="rect">
          <a:avLst/>
        </a:prstGeom>
        <a:noFill/>
      </xdr:spPr>
    </xdr:pic>
    <xdr:clientData/>
  </xdr:twoCellAnchor>
  <xdr:twoCellAnchor editAs="oneCell">
    <xdr:from>
      <xdr:col>4</xdr:col>
      <xdr:colOff>0</xdr:colOff>
      <xdr:row>52</xdr:row>
      <xdr:rowOff>0</xdr:rowOff>
    </xdr:from>
    <xdr:to>
      <xdr:col>4</xdr:col>
      <xdr:colOff>161925</xdr:colOff>
      <xdr:row>53</xdr:row>
      <xdr:rowOff>19050</xdr:rowOff>
    </xdr:to>
    <xdr:pic>
      <xdr:nvPicPr>
        <xdr:cNvPr id="2092" name="Picture 44" descr="https://upload.wikimedia.org/wikipedia/commons/thumb/5/55/WMA_button2b.png/17px-WMA_button2b.png">
          <a:extLst>
            <a:ext uri="{FF2B5EF4-FFF2-40B4-BE49-F238E27FC236}">
              <a16:creationId xmlns:a16="http://schemas.microsoft.com/office/drawing/2014/main" id="{00000000-0008-0000-0000-00002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210175" y="9906000"/>
          <a:ext cx="161925" cy="161925"/>
        </a:xfrm>
        <a:prstGeom prst="rect">
          <a:avLst/>
        </a:prstGeom>
        <a:noFill/>
      </xdr:spPr>
    </xdr:pic>
    <xdr:clientData/>
  </xdr:twoCellAnchor>
  <xdr:twoCellAnchor editAs="oneCell">
    <xdr:from>
      <xdr:col>4</xdr:col>
      <xdr:colOff>0</xdr:colOff>
      <xdr:row>53</xdr:row>
      <xdr:rowOff>0</xdr:rowOff>
    </xdr:from>
    <xdr:to>
      <xdr:col>4</xdr:col>
      <xdr:colOff>161925</xdr:colOff>
      <xdr:row>54</xdr:row>
      <xdr:rowOff>19050</xdr:rowOff>
    </xdr:to>
    <xdr:pic>
      <xdr:nvPicPr>
        <xdr:cNvPr id="2093" name="Picture 45" descr="https://upload.wikimedia.org/wikipedia/commons/thumb/5/55/WMA_button2b.png/17px-WMA_button2b.png">
          <a:extLst>
            <a:ext uri="{FF2B5EF4-FFF2-40B4-BE49-F238E27FC236}">
              <a16:creationId xmlns:a16="http://schemas.microsoft.com/office/drawing/2014/main" id="{00000000-0008-0000-0000-00002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210175" y="10153650"/>
          <a:ext cx="161925" cy="161925"/>
        </a:xfrm>
        <a:prstGeom prst="rect">
          <a:avLst/>
        </a:prstGeom>
        <a:noFill/>
      </xdr:spPr>
    </xdr:pic>
    <xdr:clientData/>
  </xdr:twoCellAnchor>
  <xdr:twoCellAnchor editAs="oneCell">
    <xdr:from>
      <xdr:col>4</xdr:col>
      <xdr:colOff>0</xdr:colOff>
      <xdr:row>54</xdr:row>
      <xdr:rowOff>0</xdr:rowOff>
    </xdr:from>
    <xdr:to>
      <xdr:col>4</xdr:col>
      <xdr:colOff>161925</xdr:colOff>
      <xdr:row>55</xdr:row>
      <xdr:rowOff>19050</xdr:rowOff>
    </xdr:to>
    <xdr:pic>
      <xdr:nvPicPr>
        <xdr:cNvPr id="2094" name="Picture 46" descr="https://upload.wikimedia.org/wikipedia/commons/thumb/5/55/WMA_button2b.png/17px-WMA_button2b.png">
          <a:extLst>
            <a:ext uri="{FF2B5EF4-FFF2-40B4-BE49-F238E27FC236}">
              <a16:creationId xmlns:a16="http://schemas.microsoft.com/office/drawing/2014/main" id="{00000000-0008-0000-0000-00002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210175" y="10401300"/>
          <a:ext cx="161925" cy="161925"/>
        </a:xfrm>
        <a:prstGeom prst="rect">
          <a:avLst/>
        </a:prstGeom>
        <a:noFill/>
      </xdr:spPr>
    </xdr:pic>
    <xdr:clientData/>
  </xdr:twoCellAnchor>
  <xdr:twoCellAnchor editAs="oneCell">
    <xdr:from>
      <xdr:col>4</xdr:col>
      <xdr:colOff>0</xdr:colOff>
      <xdr:row>136</xdr:row>
      <xdr:rowOff>0</xdr:rowOff>
    </xdr:from>
    <xdr:to>
      <xdr:col>4</xdr:col>
      <xdr:colOff>161925</xdr:colOff>
      <xdr:row>137</xdr:row>
      <xdr:rowOff>19050</xdr:rowOff>
    </xdr:to>
    <xdr:pic>
      <xdr:nvPicPr>
        <xdr:cNvPr id="2123" name="Picture 75" descr="https://upload.wikimedia.org/wikipedia/commons/thumb/5/55/WMA_button2b.png/17px-WMA_button2b.png">
          <a:extLst>
            <a:ext uri="{FF2B5EF4-FFF2-40B4-BE49-F238E27FC236}">
              <a16:creationId xmlns:a16="http://schemas.microsoft.com/office/drawing/2014/main" id="{00000000-0008-0000-0000-00004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18078450"/>
          <a:ext cx="161925" cy="161925"/>
        </a:xfrm>
        <a:prstGeom prst="rect">
          <a:avLst/>
        </a:prstGeom>
        <a:noFill/>
      </xdr:spPr>
    </xdr:pic>
    <xdr:clientData/>
  </xdr:twoCellAnchor>
  <xdr:twoCellAnchor editAs="oneCell">
    <xdr:from>
      <xdr:col>4</xdr:col>
      <xdr:colOff>0</xdr:colOff>
      <xdr:row>119</xdr:row>
      <xdr:rowOff>0</xdr:rowOff>
    </xdr:from>
    <xdr:to>
      <xdr:col>4</xdr:col>
      <xdr:colOff>161925</xdr:colOff>
      <xdr:row>120</xdr:row>
      <xdr:rowOff>19050</xdr:rowOff>
    </xdr:to>
    <xdr:pic>
      <xdr:nvPicPr>
        <xdr:cNvPr id="2124" name="Picture 76" descr="https://upload.wikimedia.org/wikipedia/commons/thumb/5/55/WMA_button2b.png/17px-WMA_button2b.png">
          <a:extLst>
            <a:ext uri="{FF2B5EF4-FFF2-40B4-BE49-F238E27FC236}">
              <a16:creationId xmlns:a16="http://schemas.microsoft.com/office/drawing/2014/main" id="{00000000-0008-0000-0000-00004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18326100"/>
          <a:ext cx="161925" cy="161925"/>
        </a:xfrm>
        <a:prstGeom prst="rect">
          <a:avLst/>
        </a:prstGeom>
        <a:noFill/>
      </xdr:spPr>
    </xdr:pic>
    <xdr:clientData/>
  </xdr:twoCellAnchor>
  <xdr:twoCellAnchor editAs="oneCell">
    <xdr:from>
      <xdr:col>4</xdr:col>
      <xdr:colOff>0</xdr:colOff>
      <xdr:row>114</xdr:row>
      <xdr:rowOff>0</xdr:rowOff>
    </xdr:from>
    <xdr:to>
      <xdr:col>4</xdr:col>
      <xdr:colOff>161925</xdr:colOff>
      <xdr:row>115</xdr:row>
      <xdr:rowOff>19050</xdr:rowOff>
    </xdr:to>
    <xdr:pic>
      <xdr:nvPicPr>
        <xdr:cNvPr id="2125" name="Picture 77" descr="https://upload.wikimedia.org/wikipedia/commons/thumb/5/55/WMA_button2b.png/17px-WMA_button2b.png">
          <a:extLst>
            <a:ext uri="{FF2B5EF4-FFF2-40B4-BE49-F238E27FC236}">
              <a16:creationId xmlns:a16="http://schemas.microsoft.com/office/drawing/2014/main" id="{00000000-0008-0000-0000-00004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18573750"/>
          <a:ext cx="161925" cy="161925"/>
        </a:xfrm>
        <a:prstGeom prst="rect">
          <a:avLst/>
        </a:prstGeom>
        <a:noFill/>
      </xdr:spPr>
    </xdr:pic>
    <xdr:clientData/>
  </xdr:twoCellAnchor>
  <xdr:twoCellAnchor editAs="oneCell">
    <xdr:from>
      <xdr:col>4</xdr:col>
      <xdr:colOff>0</xdr:colOff>
      <xdr:row>123</xdr:row>
      <xdr:rowOff>0</xdr:rowOff>
    </xdr:from>
    <xdr:to>
      <xdr:col>4</xdr:col>
      <xdr:colOff>161925</xdr:colOff>
      <xdr:row>124</xdr:row>
      <xdr:rowOff>19050</xdr:rowOff>
    </xdr:to>
    <xdr:pic>
      <xdr:nvPicPr>
        <xdr:cNvPr id="2126" name="Picture 78" descr="https://upload.wikimedia.org/wikipedia/commons/thumb/5/55/WMA_button2b.png/17px-WMA_button2b.png">
          <a:extLst>
            <a:ext uri="{FF2B5EF4-FFF2-40B4-BE49-F238E27FC236}">
              <a16:creationId xmlns:a16="http://schemas.microsoft.com/office/drawing/2014/main" id="{00000000-0008-0000-0000-00004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18821400"/>
          <a:ext cx="161925" cy="161925"/>
        </a:xfrm>
        <a:prstGeom prst="rect">
          <a:avLst/>
        </a:prstGeom>
        <a:noFill/>
      </xdr:spPr>
    </xdr:pic>
    <xdr:clientData/>
  </xdr:twoCellAnchor>
  <xdr:twoCellAnchor editAs="oneCell">
    <xdr:from>
      <xdr:col>4</xdr:col>
      <xdr:colOff>0</xdr:colOff>
      <xdr:row>126</xdr:row>
      <xdr:rowOff>0</xdr:rowOff>
    </xdr:from>
    <xdr:to>
      <xdr:col>4</xdr:col>
      <xdr:colOff>161925</xdr:colOff>
      <xdr:row>127</xdr:row>
      <xdr:rowOff>19050</xdr:rowOff>
    </xdr:to>
    <xdr:pic>
      <xdr:nvPicPr>
        <xdr:cNvPr id="2127" name="Picture 79" descr="https://upload.wikimedia.org/wikipedia/commons/thumb/5/55/WMA_button2b.png/17px-WMA_button2b.png">
          <a:extLst>
            <a:ext uri="{FF2B5EF4-FFF2-40B4-BE49-F238E27FC236}">
              <a16:creationId xmlns:a16="http://schemas.microsoft.com/office/drawing/2014/main" id="{00000000-0008-0000-0000-00004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19069050"/>
          <a:ext cx="161925" cy="161925"/>
        </a:xfrm>
        <a:prstGeom prst="rect">
          <a:avLst/>
        </a:prstGeom>
        <a:noFill/>
      </xdr:spPr>
    </xdr:pic>
    <xdr:clientData/>
  </xdr:twoCellAnchor>
  <xdr:twoCellAnchor editAs="oneCell">
    <xdr:from>
      <xdr:col>4</xdr:col>
      <xdr:colOff>0</xdr:colOff>
      <xdr:row>142</xdr:row>
      <xdr:rowOff>0</xdr:rowOff>
    </xdr:from>
    <xdr:to>
      <xdr:col>4</xdr:col>
      <xdr:colOff>161925</xdr:colOff>
      <xdr:row>143</xdr:row>
      <xdr:rowOff>19050</xdr:rowOff>
    </xdr:to>
    <xdr:pic>
      <xdr:nvPicPr>
        <xdr:cNvPr id="2128" name="Picture 80" descr="https://upload.wikimedia.org/wikipedia/commons/thumb/5/55/WMA_button2b.png/17px-WMA_button2b.png">
          <a:extLst>
            <a:ext uri="{FF2B5EF4-FFF2-40B4-BE49-F238E27FC236}">
              <a16:creationId xmlns:a16="http://schemas.microsoft.com/office/drawing/2014/main" id="{00000000-0008-0000-0000-00005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19316700"/>
          <a:ext cx="161925" cy="161925"/>
        </a:xfrm>
        <a:prstGeom prst="rect">
          <a:avLst/>
        </a:prstGeom>
        <a:noFill/>
      </xdr:spPr>
    </xdr:pic>
    <xdr:clientData/>
  </xdr:twoCellAnchor>
  <xdr:twoCellAnchor editAs="oneCell">
    <xdr:from>
      <xdr:col>4</xdr:col>
      <xdr:colOff>0</xdr:colOff>
      <xdr:row>124</xdr:row>
      <xdr:rowOff>0</xdr:rowOff>
    </xdr:from>
    <xdr:to>
      <xdr:col>4</xdr:col>
      <xdr:colOff>161925</xdr:colOff>
      <xdr:row>125</xdr:row>
      <xdr:rowOff>19050</xdr:rowOff>
    </xdr:to>
    <xdr:pic>
      <xdr:nvPicPr>
        <xdr:cNvPr id="2129" name="Picture 81" descr="https://upload.wikimedia.org/wikipedia/commons/thumb/5/55/WMA_button2b.png/17px-WMA_button2b.png">
          <a:extLst>
            <a:ext uri="{FF2B5EF4-FFF2-40B4-BE49-F238E27FC236}">
              <a16:creationId xmlns:a16="http://schemas.microsoft.com/office/drawing/2014/main" id="{00000000-0008-0000-0000-00005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19564350"/>
          <a:ext cx="161925" cy="161925"/>
        </a:xfrm>
        <a:prstGeom prst="rect">
          <a:avLst/>
        </a:prstGeom>
        <a:noFill/>
      </xdr:spPr>
    </xdr:pic>
    <xdr:clientData/>
  </xdr:twoCellAnchor>
  <xdr:twoCellAnchor editAs="oneCell">
    <xdr:from>
      <xdr:col>4</xdr:col>
      <xdr:colOff>0</xdr:colOff>
      <xdr:row>130</xdr:row>
      <xdr:rowOff>0</xdr:rowOff>
    </xdr:from>
    <xdr:to>
      <xdr:col>4</xdr:col>
      <xdr:colOff>161925</xdr:colOff>
      <xdr:row>131</xdr:row>
      <xdr:rowOff>19050</xdr:rowOff>
    </xdr:to>
    <xdr:pic>
      <xdr:nvPicPr>
        <xdr:cNvPr id="2130" name="Picture 82" descr="https://upload.wikimedia.org/wikipedia/commons/thumb/5/55/WMA_button2b.png/17px-WMA_button2b.png">
          <a:extLst>
            <a:ext uri="{FF2B5EF4-FFF2-40B4-BE49-F238E27FC236}">
              <a16:creationId xmlns:a16="http://schemas.microsoft.com/office/drawing/2014/main" id="{00000000-0008-0000-0000-00005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19812000"/>
          <a:ext cx="161925" cy="161925"/>
        </a:xfrm>
        <a:prstGeom prst="rect">
          <a:avLst/>
        </a:prstGeom>
        <a:noFill/>
      </xdr:spPr>
    </xdr:pic>
    <xdr:clientData/>
  </xdr:twoCellAnchor>
  <xdr:twoCellAnchor editAs="oneCell">
    <xdr:from>
      <xdr:col>4</xdr:col>
      <xdr:colOff>0</xdr:colOff>
      <xdr:row>143</xdr:row>
      <xdr:rowOff>0</xdr:rowOff>
    </xdr:from>
    <xdr:to>
      <xdr:col>4</xdr:col>
      <xdr:colOff>161925</xdr:colOff>
      <xdr:row>144</xdr:row>
      <xdr:rowOff>19050</xdr:rowOff>
    </xdr:to>
    <xdr:pic>
      <xdr:nvPicPr>
        <xdr:cNvPr id="2131" name="Picture 83" descr="https://upload.wikimedia.org/wikipedia/commons/thumb/5/55/WMA_button2b.png/17px-WMA_button2b.png">
          <a:extLst>
            <a:ext uri="{FF2B5EF4-FFF2-40B4-BE49-F238E27FC236}">
              <a16:creationId xmlns:a16="http://schemas.microsoft.com/office/drawing/2014/main" id="{00000000-0008-0000-0000-00005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0059650"/>
          <a:ext cx="161925" cy="161925"/>
        </a:xfrm>
        <a:prstGeom prst="rect">
          <a:avLst/>
        </a:prstGeom>
        <a:noFill/>
      </xdr:spPr>
    </xdr:pic>
    <xdr:clientData/>
  </xdr:twoCellAnchor>
  <xdr:twoCellAnchor editAs="oneCell">
    <xdr:from>
      <xdr:col>4</xdr:col>
      <xdr:colOff>0</xdr:colOff>
      <xdr:row>127</xdr:row>
      <xdr:rowOff>0</xdr:rowOff>
    </xdr:from>
    <xdr:to>
      <xdr:col>4</xdr:col>
      <xdr:colOff>161925</xdr:colOff>
      <xdr:row>128</xdr:row>
      <xdr:rowOff>19050</xdr:rowOff>
    </xdr:to>
    <xdr:pic>
      <xdr:nvPicPr>
        <xdr:cNvPr id="2132" name="Picture 84" descr="https://upload.wikimedia.org/wikipedia/commons/thumb/5/55/WMA_button2b.png/17px-WMA_button2b.png">
          <a:extLst>
            <a:ext uri="{FF2B5EF4-FFF2-40B4-BE49-F238E27FC236}">
              <a16:creationId xmlns:a16="http://schemas.microsoft.com/office/drawing/2014/main" id="{00000000-0008-0000-0000-00005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0307300"/>
          <a:ext cx="161925" cy="161925"/>
        </a:xfrm>
        <a:prstGeom prst="rect">
          <a:avLst/>
        </a:prstGeom>
        <a:noFill/>
      </xdr:spPr>
    </xdr:pic>
    <xdr:clientData/>
  </xdr:twoCellAnchor>
  <xdr:twoCellAnchor editAs="oneCell">
    <xdr:from>
      <xdr:col>4</xdr:col>
      <xdr:colOff>0</xdr:colOff>
      <xdr:row>116</xdr:row>
      <xdr:rowOff>0</xdr:rowOff>
    </xdr:from>
    <xdr:to>
      <xdr:col>4</xdr:col>
      <xdr:colOff>161925</xdr:colOff>
      <xdr:row>117</xdr:row>
      <xdr:rowOff>19050</xdr:rowOff>
    </xdr:to>
    <xdr:pic>
      <xdr:nvPicPr>
        <xdr:cNvPr id="2133" name="Picture 85" descr="https://upload.wikimedia.org/wikipedia/commons/thumb/5/55/WMA_button2b.png/17px-WMA_button2b.png">
          <a:extLst>
            <a:ext uri="{FF2B5EF4-FFF2-40B4-BE49-F238E27FC236}">
              <a16:creationId xmlns:a16="http://schemas.microsoft.com/office/drawing/2014/main" id="{00000000-0008-0000-0000-00005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0554950"/>
          <a:ext cx="161925" cy="161925"/>
        </a:xfrm>
        <a:prstGeom prst="rect">
          <a:avLst/>
        </a:prstGeom>
        <a:noFill/>
      </xdr:spPr>
    </xdr:pic>
    <xdr:clientData/>
  </xdr:twoCellAnchor>
  <xdr:twoCellAnchor editAs="oneCell">
    <xdr:from>
      <xdr:col>4</xdr:col>
      <xdr:colOff>0</xdr:colOff>
      <xdr:row>107</xdr:row>
      <xdr:rowOff>0</xdr:rowOff>
    </xdr:from>
    <xdr:to>
      <xdr:col>4</xdr:col>
      <xdr:colOff>161925</xdr:colOff>
      <xdr:row>108</xdr:row>
      <xdr:rowOff>19050</xdr:rowOff>
    </xdr:to>
    <xdr:pic>
      <xdr:nvPicPr>
        <xdr:cNvPr id="2134" name="Picture 86" descr="https://upload.wikimedia.org/wikipedia/commons/thumb/5/55/WMA_button2b.png/17px-WMA_button2b.png">
          <a:extLst>
            <a:ext uri="{FF2B5EF4-FFF2-40B4-BE49-F238E27FC236}">
              <a16:creationId xmlns:a16="http://schemas.microsoft.com/office/drawing/2014/main" id="{00000000-0008-0000-0000-00005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0802600"/>
          <a:ext cx="161925" cy="161925"/>
        </a:xfrm>
        <a:prstGeom prst="rect">
          <a:avLst/>
        </a:prstGeom>
        <a:noFill/>
      </xdr:spPr>
    </xdr:pic>
    <xdr:clientData/>
  </xdr:twoCellAnchor>
  <xdr:twoCellAnchor editAs="oneCell">
    <xdr:from>
      <xdr:col>4</xdr:col>
      <xdr:colOff>0</xdr:colOff>
      <xdr:row>125</xdr:row>
      <xdr:rowOff>0</xdr:rowOff>
    </xdr:from>
    <xdr:to>
      <xdr:col>4</xdr:col>
      <xdr:colOff>161925</xdr:colOff>
      <xdr:row>126</xdr:row>
      <xdr:rowOff>19050</xdr:rowOff>
    </xdr:to>
    <xdr:pic>
      <xdr:nvPicPr>
        <xdr:cNvPr id="2135" name="Picture 87" descr="https://upload.wikimedia.org/wikipedia/commons/thumb/5/55/WMA_button2b.png/17px-WMA_button2b.png">
          <a:extLst>
            <a:ext uri="{FF2B5EF4-FFF2-40B4-BE49-F238E27FC236}">
              <a16:creationId xmlns:a16="http://schemas.microsoft.com/office/drawing/2014/main" id="{00000000-0008-0000-0000-00005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1050250"/>
          <a:ext cx="161925" cy="161925"/>
        </a:xfrm>
        <a:prstGeom prst="rect">
          <a:avLst/>
        </a:prstGeom>
        <a:noFill/>
      </xdr:spPr>
    </xdr:pic>
    <xdr:clientData/>
  </xdr:twoCellAnchor>
  <xdr:twoCellAnchor editAs="oneCell">
    <xdr:from>
      <xdr:col>4</xdr:col>
      <xdr:colOff>0</xdr:colOff>
      <xdr:row>115</xdr:row>
      <xdr:rowOff>0</xdr:rowOff>
    </xdr:from>
    <xdr:to>
      <xdr:col>4</xdr:col>
      <xdr:colOff>161925</xdr:colOff>
      <xdr:row>116</xdr:row>
      <xdr:rowOff>19050</xdr:rowOff>
    </xdr:to>
    <xdr:pic>
      <xdr:nvPicPr>
        <xdr:cNvPr id="2136" name="Picture 88" descr="https://upload.wikimedia.org/wikipedia/commons/thumb/5/55/WMA_button2b.png/17px-WMA_button2b.png">
          <a:extLst>
            <a:ext uri="{FF2B5EF4-FFF2-40B4-BE49-F238E27FC236}">
              <a16:creationId xmlns:a16="http://schemas.microsoft.com/office/drawing/2014/main" id="{00000000-0008-0000-0000-00005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1297900"/>
          <a:ext cx="161925" cy="161925"/>
        </a:xfrm>
        <a:prstGeom prst="rect">
          <a:avLst/>
        </a:prstGeom>
        <a:noFill/>
      </xdr:spPr>
    </xdr:pic>
    <xdr:clientData/>
  </xdr:twoCellAnchor>
  <xdr:twoCellAnchor editAs="oneCell">
    <xdr:from>
      <xdr:col>4</xdr:col>
      <xdr:colOff>0</xdr:colOff>
      <xdr:row>128</xdr:row>
      <xdr:rowOff>0</xdr:rowOff>
    </xdr:from>
    <xdr:to>
      <xdr:col>4</xdr:col>
      <xdr:colOff>161925</xdr:colOff>
      <xdr:row>129</xdr:row>
      <xdr:rowOff>19050</xdr:rowOff>
    </xdr:to>
    <xdr:pic>
      <xdr:nvPicPr>
        <xdr:cNvPr id="2137" name="Picture 89" descr="https://upload.wikimedia.org/wikipedia/commons/thumb/5/55/WMA_button2b.png/17px-WMA_button2b.png">
          <a:extLst>
            <a:ext uri="{FF2B5EF4-FFF2-40B4-BE49-F238E27FC236}">
              <a16:creationId xmlns:a16="http://schemas.microsoft.com/office/drawing/2014/main" id="{00000000-0008-0000-0000-00005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1545550"/>
          <a:ext cx="161925" cy="161925"/>
        </a:xfrm>
        <a:prstGeom prst="rect">
          <a:avLst/>
        </a:prstGeom>
        <a:noFill/>
      </xdr:spPr>
    </xdr:pic>
    <xdr:clientData/>
  </xdr:twoCellAnchor>
  <xdr:twoCellAnchor editAs="oneCell">
    <xdr:from>
      <xdr:col>4</xdr:col>
      <xdr:colOff>0</xdr:colOff>
      <xdr:row>105</xdr:row>
      <xdr:rowOff>0</xdr:rowOff>
    </xdr:from>
    <xdr:to>
      <xdr:col>4</xdr:col>
      <xdr:colOff>161925</xdr:colOff>
      <xdr:row>106</xdr:row>
      <xdr:rowOff>19050</xdr:rowOff>
    </xdr:to>
    <xdr:pic>
      <xdr:nvPicPr>
        <xdr:cNvPr id="2138" name="Picture 90" descr="https://upload.wikimedia.org/wikipedia/commons/thumb/5/55/WMA_button2b.png/17px-WMA_button2b.png">
          <a:extLst>
            <a:ext uri="{FF2B5EF4-FFF2-40B4-BE49-F238E27FC236}">
              <a16:creationId xmlns:a16="http://schemas.microsoft.com/office/drawing/2014/main" id="{00000000-0008-0000-0000-00005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1793200"/>
          <a:ext cx="161925" cy="161925"/>
        </a:xfrm>
        <a:prstGeom prst="rect">
          <a:avLst/>
        </a:prstGeom>
        <a:noFill/>
      </xdr:spPr>
    </xdr:pic>
    <xdr:clientData/>
  </xdr:twoCellAnchor>
  <xdr:twoCellAnchor editAs="oneCell">
    <xdr:from>
      <xdr:col>4</xdr:col>
      <xdr:colOff>0</xdr:colOff>
      <xdr:row>132</xdr:row>
      <xdr:rowOff>0</xdr:rowOff>
    </xdr:from>
    <xdr:to>
      <xdr:col>4</xdr:col>
      <xdr:colOff>161925</xdr:colOff>
      <xdr:row>133</xdr:row>
      <xdr:rowOff>19050</xdr:rowOff>
    </xdr:to>
    <xdr:pic>
      <xdr:nvPicPr>
        <xdr:cNvPr id="2139" name="Picture 91" descr="https://upload.wikimedia.org/wikipedia/commons/thumb/5/55/WMA_button2b.png/17px-WMA_button2b.png">
          <a:extLst>
            <a:ext uri="{FF2B5EF4-FFF2-40B4-BE49-F238E27FC236}">
              <a16:creationId xmlns:a16="http://schemas.microsoft.com/office/drawing/2014/main" id="{00000000-0008-0000-0000-00005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2040850"/>
          <a:ext cx="161925" cy="161925"/>
        </a:xfrm>
        <a:prstGeom prst="rect">
          <a:avLst/>
        </a:prstGeom>
        <a:noFill/>
      </xdr:spPr>
    </xdr:pic>
    <xdr:clientData/>
  </xdr:twoCellAnchor>
  <xdr:twoCellAnchor editAs="oneCell">
    <xdr:from>
      <xdr:col>4</xdr:col>
      <xdr:colOff>0</xdr:colOff>
      <xdr:row>139</xdr:row>
      <xdr:rowOff>0</xdr:rowOff>
    </xdr:from>
    <xdr:to>
      <xdr:col>4</xdr:col>
      <xdr:colOff>161925</xdr:colOff>
      <xdr:row>140</xdr:row>
      <xdr:rowOff>19050</xdr:rowOff>
    </xdr:to>
    <xdr:pic>
      <xdr:nvPicPr>
        <xdr:cNvPr id="2140" name="Picture 92" descr="https://upload.wikimedia.org/wikipedia/commons/thumb/5/55/WMA_button2b.png/17px-WMA_button2b.png">
          <a:extLst>
            <a:ext uri="{FF2B5EF4-FFF2-40B4-BE49-F238E27FC236}">
              <a16:creationId xmlns:a16="http://schemas.microsoft.com/office/drawing/2014/main" id="{00000000-0008-0000-0000-00005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2288500"/>
          <a:ext cx="161925" cy="161925"/>
        </a:xfrm>
        <a:prstGeom prst="rect">
          <a:avLst/>
        </a:prstGeom>
        <a:noFill/>
      </xdr:spPr>
    </xdr:pic>
    <xdr:clientData/>
  </xdr:twoCellAnchor>
  <xdr:twoCellAnchor editAs="oneCell">
    <xdr:from>
      <xdr:col>4</xdr:col>
      <xdr:colOff>0</xdr:colOff>
      <xdr:row>144</xdr:row>
      <xdr:rowOff>0</xdr:rowOff>
    </xdr:from>
    <xdr:to>
      <xdr:col>4</xdr:col>
      <xdr:colOff>161925</xdr:colOff>
      <xdr:row>145</xdr:row>
      <xdr:rowOff>19050</xdr:rowOff>
    </xdr:to>
    <xdr:pic>
      <xdr:nvPicPr>
        <xdr:cNvPr id="2141" name="Picture 93" descr="https://upload.wikimedia.org/wikipedia/commons/thumb/5/55/WMA_button2b.png/17px-WMA_button2b.png">
          <a:extLst>
            <a:ext uri="{FF2B5EF4-FFF2-40B4-BE49-F238E27FC236}">
              <a16:creationId xmlns:a16="http://schemas.microsoft.com/office/drawing/2014/main" id="{00000000-0008-0000-0000-00005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2536150"/>
          <a:ext cx="161925" cy="161925"/>
        </a:xfrm>
        <a:prstGeom prst="rect">
          <a:avLst/>
        </a:prstGeom>
        <a:noFill/>
      </xdr:spPr>
    </xdr:pic>
    <xdr:clientData/>
  </xdr:twoCellAnchor>
  <xdr:twoCellAnchor editAs="oneCell">
    <xdr:from>
      <xdr:col>4</xdr:col>
      <xdr:colOff>0</xdr:colOff>
      <xdr:row>121</xdr:row>
      <xdr:rowOff>0</xdr:rowOff>
    </xdr:from>
    <xdr:to>
      <xdr:col>4</xdr:col>
      <xdr:colOff>161925</xdr:colOff>
      <xdr:row>122</xdr:row>
      <xdr:rowOff>19050</xdr:rowOff>
    </xdr:to>
    <xdr:pic>
      <xdr:nvPicPr>
        <xdr:cNvPr id="2142" name="Picture 94" descr="https://upload.wikimedia.org/wikipedia/commons/thumb/5/55/WMA_button2b.png/17px-WMA_button2b.png">
          <a:extLst>
            <a:ext uri="{FF2B5EF4-FFF2-40B4-BE49-F238E27FC236}">
              <a16:creationId xmlns:a16="http://schemas.microsoft.com/office/drawing/2014/main" id="{00000000-0008-0000-0000-00005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2783800"/>
          <a:ext cx="161925" cy="161925"/>
        </a:xfrm>
        <a:prstGeom prst="rect">
          <a:avLst/>
        </a:prstGeom>
        <a:noFill/>
      </xdr:spPr>
    </xdr:pic>
    <xdr:clientData/>
  </xdr:twoCellAnchor>
  <xdr:twoCellAnchor editAs="oneCell">
    <xdr:from>
      <xdr:col>4</xdr:col>
      <xdr:colOff>0</xdr:colOff>
      <xdr:row>103</xdr:row>
      <xdr:rowOff>0</xdr:rowOff>
    </xdr:from>
    <xdr:to>
      <xdr:col>4</xdr:col>
      <xdr:colOff>161925</xdr:colOff>
      <xdr:row>104</xdr:row>
      <xdr:rowOff>19050</xdr:rowOff>
    </xdr:to>
    <xdr:pic>
      <xdr:nvPicPr>
        <xdr:cNvPr id="2143" name="Picture 95" descr="https://upload.wikimedia.org/wikipedia/commons/thumb/5/55/WMA_button2b.png/17px-WMA_button2b.png">
          <a:extLst>
            <a:ext uri="{FF2B5EF4-FFF2-40B4-BE49-F238E27FC236}">
              <a16:creationId xmlns:a16="http://schemas.microsoft.com/office/drawing/2014/main" id="{00000000-0008-0000-0000-00005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3031450"/>
          <a:ext cx="161925" cy="161925"/>
        </a:xfrm>
        <a:prstGeom prst="rect">
          <a:avLst/>
        </a:prstGeom>
        <a:noFill/>
      </xdr:spPr>
    </xdr:pic>
    <xdr:clientData/>
  </xdr:twoCellAnchor>
  <xdr:twoCellAnchor editAs="oneCell">
    <xdr:from>
      <xdr:col>4</xdr:col>
      <xdr:colOff>0</xdr:colOff>
      <xdr:row>129</xdr:row>
      <xdr:rowOff>0</xdr:rowOff>
    </xdr:from>
    <xdr:to>
      <xdr:col>4</xdr:col>
      <xdr:colOff>161925</xdr:colOff>
      <xdr:row>130</xdr:row>
      <xdr:rowOff>19050</xdr:rowOff>
    </xdr:to>
    <xdr:pic>
      <xdr:nvPicPr>
        <xdr:cNvPr id="2144" name="Picture 96" descr="https://upload.wikimedia.org/wikipedia/commons/thumb/5/55/WMA_button2b.png/17px-WMA_button2b.png">
          <a:extLst>
            <a:ext uri="{FF2B5EF4-FFF2-40B4-BE49-F238E27FC236}">
              <a16:creationId xmlns:a16="http://schemas.microsoft.com/office/drawing/2014/main" id="{00000000-0008-0000-0000-00006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3279100"/>
          <a:ext cx="161925" cy="161925"/>
        </a:xfrm>
        <a:prstGeom prst="rect">
          <a:avLst/>
        </a:prstGeom>
        <a:noFill/>
      </xdr:spPr>
    </xdr:pic>
    <xdr:clientData/>
  </xdr:twoCellAnchor>
  <xdr:twoCellAnchor editAs="oneCell">
    <xdr:from>
      <xdr:col>4</xdr:col>
      <xdr:colOff>0</xdr:colOff>
      <xdr:row>102</xdr:row>
      <xdr:rowOff>0</xdr:rowOff>
    </xdr:from>
    <xdr:to>
      <xdr:col>4</xdr:col>
      <xdr:colOff>161925</xdr:colOff>
      <xdr:row>103</xdr:row>
      <xdr:rowOff>19050</xdr:rowOff>
    </xdr:to>
    <xdr:pic>
      <xdr:nvPicPr>
        <xdr:cNvPr id="2145" name="Picture 97" descr="https://upload.wikimedia.org/wikipedia/commons/thumb/5/55/WMA_button2b.png/17px-WMA_button2b.png">
          <a:extLst>
            <a:ext uri="{FF2B5EF4-FFF2-40B4-BE49-F238E27FC236}">
              <a16:creationId xmlns:a16="http://schemas.microsoft.com/office/drawing/2014/main" id="{00000000-0008-0000-0000-00006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3526750"/>
          <a:ext cx="161925" cy="161925"/>
        </a:xfrm>
        <a:prstGeom prst="rect">
          <a:avLst/>
        </a:prstGeom>
        <a:noFill/>
      </xdr:spPr>
    </xdr:pic>
    <xdr:clientData/>
  </xdr:twoCellAnchor>
  <xdr:twoCellAnchor editAs="oneCell">
    <xdr:from>
      <xdr:col>4</xdr:col>
      <xdr:colOff>0</xdr:colOff>
      <xdr:row>111</xdr:row>
      <xdr:rowOff>0</xdr:rowOff>
    </xdr:from>
    <xdr:to>
      <xdr:col>4</xdr:col>
      <xdr:colOff>161925</xdr:colOff>
      <xdr:row>112</xdr:row>
      <xdr:rowOff>19050</xdr:rowOff>
    </xdr:to>
    <xdr:pic>
      <xdr:nvPicPr>
        <xdr:cNvPr id="2146" name="Picture 98" descr="https://upload.wikimedia.org/wikipedia/commons/thumb/5/55/WMA_button2b.png/17px-WMA_button2b.png">
          <a:extLst>
            <a:ext uri="{FF2B5EF4-FFF2-40B4-BE49-F238E27FC236}">
              <a16:creationId xmlns:a16="http://schemas.microsoft.com/office/drawing/2014/main" id="{00000000-0008-0000-0000-00006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3774400"/>
          <a:ext cx="161925" cy="161925"/>
        </a:xfrm>
        <a:prstGeom prst="rect">
          <a:avLst/>
        </a:prstGeom>
        <a:noFill/>
      </xdr:spPr>
    </xdr:pic>
    <xdr:clientData/>
  </xdr:twoCellAnchor>
  <xdr:twoCellAnchor editAs="oneCell">
    <xdr:from>
      <xdr:col>4</xdr:col>
      <xdr:colOff>0</xdr:colOff>
      <xdr:row>120</xdr:row>
      <xdr:rowOff>0</xdr:rowOff>
    </xdr:from>
    <xdr:to>
      <xdr:col>4</xdr:col>
      <xdr:colOff>161925</xdr:colOff>
      <xdr:row>121</xdr:row>
      <xdr:rowOff>19050</xdr:rowOff>
    </xdr:to>
    <xdr:pic>
      <xdr:nvPicPr>
        <xdr:cNvPr id="2147" name="Picture 99" descr="https://upload.wikimedia.org/wikipedia/commons/thumb/5/55/WMA_button2b.png/17px-WMA_button2b.png">
          <a:extLst>
            <a:ext uri="{FF2B5EF4-FFF2-40B4-BE49-F238E27FC236}">
              <a16:creationId xmlns:a16="http://schemas.microsoft.com/office/drawing/2014/main" id="{00000000-0008-0000-0000-00006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4022050"/>
          <a:ext cx="161925" cy="161925"/>
        </a:xfrm>
        <a:prstGeom prst="rect">
          <a:avLst/>
        </a:prstGeom>
        <a:noFill/>
      </xdr:spPr>
    </xdr:pic>
    <xdr:clientData/>
  </xdr:twoCellAnchor>
  <xdr:twoCellAnchor editAs="oneCell">
    <xdr:from>
      <xdr:col>4</xdr:col>
      <xdr:colOff>0</xdr:colOff>
      <xdr:row>108</xdr:row>
      <xdr:rowOff>0</xdr:rowOff>
    </xdr:from>
    <xdr:to>
      <xdr:col>4</xdr:col>
      <xdr:colOff>161925</xdr:colOff>
      <xdr:row>109</xdr:row>
      <xdr:rowOff>19050</xdr:rowOff>
    </xdr:to>
    <xdr:pic>
      <xdr:nvPicPr>
        <xdr:cNvPr id="2148" name="Picture 100" descr="https://upload.wikimedia.org/wikipedia/commons/thumb/5/55/WMA_button2b.png/17px-WMA_button2b.png">
          <a:extLst>
            <a:ext uri="{FF2B5EF4-FFF2-40B4-BE49-F238E27FC236}">
              <a16:creationId xmlns:a16="http://schemas.microsoft.com/office/drawing/2014/main" id="{00000000-0008-0000-0000-00006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4269700"/>
          <a:ext cx="161925" cy="161925"/>
        </a:xfrm>
        <a:prstGeom prst="rect">
          <a:avLst/>
        </a:prstGeom>
        <a:noFill/>
      </xdr:spPr>
    </xdr:pic>
    <xdr:clientData/>
  </xdr:twoCellAnchor>
  <xdr:twoCellAnchor editAs="oneCell">
    <xdr:from>
      <xdr:col>4</xdr:col>
      <xdr:colOff>0</xdr:colOff>
      <xdr:row>133</xdr:row>
      <xdr:rowOff>0</xdr:rowOff>
    </xdr:from>
    <xdr:to>
      <xdr:col>4</xdr:col>
      <xdr:colOff>161925</xdr:colOff>
      <xdr:row>134</xdr:row>
      <xdr:rowOff>19050</xdr:rowOff>
    </xdr:to>
    <xdr:pic>
      <xdr:nvPicPr>
        <xdr:cNvPr id="2149" name="Picture 101" descr="https://upload.wikimedia.org/wikipedia/commons/thumb/5/55/WMA_button2b.png/17px-WMA_button2b.png">
          <a:extLst>
            <a:ext uri="{FF2B5EF4-FFF2-40B4-BE49-F238E27FC236}">
              <a16:creationId xmlns:a16="http://schemas.microsoft.com/office/drawing/2014/main" id="{00000000-0008-0000-0000-00006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4517350"/>
          <a:ext cx="161925" cy="161925"/>
        </a:xfrm>
        <a:prstGeom prst="rect">
          <a:avLst/>
        </a:prstGeom>
        <a:noFill/>
      </xdr:spPr>
    </xdr:pic>
    <xdr:clientData/>
  </xdr:twoCellAnchor>
  <xdr:twoCellAnchor editAs="oneCell">
    <xdr:from>
      <xdr:col>4</xdr:col>
      <xdr:colOff>0</xdr:colOff>
      <xdr:row>141</xdr:row>
      <xdr:rowOff>0</xdr:rowOff>
    </xdr:from>
    <xdr:to>
      <xdr:col>4</xdr:col>
      <xdr:colOff>161925</xdr:colOff>
      <xdr:row>142</xdr:row>
      <xdr:rowOff>19050</xdr:rowOff>
    </xdr:to>
    <xdr:pic>
      <xdr:nvPicPr>
        <xdr:cNvPr id="2150" name="Picture 102" descr="https://upload.wikimedia.org/wikipedia/commons/thumb/5/55/WMA_button2b.png/17px-WMA_button2b.png">
          <a:extLst>
            <a:ext uri="{FF2B5EF4-FFF2-40B4-BE49-F238E27FC236}">
              <a16:creationId xmlns:a16="http://schemas.microsoft.com/office/drawing/2014/main" id="{00000000-0008-0000-0000-00006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486525" y="24765000"/>
          <a:ext cx="161925" cy="161925"/>
        </a:xfrm>
        <a:prstGeom prst="rect">
          <a:avLst/>
        </a:prstGeom>
        <a:noFill/>
      </xdr:spPr>
    </xdr:pic>
    <xdr:clientData/>
  </xdr:twoCellAnchor>
  <xdr:twoCellAnchor editAs="oneCell">
    <xdr:from>
      <xdr:col>4</xdr:col>
      <xdr:colOff>0</xdr:colOff>
      <xdr:row>93</xdr:row>
      <xdr:rowOff>0</xdr:rowOff>
    </xdr:from>
    <xdr:to>
      <xdr:col>4</xdr:col>
      <xdr:colOff>161925</xdr:colOff>
      <xdr:row>94</xdr:row>
      <xdr:rowOff>19050</xdr:rowOff>
    </xdr:to>
    <xdr:pic>
      <xdr:nvPicPr>
        <xdr:cNvPr id="2151" name="Picture 103" descr="https://upload.wikimedia.org/wikipedia/commons/thumb/5/55/WMA_button2b.png/17px-WMA_button2b.png">
          <a:extLst>
            <a:ext uri="{FF2B5EF4-FFF2-40B4-BE49-F238E27FC236}">
              <a16:creationId xmlns:a16="http://schemas.microsoft.com/office/drawing/2014/main" id="{00000000-0008-0000-0000-00006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5507950"/>
          <a:ext cx="161925" cy="161925"/>
        </a:xfrm>
        <a:prstGeom prst="rect">
          <a:avLst/>
        </a:prstGeom>
        <a:noFill/>
      </xdr:spPr>
    </xdr:pic>
    <xdr:clientData/>
  </xdr:twoCellAnchor>
  <xdr:twoCellAnchor editAs="oneCell">
    <xdr:from>
      <xdr:col>4</xdr:col>
      <xdr:colOff>0</xdr:colOff>
      <xdr:row>112</xdr:row>
      <xdr:rowOff>0</xdr:rowOff>
    </xdr:from>
    <xdr:to>
      <xdr:col>4</xdr:col>
      <xdr:colOff>161925</xdr:colOff>
      <xdr:row>113</xdr:row>
      <xdr:rowOff>19050</xdr:rowOff>
    </xdr:to>
    <xdr:pic>
      <xdr:nvPicPr>
        <xdr:cNvPr id="2152" name="Picture 104" descr="https://upload.wikimedia.org/wikipedia/commons/thumb/5/55/WMA_button2b.png/17px-WMA_button2b.png">
          <a:extLst>
            <a:ext uri="{FF2B5EF4-FFF2-40B4-BE49-F238E27FC236}">
              <a16:creationId xmlns:a16="http://schemas.microsoft.com/office/drawing/2014/main" id="{00000000-0008-0000-0000-00006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5755600"/>
          <a:ext cx="161925" cy="161925"/>
        </a:xfrm>
        <a:prstGeom prst="rect">
          <a:avLst/>
        </a:prstGeom>
        <a:noFill/>
      </xdr:spPr>
    </xdr:pic>
    <xdr:clientData/>
  </xdr:twoCellAnchor>
  <xdr:twoCellAnchor editAs="oneCell">
    <xdr:from>
      <xdr:col>4</xdr:col>
      <xdr:colOff>0</xdr:colOff>
      <xdr:row>131</xdr:row>
      <xdr:rowOff>0</xdr:rowOff>
    </xdr:from>
    <xdr:to>
      <xdr:col>4</xdr:col>
      <xdr:colOff>161925</xdr:colOff>
      <xdr:row>131</xdr:row>
      <xdr:rowOff>161925</xdr:rowOff>
    </xdr:to>
    <xdr:pic>
      <xdr:nvPicPr>
        <xdr:cNvPr id="2153" name="Picture 105" descr="https://upload.wikimedia.org/wikipedia/commons/thumb/5/55/WMA_button2b.png/17px-WMA_button2b.png">
          <a:extLst>
            <a:ext uri="{FF2B5EF4-FFF2-40B4-BE49-F238E27FC236}">
              <a16:creationId xmlns:a16="http://schemas.microsoft.com/office/drawing/2014/main" id="{00000000-0008-0000-0000-00006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6003250"/>
          <a:ext cx="161925" cy="161925"/>
        </a:xfrm>
        <a:prstGeom prst="rect">
          <a:avLst/>
        </a:prstGeom>
        <a:noFill/>
      </xdr:spPr>
    </xdr:pic>
    <xdr:clientData/>
  </xdr:twoCellAnchor>
  <xdr:twoCellAnchor editAs="oneCell">
    <xdr:from>
      <xdr:col>4</xdr:col>
      <xdr:colOff>0</xdr:colOff>
      <xdr:row>92</xdr:row>
      <xdr:rowOff>0</xdr:rowOff>
    </xdr:from>
    <xdr:to>
      <xdr:col>4</xdr:col>
      <xdr:colOff>161925</xdr:colOff>
      <xdr:row>93</xdr:row>
      <xdr:rowOff>19050</xdr:rowOff>
    </xdr:to>
    <xdr:pic>
      <xdr:nvPicPr>
        <xdr:cNvPr id="2154" name="Picture 106" descr="https://upload.wikimedia.org/wikipedia/commons/thumb/5/55/WMA_button2b.png/17px-WMA_button2b.png">
          <a:extLst>
            <a:ext uri="{FF2B5EF4-FFF2-40B4-BE49-F238E27FC236}">
              <a16:creationId xmlns:a16="http://schemas.microsoft.com/office/drawing/2014/main" id="{00000000-0008-0000-0000-00006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6250900"/>
          <a:ext cx="161925" cy="161925"/>
        </a:xfrm>
        <a:prstGeom prst="rect">
          <a:avLst/>
        </a:prstGeom>
        <a:noFill/>
      </xdr:spPr>
    </xdr:pic>
    <xdr:clientData/>
  </xdr:twoCellAnchor>
  <xdr:twoCellAnchor editAs="oneCell">
    <xdr:from>
      <xdr:col>4</xdr:col>
      <xdr:colOff>0</xdr:colOff>
      <xdr:row>101</xdr:row>
      <xdr:rowOff>0</xdr:rowOff>
    </xdr:from>
    <xdr:to>
      <xdr:col>4</xdr:col>
      <xdr:colOff>161925</xdr:colOff>
      <xdr:row>102</xdr:row>
      <xdr:rowOff>19050</xdr:rowOff>
    </xdr:to>
    <xdr:pic>
      <xdr:nvPicPr>
        <xdr:cNvPr id="2155" name="Picture 107" descr="https://upload.wikimedia.org/wikipedia/commons/thumb/5/55/WMA_button2b.png/17px-WMA_button2b.png">
          <a:extLst>
            <a:ext uri="{FF2B5EF4-FFF2-40B4-BE49-F238E27FC236}">
              <a16:creationId xmlns:a16="http://schemas.microsoft.com/office/drawing/2014/main" id="{00000000-0008-0000-0000-00006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6498550"/>
          <a:ext cx="161925" cy="161925"/>
        </a:xfrm>
        <a:prstGeom prst="rect">
          <a:avLst/>
        </a:prstGeom>
        <a:noFill/>
      </xdr:spPr>
    </xdr:pic>
    <xdr:clientData/>
  </xdr:twoCellAnchor>
  <xdr:twoCellAnchor editAs="oneCell">
    <xdr:from>
      <xdr:col>4</xdr:col>
      <xdr:colOff>0</xdr:colOff>
      <xdr:row>110</xdr:row>
      <xdr:rowOff>0</xdr:rowOff>
    </xdr:from>
    <xdr:to>
      <xdr:col>4</xdr:col>
      <xdr:colOff>161925</xdr:colOff>
      <xdr:row>111</xdr:row>
      <xdr:rowOff>19050</xdr:rowOff>
    </xdr:to>
    <xdr:pic>
      <xdr:nvPicPr>
        <xdr:cNvPr id="2156" name="Picture 108" descr="https://upload.wikimedia.org/wikipedia/commons/thumb/5/55/WMA_button2b.png/17px-WMA_button2b.png">
          <a:extLst>
            <a:ext uri="{FF2B5EF4-FFF2-40B4-BE49-F238E27FC236}">
              <a16:creationId xmlns:a16="http://schemas.microsoft.com/office/drawing/2014/main" id="{00000000-0008-0000-0000-00006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6746200"/>
          <a:ext cx="161925" cy="161925"/>
        </a:xfrm>
        <a:prstGeom prst="rect">
          <a:avLst/>
        </a:prstGeom>
        <a:noFill/>
      </xdr:spPr>
    </xdr:pic>
    <xdr:clientData/>
  </xdr:twoCellAnchor>
  <xdr:twoCellAnchor editAs="oneCell">
    <xdr:from>
      <xdr:col>4</xdr:col>
      <xdr:colOff>0</xdr:colOff>
      <xdr:row>86</xdr:row>
      <xdr:rowOff>0</xdr:rowOff>
    </xdr:from>
    <xdr:to>
      <xdr:col>4</xdr:col>
      <xdr:colOff>161925</xdr:colOff>
      <xdr:row>87</xdr:row>
      <xdr:rowOff>19050</xdr:rowOff>
    </xdr:to>
    <xdr:pic>
      <xdr:nvPicPr>
        <xdr:cNvPr id="2157" name="Picture 109" descr="https://upload.wikimedia.org/wikipedia/commons/thumb/5/55/WMA_button2b.png/17px-WMA_button2b.png">
          <a:extLst>
            <a:ext uri="{FF2B5EF4-FFF2-40B4-BE49-F238E27FC236}">
              <a16:creationId xmlns:a16="http://schemas.microsoft.com/office/drawing/2014/main" id="{00000000-0008-0000-0000-00006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6993850"/>
          <a:ext cx="161925" cy="161925"/>
        </a:xfrm>
        <a:prstGeom prst="rect">
          <a:avLst/>
        </a:prstGeom>
        <a:noFill/>
      </xdr:spPr>
    </xdr:pic>
    <xdr:clientData/>
  </xdr:twoCellAnchor>
  <xdr:twoCellAnchor editAs="oneCell">
    <xdr:from>
      <xdr:col>4</xdr:col>
      <xdr:colOff>0</xdr:colOff>
      <xdr:row>94</xdr:row>
      <xdr:rowOff>0</xdr:rowOff>
    </xdr:from>
    <xdr:to>
      <xdr:col>4</xdr:col>
      <xdr:colOff>161925</xdr:colOff>
      <xdr:row>95</xdr:row>
      <xdr:rowOff>19050</xdr:rowOff>
    </xdr:to>
    <xdr:pic>
      <xdr:nvPicPr>
        <xdr:cNvPr id="2158" name="Picture 110" descr="https://upload.wikimedia.org/wikipedia/commons/thumb/5/55/WMA_button2b.png/17px-WMA_button2b.png">
          <a:extLst>
            <a:ext uri="{FF2B5EF4-FFF2-40B4-BE49-F238E27FC236}">
              <a16:creationId xmlns:a16="http://schemas.microsoft.com/office/drawing/2014/main" id="{00000000-0008-0000-0000-00006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7241500"/>
          <a:ext cx="161925" cy="161925"/>
        </a:xfrm>
        <a:prstGeom prst="rect">
          <a:avLst/>
        </a:prstGeom>
        <a:noFill/>
      </xdr:spPr>
    </xdr:pic>
    <xdr:clientData/>
  </xdr:twoCellAnchor>
  <xdr:twoCellAnchor editAs="oneCell">
    <xdr:from>
      <xdr:col>4</xdr:col>
      <xdr:colOff>0</xdr:colOff>
      <xdr:row>100</xdr:row>
      <xdr:rowOff>0</xdr:rowOff>
    </xdr:from>
    <xdr:to>
      <xdr:col>4</xdr:col>
      <xdr:colOff>161925</xdr:colOff>
      <xdr:row>101</xdr:row>
      <xdr:rowOff>19050</xdr:rowOff>
    </xdr:to>
    <xdr:pic>
      <xdr:nvPicPr>
        <xdr:cNvPr id="2159" name="Picture 111" descr="https://upload.wikimedia.org/wikipedia/commons/thumb/5/55/WMA_button2b.png/17px-WMA_button2b.png">
          <a:extLst>
            <a:ext uri="{FF2B5EF4-FFF2-40B4-BE49-F238E27FC236}">
              <a16:creationId xmlns:a16="http://schemas.microsoft.com/office/drawing/2014/main" id="{00000000-0008-0000-0000-00006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7489150"/>
          <a:ext cx="161925" cy="161925"/>
        </a:xfrm>
        <a:prstGeom prst="rect">
          <a:avLst/>
        </a:prstGeom>
        <a:noFill/>
      </xdr:spPr>
    </xdr:pic>
    <xdr:clientData/>
  </xdr:twoCellAnchor>
  <xdr:twoCellAnchor editAs="oneCell">
    <xdr:from>
      <xdr:col>4</xdr:col>
      <xdr:colOff>0</xdr:colOff>
      <xdr:row>91</xdr:row>
      <xdr:rowOff>0</xdr:rowOff>
    </xdr:from>
    <xdr:to>
      <xdr:col>4</xdr:col>
      <xdr:colOff>161925</xdr:colOff>
      <xdr:row>92</xdr:row>
      <xdr:rowOff>19050</xdr:rowOff>
    </xdr:to>
    <xdr:pic>
      <xdr:nvPicPr>
        <xdr:cNvPr id="2160" name="Picture 112" descr="https://upload.wikimedia.org/wikipedia/commons/thumb/5/55/WMA_button2b.png/17px-WMA_button2b.png">
          <a:extLst>
            <a:ext uri="{FF2B5EF4-FFF2-40B4-BE49-F238E27FC236}">
              <a16:creationId xmlns:a16="http://schemas.microsoft.com/office/drawing/2014/main" id="{00000000-0008-0000-0000-00007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7736800"/>
          <a:ext cx="161925" cy="161925"/>
        </a:xfrm>
        <a:prstGeom prst="rect">
          <a:avLst/>
        </a:prstGeom>
        <a:noFill/>
      </xdr:spPr>
    </xdr:pic>
    <xdr:clientData/>
  </xdr:twoCellAnchor>
  <xdr:twoCellAnchor editAs="oneCell">
    <xdr:from>
      <xdr:col>4</xdr:col>
      <xdr:colOff>0</xdr:colOff>
      <xdr:row>88</xdr:row>
      <xdr:rowOff>0</xdr:rowOff>
    </xdr:from>
    <xdr:to>
      <xdr:col>4</xdr:col>
      <xdr:colOff>161925</xdr:colOff>
      <xdr:row>89</xdr:row>
      <xdr:rowOff>19050</xdr:rowOff>
    </xdr:to>
    <xdr:pic>
      <xdr:nvPicPr>
        <xdr:cNvPr id="2161" name="Picture 113" descr="https://upload.wikimedia.org/wikipedia/commons/thumb/5/55/WMA_button2b.png/17px-WMA_button2b.png">
          <a:extLst>
            <a:ext uri="{FF2B5EF4-FFF2-40B4-BE49-F238E27FC236}">
              <a16:creationId xmlns:a16="http://schemas.microsoft.com/office/drawing/2014/main" id="{00000000-0008-0000-0000-00007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7984450"/>
          <a:ext cx="161925" cy="161925"/>
        </a:xfrm>
        <a:prstGeom prst="rect">
          <a:avLst/>
        </a:prstGeom>
        <a:noFill/>
      </xdr:spPr>
    </xdr:pic>
    <xdr:clientData/>
  </xdr:twoCellAnchor>
  <xdr:twoCellAnchor editAs="oneCell">
    <xdr:from>
      <xdr:col>4</xdr:col>
      <xdr:colOff>0</xdr:colOff>
      <xdr:row>98</xdr:row>
      <xdr:rowOff>0</xdr:rowOff>
    </xdr:from>
    <xdr:to>
      <xdr:col>4</xdr:col>
      <xdr:colOff>161925</xdr:colOff>
      <xdr:row>99</xdr:row>
      <xdr:rowOff>19050</xdr:rowOff>
    </xdr:to>
    <xdr:pic>
      <xdr:nvPicPr>
        <xdr:cNvPr id="2162" name="Picture 114" descr="https://upload.wikimedia.org/wikipedia/commons/thumb/5/55/WMA_button2b.png/17px-WMA_button2b.png">
          <a:extLst>
            <a:ext uri="{FF2B5EF4-FFF2-40B4-BE49-F238E27FC236}">
              <a16:creationId xmlns:a16="http://schemas.microsoft.com/office/drawing/2014/main" id="{00000000-0008-0000-0000-00007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8232100"/>
          <a:ext cx="161925" cy="161925"/>
        </a:xfrm>
        <a:prstGeom prst="rect">
          <a:avLst/>
        </a:prstGeom>
        <a:noFill/>
      </xdr:spPr>
    </xdr:pic>
    <xdr:clientData/>
  </xdr:twoCellAnchor>
  <xdr:twoCellAnchor editAs="oneCell">
    <xdr:from>
      <xdr:col>4</xdr:col>
      <xdr:colOff>0</xdr:colOff>
      <xdr:row>96</xdr:row>
      <xdr:rowOff>0</xdr:rowOff>
    </xdr:from>
    <xdr:to>
      <xdr:col>4</xdr:col>
      <xdr:colOff>161925</xdr:colOff>
      <xdr:row>97</xdr:row>
      <xdr:rowOff>19050</xdr:rowOff>
    </xdr:to>
    <xdr:pic>
      <xdr:nvPicPr>
        <xdr:cNvPr id="2163" name="Picture 115" descr="https://upload.wikimedia.org/wikipedia/commons/thumb/5/55/WMA_button2b.png/17px-WMA_button2b.png">
          <a:extLst>
            <a:ext uri="{FF2B5EF4-FFF2-40B4-BE49-F238E27FC236}">
              <a16:creationId xmlns:a16="http://schemas.microsoft.com/office/drawing/2014/main" id="{00000000-0008-0000-0000-00007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8479750"/>
          <a:ext cx="161925" cy="161925"/>
        </a:xfrm>
        <a:prstGeom prst="rect">
          <a:avLst/>
        </a:prstGeom>
        <a:noFill/>
      </xdr:spPr>
    </xdr:pic>
    <xdr:clientData/>
  </xdr:twoCellAnchor>
  <xdr:twoCellAnchor editAs="oneCell">
    <xdr:from>
      <xdr:col>4</xdr:col>
      <xdr:colOff>0</xdr:colOff>
      <xdr:row>109</xdr:row>
      <xdr:rowOff>0</xdr:rowOff>
    </xdr:from>
    <xdr:to>
      <xdr:col>4</xdr:col>
      <xdr:colOff>161925</xdr:colOff>
      <xdr:row>110</xdr:row>
      <xdr:rowOff>19050</xdr:rowOff>
    </xdr:to>
    <xdr:pic>
      <xdr:nvPicPr>
        <xdr:cNvPr id="2164" name="Picture 116" descr="https://upload.wikimedia.org/wikipedia/commons/thumb/5/55/WMA_button2b.png/17px-WMA_button2b.png">
          <a:extLst>
            <a:ext uri="{FF2B5EF4-FFF2-40B4-BE49-F238E27FC236}">
              <a16:creationId xmlns:a16="http://schemas.microsoft.com/office/drawing/2014/main" id="{00000000-0008-0000-0000-00007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8727400"/>
          <a:ext cx="161925" cy="161925"/>
        </a:xfrm>
        <a:prstGeom prst="rect">
          <a:avLst/>
        </a:prstGeom>
        <a:noFill/>
      </xdr:spPr>
    </xdr:pic>
    <xdr:clientData/>
  </xdr:twoCellAnchor>
  <xdr:twoCellAnchor editAs="oneCell">
    <xdr:from>
      <xdr:col>4</xdr:col>
      <xdr:colOff>0</xdr:colOff>
      <xdr:row>87</xdr:row>
      <xdr:rowOff>0</xdr:rowOff>
    </xdr:from>
    <xdr:to>
      <xdr:col>4</xdr:col>
      <xdr:colOff>161925</xdr:colOff>
      <xdr:row>88</xdr:row>
      <xdr:rowOff>19050</xdr:rowOff>
    </xdr:to>
    <xdr:pic>
      <xdr:nvPicPr>
        <xdr:cNvPr id="2165" name="Picture 117" descr="https://upload.wikimedia.org/wikipedia/commons/thumb/5/55/WMA_button2b.png/17px-WMA_button2b.png">
          <a:extLst>
            <a:ext uri="{FF2B5EF4-FFF2-40B4-BE49-F238E27FC236}">
              <a16:creationId xmlns:a16="http://schemas.microsoft.com/office/drawing/2014/main" id="{00000000-0008-0000-0000-00007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8975050"/>
          <a:ext cx="161925" cy="161925"/>
        </a:xfrm>
        <a:prstGeom prst="rect">
          <a:avLst/>
        </a:prstGeom>
        <a:noFill/>
      </xdr:spPr>
    </xdr:pic>
    <xdr:clientData/>
  </xdr:twoCellAnchor>
  <xdr:twoCellAnchor editAs="oneCell">
    <xdr:from>
      <xdr:col>4</xdr:col>
      <xdr:colOff>0</xdr:colOff>
      <xdr:row>140</xdr:row>
      <xdr:rowOff>0</xdr:rowOff>
    </xdr:from>
    <xdr:to>
      <xdr:col>4</xdr:col>
      <xdr:colOff>161925</xdr:colOff>
      <xdr:row>141</xdr:row>
      <xdr:rowOff>19050</xdr:rowOff>
    </xdr:to>
    <xdr:pic>
      <xdr:nvPicPr>
        <xdr:cNvPr id="2166" name="Picture 118" descr="https://upload.wikimedia.org/wikipedia/commons/thumb/5/55/WMA_button2b.png/17px-WMA_button2b.png">
          <a:extLst>
            <a:ext uri="{FF2B5EF4-FFF2-40B4-BE49-F238E27FC236}">
              <a16:creationId xmlns:a16="http://schemas.microsoft.com/office/drawing/2014/main" id="{00000000-0008-0000-0000-00007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9222700"/>
          <a:ext cx="161925" cy="161925"/>
        </a:xfrm>
        <a:prstGeom prst="rect">
          <a:avLst/>
        </a:prstGeom>
        <a:noFill/>
      </xdr:spPr>
    </xdr:pic>
    <xdr:clientData/>
  </xdr:twoCellAnchor>
  <xdr:twoCellAnchor editAs="oneCell">
    <xdr:from>
      <xdr:col>4</xdr:col>
      <xdr:colOff>0</xdr:colOff>
      <xdr:row>104</xdr:row>
      <xdr:rowOff>0</xdr:rowOff>
    </xdr:from>
    <xdr:to>
      <xdr:col>4</xdr:col>
      <xdr:colOff>161925</xdr:colOff>
      <xdr:row>105</xdr:row>
      <xdr:rowOff>19050</xdr:rowOff>
    </xdr:to>
    <xdr:pic>
      <xdr:nvPicPr>
        <xdr:cNvPr id="2167" name="Picture 119" descr="https://upload.wikimedia.org/wikipedia/commons/thumb/5/55/WMA_button2b.png/17px-WMA_button2b.png">
          <a:extLst>
            <a:ext uri="{FF2B5EF4-FFF2-40B4-BE49-F238E27FC236}">
              <a16:creationId xmlns:a16="http://schemas.microsoft.com/office/drawing/2014/main" id="{00000000-0008-0000-0000-00007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9470350"/>
          <a:ext cx="161925" cy="161925"/>
        </a:xfrm>
        <a:prstGeom prst="rect">
          <a:avLst/>
        </a:prstGeom>
        <a:noFill/>
      </xdr:spPr>
    </xdr:pic>
    <xdr:clientData/>
  </xdr:twoCellAnchor>
  <xdr:twoCellAnchor editAs="oneCell">
    <xdr:from>
      <xdr:col>4</xdr:col>
      <xdr:colOff>0</xdr:colOff>
      <xdr:row>134</xdr:row>
      <xdr:rowOff>0</xdr:rowOff>
    </xdr:from>
    <xdr:to>
      <xdr:col>4</xdr:col>
      <xdr:colOff>161925</xdr:colOff>
      <xdr:row>135</xdr:row>
      <xdr:rowOff>19050</xdr:rowOff>
    </xdr:to>
    <xdr:pic>
      <xdr:nvPicPr>
        <xdr:cNvPr id="2168" name="Picture 120" descr="https://upload.wikimedia.org/wikipedia/commons/thumb/5/55/WMA_button2b.png/17px-WMA_button2b.png">
          <a:extLst>
            <a:ext uri="{FF2B5EF4-FFF2-40B4-BE49-F238E27FC236}">
              <a16:creationId xmlns:a16="http://schemas.microsoft.com/office/drawing/2014/main" id="{00000000-0008-0000-0000-00007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9718000"/>
          <a:ext cx="161925" cy="161925"/>
        </a:xfrm>
        <a:prstGeom prst="rect">
          <a:avLst/>
        </a:prstGeom>
        <a:noFill/>
      </xdr:spPr>
    </xdr:pic>
    <xdr:clientData/>
  </xdr:twoCellAnchor>
  <xdr:twoCellAnchor editAs="oneCell">
    <xdr:from>
      <xdr:col>4</xdr:col>
      <xdr:colOff>0</xdr:colOff>
      <xdr:row>138</xdr:row>
      <xdr:rowOff>0</xdr:rowOff>
    </xdr:from>
    <xdr:to>
      <xdr:col>4</xdr:col>
      <xdr:colOff>161925</xdr:colOff>
      <xdr:row>139</xdr:row>
      <xdr:rowOff>19050</xdr:rowOff>
    </xdr:to>
    <xdr:pic>
      <xdr:nvPicPr>
        <xdr:cNvPr id="2169" name="Picture 121" descr="https://upload.wikimedia.org/wikipedia/commons/thumb/5/55/WMA_button2b.png/17px-WMA_button2b.png">
          <a:extLst>
            <a:ext uri="{FF2B5EF4-FFF2-40B4-BE49-F238E27FC236}">
              <a16:creationId xmlns:a16="http://schemas.microsoft.com/office/drawing/2014/main" id="{00000000-0008-0000-0000-00007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29965650"/>
          <a:ext cx="161925" cy="161925"/>
        </a:xfrm>
        <a:prstGeom prst="rect">
          <a:avLst/>
        </a:prstGeom>
        <a:noFill/>
      </xdr:spPr>
    </xdr:pic>
    <xdr:clientData/>
  </xdr:twoCellAnchor>
  <xdr:twoCellAnchor editAs="oneCell">
    <xdr:from>
      <xdr:col>4</xdr:col>
      <xdr:colOff>0</xdr:colOff>
      <xdr:row>106</xdr:row>
      <xdr:rowOff>0</xdr:rowOff>
    </xdr:from>
    <xdr:to>
      <xdr:col>4</xdr:col>
      <xdr:colOff>161925</xdr:colOff>
      <xdr:row>107</xdr:row>
      <xdr:rowOff>19050</xdr:rowOff>
    </xdr:to>
    <xdr:pic>
      <xdr:nvPicPr>
        <xdr:cNvPr id="2170" name="Picture 122" descr="https://upload.wikimedia.org/wikipedia/commons/thumb/5/55/WMA_button2b.png/17px-WMA_button2b.png">
          <a:extLst>
            <a:ext uri="{FF2B5EF4-FFF2-40B4-BE49-F238E27FC236}">
              <a16:creationId xmlns:a16="http://schemas.microsoft.com/office/drawing/2014/main" id="{00000000-0008-0000-0000-00007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0213300"/>
          <a:ext cx="161925" cy="161925"/>
        </a:xfrm>
        <a:prstGeom prst="rect">
          <a:avLst/>
        </a:prstGeom>
        <a:noFill/>
      </xdr:spPr>
    </xdr:pic>
    <xdr:clientData/>
  </xdr:twoCellAnchor>
  <xdr:twoCellAnchor editAs="oneCell">
    <xdr:from>
      <xdr:col>4</xdr:col>
      <xdr:colOff>0</xdr:colOff>
      <xdr:row>97</xdr:row>
      <xdr:rowOff>0</xdr:rowOff>
    </xdr:from>
    <xdr:to>
      <xdr:col>4</xdr:col>
      <xdr:colOff>161925</xdr:colOff>
      <xdr:row>98</xdr:row>
      <xdr:rowOff>19050</xdr:rowOff>
    </xdr:to>
    <xdr:pic>
      <xdr:nvPicPr>
        <xdr:cNvPr id="2171" name="Picture 123" descr="https://upload.wikimedia.org/wikipedia/commons/thumb/5/55/WMA_button2b.png/17px-WMA_button2b.png">
          <a:extLst>
            <a:ext uri="{FF2B5EF4-FFF2-40B4-BE49-F238E27FC236}">
              <a16:creationId xmlns:a16="http://schemas.microsoft.com/office/drawing/2014/main" id="{00000000-0008-0000-0000-00007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0460950"/>
          <a:ext cx="161925" cy="161925"/>
        </a:xfrm>
        <a:prstGeom prst="rect">
          <a:avLst/>
        </a:prstGeom>
        <a:noFill/>
      </xdr:spPr>
    </xdr:pic>
    <xdr:clientData/>
  </xdr:twoCellAnchor>
  <xdr:twoCellAnchor editAs="oneCell">
    <xdr:from>
      <xdr:col>4</xdr:col>
      <xdr:colOff>0</xdr:colOff>
      <xdr:row>117</xdr:row>
      <xdr:rowOff>0</xdr:rowOff>
    </xdr:from>
    <xdr:to>
      <xdr:col>4</xdr:col>
      <xdr:colOff>161925</xdr:colOff>
      <xdr:row>118</xdr:row>
      <xdr:rowOff>19050</xdr:rowOff>
    </xdr:to>
    <xdr:pic>
      <xdr:nvPicPr>
        <xdr:cNvPr id="2172" name="Picture 124" descr="https://upload.wikimedia.org/wikipedia/commons/thumb/5/55/WMA_button2b.png/17px-WMA_button2b.png">
          <a:extLst>
            <a:ext uri="{FF2B5EF4-FFF2-40B4-BE49-F238E27FC236}">
              <a16:creationId xmlns:a16="http://schemas.microsoft.com/office/drawing/2014/main" id="{00000000-0008-0000-0000-00007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0708600"/>
          <a:ext cx="161925" cy="161925"/>
        </a:xfrm>
        <a:prstGeom prst="rect">
          <a:avLst/>
        </a:prstGeom>
        <a:noFill/>
      </xdr:spPr>
    </xdr:pic>
    <xdr:clientData/>
  </xdr:twoCellAnchor>
  <xdr:twoCellAnchor editAs="oneCell">
    <xdr:from>
      <xdr:col>4</xdr:col>
      <xdr:colOff>0</xdr:colOff>
      <xdr:row>118</xdr:row>
      <xdr:rowOff>0</xdr:rowOff>
    </xdr:from>
    <xdr:to>
      <xdr:col>4</xdr:col>
      <xdr:colOff>161925</xdr:colOff>
      <xdr:row>118</xdr:row>
      <xdr:rowOff>161925</xdr:rowOff>
    </xdr:to>
    <xdr:pic>
      <xdr:nvPicPr>
        <xdr:cNvPr id="2173" name="Picture 125" descr="https://upload.wikimedia.org/wikipedia/commons/thumb/5/55/WMA_button2b.png/17px-WMA_button2b.png">
          <a:extLst>
            <a:ext uri="{FF2B5EF4-FFF2-40B4-BE49-F238E27FC236}">
              <a16:creationId xmlns:a16="http://schemas.microsoft.com/office/drawing/2014/main" id="{00000000-0008-0000-0000-00007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0956250"/>
          <a:ext cx="161925" cy="161925"/>
        </a:xfrm>
        <a:prstGeom prst="rect">
          <a:avLst/>
        </a:prstGeom>
        <a:noFill/>
      </xdr:spPr>
    </xdr:pic>
    <xdr:clientData/>
  </xdr:twoCellAnchor>
  <xdr:twoCellAnchor editAs="oneCell">
    <xdr:from>
      <xdr:col>4</xdr:col>
      <xdr:colOff>0</xdr:colOff>
      <xdr:row>89</xdr:row>
      <xdr:rowOff>0</xdr:rowOff>
    </xdr:from>
    <xdr:to>
      <xdr:col>4</xdr:col>
      <xdr:colOff>161925</xdr:colOff>
      <xdr:row>90</xdr:row>
      <xdr:rowOff>19050</xdr:rowOff>
    </xdr:to>
    <xdr:pic>
      <xdr:nvPicPr>
        <xdr:cNvPr id="2174" name="Picture 126" descr="https://upload.wikimedia.org/wikipedia/commons/thumb/5/55/WMA_button2b.png/17px-WMA_button2b.png">
          <a:extLst>
            <a:ext uri="{FF2B5EF4-FFF2-40B4-BE49-F238E27FC236}">
              <a16:creationId xmlns:a16="http://schemas.microsoft.com/office/drawing/2014/main" id="{00000000-0008-0000-0000-00007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1203900"/>
          <a:ext cx="161925" cy="161925"/>
        </a:xfrm>
        <a:prstGeom prst="rect">
          <a:avLst/>
        </a:prstGeom>
        <a:noFill/>
      </xdr:spPr>
    </xdr:pic>
    <xdr:clientData/>
  </xdr:twoCellAnchor>
  <xdr:twoCellAnchor editAs="oneCell">
    <xdr:from>
      <xdr:col>4</xdr:col>
      <xdr:colOff>0</xdr:colOff>
      <xdr:row>122</xdr:row>
      <xdr:rowOff>0</xdr:rowOff>
    </xdr:from>
    <xdr:to>
      <xdr:col>4</xdr:col>
      <xdr:colOff>161925</xdr:colOff>
      <xdr:row>123</xdr:row>
      <xdr:rowOff>19050</xdr:rowOff>
    </xdr:to>
    <xdr:pic>
      <xdr:nvPicPr>
        <xdr:cNvPr id="2175" name="Picture 127" descr="https://upload.wikimedia.org/wikipedia/commons/thumb/5/55/WMA_button2b.png/17px-WMA_button2b.png">
          <a:extLst>
            <a:ext uri="{FF2B5EF4-FFF2-40B4-BE49-F238E27FC236}">
              <a16:creationId xmlns:a16="http://schemas.microsoft.com/office/drawing/2014/main" id="{00000000-0008-0000-0000-00007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1451550"/>
          <a:ext cx="161925" cy="161925"/>
        </a:xfrm>
        <a:prstGeom prst="rect">
          <a:avLst/>
        </a:prstGeom>
        <a:noFill/>
      </xdr:spPr>
    </xdr:pic>
    <xdr:clientData/>
  </xdr:twoCellAnchor>
  <xdr:twoCellAnchor editAs="oneCell">
    <xdr:from>
      <xdr:col>4</xdr:col>
      <xdr:colOff>0</xdr:colOff>
      <xdr:row>99</xdr:row>
      <xdr:rowOff>0</xdr:rowOff>
    </xdr:from>
    <xdr:to>
      <xdr:col>4</xdr:col>
      <xdr:colOff>161925</xdr:colOff>
      <xdr:row>100</xdr:row>
      <xdr:rowOff>19050</xdr:rowOff>
    </xdr:to>
    <xdr:pic>
      <xdr:nvPicPr>
        <xdr:cNvPr id="2176" name="Picture 128" descr="https://upload.wikimedia.org/wikipedia/commons/thumb/5/55/WMA_button2b.png/17px-WMA_button2b.png">
          <a:extLst>
            <a:ext uri="{FF2B5EF4-FFF2-40B4-BE49-F238E27FC236}">
              <a16:creationId xmlns:a16="http://schemas.microsoft.com/office/drawing/2014/main" id="{00000000-0008-0000-0000-00008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1699200"/>
          <a:ext cx="161925" cy="161925"/>
        </a:xfrm>
        <a:prstGeom prst="rect">
          <a:avLst/>
        </a:prstGeom>
        <a:noFill/>
      </xdr:spPr>
    </xdr:pic>
    <xdr:clientData/>
  </xdr:twoCellAnchor>
  <xdr:twoCellAnchor editAs="oneCell">
    <xdr:from>
      <xdr:col>4</xdr:col>
      <xdr:colOff>0</xdr:colOff>
      <xdr:row>90</xdr:row>
      <xdr:rowOff>0</xdr:rowOff>
    </xdr:from>
    <xdr:to>
      <xdr:col>4</xdr:col>
      <xdr:colOff>161925</xdr:colOff>
      <xdr:row>91</xdr:row>
      <xdr:rowOff>19050</xdr:rowOff>
    </xdr:to>
    <xdr:pic>
      <xdr:nvPicPr>
        <xdr:cNvPr id="2177" name="Picture 129" descr="https://upload.wikimedia.org/wikipedia/commons/thumb/5/55/WMA_button2b.png/17px-WMA_button2b.png">
          <a:extLst>
            <a:ext uri="{FF2B5EF4-FFF2-40B4-BE49-F238E27FC236}">
              <a16:creationId xmlns:a16="http://schemas.microsoft.com/office/drawing/2014/main" id="{00000000-0008-0000-0000-00008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1946850"/>
          <a:ext cx="161925" cy="161925"/>
        </a:xfrm>
        <a:prstGeom prst="rect">
          <a:avLst/>
        </a:prstGeom>
        <a:noFill/>
      </xdr:spPr>
    </xdr:pic>
    <xdr:clientData/>
  </xdr:twoCellAnchor>
  <xdr:twoCellAnchor editAs="oneCell">
    <xdr:from>
      <xdr:col>4</xdr:col>
      <xdr:colOff>0</xdr:colOff>
      <xdr:row>95</xdr:row>
      <xdr:rowOff>0</xdr:rowOff>
    </xdr:from>
    <xdr:to>
      <xdr:col>4</xdr:col>
      <xdr:colOff>161925</xdr:colOff>
      <xdr:row>96</xdr:row>
      <xdr:rowOff>19050</xdr:rowOff>
    </xdr:to>
    <xdr:pic>
      <xdr:nvPicPr>
        <xdr:cNvPr id="2178" name="Picture 130" descr="https://upload.wikimedia.org/wikipedia/commons/thumb/5/55/WMA_button2b.png/17px-WMA_button2b.png">
          <a:extLst>
            <a:ext uri="{FF2B5EF4-FFF2-40B4-BE49-F238E27FC236}">
              <a16:creationId xmlns:a16="http://schemas.microsoft.com/office/drawing/2014/main" id="{00000000-0008-0000-0000-00008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2194500"/>
          <a:ext cx="161925" cy="161925"/>
        </a:xfrm>
        <a:prstGeom prst="rect">
          <a:avLst/>
        </a:prstGeom>
        <a:noFill/>
      </xdr:spPr>
    </xdr:pic>
    <xdr:clientData/>
  </xdr:twoCellAnchor>
  <xdr:twoCellAnchor editAs="oneCell">
    <xdr:from>
      <xdr:col>4</xdr:col>
      <xdr:colOff>0</xdr:colOff>
      <xdr:row>135</xdr:row>
      <xdr:rowOff>0</xdr:rowOff>
    </xdr:from>
    <xdr:to>
      <xdr:col>4</xdr:col>
      <xdr:colOff>161925</xdr:colOff>
      <xdr:row>136</xdr:row>
      <xdr:rowOff>19050</xdr:rowOff>
    </xdr:to>
    <xdr:pic>
      <xdr:nvPicPr>
        <xdr:cNvPr id="2179" name="Picture 131" descr="https://upload.wikimedia.org/wikipedia/commons/thumb/5/55/WMA_button2b.png/17px-WMA_button2b.png">
          <a:extLst>
            <a:ext uri="{FF2B5EF4-FFF2-40B4-BE49-F238E27FC236}">
              <a16:creationId xmlns:a16="http://schemas.microsoft.com/office/drawing/2014/main" id="{00000000-0008-0000-0000-00008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2442150"/>
          <a:ext cx="161925" cy="161925"/>
        </a:xfrm>
        <a:prstGeom prst="rect">
          <a:avLst/>
        </a:prstGeom>
        <a:noFill/>
      </xdr:spPr>
    </xdr:pic>
    <xdr:clientData/>
  </xdr:twoCellAnchor>
  <xdr:twoCellAnchor editAs="oneCell">
    <xdr:from>
      <xdr:col>4</xdr:col>
      <xdr:colOff>0</xdr:colOff>
      <xdr:row>113</xdr:row>
      <xdr:rowOff>0</xdr:rowOff>
    </xdr:from>
    <xdr:to>
      <xdr:col>4</xdr:col>
      <xdr:colOff>161925</xdr:colOff>
      <xdr:row>114</xdr:row>
      <xdr:rowOff>19050</xdr:rowOff>
    </xdr:to>
    <xdr:pic>
      <xdr:nvPicPr>
        <xdr:cNvPr id="2180" name="Picture 132" descr="https://upload.wikimedia.org/wikipedia/commons/thumb/5/55/WMA_button2b.png/17px-WMA_button2b.png">
          <a:extLst>
            <a:ext uri="{FF2B5EF4-FFF2-40B4-BE49-F238E27FC236}">
              <a16:creationId xmlns:a16="http://schemas.microsoft.com/office/drawing/2014/main" id="{00000000-0008-0000-0000-00008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2689800"/>
          <a:ext cx="161925" cy="161925"/>
        </a:xfrm>
        <a:prstGeom prst="rect">
          <a:avLst/>
        </a:prstGeom>
        <a:noFill/>
      </xdr:spPr>
    </xdr:pic>
    <xdr:clientData/>
  </xdr:twoCellAnchor>
  <xdr:twoCellAnchor editAs="oneCell">
    <xdr:from>
      <xdr:col>4</xdr:col>
      <xdr:colOff>0</xdr:colOff>
      <xdr:row>137</xdr:row>
      <xdr:rowOff>0</xdr:rowOff>
    </xdr:from>
    <xdr:to>
      <xdr:col>4</xdr:col>
      <xdr:colOff>161925</xdr:colOff>
      <xdr:row>138</xdr:row>
      <xdr:rowOff>19050</xdr:rowOff>
    </xdr:to>
    <xdr:pic>
      <xdr:nvPicPr>
        <xdr:cNvPr id="2181" name="Picture 133" descr="https://upload.wikimedia.org/wikipedia/commons/thumb/5/55/WMA_button2b.png/17px-WMA_button2b.png">
          <a:extLst>
            <a:ext uri="{FF2B5EF4-FFF2-40B4-BE49-F238E27FC236}">
              <a16:creationId xmlns:a16="http://schemas.microsoft.com/office/drawing/2014/main" id="{00000000-0008-0000-0000-00008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934325" y="32937450"/>
          <a:ext cx="161925" cy="161925"/>
        </a:xfrm>
        <a:prstGeom prst="rect">
          <a:avLst/>
        </a:prstGeom>
        <a:noFill/>
      </xdr:spPr>
    </xdr:pic>
    <xdr:clientData/>
  </xdr:twoCellAnchor>
  <xdr:twoCellAnchor editAs="oneCell">
    <xdr:from>
      <xdr:col>4</xdr:col>
      <xdr:colOff>0</xdr:colOff>
      <xdr:row>147</xdr:row>
      <xdr:rowOff>0</xdr:rowOff>
    </xdr:from>
    <xdr:to>
      <xdr:col>4</xdr:col>
      <xdr:colOff>161925</xdr:colOff>
      <xdr:row>148</xdr:row>
      <xdr:rowOff>19050</xdr:rowOff>
    </xdr:to>
    <xdr:pic>
      <xdr:nvPicPr>
        <xdr:cNvPr id="2183" name="Picture 135" descr="https://upload.wikimedia.org/wikipedia/commons/thumb/5/55/WMA_button2b.png/17px-WMA_button2b.png">
          <a:extLst>
            <a:ext uri="{FF2B5EF4-FFF2-40B4-BE49-F238E27FC236}">
              <a16:creationId xmlns:a16="http://schemas.microsoft.com/office/drawing/2014/main" id="{00000000-0008-0000-0000-00008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31432500"/>
          <a:ext cx="161925" cy="161925"/>
        </a:xfrm>
        <a:prstGeom prst="rect">
          <a:avLst/>
        </a:prstGeom>
        <a:noFill/>
      </xdr:spPr>
    </xdr:pic>
    <xdr:clientData/>
  </xdr:twoCellAnchor>
  <xdr:twoCellAnchor editAs="oneCell">
    <xdr:from>
      <xdr:col>4</xdr:col>
      <xdr:colOff>0</xdr:colOff>
      <xdr:row>145</xdr:row>
      <xdr:rowOff>0</xdr:rowOff>
    </xdr:from>
    <xdr:to>
      <xdr:col>4</xdr:col>
      <xdr:colOff>161925</xdr:colOff>
      <xdr:row>146</xdr:row>
      <xdr:rowOff>19050</xdr:rowOff>
    </xdr:to>
    <xdr:pic>
      <xdr:nvPicPr>
        <xdr:cNvPr id="2184" name="Picture 136" descr="https://upload.wikimedia.org/wikipedia/commons/thumb/5/55/WMA_button2b.png/17px-WMA_button2b.png">
          <a:extLst>
            <a:ext uri="{FF2B5EF4-FFF2-40B4-BE49-F238E27FC236}">
              <a16:creationId xmlns:a16="http://schemas.microsoft.com/office/drawing/2014/main" id="{00000000-0008-0000-0000-00008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31670625"/>
          <a:ext cx="161925" cy="161925"/>
        </a:xfrm>
        <a:prstGeom prst="rect">
          <a:avLst/>
        </a:prstGeom>
        <a:noFill/>
      </xdr:spPr>
    </xdr:pic>
    <xdr:clientData/>
  </xdr:twoCellAnchor>
  <xdr:twoCellAnchor editAs="oneCell">
    <xdr:from>
      <xdr:col>4</xdr:col>
      <xdr:colOff>0</xdr:colOff>
      <xdr:row>150</xdr:row>
      <xdr:rowOff>0</xdr:rowOff>
    </xdr:from>
    <xdr:to>
      <xdr:col>4</xdr:col>
      <xdr:colOff>161925</xdr:colOff>
      <xdr:row>151</xdr:row>
      <xdr:rowOff>19050</xdr:rowOff>
    </xdr:to>
    <xdr:pic>
      <xdr:nvPicPr>
        <xdr:cNvPr id="2185" name="Picture 137" descr="https://upload.wikimedia.org/wikipedia/commons/thumb/5/55/WMA_button2b.png/17px-WMA_button2b.png">
          <a:extLst>
            <a:ext uri="{FF2B5EF4-FFF2-40B4-BE49-F238E27FC236}">
              <a16:creationId xmlns:a16="http://schemas.microsoft.com/office/drawing/2014/main" id="{00000000-0008-0000-0000-00008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31908750"/>
          <a:ext cx="161925" cy="161925"/>
        </a:xfrm>
        <a:prstGeom prst="rect">
          <a:avLst/>
        </a:prstGeom>
        <a:noFill/>
      </xdr:spPr>
    </xdr:pic>
    <xdr:clientData/>
  </xdr:twoCellAnchor>
  <xdr:twoCellAnchor editAs="oneCell">
    <xdr:from>
      <xdr:col>4</xdr:col>
      <xdr:colOff>0</xdr:colOff>
      <xdr:row>149</xdr:row>
      <xdr:rowOff>0</xdr:rowOff>
    </xdr:from>
    <xdr:to>
      <xdr:col>4</xdr:col>
      <xdr:colOff>161925</xdr:colOff>
      <xdr:row>150</xdr:row>
      <xdr:rowOff>19050</xdr:rowOff>
    </xdr:to>
    <xdr:pic>
      <xdr:nvPicPr>
        <xdr:cNvPr id="2186" name="Picture 138" descr="https://upload.wikimedia.org/wikipedia/commons/thumb/5/55/WMA_button2b.png/17px-WMA_button2b.png">
          <a:extLst>
            <a:ext uri="{FF2B5EF4-FFF2-40B4-BE49-F238E27FC236}">
              <a16:creationId xmlns:a16="http://schemas.microsoft.com/office/drawing/2014/main" id="{00000000-0008-0000-0000-00008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32146875"/>
          <a:ext cx="161925" cy="161925"/>
        </a:xfrm>
        <a:prstGeom prst="rect">
          <a:avLst/>
        </a:prstGeom>
        <a:noFill/>
      </xdr:spPr>
    </xdr:pic>
    <xdr:clientData/>
  </xdr:twoCellAnchor>
  <xdr:twoCellAnchor editAs="oneCell">
    <xdr:from>
      <xdr:col>4</xdr:col>
      <xdr:colOff>0</xdr:colOff>
      <xdr:row>148</xdr:row>
      <xdr:rowOff>0</xdr:rowOff>
    </xdr:from>
    <xdr:to>
      <xdr:col>4</xdr:col>
      <xdr:colOff>161925</xdr:colOff>
      <xdr:row>149</xdr:row>
      <xdr:rowOff>19050</xdr:rowOff>
    </xdr:to>
    <xdr:pic>
      <xdr:nvPicPr>
        <xdr:cNvPr id="2187" name="Picture 139" descr="https://upload.wikimedia.org/wikipedia/commons/thumb/5/55/WMA_button2b.png/17px-WMA_button2b.png">
          <a:extLst>
            <a:ext uri="{FF2B5EF4-FFF2-40B4-BE49-F238E27FC236}">
              <a16:creationId xmlns:a16="http://schemas.microsoft.com/office/drawing/2014/main" id="{00000000-0008-0000-0000-00008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32385000"/>
          <a:ext cx="161925" cy="161925"/>
        </a:xfrm>
        <a:prstGeom prst="rect">
          <a:avLst/>
        </a:prstGeom>
        <a:noFill/>
      </xdr:spPr>
    </xdr:pic>
    <xdr:clientData/>
  </xdr:twoCellAnchor>
  <xdr:twoCellAnchor editAs="oneCell">
    <xdr:from>
      <xdr:col>4</xdr:col>
      <xdr:colOff>0</xdr:colOff>
      <xdr:row>146</xdr:row>
      <xdr:rowOff>0</xdr:rowOff>
    </xdr:from>
    <xdr:to>
      <xdr:col>4</xdr:col>
      <xdr:colOff>161925</xdr:colOff>
      <xdr:row>147</xdr:row>
      <xdr:rowOff>19050</xdr:rowOff>
    </xdr:to>
    <xdr:pic>
      <xdr:nvPicPr>
        <xdr:cNvPr id="2188" name="Picture 140" descr="https://upload.wikimedia.org/wikipedia/commons/thumb/5/55/WMA_button2b.png/17px-WMA_button2b.png">
          <a:extLst>
            <a:ext uri="{FF2B5EF4-FFF2-40B4-BE49-F238E27FC236}">
              <a16:creationId xmlns:a16="http://schemas.microsoft.com/office/drawing/2014/main" id="{00000000-0008-0000-0000-00008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32623125"/>
          <a:ext cx="161925" cy="161925"/>
        </a:xfrm>
        <a:prstGeom prst="rect">
          <a:avLst/>
        </a:prstGeom>
        <a:noFill/>
      </xdr:spPr>
    </xdr:pic>
    <xdr:clientData/>
  </xdr:twoCellAnchor>
  <xdr:twoCellAnchor editAs="oneCell">
    <xdr:from>
      <xdr:col>4</xdr:col>
      <xdr:colOff>0</xdr:colOff>
      <xdr:row>178</xdr:row>
      <xdr:rowOff>0</xdr:rowOff>
    </xdr:from>
    <xdr:to>
      <xdr:col>4</xdr:col>
      <xdr:colOff>161925</xdr:colOff>
      <xdr:row>179</xdr:row>
      <xdr:rowOff>19050</xdr:rowOff>
    </xdr:to>
    <xdr:pic>
      <xdr:nvPicPr>
        <xdr:cNvPr id="2193" name="Picture 145" descr="https://upload.wikimedia.org/wikipedia/commons/thumb/5/55/WMA_button2b.png/17px-WMA_button2b.png">
          <a:extLst>
            <a:ext uri="{FF2B5EF4-FFF2-40B4-BE49-F238E27FC236}">
              <a16:creationId xmlns:a16="http://schemas.microsoft.com/office/drawing/2014/main" id="{00000000-0008-0000-0000-00009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41195625"/>
          <a:ext cx="161925" cy="161925"/>
        </a:xfrm>
        <a:prstGeom prst="rect">
          <a:avLst/>
        </a:prstGeom>
        <a:noFill/>
      </xdr:spPr>
    </xdr:pic>
    <xdr:clientData/>
  </xdr:twoCellAnchor>
  <xdr:twoCellAnchor editAs="oneCell">
    <xdr:from>
      <xdr:col>4</xdr:col>
      <xdr:colOff>0</xdr:colOff>
      <xdr:row>179</xdr:row>
      <xdr:rowOff>0</xdr:rowOff>
    </xdr:from>
    <xdr:to>
      <xdr:col>4</xdr:col>
      <xdr:colOff>161925</xdr:colOff>
      <xdr:row>180</xdr:row>
      <xdr:rowOff>19050</xdr:rowOff>
    </xdr:to>
    <xdr:pic>
      <xdr:nvPicPr>
        <xdr:cNvPr id="2194" name="Picture 146" descr="https://upload.wikimedia.org/wikipedia/commons/thumb/5/55/WMA_button2b.png/17px-WMA_button2b.png">
          <a:extLst>
            <a:ext uri="{FF2B5EF4-FFF2-40B4-BE49-F238E27FC236}">
              <a16:creationId xmlns:a16="http://schemas.microsoft.com/office/drawing/2014/main" id="{00000000-0008-0000-0000-00009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41433750"/>
          <a:ext cx="161925" cy="161925"/>
        </a:xfrm>
        <a:prstGeom prst="rect">
          <a:avLst/>
        </a:prstGeom>
        <a:noFill/>
      </xdr:spPr>
    </xdr:pic>
    <xdr:clientData/>
  </xdr:twoCellAnchor>
  <xdr:twoCellAnchor editAs="oneCell">
    <xdr:from>
      <xdr:col>4</xdr:col>
      <xdr:colOff>0</xdr:colOff>
      <xdr:row>176</xdr:row>
      <xdr:rowOff>0</xdr:rowOff>
    </xdr:from>
    <xdr:to>
      <xdr:col>4</xdr:col>
      <xdr:colOff>161925</xdr:colOff>
      <xdr:row>177</xdr:row>
      <xdr:rowOff>19050</xdr:rowOff>
    </xdr:to>
    <xdr:pic>
      <xdr:nvPicPr>
        <xdr:cNvPr id="2195" name="Picture 147" descr="https://upload.wikimedia.org/wikipedia/commons/thumb/5/55/WMA_button2b.png/17px-WMA_button2b.png">
          <a:extLst>
            <a:ext uri="{FF2B5EF4-FFF2-40B4-BE49-F238E27FC236}">
              <a16:creationId xmlns:a16="http://schemas.microsoft.com/office/drawing/2014/main" id="{00000000-0008-0000-0000-00009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42386250"/>
          <a:ext cx="161925" cy="161925"/>
        </a:xfrm>
        <a:prstGeom prst="rect">
          <a:avLst/>
        </a:prstGeom>
        <a:noFill/>
      </xdr:spPr>
    </xdr:pic>
    <xdr:clientData/>
  </xdr:twoCellAnchor>
  <xdr:twoCellAnchor editAs="oneCell">
    <xdr:from>
      <xdr:col>4</xdr:col>
      <xdr:colOff>0</xdr:colOff>
      <xdr:row>177</xdr:row>
      <xdr:rowOff>0</xdr:rowOff>
    </xdr:from>
    <xdr:to>
      <xdr:col>4</xdr:col>
      <xdr:colOff>161925</xdr:colOff>
      <xdr:row>178</xdr:row>
      <xdr:rowOff>19050</xdr:rowOff>
    </xdr:to>
    <xdr:pic>
      <xdr:nvPicPr>
        <xdr:cNvPr id="2196" name="Picture 148" descr="https://upload.wikimedia.org/wikipedia/commons/thumb/5/55/WMA_button2b.png/17px-WMA_button2b.png">
          <a:extLst>
            <a:ext uri="{FF2B5EF4-FFF2-40B4-BE49-F238E27FC236}">
              <a16:creationId xmlns:a16="http://schemas.microsoft.com/office/drawing/2014/main" id="{00000000-0008-0000-0000-00009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42862500"/>
          <a:ext cx="161925" cy="161925"/>
        </a:xfrm>
        <a:prstGeom prst="rect">
          <a:avLst/>
        </a:prstGeom>
        <a:noFill/>
      </xdr:spPr>
    </xdr:pic>
    <xdr:clientData/>
  </xdr:twoCellAnchor>
  <xdr:twoCellAnchor editAs="oneCell">
    <xdr:from>
      <xdr:col>4</xdr:col>
      <xdr:colOff>0</xdr:colOff>
      <xdr:row>264</xdr:row>
      <xdr:rowOff>0</xdr:rowOff>
    </xdr:from>
    <xdr:to>
      <xdr:col>4</xdr:col>
      <xdr:colOff>161925</xdr:colOff>
      <xdr:row>265</xdr:row>
      <xdr:rowOff>19050</xdr:rowOff>
    </xdr:to>
    <xdr:pic>
      <xdr:nvPicPr>
        <xdr:cNvPr id="2200" name="Picture 152" descr="https://upload.wikimedia.org/wikipedia/commons/thumb/5/55/WMA_button2b.png/17px-WMA_button2b.png">
          <a:extLst>
            <a:ext uri="{FF2B5EF4-FFF2-40B4-BE49-F238E27FC236}">
              <a16:creationId xmlns:a16="http://schemas.microsoft.com/office/drawing/2014/main" id="{00000000-0008-0000-0000-00009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59855100"/>
          <a:ext cx="161925" cy="161925"/>
        </a:xfrm>
        <a:prstGeom prst="rect">
          <a:avLst/>
        </a:prstGeom>
        <a:noFill/>
      </xdr:spPr>
    </xdr:pic>
    <xdr:clientData/>
  </xdr:twoCellAnchor>
  <xdr:twoCellAnchor editAs="oneCell">
    <xdr:from>
      <xdr:col>4</xdr:col>
      <xdr:colOff>0</xdr:colOff>
      <xdr:row>265</xdr:row>
      <xdr:rowOff>0</xdr:rowOff>
    </xdr:from>
    <xdr:to>
      <xdr:col>4</xdr:col>
      <xdr:colOff>161925</xdr:colOff>
      <xdr:row>266</xdr:row>
      <xdr:rowOff>19050</xdr:rowOff>
    </xdr:to>
    <xdr:pic>
      <xdr:nvPicPr>
        <xdr:cNvPr id="2201" name="Picture 153" descr="https://upload.wikimedia.org/wikipedia/commons/thumb/5/55/WMA_button2b.png/17px-WMA_button2b.png">
          <a:extLst>
            <a:ext uri="{FF2B5EF4-FFF2-40B4-BE49-F238E27FC236}">
              <a16:creationId xmlns:a16="http://schemas.microsoft.com/office/drawing/2014/main" id="{00000000-0008-0000-0000-00009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60093225"/>
          <a:ext cx="161925" cy="161925"/>
        </a:xfrm>
        <a:prstGeom prst="rect">
          <a:avLst/>
        </a:prstGeom>
        <a:noFill/>
      </xdr:spPr>
    </xdr:pic>
    <xdr:clientData/>
  </xdr:twoCellAnchor>
  <xdr:twoCellAnchor editAs="oneCell">
    <xdr:from>
      <xdr:col>4</xdr:col>
      <xdr:colOff>0</xdr:colOff>
      <xdr:row>266</xdr:row>
      <xdr:rowOff>0</xdr:rowOff>
    </xdr:from>
    <xdr:to>
      <xdr:col>4</xdr:col>
      <xdr:colOff>161925</xdr:colOff>
      <xdr:row>267</xdr:row>
      <xdr:rowOff>19050</xdr:rowOff>
    </xdr:to>
    <xdr:pic>
      <xdr:nvPicPr>
        <xdr:cNvPr id="2202" name="Picture 154" descr="https://upload.wikimedia.org/wikipedia/commons/thumb/5/55/WMA_button2b.png/17px-WMA_button2b.png">
          <a:extLst>
            <a:ext uri="{FF2B5EF4-FFF2-40B4-BE49-F238E27FC236}">
              <a16:creationId xmlns:a16="http://schemas.microsoft.com/office/drawing/2014/main" id="{00000000-0008-0000-0000-00009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60331350"/>
          <a:ext cx="161925" cy="161925"/>
        </a:xfrm>
        <a:prstGeom prst="rect">
          <a:avLst/>
        </a:prstGeom>
        <a:noFill/>
      </xdr:spPr>
    </xdr:pic>
    <xdr:clientData/>
  </xdr:twoCellAnchor>
  <xdr:twoCellAnchor editAs="oneCell">
    <xdr:from>
      <xdr:col>3</xdr:col>
      <xdr:colOff>0</xdr:colOff>
      <xdr:row>270</xdr:row>
      <xdr:rowOff>0</xdr:rowOff>
    </xdr:from>
    <xdr:to>
      <xdr:col>3</xdr:col>
      <xdr:colOff>161925</xdr:colOff>
      <xdr:row>271</xdr:row>
      <xdr:rowOff>19050</xdr:rowOff>
    </xdr:to>
    <xdr:pic>
      <xdr:nvPicPr>
        <xdr:cNvPr id="2203" name="Picture 155" descr="https://upload.wikimedia.org/wikipedia/commons/thumb/5/55/WMA_button2b.png/17px-WMA_button2b.png">
          <a:extLst>
            <a:ext uri="{FF2B5EF4-FFF2-40B4-BE49-F238E27FC236}">
              <a16:creationId xmlns:a16="http://schemas.microsoft.com/office/drawing/2014/main" id="{00000000-0008-0000-0000-00009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3048000" y="60807600"/>
          <a:ext cx="161925" cy="161925"/>
        </a:xfrm>
        <a:prstGeom prst="rect">
          <a:avLst/>
        </a:prstGeom>
        <a:noFill/>
      </xdr:spPr>
    </xdr:pic>
    <xdr:clientData/>
  </xdr:twoCellAnchor>
  <xdr:twoCellAnchor editAs="oneCell">
    <xdr:from>
      <xdr:col>4</xdr:col>
      <xdr:colOff>0</xdr:colOff>
      <xdr:row>270</xdr:row>
      <xdr:rowOff>0</xdr:rowOff>
    </xdr:from>
    <xdr:to>
      <xdr:col>4</xdr:col>
      <xdr:colOff>161925</xdr:colOff>
      <xdr:row>271</xdr:row>
      <xdr:rowOff>19050</xdr:rowOff>
    </xdr:to>
    <xdr:pic>
      <xdr:nvPicPr>
        <xdr:cNvPr id="2204" name="Picture 156" descr="https://upload.wikimedia.org/wikipedia/commons/thumb/5/55/WMA_button2b.png/17px-WMA_button2b.png">
          <a:extLst>
            <a:ext uri="{FF2B5EF4-FFF2-40B4-BE49-F238E27FC236}">
              <a16:creationId xmlns:a16="http://schemas.microsoft.com/office/drawing/2014/main" id="{00000000-0008-0000-0000-00009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60807600"/>
          <a:ext cx="161925" cy="161925"/>
        </a:xfrm>
        <a:prstGeom prst="rect">
          <a:avLst/>
        </a:prstGeom>
        <a:noFill/>
      </xdr:spPr>
    </xdr:pic>
    <xdr:clientData/>
  </xdr:twoCellAnchor>
  <xdr:twoCellAnchor editAs="oneCell">
    <xdr:from>
      <xdr:col>4</xdr:col>
      <xdr:colOff>0</xdr:colOff>
      <xdr:row>335</xdr:row>
      <xdr:rowOff>0</xdr:rowOff>
    </xdr:from>
    <xdr:to>
      <xdr:col>4</xdr:col>
      <xdr:colOff>161925</xdr:colOff>
      <xdr:row>336</xdr:row>
      <xdr:rowOff>19050</xdr:rowOff>
    </xdr:to>
    <xdr:pic>
      <xdr:nvPicPr>
        <xdr:cNvPr id="2211" name="Picture 163" descr="https://upload.wikimedia.org/wikipedia/commons/thumb/5/55/WMA_button2b.png/17px-WMA_button2b.png">
          <a:extLst>
            <a:ext uri="{FF2B5EF4-FFF2-40B4-BE49-F238E27FC236}">
              <a16:creationId xmlns:a16="http://schemas.microsoft.com/office/drawing/2014/main" id="{00000000-0008-0000-0000-0000A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5095100"/>
          <a:ext cx="161925" cy="161925"/>
        </a:xfrm>
        <a:prstGeom prst="rect">
          <a:avLst/>
        </a:prstGeom>
        <a:noFill/>
      </xdr:spPr>
    </xdr:pic>
    <xdr:clientData/>
  </xdr:twoCellAnchor>
  <xdr:twoCellAnchor editAs="oneCell">
    <xdr:from>
      <xdr:col>4</xdr:col>
      <xdr:colOff>0</xdr:colOff>
      <xdr:row>330</xdr:row>
      <xdr:rowOff>0</xdr:rowOff>
    </xdr:from>
    <xdr:to>
      <xdr:col>4</xdr:col>
      <xdr:colOff>161925</xdr:colOff>
      <xdr:row>331</xdr:row>
      <xdr:rowOff>19050</xdr:rowOff>
    </xdr:to>
    <xdr:pic>
      <xdr:nvPicPr>
        <xdr:cNvPr id="2212" name="Picture 164" descr="https://upload.wikimedia.org/wikipedia/commons/thumb/5/55/WMA_button2b.png/17px-WMA_button2b.png">
          <a:extLst>
            <a:ext uri="{FF2B5EF4-FFF2-40B4-BE49-F238E27FC236}">
              <a16:creationId xmlns:a16="http://schemas.microsoft.com/office/drawing/2014/main" id="{00000000-0008-0000-0000-0000A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5333225"/>
          <a:ext cx="161925" cy="161925"/>
        </a:xfrm>
        <a:prstGeom prst="rect">
          <a:avLst/>
        </a:prstGeom>
        <a:noFill/>
      </xdr:spPr>
    </xdr:pic>
    <xdr:clientData/>
  </xdr:twoCellAnchor>
  <xdr:twoCellAnchor editAs="oneCell">
    <xdr:from>
      <xdr:col>4</xdr:col>
      <xdr:colOff>0</xdr:colOff>
      <xdr:row>331</xdr:row>
      <xdr:rowOff>0</xdr:rowOff>
    </xdr:from>
    <xdr:to>
      <xdr:col>4</xdr:col>
      <xdr:colOff>161925</xdr:colOff>
      <xdr:row>332</xdr:row>
      <xdr:rowOff>19050</xdr:rowOff>
    </xdr:to>
    <xdr:pic>
      <xdr:nvPicPr>
        <xdr:cNvPr id="2213" name="Picture 165" descr="https://upload.wikimedia.org/wikipedia/commons/thumb/5/55/WMA_button2b.png/17px-WMA_button2b.png">
          <a:extLst>
            <a:ext uri="{FF2B5EF4-FFF2-40B4-BE49-F238E27FC236}">
              <a16:creationId xmlns:a16="http://schemas.microsoft.com/office/drawing/2014/main" id="{00000000-0008-0000-0000-0000A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5571350"/>
          <a:ext cx="161925" cy="161925"/>
        </a:xfrm>
        <a:prstGeom prst="rect">
          <a:avLst/>
        </a:prstGeom>
        <a:noFill/>
      </xdr:spPr>
    </xdr:pic>
    <xdr:clientData/>
  </xdr:twoCellAnchor>
  <xdr:twoCellAnchor editAs="oneCell">
    <xdr:from>
      <xdr:col>4</xdr:col>
      <xdr:colOff>0</xdr:colOff>
      <xdr:row>333</xdr:row>
      <xdr:rowOff>0</xdr:rowOff>
    </xdr:from>
    <xdr:to>
      <xdr:col>4</xdr:col>
      <xdr:colOff>161925</xdr:colOff>
      <xdr:row>334</xdr:row>
      <xdr:rowOff>19050</xdr:rowOff>
    </xdr:to>
    <xdr:pic>
      <xdr:nvPicPr>
        <xdr:cNvPr id="2214" name="Picture 166" descr="https://upload.wikimedia.org/wikipedia/commons/thumb/5/55/WMA_button2b.png/17px-WMA_button2b.png">
          <a:extLst>
            <a:ext uri="{FF2B5EF4-FFF2-40B4-BE49-F238E27FC236}">
              <a16:creationId xmlns:a16="http://schemas.microsoft.com/office/drawing/2014/main" id="{00000000-0008-0000-0000-0000A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6047600"/>
          <a:ext cx="161925" cy="161925"/>
        </a:xfrm>
        <a:prstGeom prst="rect">
          <a:avLst/>
        </a:prstGeom>
        <a:noFill/>
      </xdr:spPr>
    </xdr:pic>
    <xdr:clientData/>
  </xdr:twoCellAnchor>
  <xdr:twoCellAnchor editAs="oneCell">
    <xdr:from>
      <xdr:col>4</xdr:col>
      <xdr:colOff>0</xdr:colOff>
      <xdr:row>344</xdr:row>
      <xdr:rowOff>0</xdr:rowOff>
    </xdr:from>
    <xdr:to>
      <xdr:col>4</xdr:col>
      <xdr:colOff>161925</xdr:colOff>
      <xdr:row>345</xdr:row>
      <xdr:rowOff>19050</xdr:rowOff>
    </xdr:to>
    <xdr:pic>
      <xdr:nvPicPr>
        <xdr:cNvPr id="2215" name="Picture 167" descr="https://upload.wikimedia.org/wikipedia/commons/thumb/5/55/WMA_button2b.png/17px-WMA_button2b.png">
          <a:extLst>
            <a:ext uri="{FF2B5EF4-FFF2-40B4-BE49-F238E27FC236}">
              <a16:creationId xmlns:a16="http://schemas.microsoft.com/office/drawing/2014/main" id="{00000000-0008-0000-0000-0000A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6523850"/>
          <a:ext cx="161925" cy="161925"/>
        </a:xfrm>
        <a:prstGeom prst="rect">
          <a:avLst/>
        </a:prstGeom>
        <a:noFill/>
      </xdr:spPr>
    </xdr:pic>
    <xdr:clientData/>
  </xdr:twoCellAnchor>
  <xdr:twoCellAnchor editAs="oneCell">
    <xdr:from>
      <xdr:col>4</xdr:col>
      <xdr:colOff>0</xdr:colOff>
      <xdr:row>338</xdr:row>
      <xdr:rowOff>0</xdr:rowOff>
    </xdr:from>
    <xdr:to>
      <xdr:col>4</xdr:col>
      <xdr:colOff>161925</xdr:colOff>
      <xdr:row>339</xdr:row>
      <xdr:rowOff>19050</xdr:rowOff>
    </xdr:to>
    <xdr:pic>
      <xdr:nvPicPr>
        <xdr:cNvPr id="2216" name="Picture 168" descr="https://upload.wikimedia.org/wikipedia/commons/thumb/5/55/WMA_button2b.png/17px-WMA_button2b.png">
          <a:extLst>
            <a:ext uri="{FF2B5EF4-FFF2-40B4-BE49-F238E27FC236}">
              <a16:creationId xmlns:a16="http://schemas.microsoft.com/office/drawing/2014/main" id="{00000000-0008-0000-0000-0000A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6761975"/>
          <a:ext cx="161925" cy="161925"/>
        </a:xfrm>
        <a:prstGeom prst="rect">
          <a:avLst/>
        </a:prstGeom>
        <a:noFill/>
      </xdr:spPr>
    </xdr:pic>
    <xdr:clientData/>
  </xdr:twoCellAnchor>
  <xdr:twoCellAnchor editAs="oneCell">
    <xdr:from>
      <xdr:col>4</xdr:col>
      <xdr:colOff>0</xdr:colOff>
      <xdr:row>341</xdr:row>
      <xdr:rowOff>0</xdr:rowOff>
    </xdr:from>
    <xdr:to>
      <xdr:col>4</xdr:col>
      <xdr:colOff>161925</xdr:colOff>
      <xdr:row>342</xdr:row>
      <xdr:rowOff>19050</xdr:rowOff>
    </xdr:to>
    <xdr:pic>
      <xdr:nvPicPr>
        <xdr:cNvPr id="2217" name="Picture 169" descr="https://upload.wikimedia.org/wikipedia/commons/thumb/5/55/WMA_button2b.png/17px-WMA_button2b.png">
          <a:extLst>
            <a:ext uri="{FF2B5EF4-FFF2-40B4-BE49-F238E27FC236}">
              <a16:creationId xmlns:a16="http://schemas.microsoft.com/office/drawing/2014/main" id="{00000000-0008-0000-0000-0000A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7000100"/>
          <a:ext cx="161925" cy="161925"/>
        </a:xfrm>
        <a:prstGeom prst="rect">
          <a:avLst/>
        </a:prstGeom>
        <a:noFill/>
      </xdr:spPr>
    </xdr:pic>
    <xdr:clientData/>
  </xdr:twoCellAnchor>
  <xdr:twoCellAnchor editAs="oneCell">
    <xdr:from>
      <xdr:col>4</xdr:col>
      <xdr:colOff>0</xdr:colOff>
      <xdr:row>343</xdr:row>
      <xdr:rowOff>0</xdr:rowOff>
    </xdr:from>
    <xdr:to>
      <xdr:col>4</xdr:col>
      <xdr:colOff>161925</xdr:colOff>
      <xdr:row>344</xdr:row>
      <xdr:rowOff>19050</xdr:rowOff>
    </xdr:to>
    <xdr:pic>
      <xdr:nvPicPr>
        <xdr:cNvPr id="2218" name="Picture 170" descr="https://upload.wikimedia.org/wikipedia/commons/thumb/5/55/WMA_button2b.png/17px-WMA_button2b.png">
          <a:extLst>
            <a:ext uri="{FF2B5EF4-FFF2-40B4-BE49-F238E27FC236}">
              <a16:creationId xmlns:a16="http://schemas.microsoft.com/office/drawing/2014/main" id="{00000000-0008-0000-0000-0000A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7238225"/>
          <a:ext cx="161925" cy="161925"/>
        </a:xfrm>
        <a:prstGeom prst="rect">
          <a:avLst/>
        </a:prstGeom>
        <a:noFill/>
      </xdr:spPr>
    </xdr:pic>
    <xdr:clientData/>
  </xdr:twoCellAnchor>
  <xdr:twoCellAnchor editAs="oneCell">
    <xdr:from>
      <xdr:col>4</xdr:col>
      <xdr:colOff>0</xdr:colOff>
      <xdr:row>334</xdr:row>
      <xdr:rowOff>0</xdr:rowOff>
    </xdr:from>
    <xdr:to>
      <xdr:col>4</xdr:col>
      <xdr:colOff>161925</xdr:colOff>
      <xdr:row>335</xdr:row>
      <xdr:rowOff>19050</xdr:rowOff>
    </xdr:to>
    <xdr:pic>
      <xdr:nvPicPr>
        <xdr:cNvPr id="2219" name="Picture 171" descr="https://upload.wikimedia.org/wikipedia/commons/thumb/5/55/WMA_button2b.png/17px-WMA_button2b.png">
          <a:extLst>
            <a:ext uri="{FF2B5EF4-FFF2-40B4-BE49-F238E27FC236}">
              <a16:creationId xmlns:a16="http://schemas.microsoft.com/office/drawing/2014/main" id="{00000000-0008-0000-0000-0000A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7476350"/>
          <a:ext cx="161925" cy="161925"/>
        </a:xfrm>
        <a:prstGeom prst="rect">
          <a:avLst/>
        </a:prstGeom>
        <a:noFill/>
      </xdr:spPr>
    </xdr:pic>
    <xdr:clientData/>
  </xdr:twoCellAnchor>
  <xdr:twoCellAnchor editAs="oneCell">
    <xdr:from>
      <xdr:col>4</xdr:col>
      <xdr:colOff>0</xdr:colOff>
      <xdr:row>332</xdr:row>
      <xdr:rowOff>0</xdr:rowOff>
    </xdr:from>
    <xdr:to>
      <xdr:col>4</xdr:col>
      <xdr:colOff>161925</xdr:colOff>
      <xdr:row>333</xdr:row>
      <xdr:rowOff>19050</xdr:rowOff>
    </xdr:to>
    <xdr:pic>
      <xdr:nvPicPr>
        <xdr:cNvPr id="2220" name="Picture 172" descr="https://upload.wikimedia.org/wikipedia/commons/thumb/5/55/WMA_button2b.png/17px-WMA_button2b.png">
          <a:extLst>
            <a:ext uri="{FF2B5EF4-FFF2-40B4-BE49-F238E27FC236}">
              <a16:creationId xmlns:a16="http://schemas.microsoft.com/office/drawing/2014/main" id="{00000000-0008-0000-0000-0000A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7952600"/>
          <a:ext cx="161925" cy="161925"/>
        </a:xfrm>
        <a:prstGeom prst="rect">
          <a:avLst/>
        </a:prstGeom>
        <a:noFill/>
      </xdr:spPr>
    </xdr:pic>
    <xdr:clientData/>
  </xdr:twoCellAnchor>
  <xdr:twoCellAnchor editAs="oneCell">
    <xdr:from>
      <xdr:col>4</xdr:col>
      <xdr:colOff>0</xdr:colOff>
      <xdr:row>339</xdr:row>
      <xdr:rowOff>0</xdr:rowOff>
    </xdr:from>
    <xdr:to>
      <xdr:col>4</xdr:col>
      <xdr:colOff>161925</xdr:colOff>
      <xdr:row>340</xdr:row>
      <xdr:rowOff>19050</xdr:rowOff>
    </xdr:to>
    <xdr:pic>
      <xdr:nvPicPr>
        <xdr:cNvPr id="2221" name="Picture 173" descr="https://upload.wikimedia.org/wikipedia/commons/thumb/5/55/WMA_button2b.png/17px-WMA_button2b.png">
          <a:extLst>
            <a:ext uri="{FF2B5EF4-FFF2-40B4-BE49-F238E27FC236}">
              <a16:creationId xmlns:a16="http://schemas.microsoft.com/office/drawing/2014/main" id="{00000000-0008-0000-0000-0000A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8428850"/>
          <a:ext cx="161925" cy="161925"/>
        </a:xfrm>
        <a:prstGeom prst="rect">
          <a:avLst/>
        </a:prstGeom>
        <a:noFill/>
      </xdr:spPr>
    </xdr:pic>
    <xdr:clientData/>
  </xdr:twoCellAnchor>
  <xdr:twoCellAnchor editAs="oneCell">
    <xdr:from>
      <xdr:col>4</xdr:col>
      <xdr:colOff>0</xdr:colOff>
      <xdr:row>340</xdr:row>
      <xdr:rowOff>0</xdr:rowOff>
    </xdr:from>
    <xdr:to>
      <xdr:col>4</xdr:col>
      <xdr:colOff>161925</xdr:colOff>
      <xdr:row>341</xdr:row>
      <xdr:rowOff>19050</xdr:rowOff>
    </xdr:to>
    <xdr:pic>
      <xdr:nvPicPr>
        <xdr:cNvPr id="2222" name="Picture 174" descr="https://upload.wikimedia.org/wikipedia/commons/thumb/5/55/WMA_button2b.png/17px-WMA_button2b.png">
          <a:extLst>
            <a:ext uri="{FF2B5EF4-FFF2-40B4-BE49-F238E27FC236}">
              <a16:creationId xmlns:a16="http://schemas.microsoft.com/office/drawing/2014/main" id="{00000000-0008-0000-0000-0000A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8666975"/>
          <a:ext cx="161925" cy="161925"/>
        </a:xfrm>
        <a:prstGeom prst="rect">
          <a:avLst/>
        </a:prstGeom>
        <a:noFill/>
      </xdr:spPr>
    </xdr:pic>
    <xdr:clientData/>
  </xdr:twoCellAnchor>
  <xdr:twoCellAnchor editAs="oneCell">
    <xdr:from>
      <xdr:col>4</xdr:col>
      <xdr:colOff>0</xdr:colOff>
      <xdr:row>336</xdr:row>
      <xdr:rowOff>0</xdr:rowOff>
    </xdr:from>
    <xdr:to>
      <xdr:col>4</xdr:col>
      <xdr:colOff>161925</xdr:colOff>
      <xdr:row>337</xdr:row>
      <xdr:rowOff>19050</xdr:rowOff>
    </xdr:to>
    <xdr:pic>
      <xdr:nvPicPr>
        <xdr:cNvPr id="2223" name="Picture 175" descr="https://upload.wikimedia.org/wikipedia/commons/thumb/5/55/WMA_button2b.png/17px-WMA_button2b.png">
          <a:extLst>
            <a:ext uri="{FF2B5EF4-FFF2-40B4-BE49-F238E27FC236}">
              <a16:creationId xmlns:a16="http://schemas.microsoft.com/office/drawing/2014/main" id="{00000000-0008-0000-0000-0000A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8905100"/>
          <a:ext cx="161925" cy="161925"/>
        </a:xfrm>
        <a:prstGeom prst="rect">
          <a:avLst/>
        </a:prstGeom>
        <a:noFill/>
      </xdr:spPr>
    </xdr:pic>
    <xdr:clientData/>
  </xdr:twoCellAnchor>
  <xdr:twoCellAnchor editAs="oneCell">
    <xdr:from>
      <xdr:col>4</xdr:col>
      <xdr:colOff>0</xdr:colOff>
      <xdr:row>345</xdr:row>
      <xdr:rowOff>0</xdr:rowOff>
    </xdr:from>
    <xdr:to>
      <xdr:col>4</xdr:col>
      <xdr:colOff>161925</xdr:colOff>
      <xdr:row>346</xdr:row>
      <xdr:rowOff>19050</xdr:rowOff>
    </xdr:to>
    <xdr:pic>
      <xdr:nvPicPr>
        <xdr:cNvPr id="2224" name="Picture 176" descr="https://upload.wikimedia.org/wikipedia/commons/thumb/5/55/WMA_button2b.png/17px-WMA_button2b.png">
          <a:extLst>
            <a:ext uri="{FF2B5EF4-FFF2-40B4-BE49-F238E27FC236}">
              <a16:creationId xmlns:a16="http://schemas.microsoft.com/office/drawing/2014/main" id="{00000000-0008-0000-0000-0000B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9381350"/>
          <a:ext cx="161925" cy="161925"/>
        </a:xfrm>
        <a:prstGeom prst="rect">
          <a:avLst/>
        </a:prstGeom>
        <a:noFill/>
      </xdr:spPr>
    </xdr:pic>
    <xdr:clientData/>
  </xdr:twoCellAnchor>
  <xdr:twoCellAnchor editAs="oneCell">
    <xdr:from>
      <xdr:col>4</xdr:col>
      <xdr:colOff>0</xdr:colOff>
      <xdr:row>337</xdr:row>
      <xdr:rowOff>0</xdr:rowOff>
    </xdr:from>
    <xdr:to>
      <xdr:col>4</xdr:col>
      <xdr:colOff>161925</xdr:colOff>
      <xdr:row>338</xdr:row>
      <xdr:rowOff>19050</xdr:rowOff>
    </xdr:to>
    <xdr:pic>
      <xdr:nvPicPr>
        <xdr:cNvPr id="2225" name="Picture 177" descr="https://upload.wikimedia.org/wikipedia/commons/thumb/5/55/WMA_button2b.png/17px-WMA_button2b.png">
          <a:extLst>
            <a:ext uri="{FF2B5EF4-FFF2-40B4-BE49-F238E27FC236}">
              <a16:creationId xmlns:a16="http://schemas.microsoft.com/office/drawing/2014/main" id="{00000000-0008-0000-0000-0000B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9619475"/>
          <a:ext cx="161925" cy="161925"/>
        </a:xfrm>
        <a:prstGeom prst="rect">
          <a:avLst/>
        </a:prstGeom>
        <a:noFill/>
      </xdr:spPr>
    </xdr:pic>
    <xdr:clientData/>
  </xdr:twoCellAnchor>
  <xdr:twoCellAnchor editAs="oneCell">
    <xdr:from>
      <xdr:col>4</xdr:col>
      <xdr:colOff>0</xdr:colOff>
      <xdr:row>342</xdr:row>
      <xdr:rowOff>0</xdr:rowOff>
    </xdr:from>
    <xdr:to>
      <xdr:col>4</xdr:col>
      <xdr:colOff>161925</xdr:colOff>
      <xdr:row>343</xdr:row>
      <xdr:rowOff>19050</xdr:rowOff>
    </xdr:to>
    <xdr:pic>
      <xdr:nvPicPr>
        <xdr:cNvPr id="2226" name="Picture 178" descr="https://upload.wikimedia.org/wikipedia/commons/thumb/5/55/WMA_button2b.png/17px-WMA_button2b.png">
          <a:extLst>
            <a:ext uri="{FF2B5EF4-FFF2-40B4-BE49-F238E27FC236}">
              <a16:creationId xmlns:a16="http://schemas.microsoft.com/office/drawing/2014/main" id="{00000000-0008-0000-0000-0000B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7772400" y="79857600"/>
          <a:ext cx="161925" cy="161925"/>
        </a:xfrm>
        <a:prstGeom prst="rect">
          <a:avLst/>
        </a:prstGeom>
        <a:noFill/>
      </xdr:spPr>
    </xdr:pic>
    <xdr:clientData/>
  </xdr:twoCellAnchor>
  <xdr:twoCellAnchor editAs="oneCell">
    <xdr:from>
      <xdr:col>4</xdr:col>
      <xdr:colOff>0</xdr:colOff>
      <xdr:row>352</xdr:row>
      <xdr:rowOff>0</xdr:rowOff>
    </xdr:from>
    <xdr:to>
      <xdr:col>4</xdr:col>
      <xdr:colOff>161925</xdr:colOff>
      <xdr:row>353</xdr:row>
      <xdr:rowOff>19050</xdr:rowOff>
    </xdr:to>
    <xdr:pic>
      <xdr:nvPicPr>
        <xdr:cNvPr id="2227" name="Picture 179" descr="https://upload.wikimedia.org/wikipedia/commons/thumb/5/55/WMA_button2b.png/17px-WMA_button2b.png">
          <a:extLst>
            <a:ext uri="{FF2B5EF4-FFF2-40B4-BE49-F238E27FC236}">
              <a16:creationId xmlns:a16="http://schemas.microsoft.com/office/drawing/2014/main" id="{00000000-0008-0000-0000-0000B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0095725"/>
          <a:ext cx="161925" cy="161925"/>
        </a:xfrm>
        <a:prstGeom prst="rect">
          <a:avLst/>
        </a:prstGeom>
        <a:noFill/>
      </xdr:spPr>
    </xdr:pic>
    <xdr:clientData/>
  </xdr:twoCellAnchor>
  <xdr:twoCellAnchor editAs="oneCell">
    <xdr:from>
      <xdr:col>4</xdr:col>
      <xdr:colOff>0</xdr:colOff>
      <xdr:row>347</xdr:row>
      <xdr:rowOff>0</xdr:rowOff>
    </xdr:from>
    <xdr:to>
      <xdr:col>4</xdr:col>
      <xdr:colOff>161925</xdr:colOff>
      <xdr:row>348</xdr:row>
      <xdr:rowOff>19050</xdr:rowOff>
    </xdr:to>
    <xdr:pic>
      <xdr:nvPicPr>
        <xdr:cNvPr id="2228" name="Picture 180" descr="https://upload.wikimedia.org/wikipedia/commons/thumb/5/55/WMA_button2b.png/17px-WMA_button2b.png">
          <a:extLst>
            <a:ext uri="{FF2B5EF4-FFF2-40B4-BE49-F238E27FC236}">
              <a16:creationId xmlns:a16="http://schemas.microsoft.com/office/drawing/2014/main" id="{00000000-0008-0000-0000-0000B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0571975"/>
          <a:ext cx="161925" cy="161925"/>
        </a:xfrm>
        <a:prstGeom prst="rect">
          <a:avLst/>
        </a:prstGeom>
        <a:noFill/>
      </xdr:spPr>
    </xdr:pic>
    <xdr:clientData/>
  </xdr:twoCellAnchor>
  <xdr:twoCellAnchor editAs="oneCell">
    <xdr:from>
      <xdr:col>4</xdr:col>
      <xdr:colOff>0</xdr:colOff>
      <xdr:row>346</xdr:row>
      <xdr:rowOff>0</xdr:rowOff>
    </xdr:from>
    <xdr:to>
      <xdr:col>4</xdr:col>
      <xdr:colOff>161925</xdr:colOff>
      <xdr:row>347</xdr:row>
      <xdr:rowOff>19050</xdr:rowOff>
    </xdr:to>
    <xdr:pic>
      <xdr:nvPicPr>
        <xdr:cNvPr id="2229" name="Picture 181" descr="https://upload.wikimedia.org/wikipedia/commons/thumb/5/55/WMA_button2b.png/17px-WMA_button2b.png">
          <a:extLst>
            <a:ext uri="{FF2B5EF4-FFF2-40B4-BE49-F238E27FC236}">
              <a16:creationId xmlns:a16="http://schemas.microsoft.com/office/drawing/2014/main" id="{00000000-0008-0000-0000-0000B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1286350"/>
          <a:ext cx="161925" cy="161925"/>
        </a:xfrm>
        <a:prstGeom prst="rect">
          <a:avLst/>
        </a:prstGeom>
        <a:noFill/>
      </xdr:spPr>
    </xdr:pic>
    <xdr:clientData/>
  </xdr:twoCellAnchor>
  <xdr:twoCellAnchor editAs="oneCell">
    <xdr:from>
      <xdr:col>4</xdr:col>
      <xdr:colOff>0</xdr:colOff>
      <xdr:row>349</xdr:row>
      <xdr:rowOff>0</xdr:rowOff>
    </xdr:from>
    <xdr:to>
      <xdr:col>4</xdr:col>
      <xdr:colOff>161925</xdr:colOff>
      <xdr:row>350</xdr:row>
      <xdr:rowOff>19050</xdr:rowOff>
    </xdr:to>
    <xdr:pic>
      <xdr:nvPicPr>
        <xdr:cNvPr id="2230" name="Picture 182" descr="https://upload.wikimedia.org/wikipedia/commons/thumb/5/55/WMA_button2b.png/17px-WMA_button2b.png">
          <a:extLst>
            <a:ext uri="{FF2B5EF4-FFF2-40B4-BE49-F238E27FC236}">
              <a16:creationId xmlns:a16="http://schemas.microsoft.com/office/drawing/2014/main" id="{00000000-0008-0000-0000-0000B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1524475"/>
          <a:ext cx="161925" cy="161925"/>
        </a:xfrm>
        <a:prstGeom prst="rect">
          <a:avLst/>
        </a:prstGeom>
        <a:noFill/>
      </xdr:spPr>
    </xdr:pic>
    <xdr:clientData/>
  </xdr:twoCellAnchor>
  <xdr:twoCellAnchor editAs="oneCell">
    <xdr:from>
      <xdr:col>4</xdr:col>
      <xdr:colOff>0</xdr:colOff>
      <xdr:row>358</xdr:row>
      <xdr:rowOff>0</xdr:rowOff>
    </xdr:from>
    <xdr:to>
      <xdr:col>4</xdr:col>
      <xdr:colOff>161925</xdr:colOff>
      <xdr:row>359</xdr:row>
      <xdr:rowOff>19050</xdr:rowOff>
    </xdr:to>
    <xdr:pic>
      <xdr:nvPicPr>
        <xdr:cNvPr id="2231" name="Picture 183" descr="https://upload.wikimedia.org/wikipedia/commons/thumb/5/55/WMA_button2b.png/17px-WMA_button2b.png">
          <a:extLst>
            <a:ext uri="{FF2B5EF4-FFF2-40B4-BE49-F238E27FC236}">
              <a16:creationId xmlns:a16="http://schemas.microsoft.com/office/drawing/2014/main" id="{00000000-0008-0000-0000-0000B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1762600"/>
          <a:ext cx="161925" cy="161925"/>
        </a:xfrm>
        <a:prstGeom prst="rect">
          <a:avLst/>
        </a:prstGeom>
        <a:noFill/>
      </xdr:spPr>
    </xdr:pic>
    <xdr:clientData/>
  </xdr:twoCellAnchor>
  <xdr:twoCellAnchor editAs="oneCell">
    <xdr:from>
      <xdr:col>4</xdr:col>
      <xdr:colOff>0</xdr:colOff>
      <xdr:row>353</xdr:row>
      <xdr:rowOff>0</xdr:rowOff>
    </xdr:from>
    <xdr:to>
      <xdr:col>4</xdr:col>
      <xdr:colOff>161925</xdr:colOff>
      <xdr:row>354</xdr:row>
      <xdr:rowOff>19050</xdr:rowOff>
    </xdr:to>
    <xdr:pic>
      <xdr:nvPicPr>
        <xdr:cNvPr id="2232" name="Picture 184" descr="https://upload.wikimedia.org/wikipedia/commons/thumb/5/55/WMA_button2b.png/17px-WMA_button2b.png">
          <a:extLst>
            <a:ext uri="{FF2B5EF4-FFF2-40B4-BE49-F238E27FC236}">
              <a16:creationId xmlns:a16="http://schemas.microsoft.com/office/drawing/2014/main" id="{00000000-0008-0000-0000-0000B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2000725"/>
          <a:ext cx="161925" cy="161925"/>
        </a:xfrm>
        <a:prstGeom prst="rect">
          <a:avLst/>
        </a:prstGeom>
        <a:noFill/>
      </xdr:spPr>
    </xdr:pic>
    <xdr:clientData/>
  </xdr:twoCellAnchor>
  <xdr:twoCellAnchor editAs="oneCell">
    <xdr:from>
      <xdr:col>4</xdr:col>
      <xdr:colOff>0</xdr:colOff>
      <xdr:row>348</xdr:row>
      <xdr:rowOff>0</xdr:rowOff>
    </xdr:from>
    <xdr:to>
      <xdr:col>4</xdr:col>
      <xdr:colOff>161925</xdr:colOff>
      <xdr:row>349</xdr:row>
      <xdr:rowOff>19050</xdr:rowOff>
    </xdr:to>
    <xdr:pic>
      <xdr:nvPicPr>
        <xdr:cNvPr id="2233" name="Picture 185" descr="https://upload.wikimedia.org/wikipedia/commons/thumb/5/55/WMA_button2b.png/17px-WMA_button2b.png">
          <a:extLst>
            <a:ext uri="{FF2B5EF4-FFF2-40B4-BE49-F238E27FC236}">
              <a16:creationId xmlns:a16="http://schemas.microsoft.com/office/drawing/2014/main" id="{00000000-0008-0000-0000-0000B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2238850"/>
          <a:ext cx="161925" cy="161925"/>
        </a:xfrm>
        <a:prstGeom prst="rect">
          <a:avLst/>
        </a:prstGeom>
        <a:noFill/>
      </xdr:spPr>
    </xdr:pic>
    <xdr:clientData/>
  </xdr:twoCellAnchor>
  <xdr:twoCellAnchor editAs="oneCell">
    <xdr:from>
      <xdr:col>4</xdr:col>
      <xdr:colOff>0</xdr:colOff>
      <xdr:row>355</xdr:row>
      <xdr:rowOff>0</xdr:rowOff>
    </xdr:from>
    <xdr:to>
      <xdr:col>4</xdr:col>
      <xdr:colOff>161925</xdr:colOff>
      <xdr:row>356</xdr:row>
      <xdr:rowOff>19050</xdr:rowOff>
    </xdr:to>
    <xdr:pic>
      <xdr:nvPicPr>
        <xdr:cNvPr id="2234" name="Picture 186" descr="https://upload.wikimedia.org/wikipedia/commons/thumb/5/55/WMA_button2b.png/17px-WMA_button2b.png">
          <a:extLst>
            <a:ext uri="{FF2B5EF4-FFF2-40B4-BE49-F238E27FC236}">
              <a16:creationId xmlns:a16="http://schemas.microsoft.com/office/drawing/2014/main" id="{00000000-0008-0000-0000-0000B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2476975"/>
          <a:ext cx="161925" cy="161925"/>
        </a:xfrm>
        <a:prstGeom prst="rect">
          <a:avLst/>
        </a:prstGeom>
        <a:noFill/>
      </xdr:spPr>
    </xdr:pic>
    <xdr:clientData/>
  </xdr:twoCellAnchor>
  <xdr:twoCellAnchor editAs="oneCell">
    <xdr:from>
      <xdr:col>4</xdr:col>
      <xdr:colOff>0</xdr:colOff>
      <xdr:row>357</xdr:row>
      <xdr:rowOff>0</xdr:rowOff>
    </xdr:from>
    <xdr:to>
      <xdr:col>4</xdr:col>
      <xdr:colOff>161925</xdr:colOff>
      <xdr:row>358</xdr:row>
      <xdr:rowOff>19050</xdr:rowOff>
    </xdr:to>
    <xdr:pic>
      <xdr:nvPicPr>
        <xdr:cNvPr id="2235" name="Picture 187" descr="https://upload.wikimedia.org/wikipedia/commons/thumb/5/55/WMA_button2b.png/17px-WMA_button2b.png">
          <a:extLst>
            <a:ext uri="{FF2B5EF4-FFF2-40B4-BE49-F238E27FC236}">
              <a16:creationId xmlns:a16="http://schemas.microsoft.com/office/drawing/2014/main" id="{00000000-0008-0000-0000-0000B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2715100"/>
          <a:ext cx="161925" cy="161925"/>
        </a:xfrm>
        <a:prstGeom prst="rect">
          <a:avLst/>
        </a:prstGeom>
        <a:noFill/>
      </xdr:spPr>
    </xdr:pic>
    <xdr:clientData/>
  </xdr:twoCellAnchor>
  <xdr:twoCellAnchor editAs="oneCell">
    <xdr:from>
      <xdr:col>4</xdr:col>
      <xdr:colOff>0</xdr:colOff>
      <xdr:row>351</xdr:row>
      <xdr:rowOff>0</xdr:rowOff>
    </xdr:from>
    <xdr:to>
      <xdr:col>4</xdr:col>
      <xdr:colOff>161925</xdr:colOff>
      <xdr:row>352</xdr:row>
      <xdr:rowOff>19050</xdr:rowOff>
    </xdr:to>
    <xdr:pic>
      <xdr:nvPicPr>
        <xdr:cNvPr id="2236" name="Picture 188" descr="https://upload.wikimedia.org/wikipedia/commons/thumb/5/55/WMA_button2b.png/17px-WMA_button2b.png">
          <a:extLst>
            <a:ext uri="{FF2B5EF4-FFF2-40B4-BE49-F238E27FC236}">
              <a16:creationId xmlns:a16="http://schemas.microsoft.com/office/drawing/2014/main" id="{00000000-0008-0000-0000-0000B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2953225"/>
          <a:ext cx="161925" cy="161925"/>
        </a:xfrm>
        <a:prstGeom prst="rect">
          <a:avLst/>
        </a:prstGeom>
        <a:noFill/>
      </xdr:spPr>
    </xdr:pic>
    <xdr:clientData/>
  </xdr:twoCellAnchor>
  <xdr:twoCellAnchor editAs="oneCell">
    <xdr:from>
      <xdr:col>4</xdr:col>
      <xdr:colOff>0</xdr:colOff>
      <xdr:row>359</xdr:row>
      <xdr:rowOff>0</xdr:rowOff>
    </xdr:from>
    <xdr:to>
      <xdr:col>4</xdr:col>
      <xdr:colOff>161925</xdr:colOff>
      <xdr:row>360</xdr:row>
      <xdr:rowOff>19050</xdr:rowOff>
    </xdr:to>
    <xdr:pic>
      <xdr:nvPicPr>
        <xdr:cNvPr id="2237" name="Picture 189" descr="https://upload.wikimedia.org/wikipedia/commons/thumb/5/55/WMA_button2b.png/17px-WMA_button2b.png">
          <a:extLst>
            <a:ext uri="{FF2B5EF4-FFF2-40B4-BE49-F238E27FC236}">
              <a16:creationId xmlns:a16="http://schemas.microsoft.com/office/drawing/2014/main" id="{00000000-0008-0000-0000-0000B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3191350"/>
          <a:ext cx="161925" cy="161925"/>
        </a:xfrm>
        <a:prstGeom prst="rect">
          <a:avLst/>
        </a:prstGeom>
        <a:noFill/>
      </xdr:spPr>
    </xdr:pic>
    <xdr:clientData/>
  </xdr:twoCellAnchor>
  <xdr:twoCellAnchor editAs="oneCell">
    <xdr:from>
      <xdr:col>4</xdr:col>
      <xdr:colOff>0</xdr:colOff>
      <xdr:row>366</xdr:row>
      <xdr:rowOff>0</xdr:rowOff>
    </xdr:from>
    <xdr:to>
      <xdr:col>4</xdr:col>
      <xdr:colOff>161925</xdr:colOff>
      <xdr:row>367</xdr:row>
      <xdr:rowOff>19050</xdr:rowOff>
    </xdr:to>
    <xdr:pic>
      <xdr:nvPicPr>
        <xdr:cNvPr id="2238" name="Picture 190" descr="https://upload.wikimedia.org/wikipedia/commons/thumb/5/55/WMA_button2b.png/17px-WMA_button2b.png">
          <a:extLst>
            <a:ext uri="{FF2B5EF4-FFF2-40B4-BE49-F238E27FC236}">
              <a16:creationId xmlns:a16="http://schemas.microsoft.com/office/drawing/2014/main" id="{00000000-0008-0000-0000-0000B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3429475"/>
          <a:ext cx="161925" cy="161925"/>
        </a:xfrm>
        <a:prstGeom prst="rect">
          <a:avLst/>
        </a:prstGeom>
        <a:noFill/>
      </xdr:spPr>
    </xdr:pic>
    <xdr:clientData/>
  </xdr:twoCellAnchor>
  <xdr:twoCellAnchor editAs="oneCell">
    <xdr:from>
      <xdr:col>4</xdr:col>
      <xdr:colOff>0</xdr:colOff>
      <xdr:row>360</xdr:row>
      <xdr:rowOff>0</xdr:rowOff>
    </xdr:from>
    <xdr:to>
      <xdr:col>4</xdr:col>
      <xdr:colOff>161925</xdr:colOff>
      <xdr:row>361</xdr:row>
      <xdr:rowOff>19050</xdr:rowOff>
    </xdr:to>
    <xdr:pic>
      <xdr:nvPicPr>
        <xdr:cNvPr id="2239" name="Picture 191" descr="https://upload.wikimedia.org/wikipedia/commons/thumb/5/55/WMA_button2b.png/17px-WMA_button2b.png">
          <a:extLst>
            <a:ext uri="{FF2B5EF4-FFF2-40B4-BE49-F238E27FC236}">
              <a16:creationId xmlns:a16="http://schemas.microsoft.com/office/drawing/2014/main" id="{00000000-0008-0000-0000-0000B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3667600"/>
          <a:ext cx="161925" cy="161925"/>
        </a:xfrm>
        <a:prstGeom prst="rect">
          <a:avLst/>
        </a:prstGeom>
        <a:noFill/>
      </xdr:spPr>
    </xdr:pic>
    <xdr:clientData/>
  </xdr:twoCellAnchor>
  <xdr:twoCellAnchor editAs="oneCell">
    <xdr:from>
      <xdr:col>4</xdr:col>
      <xdr:colOff>0</xdr:colOff>
      <xdr:row>361</xdr:row>
      <xdr:rowOff>0</xdr:rowOff>
    </xdr:from>
    <xdr:to>
      <xdr:col>4</xdr:col>
      <xdr:colOff>161925</xdr:colOff>
      <xdr:row>362</xdr:row>
      <xdr:rowOff>19050</xdr:rowOff>
    </xdr:to>
    <xdr:pic>
      <xdr:nvPicPr>
        <xdr:cNvPr id="2240" name="Picture 192" descr="https://upload.wikimedia.org/wikipedia/commons/thumb/5/55/WMA_button2b.png/17px-WMA_button2b.png">
          <a:extLst>
            <a:ext uri="{FF2B5EF4-FFF2-40B4-BE49-F238E27FC236}">
              <a16:creationId xmlns:a16="http://schemas.microsoft.com/office/drawing/2014/main" id="{00000000-0008-0000-0000-0000C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3905725"/>
          <a:ext cx="161925" cy="161925"/>
        </a:xfrm>
        <a:prstGeom prst="rect">
          <a:avLst/>
        </a:prstGeom>
        <a:noFill/>
      </xdr:spPr>
    </xdr:pic>
    <xdr:clientData/>
  </xdr:twoCellAnchor>
  <xdr:twoCellAnchor editAs="oneCell">
    <xdr:from>
      <xdr:col>4</xdr:col>
      <xdr:colOff>0</xdr:colOff>
      <xdr:row>362</xdr:row>
      <xdr:rowOff>0</xdr:rowOff>
    </xdr:from>
    <xdr:to>
      <xdr:col>4</xdr:col>
      <xdr:colOff>161925</xdr:colOff>
      <xdr:row>363</xdr:row>
      <xdr:rowOff>19050</xdr:rowOff>
    </xdr:to>
    <xdr:pic>
      <xdr:nvPicPr>
        <xdr:cNvPr id="2241" name="Picture 193" descr="https://upload.wikimedia.org/wikipedia/commons/thumb/5/55/WMA_button2b.png/17px-WMA_button2b.png">
          <a:extLst>
            <a:ext uri="{FF2B5EF4-FFF2-40B4-BE49-F238E27FC236}">
              <a16:creationId xmlns:a16="http://schemas.microsoft.com/office/drawing/2014/main" id="{00000000-0008-0000-0000-0000C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4143850"/>
          <a:ext cx="161925" cy="161925"/>
        </a:xfrm>
        <a:prstGeom prst="rect">
          <a:avLst/>
        </a:prstGeom>
        <a:noFill/>
      </xdr:spPr>
    </xdr:pic>
    <xdr:clientData/>
  </xdr:twoCellAnchor>
  <xdr:twoCellAnchor editAs="oneCell">
    <xdr:from>
      <xdr:col>4</xdr:col>
      <xdr:colOff>0</xdr:colOff>
      <xdr:row>363</xdr:row>
      <xdr:rowOff>0</xdr:rowOff>
    </xdr:from>
    <xdr:to>
      <xdr:col>4</xdr:col>
      <xdr:colOff>161925</xdr:colOff>
      <xdr:row>364</xdr:row>
      <xdr:rowOff>19050</xdr:rowOff>
    </xdr:to>
    <xdr:pic>
      <xdr:nvPicPr>
        <xdr:cNvPr id="2242" name="Picture 194" descr="https://upload.wikimedia.org/wikipedia/commons/thumb/5/55/WMA_button2b.png/17px-WMA_button2b.png">
          <a:extLst>
            <a:ext uri="{FF2B5EF4-FFF2-40B4-BE49-F238E27FC236}">
              <a16:creationId xmlns:a16="http://schemas.microsoft.com/office/drawing/2014/main" id="{00000000-0008-0000-0000-0000C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4381975"/>
          <a:ext cx="161925" cy="161925"/>
        </a:xfrm>
        <a:prstGeom prst="rect">
          <a:avLst/>
        </a:prstGeom>
        <a:noFill/>
      </xdr:spPr>
    </xdr:pic>
    <xdr:clientData/>
  </xdr:twoCellAnchor>
  <xdr:twoCellAnchor editAs="oneCell">
    <xdr:from>
      <xdr:col>4</xdr:col>
      <xdr:colOff>0</xdr:colOff>
      <xdr:row>365</xdr:row>
      <xdr:rowOff>0</xdr:rowOff>
    </xdr:from>
    <xdr:to>
      <xdr:col>4</xdr:col>
      <xdr:colOff>161925</xdr:colOff>
      <xdr:row>366</xdr:row>
      <xdr:rowOff>19050</xdr:rowOff>
    </xdr:to>
    <xdr:pic>
      <xdr:nvPicPr>
        <xdr:cNvPr id="2243" name="Picture 195" descr="https://upload.wikimedia.org/wikipedia/commons/thumb/5/55/WMA_button2b.png/17px-WMA_button2b.png">
          <a:extLst>
            <a:ext uri="{FF2B5EF4-FFF2-40B4-BE49-F238E27FC236}">
              <a16:creationId xmlns:a16="http://schemas.microsoft.com/office/drawing/2014/main" id="{00000000-0008-0000-0000-0000C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4620100"/>
          <a:ext cx="161925" cy="161925"/>
        </a:xfrm>
        <a:prstGeom prst="rect">
          <a:avLst/>
        </a:prstGeom>
        <a:noFill/>
      </xdr:spPr>
    </xdr:pic>
    <xdr:clientData/>
  </xdr:twoCellAnchor>
  <xdr:twoCellAnchor editAs="oneCell">
    <xdr:from>
      <xdr:col>4</xdr:col>
      <xdr:colOff>0</xdr:colOff>
      <xdr:row>364</xdr:row>
      <xdr:rowOff>0</xdr:rowOff>
    </xdr:from>
    <xdr:to>
      <xdr:col>4</xdr:col>
      <xdr:colOff>161925</xdr:colOff>
      <xdr:row>365</xdr:row>
      <xdr:rowOff>19050</xdr:rowOff>
    </xdr:to>
    <xdr:pic>
      <xdr:nvPicPr>
        <xdr:cNvPr id="2244" name="Picture 196" descr="https://upload.wikimedia.org/wikipedia/commons/thumb/5/55/WMA_button2b.png/17px-WMA_button2b.png">
          <a:extLst>
            <a:ext uri="{FF2B5EF4-FFF2-40B4-BE49-F238E27FC236}">
              <a16:creationId xmlns:a16="http://schemas.microsoft.com/office/drawing/2014/main" id="{00000000-0008-0000-0000-0000C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4858225"/>
          <a:ext cx="161925" cy="161925"/>
        </a:xfrm>
        <a:prstGeom prst="rect">
          <a:avLst/>
        </a:prstGeom>
        <a:noFill/>
      </xdr:spPr>
    </xdr:pic>
    <xdr:clientData/>
  </xdr:twoCellAnchor>
  <xdr:twoCellAnchor editAs="oneCell">
    <xdr:from>
      <xdr:col>2</xdr:col>
      <xdr:colOff>0</xdr:colOff>
      <xdr:row>378</xdr:row>
      <xdr:rowOff>0</xdr:rowOff>
    </xdr:from>
    <xdr:to>
      <xdr:col>2</xdr:col>
      <xdr:colOff>161925</xdr:colOff>
      <xdr:row>379</xdr:row>
      <xdr:rowOff>19050</xdr:rowOff>
    </xdr:to>
    <xdr:pic>
      <xdr:nvPicPr>
        <xdr:cNvPr id="2245" name="Picture 197" descr="https://upload.wikimedia.org/wikipedia/commons/thumb/5/55/WMA_button2b.png/17px-WMA_button2b.png">
          <a:extLst>
            <a:ext uri="{FF2B5EF4-FFF2-40B4-BE49-F238E27FC236}">
              <a16:creationId xmlns:a16="http://schemas.microsoft.com/office/drawing/2014/main" id="{00000000-0008-0000-0000-0000C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504950" y="87477600"/>
          <a:ext cx="161925" cy="161925"/>
        </a:xfrm>
        <a:prstGeom prst="rect">
          <a:avLst/>
        </a:prstGeom>
        <a:noFill/>
      </xdr:spPr>
    </xdr:pic>
    <xdr:clientData/>
  </xdr:twoCellAnchor>
  <xdr:twoCellAnchor editAs="oneCell">
    <xdr:from>
      <xdr:col>2</xdr:col>
      <xdr:colOff>0</xdr:colOff>
      <xdr:row>378</xdr:row>
      <xdr:rowOff>0</xdr:rowOff>
    </xdr:from>
    <xdr:to>
      <xdr:col>2</xdr:col>
      <xdr:colOff>161925</xdr:colOff>
      <xdr:row>379</xdr:row>
      <xdr:rowOff>19050</xdr:rowOff>
    </xdr:to>
    <xdr:pic>
      <xdr:nvPicPr>
        <xdr:cNvPr id="2246" name="Picture 198" descr="https://upload.wikimedia.org/wikipedia/commons/thumb/5/55/WMA_button2b.png/17px-WMA_button2b.png">
          <a:extLst>
            <a:ext uri="{FF2B5EF4-FFF2-40B4-BE49-F238E27FC236}">
              <a16:creationId xmlns:a16="http://schemas.microsoft.com/office/drawing/2014/main" id="{00000000-0008-0000-0000-0000C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676400" y="87477600"/>
          <a:ext cx="161925" cy="161925"/>
        </a:xfrm>
        <a:prstGeom prst="rect">
          <a:avLst/>
        </a:prstGeom>
        <a:noFill/>
      </xdr:spPr>
    </xdr:pic>
    <xdr:clientData/>
  </xdr:twoCellAnchor>
  <xdr:twoCellAnchor editAs="oneCell">
    <xdr:from>
      <xdr:col>2</xdr:col>
      <xdr:colOff>0</xdr:colOff>
      <xdr:row>378</xdr:row>
      <xdr:rowOff>0</xdr:rowOff>
    </xdr:from>
    <xdr:to>
      <xdr:col>2</xdr:col>
      <xdr:colOff>161925</xdr:colOff>
      <xdr:row>379</xdr:row>
      <xdr:rowOff>19050</xdr:rowOff>
    </xdr:to>
    <xdr:pic>
      <xdr:nvPicPr>
        <xdr:cNvPr id="2247" name="Picture 199" descr="https://upload.wikimedia.org/wikipedia/commons/thumb/5/55/WMA_button2b.png/17px-WMA_button2b.png">
          <a:extLst>
            <a:ext uri="{FF2B5EF4-FFF2-40B4-BE49-F238E27FC236}">
              <a16:creationId xmlns:a16="http://schemas.microsoft.com/office/drawing/2014/main" id="{00000000-0008-0000-0000-0000C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847850" y="87477600"/>
          <a:ext cx="161925" cy="161925"/>
        </a:xfrm>
        <a:prstGeom prst="rect">
          <a:avLst/>
        </a:prstGeom>
        <a:noFill/>
      </xdr:spPr>
    </xdr:pic>
    <xdr:clientData/>
  </xdr:twoCellAnchor>
  <xdr:twoCellAnchor editAs="oneCell">
    <xdr:from>
      <xdr:col>2</xdr:col>
      <xdr:colOff>0</xdr:colOff>
      <xdr:row>378</xdr:row>
      <xdr:rowOff>0</xdr:rowOff>
    </xdr:from>
    <xdr:to>
      <xdr:col>2</xdr:col>
      <xdr:colOff>161925</xdr:colOff>
      <xdr:row>379</xdr:row>
      <xdr:rowOff>19050</xdr:rowOff>
    </xdr:to>
    <xdr:pic>
      <xdr:nvPicPr>
        <xdr:cNvPr id="2248" name="Picture 200" descr="https://upload.wikimedia.org/wikipedia/commons/thumb/5/55/WMA_button2b.png/17px-WMA_button2b.png">
          <a:extLst>
            <a:ext uri="{FF2B5EF4-FFF2-40B4-BE49-F238E27FC236}">
              <a16:creationId xmlns:a16="http://schemas.microsoft.com/office/drawing/2014/main" id="{00000000-0008-0000-0000-0000C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019300" y="87477600"/>
          <a:ext cx="161925" cy="161925"/>
        </a:xfrm>
        <a:prstGeom prst="rect">
          <a:avLst/>
        </a:prstGeom>
        <a:noFill/>
      </xdr:spPr>
    </xdr:pic>
    <xdr:clientData/>
  </xdr:twoCellAnchor>
  <xdr:twoCellAnchor editAs="oneCell">
    <xdr:from>
      <xdr:col>2</xdr:col>
      <xdr:colOff>0</xdr:colOff>
      <xdr:row>378</xdr:row>
      <xdr:rowOff>0</xdr:rowOff>
    </xdr:from>
    <xdr:to>
      <xdr:col>2</xdr:col>
      <xdr:colOff>161925</xdr:colOff>
      <xdr:row>379</xdr:row>
      <xdr:rowOff>19050</xdr:rowOff>
    </xdr:to>
    <xdr:pic>
      <xdr:nvPicPr>
        <xdr:cNvPr id="2249" name="Picture 201" descr="https://upload.wikimedia.org/wikipedia/commons/thumb/5/55/WMA_button2b.png/17px-WMA_button2b.png">
          <a:extLst>
            <a:ext uri="{FF2B5EF4-FFF2-40B4-BE49-F238E27FC236}">
              <a16:creationId xmlns:a16="http://schemas.microsoft.com/office/drawing/2014/main" id="{00000000-0008-0000-0000-0000C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190750" y="87477600"/>
          <a:ext cx="161925" cy="161925"/>
        </a:xfrm>
        <a:prstGeom prst="rect">
          <a:avLst/>
        </a:prstGeom>
        <a:noFill/>
      </xdr:spPr>
    </xdr:pic>
    <xdr:clientData/>
  </xdr:twoCellAnchor>
  <xdr:twoCellAnchor editAs="oneCell">
    <xdr:from>
      <xdr:col>2</xdr:col>
      <xdr:colOff>0</xdr:colOff>
      <xdr:row>378</xdr:row>
      <xdr:rowOff>0</xdr:rowOff>
    </xdr:from>
    <xdr:to>
      <xdr:col>2</xdr:col>
      <xdr:colOff>161925</xdr:colOff>
      <xdr:row>379</xdr:row>
      <xdr:rowOff>19050</xdr:rowOff>
    </xdr:to>
    <xdr:pic>
      <xdr:nvPicPr>
        <xdr:cNvPr id="2250" name="Picture 202" descr="https://upload.wikimedia.org/wikipedia/commons/thumb/5/55/WMA_button2b.png/17px-WMA_button2b.png">
          <a:extLst>
            <a:ext uri="{FF2B5EF4-FFF2-40B4-BE49-F238E27FC236}">
              <a16:creationId xmlns:a16="http://schemas.microsoft.com/office/drawing/2014/main" id="{00000000-0008-0000-0000-0000C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2362200" y="87477600"/>
          <a:ext cx="161925" cy="161925"/>
        </a:xfrm>
        <a:prstGeom prst="rect">
          <a:avLst/>
        </a:prstGeom>
        <a:noFill/>
      </xdr:spPr>
    </xdr:pic>
    <xdr:clientData/>
  </xdr:twoCellAnchor>
  <xdr:twoCellAnchor editAs="oneCell">
    <xdr:from>
      <xdr:col>4</xdr:col>
      <xdr:colOff>0</xdr:colOff>
      <xdr:row>394</xdr:row>
      <xdr:rowOff>0</xdr:rowOff>
    </xdr:from>
    <xdr:to>
      <xdr:col>4</xdr:col>
      <xdr:colOff>161925</xdr:colOff>
      <xdr:row>394</xdr:row>
      <xdr:rowOff>161925</xdr:rowOff>
    </xdr:to>
    <xdr:pic>
      <xdr:nvPicPr>
        <xdr:cNvPr id="2251" name="Picture 203" descr="https://upload.wikimedia.org/wikipedia/commons/thumb/5/55/WMA_button2b.png/17px-WMA_button2b.png">
          <a:extLst>
            <a:ext uri="{FF2B5EF4-FFF2-40B4-BE49-F238E27FC236}">
              <a16:creationId xmlns:a16="http://schemas.microsoft.com/office/drawing/2014/main" id="{00000000-0008-0000-0000-0000C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9144475"/>
          <a:ext cx="161925" cy="161925"/>
        </a:xfrm>
        <a:prstGeom prst="rect">
          <a:avLst/>
        </a:prstGeom>
        <a:noFill/>
      </xdr:spPr>
    </xdr:pic>
    <xdr:clientData/>
  </xdr:twoCellAnchor>
  <xdr:twoCellAnchor editAs="oneCell">
    <xdr:from>
      <xdr:col>4</xdr:col>
      <xdr:colOff>0</xdr:colOff>
      <xdr:row>392</xdr:row>
      <xdr:rowOff>0</xdr:rowOff>
    </xdr:from>
    <xdr:to>
      <xdr:col>4</xdr:col>
      <xdr:colOff>161925</xdr:colOff>
      <xdr:row>392</xdr:row>
      <xdr:rowOff>161925</xdr:rowOff>
    </xdr:to>
    <xdr:pic>
      <xdr:nvPicPr>
        <xdr:cNvPr id="2252" name="Picture 204" descr="https://upload.wikimedia.org/wikipedia/commons/thumb/5/55/WMA_button2b.png/17px-WMA_button2b.png">
          <a:extLst>
            <a:ext uri="{FF2B5EF4-FFF2-40B4-BE49-F238E27FC236}">
              <a16:creationId xmlns:a16="http://schemas.microsoft.com/office/drawing/2014/main" id="{00000000-0008-0000-0000-0000C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9382600"/>
          <a:ext cx="161925" cy="161925"/>
        </a:xfrm>
        <a:prstGeom prst="rect">
          <a:avLst/>
        </a:prstGeom>
        <a:noFill/>
      </xdr:spPr>
    </xdr:pic>
    <xdr:clientData/>
  </xdr:twoCellAnchor>
  <xdr:twoCellAnchor editAs="oneCell">
    <xdr:from>
      <xdr:col>4</xdr:col>
      <xdr:colOff>0</xdr:colOff>
      <xdr:row>390</xdr:row>
      <xdr:rowOff>0</xdr:rowOff>
    </xdr:from>
    <xdr:to>
      <xdr:col>4</xdr:col>
      <xdr:colOff>161925</xdr:colOff>
      <xdr:row>391</xdr:row>
      <xdr:rowOff>19050</xdr:rowOff>
    </xdr:to>
    <xdr:pic>
      <xdr:nvPicPr>
        <xdr:cNvPr id="2253" name="Picture 205" descr="https://upload.wikimedia.org/wikipedia/commons/thumb/5/55/WMA_button2b.png/17px-WMA_button2b.png">
          <a:extLst>
            <a:ext uri="{FF2B5EF4-FFF2-40B4-BE49-F238E27FC236}">
              <a16:creationId xmlns:a16="http://schemas.microsoft.com/office/drawing/2014/main" id="{00000000-0008-0000-0000-0000C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9620725"/>
          <a:ext cx="161925" cy="161925"/>
        </a:xfrm>
        <a:prstGeom prst="rect">
          <a:avLst/>
        </a:prstGeom>
        <a:noFill/>
      </xdr:spPr>
    </xdr:pic>
    <xdr:clientData/>
  </xdr:twoCellAnchor>
  <xdr:twoCellAnchor editAs="oneCell">
    <xdr:from>
      <xdr:col>4</xdr:col>
      <xdr:colOff>0</xdr:colOff>
      <xdr:row>395</xdr:row>
      <xdr:rowOff>0</xdr:rowOff>
    </xdr:from>
    <xdr:to>
      <xdr:col>4</xdr:col>
      <xdr:colOff>161925</xdr:colOff>
      <xdr:row>396</xdr:row>
      <xdr:rowOff>19050</xdr:rowOff>
    </xdr:to>
    <xdr:pic>
      <xdr:nvPicPr>
        <xdr:cNvPr id="2254" name="Picture 206" descr="https://upload.wikimedia.org/wikipedia/commons/thumb/5/55/WMA_button2b.png/17px-WMA_button2b.png">
          <a:extLst>
            <a:ext uri="{FF2B5EF4-FFF2-40B4-BE49-F238E27FC236}">
              <a16:creationId xmlns:a16="http://schemas.microsoft.com/office/drawing/2014/main" id="{00000000-0008-0000-0000-0000C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89858850"/>
          <a:ext cx="161925" cy="161925"/>
        </a:xfrm>
        <a:prstGeom prst="rect">
          <a:avLst/>
        </a:prstGeom>
        <a:noFill/>
      </xdr:spPr>
    </xdr:pic>
    <xdr:clientData/>
  </xdr:twoCellAnchor>
  <xdr:twoCellAnchor editAs="oneCell">
    <xdr:from>
      <xdr:col>4</xdr:col>
      <xdr:colOff>0</xdr:colOff>
      <xdr:row>393</xdr:row>
      <xdr:rowOff>0</xdr:rowOff>
    </xdr:from>
    <xdr:to>
      <xdr:col>4</xdr:col>
      <xdr:colOff>161925</xdr:colOff>
      <xdr:row>393</xdr:row>
      <xdr:rowOff>161925</xdr:rowOff>
    </xdr:to>
    <xdr:pic>
      <xdr:nvPicPr>
        <xdr:cNvPr id="2255" name="Picture 207" descr="https://upload.wikimedia.org/wikipedia/commons/thumb/5/55/WMA_button2b.png/17px-WMA_button2b.png">
          <a:extLst>
            <a:ext uri="{FF2B5EF4-FFF2-40B4-BE49-F238E27FC236}">
              <a16:creationId xmlns:a16="http://schemas.microsoft.com/office/drawing/2014/main" id="{00000000-0008-0000-0000-0000C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90096975"/>
          <a:ext cx="161925" cy="161925"/>
        </a:xfrm>
        <a:prstGeom prst="rect">
          <a:avLst/>
        </a:prstGeom>
        <a:noFill/>
      </xdr:spPr>
    </xdr:pic>
    <xdr:clientData/>
  </xdr:twoCellAnchor>
  <xdr:twoCellAnchor editAs="oneCell">
    <xdr:from>
      <xdr:col>4</xdr:col>
      <xdr:colOff>0</xdr:colOff>
      <xdr:row>386</xdr:row>
      <xdr:rowOff>0</xdr:rowOff>
    </xdr:from>
    <xdr:to>
      <xdr:col>4</xdr:col>
      <xdr:colOff>161925</xdr:colOff>
      <xdr:row>386</xdr:row>
      <xdr:rowOff>161925</xdr:rowOff>
    </xdr:to>
    <xdr:pic>
      <xdr:nvPicPr>
        <xdr:cNvPr id="2256" name="Picture 208" descr="https://upload.wikimedia.org/wikipedia/commons/thumb/5/55/WMA_button2b.png/17px-WMA_button2b.png">
          <a:extLst>
            <a:ext uri="{FF2B5EF4-FFF2-40B4-BE49-F238E27FC236}">
              <a16:creationId xmlns:a16="http://schemas.microsoft.com/office/drawing/2014/main" id="{00000000-0008-0000-0000-0000D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90335100"/>
          <a:ext cx="161925" cy="161925"/>
        </a:xfrm>
        <a:prstGeom prst="rect">
          <a:avLst/>
        </a:prstGeom>
        <a:noFill/>
      </xdr:spPr>
    </xdr:pic>
    <xdr:clientData/>
  </xdr:twoCellAnchor>
  <xdr:twoCellAnchor editAs="oneCell">
    <xdr:from>
      <xdr:col>4</xdr:col>
      <xdr:colOff>0</xdr:colOff>
      <xdr:row>384</xdr:row>
      <xdr:rowOff>0</xdr:rowOff>
    </xdr:from>
    <xdr:to>
      <xdr:col>4</xdr:col>
      <xdr:colOff>161925</xdr:colOff>
      <xdr:row>384</xdr:row>
      <xdr:rowOff>161925</xdr:rowOff>
    </xdr:to>
    <xdr:pic>
      <xdr:nvPicPr>
        <xdr:cNvPr id="2257" name="Picture 209" descr="https://upload.wikimedia.org/wikipedia/commons/thumb/5/55/WMA_button2b.png/17px-WMA_button2b.png">
          <a:extLst>
            <a:ext uri="{FF2B5EF4-FFF2-40B4-BE49-F238E27FC236}">
              <a16:creationId xmlns:a16="http://schemas.microsoft.com/office/drawing/2014/main" id="{00000000-0008-0000-0000-0000D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90573225"/>
          <a:ext cx="161925" cy="161925"/>
        </a:xfrm>
        <a:prstGeom prst="rect">
          <a:avLst/>
        </a:prstGeom>
        <a:noFill/>
      </xdr:spPr>
    </xdr:pic>
    <xdr:clientData/>
  </xdr:twoCellAnchor>
  <xdr:twoCellAnchor editAs="oneCell">
    <xdr:from>
      <xdr:col>4</xdr:col>
      <xdr:colOff>0</xdr:colOff>
      <xdr:row>385</xdr:row>
      <xdr:rowOff>0</xdr:rowOff>
    </xdr:from>
    <xdr:to>
      <xdr:col>4</xdr:col>
      <xdr:colOff>161925</xdr:colOff>
      <xdr:row>385</xdr:row>
      <xdr:rowOff>161925</xdr:rowOff>
    </xdr:to>
    <xdr:pic>
      <xdr:nvPicPr>
        <xdr:cNvPr id="2258" name="Picture 210" descr="https://upload.wikimedia.org/wikipedia/commons/thumb/5/55/WMA_button2b.png/17px-WMA_button2b.png">
          <a:extLst>
            <a:ext uri="{FF2B5EF4-FFF2-40B4-BE49-F238E27FC236}">
              <a16:creationId xmlns:a16="http://schemas.microsoft.com/office/drawing/2014/main" id="{00000000-0008-0000-0000-0000D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90811350"/>
          <a:ext cx="161925" cy="161925"/>
        </a:xfrm>
        <a:prstGeom prst="rect">
          <a:avLst/>
        </a:prstGeom>
        <a:noFill/>
      </xdr:spPr>
    </xdr:pic>
    <xdr:clientData/>
  </xdr:twoCellAnchor>
  <xdr:twoCellAnchor editAs="oneCell">
    <xdr:from>
      <xdr:col>4</xdr:col>
      <xdr:colOff>0</xdr:colOff>
      <xdr:row>387</xdr:row>
      <xdr:rowOff>0</xdr:rowOff>
    </xdr:from>
    <xdr:to>
      <xdr:col>4</xdr:col>
      <xdr:colOff>161925</xdr:colOff>
      <xdr:row>388</xdr:row>
      <xdr:rowOff>19050</xdr:rowOff>
    </xdr:to>
    <xdr:pic>
      <xdr:nvPicPr>
        <xdr:cNvPr id="2259" name="Picture 211" descr="https://upload.wikimedia.org/wikipedia/commons/thumb/5/55/WMA_button2b.png/17px-WMA_button2b.png">
          <a:extLst>
            <a:ext uri="{FF2B5EF4-FFF2-40B4-BE49-F238E27FC236}">
              <a16:creationId xmlns:a16="http://schemas.microsoft.com/office/drawing/2014/main" id="{00000000-0008-0000-0000-0000D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91049475"/>
          <a:ext cx="161925" cy="161925"/>
        </a:xfrm>
        <a:prstGeom prst="rect">
          <a:avLst/>
        </a:prstGeom>
        <a:noFill/>
      </xdr:spPr>
    </xdr:pic>
    <xdr:clientData/>
  </xdr:twoCellAnchor>
  <xdr:twoCellAnchor editAs="oneCell">
    <xdr:from>
      <xdr:col>4</xdr:col>
      <xdr:colOff>0</xdr:colOff>
      <xdr:row>389</xdr:row>
      <xdr:rowOff>0</xdr:rowOff>
    </xdr:from>
    <xdr:to>
      <xdr:col>4</xdr:col>
      <xdr:colOff>161925</xdr:colOff>
      <xdr:row>389</xdr:row>
      <xdr:rowOff>161925</xdr:rowOff>
    </xdr:to>
    <xdr:pic>
      <xdr:nvPicPr>
        <xdr:cNvPr id="2260" name="Picture 212" descr="https://upload.wikimedia.org/wikipedia/commons/thumb/5/55/WMA_button2b.png/17px-WMA_button2b.png">
          <a:extLst>
            <a:ext uri="{FF2B5EF4-FFF2-40B4-BE49-F238E27FC236}">
              <a16:creationId xmlns:a16="http://schemas.microsoft.com/office/drawing/2014/main" id="{00000000-0008-0000-0000-0000D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91525725"/>
          <a:ext cx="161925" cy="161925"/>
        </a:xfrm>
        <a:prstGeom prst="rect">
          <a:avLst/>
        </a:prstGeom>
        <a:noFill/>
      </xdr:spPr>
    </xdr:pic>
    <xdr:clientData/>
  </xdr:twoCellAnchor>
  <xdr:twoCellAnchor editAs="oneCell">
    <xdr:from>
      <xdr:col>4</xdr:col>
      <xdr:colOff>0</xdr:colOff>
      <xdr:row>391</xdr:row>
      <xdr:rowOff>0</xdr:rowOff>
    </xdr:from>
    <xdr:to>
      <xdr:col>4</xdr:col>
      <xdr:colOff>161925</xdr:colOff>
      <xdr:row>391</xdr:row>
      <xdr:rowOff>161925</xdr:rowOff>
    </xdr:to>
    <xdr:pic>
      <xdr:nvPicPr>
        <xdr:cNvPr id="2261" name="Picture 213" descr="https://upload.wikimedia.org/wikipedia/commons/thumb/5/55/WMA_button2b.png/17px-WMA_button2b.png">
          <a:extLst>
            <a:ext uri="{FF2B5EF4-FFF2-40B4-BE49-F238E27FC236}">
              <a16:creationId xmlns:a16="http://schemas.microsoft.com/office/drawing/2014/main" id="{00000000-0008-0000-0000-0000D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143375" y="91763850"/>
          <a:ext cx="161925" cy="161925"/>
        </a:xfrm>
        <a:prstGeom prst="rect">
          <a:avLst/>
        </a:prstGeom>
        <a:noFill/>
      </xdr:spPr>
    </xdr:pic>
    <xdr:clientData/>
  </xdr:twoCellAnchor>
  <xdr:twoCellAnchor editAs="oneCell">
    <xdr:from>
      <xdr:col>4</xdr:col>
      <xdr:colOff>0</xdr:colOff>
      <xdr:row>411</xdr:row>
      <xdr:rowOff>0</xdr:rowOff>
    </xdr:from>
    <xdr:to>
      <xdr:col>4</xdr:col>
      <xdr:colOff>161925</xdr:colOff>
      <xdr:row>412</xdr:row>
      <xdr:rowOff>0</xdr:rowOff>
    </xdr:to>
    <xdr:pic>
      <xdr:nvPicPr>
        <xdr:cNvPr id="2262" name="Picture 214" descr="https://upload.wikimedia.org/wikipedia/commons/thumb/5/55/WMA_button2b.png/17px-WMA_button2b.png">
          <a:extLst>
            <a:ext uri="{FF2B5EF4-FFF2-40B4-BE49-F238E27FC236}">
              <a16:creationId xmlns:a16="http://schemas.microsoft.com/office/drawing/2014/main" id="{00000000-0008-0000-0000-0000D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2001975"/>
          <a:ext cx="161925" cy="161925"/>
        </a:xfrm>
        <a:prstGeom prst="rect">
          <a:avLst/>
        </a:prstGeom>
        <a:noFill/>
      </xdr:spPr>
    </xdr:pic>
    <xdr:clientData/>
  </xdr:twoCellAnchor>
  <xdr:twoCellAnchor editAs="oneCell">
    <xdr:from>
      <xdr:col>4</xdr:col>
      <xdr:colOff>0</xdr:colOff>
      <xdr:row>397</xdr:row>
      <xdr:rowOff>0</xdr:rowOff>
    </xdr:from>
    <xdr:to>
      <xdr:col>4</xdr:col>
      <xdr:colOff>161925</xdr:colOff>
      <xdr:row>398</xdr:row>
      <xdr:rowOff>19050</xdr:rowOff>
    </xdr:to>
    <xdr:pic>
      <xdr:nvPicPr>
        <xdr:cNvPr id="2263" name="Picture 215" descr="https://upload.wikimedia.org/wikipedia/commons/thumb/5/55/WMA_button2b.png/17px-WMA_button2b.png">
          <a:extLst>
            <a:ext uri="{FF2B5EF4-FFF2-40B4-BE49-F238E27FC236}">
              <a16:creationId xmlns:a16="http://schemas.microsoft.com/office/drawing/2014/main" id="{00000000-0008-0000-0000-0000D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2240100"/>
          <a:ext cx="161925" cy="161925"/>
        </a:xfrm>
        <a:prstGeom prst="rect">
          <a:avLst/>
        </a:prstGeom>
        <a:noFill/>
      </xdr:spPr>
    </xdr:pic>
    <xdr:clientData/>
  </xdr:twoCellAnchor>
  <xdr:twoCellAnchor editAs="oneCell">
    <xdr:from>
      <xdr:col>4</xdr:col>
      <xdr:colOff>0</xdr:colOff>
      <xdr:row>412</xdr:row>
      <xdr:rowOff>0</xdr:rowOff>
    </xdr:from>
    <xdr:to>
      <xdr:col>4</xdr:col>
      <xdr:colOff>161925</xdr:colOff>
      <xdr:row>413</xdr:row>
      <xdr:rowOff>0</xdr:rowOff>
    </xdr:to>
    <xdr:pic>
      <xdr:nvPicPr>
        <xdr:cNvPr id="2264" name="Picture 216" descr="https://upload.wikimedia.org/wikipedia/commons/thumb/5/55/WMA_button2b.png/17px-WMA_button2b.png">
          <a:extLst>
            <a:ext uri="{FF2B5EF4-FFF2-40B4-BE49-F238E27FC236}">
              <a16:creationId xmlns:a16="http://schemas.microsoft.com/office/drawing/2014/main" id="{00000000-0008-0000-0000-0000D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2716350"/>
          <a:ext cx="161925" cy="161925"/>
        </a:xfrm>
        <a:prstGeom prst="rect">
          <a:avLst/>
        </a:prstGeom>
        <a:noFill/>
      </xdr:spPr>
    </xdr:pic>
    <xdr:clientData/>
  </xdr:twoCellAnchor>
  <xdr:twoCellAnchor editAs="oneCell">
    <xdr:from>
      <xdr:col>4</xdr:col>
      <xdr:colOff>0</xdr:colOff>
      <xdr:row>405</xdr:row>
      <xdr:rowOff>0</xdr:rowOff>
    </xdr:from>
    <xdr:to>
      <xdr:col>4</xdr:col>
      <xdr:colOff>161925</xdr:colOff>
      <xdr:row>406</xdr:row>
      <xdr:rowOff>0</xdr:rowOff>
    </xdr:to>
    <xdr:pic>
      <xdr:nvPicPr>
        <xdr:cNvPr id="2265" name="Picture 217" descr="https://upload.wikimedia.org/wikipedia/commons/thumb/5/55/WMA_button2b.png/17px-WMA_button2b.png">
          <a:extLst>
            <a:ext uri="{FF2B5EF4-FFF2-40B4-BE49-F238E27FC236}">
              <a16:creationId xmlns:a16="http://schemas.microsoft.com/office/drawing/2014/main" id="{00000000-0008-0000-0000-0000D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2954475"/>
          <a:ext cx="161925" cy="161925"/>
        </a:xfrm>
        <a:prstGeom prst="rect">
          <a:avLst/>
        </a:prstGeom>
        <a:noFill/>
      </xdr:spPr>
    </xdr:pic>
    <xdr:clientData/>
  </xdr:twoCellAnchor>
  <xdr:twoCellAnchor editAs="oneCell">
    <xdr:from>
      <xdr:col>4</xdr:col>
      <xdr:colOff>0</xdr:colOff>
      <xdr:row>417</xdr:row>
      <xdr:rowOff>0</xdr:rowOff>
    </xdr:from>
    <xdr:to>
      <xdr:col>4</xdr:col>
      <xdr:colOff>161925</xdr:colOff>
      <xdr:row>418</xdr:row>
      <xdr:rowOff>19050</xdr:rowOff>
    </xdr:to>
    <xdr:pic>
      <xdr:nvPicPr>
        <xdr:cNvPr id="2266" name="Picture 218" descr="https://upload.wikimedia.org/wikipedia/commons/thumb/5/55/WMA_button2b.png/17px-WMA_button2b.png">
          <a:extLst>
            <a:ext uri="{FF2B5EF4-FFF2-40B4-BE49-F238E27FC236}">
              <a16:creationId xmlns:a16="http://schemas.microsoft.com/office/drawing/2014/main" id="{00000000-0008-0000-0000-0000D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3430725"/>
          <a:ext cx="161925" cy="161925"/>
        </a:xfrm>
        <a:prstGeom prst="rect">
          <a:avLst/>
        </a:prstGeom>
        <a:noFill/>
      </xdr:spPr>
    </xdr:pic>
    <xdr:clientData/>
  </xdr:twoCellAnchor>
  <xdr:twoCellAnchor editAs="oneCell">
    <xdr:from>
      <xdr:col>4</xdr:col>
      <xdr:colOff>0</xdr:colOff>
      <xdr:row>396</xdr:row>
      <xdr:rowOff>0</xdr:rowOff>
    </xdr:from>
    <xdr:to>
      <xdr:col>4</xdr:col>
      <xdr:colOff>161925</xdr:colOff>
      <xdr:row>397</xdr:row>
      <xdr:rowOff>0</xdr:rowOff>
    </xdr:to>
    <xdr:pic>
      <xdr:nvPicPr>
        <xdr:cNvPr id="2267" name="Picture 219" descr="https://upload.wikimedia.org/wikipedia/commons/thumb/5/55/WMA_button2b.png/17px-WMA_button2b.png">
          <a:extLst>
            <a:ext uri="{FF2B5EF4-FFF2-40B4-BE49-F238E27FC236}">
              <a16:creationId xmlns:a16="http://schemas.microsoft.com/office/drawing/2014/main" id="{00000000-0008-0000-0000-0000D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3668850"/>
          <a:ext cx="161925" cy="161925"/>
        </a:xfrm>
        <a:prstGeom prst="rect">
          <a:avLst/>
        </a:prstGeom>
        <a:noFill/>
      </xdr:spPr>
    </xdr:pic>
    <xdr:clientData/>
  </xdr:twoCellAnchor>
  <xdr:twoCellAnchor editAs="oneCell">
    <xdr:from>
      <xdr:col>4</xdr:col>
      <xdr:colOff>0</xdr:colOff>
      <xdr:row>402</xdr:row>
      <xdr:rowOff>0</xdr:rowOff>
    </xdr:from>
    <xdr:to>
      <xdr:col>4</xdr:col>
      <xdr:colOff>161925</xdr:colOff>
      <xdr:row>403</xdr:row>
      <xdr:rowOff>0</xdr:rowOff>
    </xdr:to>
    <xdr:pic>
      <xdr:nvPicPr>
        <xdr:cNvPr id="2268" name="Picture 220" descr="https://upload.wikimedia.org/wikipedia/commons/thumb/5/55/WMA_button2b.png/17px-WMA_button2b.png">
          <a:extLst>
            <a:ext uri="{FF2B5EF4-FFF2-40B4-BE49-F238E27FC236}">
              <a16:creationId xmlns:a16="http://schemas.microsoft.com/office/drawing/2014/main" id="{00000000-0008-0000-0000-0000D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3906975"/>
          <a:ext cx="161925" cy="161925"/>
        </a:xfrm>
        <a:prstGeom prst="rect">
          <a:avLst/>
        </a:prstGeom>
        <a:noFill/>
      </xdr:spPr>
    </xdr:pic>
    <xdr:clientData/>
  </xdr:twoCellAnchor>
  <xdr:twoCellAnchor editAs="oneCell">
    <xdr:from>
      <xdr:col>4</xdr:col>
      <xdr:colOff>0</xdr:colOff>
      <xdr:row>414</xdr:row>
      <xdr:rowOff>0</xdr:rowOff>
    </xdr:from>
    <xdr:to>
      <xdr:col>4</xdr:col>
      <xdr:colOff>161925</xdr:colOff>
      <xdr:row>415</xdr:row>
      <xdr:rowOff>0</xdr:rowOff>
    </xdr:to>
    <xdr:pic>
      <xdr:nvPicPr>
        <xdr:cNvPr id="2269" name="Picture 221" descr="https://upload.wikimedia.org/wikipedia/commons/thumb/5/55/WMA_button2b.png/17px-WMA_button2b.png">
          <a:extLst>
            <a:ext uri="{FF2B5EF4-FFF2-40B4-BE49-F238E27FC236}">
              <a16:creationId xmlns:a16="http://schemas.microsoft.com/office/drawing/2014/main" id="{00000000-0008-0000-0000-0000D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4383225"/>
          <a:ext cx="161925" cy="161925"/>
        </a:xfrm>
        <a:prstGeom prst="rect">
          <a:avLst/>
        </a:prstGeom>
        <a:noFill/>
      </xdr:spPr>
    </xdr:pic>
    <xdr:clientData/>
  </xdr:twoCellAnchor>
  <xdr:twoCellAnchor editAs="oneCell">
    <xdr:from>
      <xdr:col>4</xdr:col>
      <xdr:colOff>0</xdr:colOff>
      <xdr:row>409</xdr:row>
      <xdr:rowOff>0</xdr:rowOff>
    </xdr:from>
    <xdr:to>
      <xdr:col>4</xdr:col>
      <xdr:colOff>161925</xdr:colOff>
      <xdr:row>410</xdr:row>
      <xdr:rowOff>0</xdr:rowOff>
    </xdr:to>
    <xdr:pic>
      <xdr:nvPicPr>
        <xdr:cNvPr id="2270" name="Picture 222" descr="https://upload.wikimedia.org/wikipedia/commons/thumb/5/55/WMA_button2b.png/17px-WMA_button2b.png">
          <a:extLst>
            <a:ext uri="{FF2B5EF4-FFF2-40B4-BE49-F238E27FC236}">
              <a16:creationId xmlns:a16="http://schemas.microsoft.com/office/drawing/2014/main" id="{00000000-0008-0000-0000-0000D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4621350"/>
          <a:ext cx="161925" cy="161925"/>
        </a:xfrm>
        <a:prstGeom prst="rect">
          <a:avLst/>
        </a:prstGeom>
        <a:noFill/>
      </xdr:spPr>
    </xdr:pic>
    <xdr:clientData/>
  </xdr:twoCellAnchor>
  <xdr:twoCellAnchor editAs="oneCell">
    <xdr:from>
      <xdr:col>4</xdr:col>
      <xdr:colOff>0</xdr:colOff>
      <xdr:row>404</xdr:row>
      <xdr:rowOff>0</xdr:rowOff>
    </xdr:from>
    <xdr:to>
      <xdr:col>4</xdr:col>
      <xdr:colOff>161925</xdr:colOff>
      <xdr:row>405</xdr:row>
      <xdr:rowOff>19050</xdr:rowOff>
    </xdr:to>
    <xdr:pic>
      <xdr:nvPicPr>
        <xdr:cNvPr id="2271" name="Picture 223" descr="https://upload.wikimedia.org/wikipedia/commons/thumb/5/55/WMA_button2b.png/17px-WMA_button2b.png">
          <a:extLst>
            <a:ext uri="{FF2B5EF4-FFF2-40B4-BE49-F238E27FC236}">
              <a16:creationId xmlns:a16="http://schemas.microsoft.com/office/drawing/2014/main" id="{00000000-0008-0000-0000-0000D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4859475"/>
          <a:ext cx="161925" cy="161925"/>
        </a:xfrm>
        <a:prstGeom prst="rect">
          <a:avLst/>
        </a:prstGeom>
        <a:noFill/>
      </xdr:spPr>
    </xdr:pic>
    <xdr:clientData/>
  </xdr:twoCellAnchor>
  <xdr:twoCellAnchor editAs="oneCell">
    <xdr:from>
      <xdr:col>4</xdr:col>
      <xdr:colOff>0</xdr:colOff>
      <xdr:row>410</xdr:row>
      <xdr:rowOff>0</xdr:rowOff>
    </xdr:from>
    <xdr:to>
      <xdr:col>4</xdr:col>
      <xdr:colOff>161925</xdr:colOff>
      <xdr:row>411</xdr:row>
      <xdr:rowOff>0</xdr:rowOff>
    </xdr:to>
    <xdr:pic>
      <xdr:nvPicPr>
        <xdr:cNvPr id="2272" name="Picture 224" descr="https://upload.wikimedia.org/wikipedia/commons/thumb/5/55/WMA_button2b.png/17px-WMA_button2b.png">
          <a:extLst>
            <a:ext uri="{FF2B5EF4-FFF2-40B4-BE49-F238E27FC236}">
              <a16:creationId xmlns:a16="http://schemas.microsoft.com/office/drawing/2014/main" id="{00000000-0008-0000-0000-0000E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5097600"/>
          <a:ext cx="161925" cy="161925"/>
        </a:xfrm>
        <a:prstGeom prst="rect">
          <a:avLst/>
        </a:prstGeom>
        <a:noFill/>
      </xdr:spPr>
    </xdr:pic>
    <xdr:clientData/>
  </xdr:twoCellAnchor>
  <xdr:twoCellAnchor editAs="oneCell">
    <xdr:from>
      <xdr:col>4</xdr:col>
      <xdr:colOff>0</xdr:colOff>
      <xdr:row>399</xdr:row>
      <xdr:rowOff>0</xdr:rowOff>
    </xdr:from>
    <xdr:to>
      <xdr:col>4</xdr:col>
      <xdr:colOff>161925</xdr:colOff>
      <xdr:row>400</xdr:row>
      <xdr:rowOff>19050</xdr:rowOff>
    </xdr:to>
    <xdr:pic>
      <xdr:nvPicPr>
        <xdr:cNvPr id="2273" name="Picture 225" descr="https://upload.wikimedia.org/wikipedia/commons/thumb/5/55/WMA_button2b.png/17px-WMA_button2b.png">
          <a:extLst>
            <a:ext uri="{FF2B5EF4-FFF2-40B4-BE49-F238E27FC236}">
              <a16:creationId xmlns:a16="http://schemas.microsoft.com/office/drawing/2014/main" id="{00000000-0008-0000-0000-0000E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5335725"/>
          <a:ext cx="161925" cy="161925"/>
        </a:xfrm>
        <a:prstGeom prst="rect">
          <a:avLst/>
        </a:prstGeom>
        <a:noFill/>
      </xdr:spPr>
    </xdr:pic>
    <xdr:clientData/>
  </xdr:twoCellAnchor>
  <xdr:twoCellAnchor editAs="oneCell">
    <xdr:from>
      <xdr:col>4</xdr:col>
      <xdr:colOff>0</xdr:colOff>
      <xdr:row>401</xdr:row>
      <xdr:rowOff>0</xdr:rowOff>
    </xdr:from>
    <xdr:to>
      <xdr:col>4</xdr:col>
      <xdr:colOff>161925</xdr:colOff>
      <xdr:row>402</xdr:row>
      <xdr:rowOff>19050</xdr:rowOff>
    </xdr:to>
    <xdr:pic>
      <xdr:nvPicPr>
        <xdr:cNvPr id="2274" name="Picture 226" descr="https://upload.wikimedia.org/wikipedia/commons/thumb/5/55/WMA_button2b.png/17px-WMA_button2b.png">
          <a:extLst>
            <a:ext uri="{FF2B5EF4-FFF2-40B4-BE49-F238E27FC236}">
              <a16:creationId xmlns:a16="http://schemas.microsoft.com/office/drawing/2014/main" id="{00000000-0008-0000-0000-0000E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5573850"/>
          <a:ext cx="161925" cy="161925"/>
        </a:xfrm>
        <a:prstGeom prst="rect">
          <a:avLst/>
        </a:prstGeom>
        <a:noFill/>
      </xdr:spPr>
    </xdr:pic>
    <xdr:clientData/>
  </xdr:twoCellAnchor>
  <xdr:twoCellAnchor editAs="oneCell">
    <xdr:from>
      <xdr:col>4</xdr:col>
      <xdr:colOff>0</xdr:colOff>
      <xdr:row>398</xdr:row>
      <xdr:rowOff>0</xdr:rowOff>
    </xdr:from>
    <xdr:to>
      <xdr:col>4</xdr:col>
      <xdr:colOff>161925</xdr:colOff>
      <xdr:row>399</xdr:row>
      <xdr:rowOff>19050</xdr:rowOff>
    </xdr:to>
    <xdr:pic>
      <xdr:nvPicPr>
        <xdr:cNvPr id="2275" name="Picture 227" descr="https://upload.wikimedia.org/wikipedia/commons/thumb/5/55/WMA_button2b.png/17px-WMA_button2b.png">
          <a:extLst>
            <a:ext uri="{FF2B5EF4-FFF2-40B4-BE49-F238E27FC236}">
              <a16:creationId xmlns:a16="http://schemas.microsoft.com/office/drawing/2014/main" id="{00000000-0008-0000-0000-0000E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5811975"/>
          <a:ext cx="161925" cy="161925"/>
        </a:xfrm>
        <a:prstGeom prst="rect">
          <a:avLst/>
        </a:prstGeom>
        <a:noFill/>
      </xdr:spPr>
    </xdr:pic>
    <xdr:clientData/>
  </xdr:twoCellAnchor>
  <xdr:twoCellAnchor editAs="oneCell">
    <xdr:from>
      <xdr:col>4</xdr:col>
      <xdr:colOff>0</xdr:colOff>
      <xdr:row>418</xdr:row>
      <xdr:rowOff>0</xdr:rowOff>
    </xdr:from>
    <xdr:to>
      <xdr:col>4</xdr:col>
      <xdr:colOff>161925</xdr:colOff>
      <xdr:row>419</xdr:row>
      <xdr:rowOff>19050</xdr:rowOff>
    </xdr:to>
    <xdr:pic>
      <xdr:nvPicPr>
        <xdr:cNvPr id="2276" name="Picture 228" descr="https://upload.wikimedia.org/wikipedia/commons/thumb/5/55/WMA_button2b.png/17px-WMA_button2b.png">
          <a:extLst>
            <a:ext uri="{FF2B5EF4-FFF2-40B4-BE49-F238E27FC236}">
              <a16:creationId xmlns:a16="http://schemas.microsoft.com/office/drawing/2014/main" id="{00000000-0008-0000-0000-0000E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6288225"/>
          <a:ext cx="161925" cy="161925"/>
        </a:xfrm>
        <a:prstGeom prst="rect">
          <a:avLst/>
        </a:prstGeom>
        <a:noFill/>
      </xdr:spPr>
    </xdr:pic>
    <xdr:clientData/>
  </xdr:twoCellAnchor>
  <xdr:twoCellAnchor editAs="oneCell">
    <xdr:from>
      <xdr:col>4</xdr:col>
      <xdr:colOff>0</xdr:colOff>
      <xdr:row>413</xdr:row>
      <xdr:rowOff>0</xdr:rowOff>
    </xdr:from>
    <xdr:to>
      <xdr:col>4</xdr:col>
      <xdr:colOff>161925</xdr:colOff>
      <xdr:row>414</xdr:row>
      <xdr:rowOff>0</xdr:rowOff>
    </xdr:to>
    <xdr:pic>
      <xdr:nvPicPr>
        <xdr:cNvPr id="2277" name="Picture 229" descr="https://upload.wikimedia.org/wikipedia/commons/thumb/5/55/WMA_button2b.png/17px-WMA_button2b.png">
          <a:extLst>
            <a:ext uri="{FF2B5EF4-FFF2-40B4-BE49-F238E27FC236}">
              <a16:creationId xmlns:a16="http://schemas.microsoft.com/office/drawing/2014/main" id="{00000000-0008-0000-0000-0000E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6526350"/>
          <a:ext cx="161925" cy="161925"/>
        </a:xfrm>
        <a:prstGeom prst="rect">
          <a:avLst/>
        </a:prstGeom>
        <a:noFill/>
      </xdr:spPr>
    </xdr:pic>
    <xdr:clientData/>
  </xdr:twoCellAnchor>
  <xdr:twoCellAnchor editAs="oneCell">
    <xdr:from>
      <xdr:col>4</xdr:col>
      <xdr:colOff>0</xdr:colOff>
      <xdr:row>416</xdr:row>
      <xdr:rowOff>0</xdr:rowOff>
    </xdr:from>
    <xdr:to>
      <xdr:col>4</xdr:col>
      <xdr:colOff>161925</xdr:colOff>
      <xdr:row>416</xdr:row>
      <xdr:rowOff>161925</xdr:rowOff>
    </xdr:to>
    <xdr:pic>
      <xdr:nvPicPr>
        <xdr:cNvPr id="2278" name="Picture 230" descr="https://upload.wikimedia.org/wikipedia/commons/thumb/5/55/WMA_button2b.png/17px-WMA_button2b.png">
          <a:extLst>
            <a:ext uri="{FF2B5EF4-FFF2-40B4-BE49-F238E27FC236}">
              <a16:creationId xmlns:a16="http://schemas.microsoft.com/office/drawing/2014/main" id="{00000000-0008-0000-0000-0000E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6764475"/>
          <a:ext cx="161925" cy="161925"/>
        </a:xfrm>
        <a:prstGeom prst="rect">
          <a:avLst/>
        </a:prstGeom>
        <a:noFill/>
      </xdr:spPr>
    </xdr:pic>
    <xdr:clientData/>
  </xdr:twoCellAnchor>
  <xdr:twoCellAnchor editAs="oneCell">
    <xdr:from>
      <xdr:col>4</xdr:col>
      <xdr:colOff>0</xdr:colOff>
      <xdr:row>407</xdr:row>
      <xdr:rowOff>0</xdr:rowOff>
    </xdr:from>
    <xdr:to>
      <xdr:col>4</xdr:col>
      <xdr:colOff>161925</xdr:colOff>
      <xdr:row>408</xdr:row>
      <xdr:rowOff>19050</xdr:rowOff>
    </xdr:to>
    <xdr:pic>
      <xdr:nvPicPr>
        <xdr:cNvPr id="2279" name="Picture 231" descr="https://upload.wikimedia.org/wikipedia/commons/thumb/5/55/WMA_button2b.png/17px-WMA_button2b.png">
          <a:extLst>
            <a:ext uri="{FF2B5EF4-FFF2-40B4-BE49-F238E27FC236}">
              <a16:creationId xmlns:a16="http://schemas.microsoft.com/office/drawing/2014/main" id="{00000000-0008-0000-0000-0000E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7240725"/>
          <a:ext cx="161925" cy="161925"/>
        </a:xfrm>
        <a:prstGeom prst="rect">
          <a:avLst/>
        </a:prstGeom>
        <a:noFill/>
      </xdr:spPr>
    </xdr:pic>
    <xdr:clientData/>
  </xdr:twoCellAnchor>
  <xdr:twoCellAnchor editAs="oneCell">
    <xdr:from>
      <xdr:col>4</xdr:col>
      <xdr:colOff>0</xdr:colOff>
      <xdr:row>408</xdr:row>
      <xdr:rowOff>0</xdr:rowOff>
    </xdr:from>
    <xdr:to>
      <xdr:col>4</xdr:col>
      <xdr:colOff>161925</xdr:colOff>
      <xdr:row>409</xdr:row>
      <xdr:rowOff>0</xdr:rowOff>
    </xdr:to>
    <xdr:pic>
      <xdr:nvPicPr>
        <xdr:cNvPr id="2280" name="Picture 232" descr="https://upload.wikimedia.org/wikipedia/commons/thumb/5/55/WMA_button2b.png/17px-WMA_button2b.png">
          <a:extLst>
            <a:ext uri="{FF2B5EF4-FFF2-40B4-BE49-F238E27FC236}">
              <a16:creationId xmlns:a16="http://schemas.microsoft.com/office/drawing/2014/main" id="{00000000-0008-0000-0000-0000E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5648325" y="97478850"/>
          <a:ext cx="161925" cy="161925"/>
        </a:xfrm>
        <a:prstGeom prst="rect">
          <a:avLst/>
        </a:prstGeom>
        <a:noFill/>
      </xdr:spPr>
    </xdr:pic>
    <xdr:clientData/>
  </xdr:twoCellAnchor>
  <xdr:twoCellAnchor editAs="oneCell">
    <xdr:from>
      <xdr:col>4</xdr:col>
      <xdr:colOff>0</xdr:colOff>
      <xdr:row>526</xdr:row>
      <xdr:rowOff>0</xdr:rowOff>
    </xdr:from>
    <xdr:to>
      <xdr:col>4</xdr:col>
      <xdr:colOff>161925</xdr:colOff>
      <xdr:row>527</xdr:row>
      <xdr:rowOff>0</xdr:rowOff>
    </xdr:to>
    <xdr:pic>
      <xdr:nvPicPr>
        <xdr:cNvPr id="2285" name="Picture 237" descr="https://upload.wikimedia.org/wikipedia/commons/thumb/5/55/WMA_button2b.png/17px-WMA_button2b.png">
          <a:extLst>
            <a:ext uri="{FF2B5EF4-FFF2-40B4-BE49-F238E27FC236}">
              <a16:creationId xmlns:a16="http://schemas.microsoft.com/office/drawing/2014/main" id="{00000000-0008-0000-0000-0000ED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3908225"/>
          <a:ext cx="161925" cy="161925"/>
        </a:xfrm>
        <a:prstGeom prst="rect">
          <a:avLst/>
        </a:prstGeom>
        <a:noFill/>
      </xdr:spPr>
    </xdr:pic>
    <xdr:clientData/>
  </xdr:twoCellAnchor>
  <xdr:twoCellAnchor editAs="oneCell">
    <xdr:from>
      <xdr:col>4</xdr:col>
      <xdr:colOff>0</xdr:colOff>
      <xdr:row>508</xdr:row>
      <xdr:rowOff>0</xdr:rowOff>
    </xdr:from>
    <xdr:to>
      <xdr:col>4</xdr:col>
      <xdr:colOff>161925</xdr:colOff>
      <xdr:row>509</xdr:row>
      <xdr:rowOff>0</xdr:rowOff>
    </xdr:to>
    <xdr:pic>
      <xdr:nvPicPr>
        <xdr:cNvPr id="2286" name="Picture 238" descr="https://upload.wikimedia.org/wikipedia/commons/thumb/5/55/WMA_button2b.png/17px-WMA_button2b.png">
          <a:extLst>
            <a:ext uri="{FF2B5EF4-FFF2-40B4-BE49-F238E27FC236}">
              <a16:creationId xmlns:a16="http://schemas.microsoft.com/office/drawing/2014/main" id="{00000000-0008-0000-0000-0000EE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4146350"/>
          <a:ext cx="161925" cy="161925"/>
        </a:xfrm>
        <a:prstGeom prst="rect">
          <a:avLst/>
        </a:prstGeom>
        <a:noFill/>
      </xdr:spPr>
    </xdr:pic>
    <xdr:clientData/>
  </xdr:twoCellAnchor>
  <xdr:twoCellAnchor editAs="oneCell">
    <xdr:from>
      <xdr:col>4</xdr:col>
      <xdr:colOff>0</xdr:colOff>
      <xdr:row>525</xdr:row>
      <xdr:rowOff>0</xdr:rowOff>
    </xdr:from>
    <xdr:to>
      <xdr:col>4</xdr:col>
      <xdr:colOff>161925</xdr:colOff>
      <xdr:row>526</xdr:row>
      <xdr:rowOff>0</xdr:rowOff>
    </xdr:to>
    <xdr:pic>
      <xdr:nvPicPr>
        <xdr:cNvPr id="2287" name="Picture 239" descr="https://upload.wikimedia.org/wikipedia/commons/thumb/5/55/WMA_button2b.png/17px-WMA_button2b.png">
          <a:extLst>
            <a:ext uri="{FF2B5EF4-FFF2-40B4-BE49-F238E27FC236}">
              <a16:creationId xmlns:a16="http://schemas.microsoft.com/office/drawing/2014/main" id="{00000000-0008-0000-0000-0000E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4384475"/>
          <a:ext cx="161925" cy="161925"/>
        </a:xfrm>
        <a:prstGeom prst="rect">
          <a:avLst/>
        </a:prstGeom>
        <a:noFill/>
      </xdr:spPr>
    </xdr:pic>
    <xdr:clientData/>
  </xdr:twoCellAnchor>
  <xdr:twoCellAnchor editAs="oneCell">
    <xdr:from>
      <xdr:col>4</xdr:col>
      <xdr:colOff>0</xdr:colOff>
      <xdr:row>531</xdr:row>
      <xdr:rowOff>0</xdr:rowOff>
    </xdr:from>
    <xdr:to>
      <xdr:col>4</xdr:col>
      <xdr:colOff>161925</xdr:colOff>
      <xdr:row>532</xdr:row>
      <xdr:rowOff>0</xdr:rowOff>
    </xdr:to>
    <xdr:pic>
      <xdr:nvPicPr>
        <xdr:cNvPr id="2288" name="Picture 240" descr="https://upload.wikimedia.org/wikipedia/commons/thumb/5/55/WMA_button2b.png/17px-WMA_button2b.png">
          <a:extLst>
            <a:ext uri="{FF2B5EF4-FFF2-40B4-BE49-F238E27FC236}">
              <a16:creationId xmlns:a16="http://schemas.microsoft.com/office/drawing/2014/main" id="{00000000-0008-0000-0000-0000F0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4860725"/>
          <a:ext cx="161925" cy="161925"/>
        </a:xfrm>
        <a:prstGeom prst="rect">
          <a:avLst/>
        </a:prstGeom>
        <a:noFill/>
      </xdr:spPr>
    </xdr:pic>
    <xdr:clientData/>
  </xdr:twoCellAnchor>
  <xdr:twoCellAnchor editAs="oneCell">
    <xdr:from>
      <xdr:col>4</xdr:col>
      <xdr:colOff>0</xdr:colOff>
      <xdr:row>542</xdr:row>
      <xdr:rowOff>0</xdr:rowOff>
    </xdr:from>
    <xdr:to>
      <xdr:col>4</xdr:col>
      <xdr:colOff>161925</xdr:colOff>
      <xdr:row>543</xdr:row>
      <xdr:rowOff>0</xdr:rowOff>
    </xdr:to>
    <xdr:pic>
      <xdr:nvPicPr>
        <xdr:cNvPr id="2289" name="Picture 241" descr="https://upload.wikimedia.org/wikipedia/commons/thumb/5/55/WMA_button2b.png/17px-WMA_button2b.png">
          <a:extLst>
            <a:ext uri="{FF2B5EF4-FFF2-40B4-BE49-F238E27FC236}">
              <a16:creationId xmlns:a16="http://schemas.microsoft.com/office/drawing/2014/main" id="{00000000-0008-0000-0000-0000F1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5098850"/>
          <a:ext cx="161925" cy="161925"/>
        </a:xfrm>
        <a:prstGeom prst="rect">
          <a:avLst/>
        </a:prstGeom>
        <a:noFill/>
      </xdr:spPr>
    </xdr:pic>
    <xdr:clientData/>
  </xdr:twoCellAnchor>
  <xdr:twoCellAnchor editAs="oneCell">
    <xdr:from>
      <xdr:col>4</xdr:col>
      <xdr:colOff>0</xdr:colOff>
      <xdr:row>537</xdr:row>
      <xdr:rowOff>0</xdr:rowOff>
    </xdr:from>
    <xdr:to>
      <xdr:col>4</xdr:col>
      <xdr:colOff>161925</xdr:colOff>
      <xdr:row>538</xdr:row>
      <xdr:rowOff>0</xdr:rowOff>
    </xdr:to>
    <xdr:pic>
      <xdr:nvPicPr>
        <xdr:cNvPr id="2290" name="Picture 242" descr="https://upload.wikimedia.org/wikipedia/commons/thumb/5/55/WMA_button2b.png/17px-WMA_button2b.png">
          <a:extLst>
            <a:ext uri="{FF2B5EF4-FFF2-40B4-BE49-F238E27FC236}">
              <a16:creationId xmlns:a16="http://schemas.microsoft.com/office/drawing/2014/main" id="{00000000-0008-0000-0000-0000F2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5575100"/>
          <a:ext cx="161925" cy="161925"/>
        </a:xfrm>
        <a:prstGeom prst="rect">
          <a:avLst/>
        </a:prstGeom>
        <a:noFill/>
      </xdr:spPr>
    </xdr:pic>
    <xdr:clientData/>
  </xdr:twoCellAnchor>
  <xdr:twoCellAnchor editAs="oneCell">
    <xdr:from>
      <xdr:col>4</xdr:col>
      <xdr:colOff>0</xdr:colOff>
      <xdr:row>540</xdr:row>
      <xdr:rowOff>0</xdr:rowOff>
    </xdr:from>
    <xdr:to>
      <xdr:col>4</xdr:col>
      <xdr:colOff>161925</xdr:colOff>
      <xdr:row>541</xdr:row>
      <xdr:rowOff>0</xdr:rowOff>
    </xdr:to>
    <xdr:pic>
      <xdr:nvPicPr>
        <xdr:cNvPr id="2291" name="Picture 243" descr="https://upload.wikimedia.org/wikipedia/commons/thumb/5/55/WMA_button2b.png/17px-WMA_button2b.png">
          <a:extLst>
            <a:ext uri="{FF2B5EF4-FFF2-40B4-BE49-F238E27FC236}">
              <a16:creationId xmlns:a16="http://schemas.microsoft.com/office/drawing/2014/main" id="{00000000-0008-0000-0000-0000F3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5813225"/>
          <a:ext cx="161925" cy="161925"/>
        </a:xfrm>
        <a:prstGeom prst="rect">
          <a:avLst/>
        </a:prstGeom>
        <a:noFill/>
      </xdr:spPr>
    </xdr:pic>
    <xdr:clientData/>
  </xdr:twoCellAnchor>
  <xdr:twoCellAnchor editAs="oneCell">
    <xdr:from>
      <xdr:col>4</xdr:col>
      <xdr:colOff>0</xdr:colOff>
      <xdr:row>538</xdr:row>
      <xdr:rowOff>0</xdr:rowOff>
    </xdr:from>
    <xdr:to>
      <xdr:col>4</xdr:col>
      <xdr:colOff>161925</xdr:colOff>
      <xdr:row>539</xdr:row>
      <xdr:rowOff>19050</xdr:rowOff>
    </xdr:to>
    <xdr:pic>
      <xdr:nvPicPr>
        <xdr:cNvPr id="2292" name="Picture 244" descr="https://upload.wikimedia.org/wikipedia/commons/thumb/5/55/WMA_button2b.png/17px-WMA_button2b.png">
          <a:extLst>
            <a:ext uri="{FF2B5EF4-FFF2-40B4-BE49-F238E27FC236}">
              <a16:creationId xmlns:a16="http://schemas.microsoft.com/office/drawing/2014/main" id="{00000000-0008-0000-0000-0000F4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6765725"/>
          <a:ext cx="161925" cy="161925"/>
        </a:xfrm>
        <a:prstGeom prst="rect">
          <a:avLst/>
        </a:prstGeom>
        <a:noFill/>
      </xdr:spPr>
    </xdr:pic>
    <xdr:clientData/>
  </xdr:twoCellAnchor>
  <xdr:twoCellAnchor editAs="oneCell">
    <xdr:from>
      <xdr:col>4</xdr:col>
      <xdr:colOff>0</xdr:colOff>
      <xdr:row>466</xdr:row>
      <xdr:rowOff>0</xdr:rowOff>
    </xdr:from>
    <xdr:to>
      <xdr:col>4</xdr:col>
      <xdr:colOff>161925</xdr:colOff>
      <xdr:row>467</xdr:row>
      <xdr:rowOff>19050</xdr:rowOff>
    </xdr:to>
    <xdr:pic>
      <xdr:nvPicPr>
        <xdr:cNvPr id="2293" name="Picture 245" descr="https://upload.wikimedia.org/wikipedia/commons/thumb/5/55/WMA_button2b.png/17px-WMA_button2b.png">
          <a:extLst>
            <a:ext uri="{FF2B5EF4-FFF2-40B4-BE49-F238E27FC236}">
              <a16:creationId xmlns:a16="http://schemas.microsoft.com/office/drawing/2014/main" id="{00000000-0008-0000-0000-0000F5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7956350"/>
          <a:ext cx="161925" cy="161925"/>
        </a:xfrm>
        <a:prstGeom prst="rect">
          <a:avLst/>
        </a:prstGeom>
        <a:noFill/>
      </xdr:spPr>
    </xdr:pic>
    <xdr:clientData/>
  </xdr:twoCellAnchor>
  <xdr:twoCellAnchor editAs="oneCell">
    <xdr:from>
      <xdr:col>4</xdr:col>
      <xdr:colOff>0</xdr:colOff>
      <xdr:row>530</xdr:row>
      <xdr:rowOff>0</xdr:rowOff>
    </xdr:from>
    <xdr:to>
      <xdr:col>4</xdr:col>
      <xdr:colOff>161925</xdr:colOff>
      <xdr:row>531</xdr:row>
      <xdr:rowOff>0</xdr:rowOff>
    </xdr:to>
    <xdr:pic>
      <xdr:nvPicPr>
        <xdr:cNvPr id="2294" name="Picture 246" descr="https://upload.wikimedia.org/wikipedia/commons/thumb/5/55/WMA_button2b.png/17px-WMA_button2b.png">
          <a:extLst>
            <a:ext uri="{FF2B5EF4-FFF2-40B4-BE49-F238E27FC236}">
              <a16:creationId xmlns:a16="http://schemas.microsoft.com/office/drawing/2014/main" id="{00000000-0008-0000-0000-0000F6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8194475"/>
          <a:ext cx="161925" cy="161925"/>
        </a:xfrm>
        <a:prstGeom prst="rect">
          <a:avLst/>
        </a:prstGeom>
        <a:noFill/>
      </xdr:spPr>
    </xdr:pic>
    <xdr:clientData/>
  </xdr:twoCellAnchor>
  <xdr:twoCellAnchor editAs="oneCell">
    <xdr:from>
      <xdr:col>4</xdr:col>
      <xdr:colOff>0</xdr:colOff>
      <xdr:row>533</xdr:row>
      <xdr:rowOff>0</xdr:rowOff>
    </xdr:from>
    <xdr:to>
      <xdr:col>4</xdr:col>
      <xdr:colOff>161925</xdr:colOff>
      <xdr:row>534</xdr:row>
      <xdr:rowOff>19050</xdr:rowOff>
    </xdr:to>
    <xdr:pic>
      <xdr:nvPicPr>
        <xdr:cNvPr id="2295" name="Picture 247" descr="https://upload.wikimedia.org/wikipedia/commons/thumb/5/55/WMA_button2b.png/17px-WMA_button2b.png">
          <a:extLst>
            <a:ext uri="{FF2B5EF4-FFF2-40B4-BE49-F238E27FC236}">
              <a16:creationId xmlns:a16="http://schemas.microsoft.com/office/drawing/2014/main" id="{00000000-0008-0000-0000-0000F7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8432600"/>
          <a:ext cx="161925" cy="161925"/>
        </a:xfrm>
        <a:prstGeom prst="rect">
          <a:avLst/>
        </a:prstGeom>
        <a:noFill/>
      </xdr:spPr>
    </xdr:pic>
    <xdr:clientData/>
  </xdr:twoCellAnchor>
  <xdr:twoCellAnchor editAs="oneCell">
    <xdr:from>
      <xdr:col>4</xdr:col>
      <xdr:colOff>0</xdr:colOff>
      <xdr:row>536</xdr:row>
      <xdr:rowOff>0</xdr:rowOff>
    </xdr:from>
    <xdr:to>
      <xdr:col>4</xdr:col>
      <xdr:colOff>161925</xdr:colOff>
      <xdr:row>537</xdr:row>
      <xdr:rowOff>0</xdr:rowOff>
    </xdr:to>
    <xdr:pic>
      <xdr:nvPicPr>
        <xdr:cNvPr id="2296" name="Picture 248" descr="https://upload.wikimedia.org/wikipedia/commons/thumb/5/55/WMA_button2b.png/17px-WMA_button2b.png">
          <a:extLst>
            <a:ext uri="{FF2B5EF4-FFF2-40B4-BE49-F238E27FC236}">
              <a16:creationId xmlns:a16="http://schemas.microsoft.com/office/drawing/2014/main" id="{00000000-0008-0000-0000-0000F8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4905375" y="108670725"/>
          <a:ext cx="161925" cy="161925"/>
        </a:xfrm>
        <a:prstGeom prst="rect">
          <a:avLst/>
        </a:prstGeom>
        <a:noFill/>
      </xdr:spPr>
    </xdr:pic>
    <xdr:clientData/>
  </xdr:twoCellAnchor>
  <xdr:twoCellAnchor editAs="oneCell">
    <xdr:from>
      <xdr:col>4</xdr:col>
      <xdr:colOff>0</xdr:colOff>
      <xdr:row>419</xdr:row>
      <xdr:rowOff>0</xdr:rowOff>
    </xdr:from>
    <xdr:to>
      <xdr:col>4</xdr:col>
      <xdr:colOff>161925</xdr:colOff>
      <xdr:row>419</xdr:row>
      <xdr:rowOff>161925</xdr:rowOff>
    </xdr:to>
    <xdr:pic>
      <xdr:nvPicPr>
        <xdr:cNvPr id="2297" name="Picture 249" descr="https://upload.wikimedia.org/wikipedia/commons/thumb/5/55/WMA_button2b.png/17px-WMA_button2b.png">
          <a:extLst>
            <a:ext uri="{FF2B5EF4-FFF2-40B4-BE49-F238E27FC236}">
              <a16:creationId xmlns:a16="http://schemas.microsoft.com/office/drawing/2014/main" id="{00000000-0008-0000-0000-0000F9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00750" y="109146975"/>
          <a:ext cx="161925" cy="161925"/>
        </a:xfrm>
        <a:prstGeom prst="rect">
          <a:avLst/>
        </a:prstGeom>
        <a:noFill/>
      </xdr:spPr>
    </xdr:pic>
    <xdr:clientData/>
  </xdr:twoCellAnchor>
  <xdr:twoCellAnchor editAs="oneCell">
    <xdr:from>
      <xdr:col>4</xdr:col>
      <xdr:colOff>0</xdr:colOff>
      <xdr:row>422</xdr:row>
      <xdr:rowOff>0</xdr:rowOff>
    </xdr:from>
    <xdr:to>
      <xdr:col>4</xdr:col>
      <xdr:colOff>161925</xdr:colOff>
      <xdr:row>422</xdr:row>
      <xdr:rowOff>161925</xdr:rowOff>
    </xdr:to>
    <xdr:pic>
      <xdr:nvPicPr>
        <xdr:cNvPr id="2298" name="Picture 250" descr="https://upload.wikimedia.org/wikipedia/commons/thumb/5/55/WMA_button2b.png/17px-WMA_button2b.png">
          <a:extLst>
            <a:ext uri="{FF2B5EF4-FFF2-40B4-BE49-F238E27FC236}">
              <a16:creationId xmlns:a16="http://schemas.microsoft.com/office/drawing/2014/main" id="{00000000-0008-0000-0000-0000FA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00750" y="109623225"/>
          <a:ext cx="161925" cy="161925"/>
        </a:xfrm>
        <a:prstGeom prst="rect">
          <a:avLst/>
        </a:prstGeom>
        <a:noFill/>
      </xdr:spPr>
    </xdr:pic>
    <xdr:clientData/>
  </xdr:twoCellAnchor>
  <xdr:twoCellAnchor editAs="oneCell">
    <xdr:from>
      <xdr:col>4</xdr:col>
      <xdr:colOff>0</xdr:colOff>
      <xdr:row>431</xdr:row>
      <xdr:rowOff>0</xdr:rowOff>
    </xdr:from>
    <xdr:to>
      <xdr:col>4</xdr:col>
      <xdr:colOff>161925</xdr:colOff>
      <xdr:row>432</xdr:row>
      <xdr:rowOff>19050</xdr:rowOff>
    </xdr:to>
    <xdr:pic>
      <xdr:nvPicPr>
        <xdr:cNvPr id="2299" name="Picture 251" descr="https://upload.wikimedia.org/wikipedia/commons/thumb/5/55/WMA_button2b.png/17px-WMA_button2b.png">
          <a:extLst>
            <a:ext uri="{FF2B5EF4-FFF2-40B4-BE49-F238E27FC236}">
              <a16:creationId xmlns:a16="http://schemas.microsoft.com/office/drawing/2014/main" id="{00000000-0008-0000-0000-0000FB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00750" y="109861350"/>
          <a:ext cx="161925" cy="161925"/>
        </a:xfrm>
        <a:prstGeom prst="rect">
          <a:avLst/>
        </a:prstGeom>
        <a:noFill/>
      </xdr:spPr>
    </xdr:pic>
    <xdr:clientData/>
  </xdr:twoCellAnchor>
  <xdr:twoCellAnchor editAs="oneCell">
    <xdr:from>
      <xdr:col>4</xdr:col>
      <xdr:colOff>0</xdr:colOff>
      <xdr:row>544</xdr:row>
      <xdr:rowOff>0</xdr:rowOff>
    </xdr:from>
    <xdr:to>
      <xdr:col>4</xdr:col>
      <xdr:colOff>161925</xdr:colOff>
      <xdr:row>545</xdr:row>
      <xdr:rowOff>19050</xdr:rowOff>
    </xdr:to>
    <xdr:pic>
      <xdr:nvPicPr>
        <xdr:cNvPr id="2300" name="Picture 252" descr="https://upload.wikimedia.org/wikipedia/commons/thumb/5/55/WMA_button2b.png/17px-WMA_button2b.png">
          <a:extLst>
            <a:ext uri="{FF2B5EF4-FFF2-40B4-BE49-F238E27FC236}">
              <a16:creationId xmlns:a16="http://schemas.microsoft.com/office/drawing/2014/main" id="{00000000-0008-0000-0000-0000FC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00750" y="110099475"/>
          <a:ext cx="161925" cy="161925"/>
        </a:xfrm>
        <a:prstGeom prst="rect">
          <a:avLst/>
        </a:prstGeom>
        <a:noFill/>
      </xdr:spPr>
    </xdr:pic>
    <xdr:clientData/>
  </xdr:twoCellAnchor>
  <xdr:twoCellAnchor>
    <xdr:from>
      <xdr:col>19</xdr:col>
      <xdr:colOff>276225</xdr:colOff>
      <xdr:row>2</xdr:row>
      <xdr:rowOff>142875</xdr:rowOff>
    </xdr:from>
    <xdr:to>
      <xdr:col>29</xdr:col>
      <xdr:colOff>485775</xdr:colOff>
      <xdr:row>17</xdr:row>
      <xdr:rowOff>228600</xdr:rowOff>
    </xdr:to>
    <xdr:graphicFrame macro="">
      <xdr:nvGraphicFramePr>
        <xdr:cNvPr id="254" name="Grafiek 253">
          <a:extLst>
            <a:ext uri="{FF2B5EF4-FFF2-40B4-BE49-F238E27FC236}">
              <a16:creationId xmlns:a16="http://schemas.microsoft.com/office/drawing/2014/main" id="{00000000-0008-0000-0000-0000FE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4</xdr:col>
      <xdr:colOff>0</xdr:colOff>
      <xdr:row>269</xdr:row>
      <xdr:rowOff>0</xdr:rowOff>
    </xdr:from>
    <xdr:to>
      <xdr:col>4</xdr:col>
      <xdr:colOff>161925</xdr:colOff>
      <xdr:row>269</xdr:row>
      <xdr:rowOff>161925</xdr:rowOff>
    </xdr:to>
    <xdr:pic>
      <xdr:nvPicPr>
        <xdr:cNvPr id="2303" name="Picture 255" descr="https://upload.wikimedia.org/wikipedia/commons/thumb/5/55/WMA_button2b.png/17px-WMA_button2b.png">
          <a:extLst>
            <a:ext uri="{FF2B5EF4-FFF2-40B4-BE49-F238E27FC236}">
              <a16:creationId xmlns:a16="http://schemas.microsoft.com/office/drawing/2014/main" id="{00000000-0008-0000-0000-0000FF08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00750" y="63903225"/>
          <a:ext cx="161925" cy="161925"/>
        </a:xfrm>
        <a:prstGeom prst="rect">
          <a:avLst/>
        </a:prstGeom>
        <a:noFill/>
      </xdr:spPr>
    </xdr:pic>
    <xdr:clientData/>
  </xdr:twoCellAnchor>
  <xdr:twoCellAnchor editAs="oneCell">
    <xdr:from>
      <xdr:col>4</xdr:col>
      <xdr:colOff>0</xdr:colOff>
      <xdr:row>268</xdr:row>
      <xdr:rowOff>0</xdr:rowOff>
    </xdr:from>
    <xdr:to>
      <xdr:col>4</xdr:col>
      <xdr:colOff>161925</xdr:colOff>
      <xdr:row>268</xdr:row>
      <xdr:rowOff>161925</xdr:rowOff>
    </xdr:to>
    <xdr:pic>
      <xdr:nvPicPr>
        <xdr:cNvPr id="2304" name="Picture 256" descr="https://upload.wikimedia.org/wikipedia/commons/thumb/5/55/WMA_button2b.png/17px-WMA_button2b.png">
          <a:extLst>
            <a:ext uri="{FF2B5EF4-FFF2-40B4-BE49-F238E27FC236}">
              <a16:creationId xmlns:a16="http://schemas.microsoft.com/office/drawing/2014/main" id="{00000000-0008-0000-0000-00000009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6000750" y="64141350"/>
          <a:ext cx="161925" cy="161925"/>
        </a:xfrm>
        <a:prstGeom prst="rect">
          <a:avLst/>
        </a:prstGeom>
        <a:noFill/>
      </xdr:spPr>
    </xdr:pic>
    <xdr:clientData/>
  </xdr:twoCellAnchor>
</xdr:wsDr>
</file>

<file path=xl/drawings/drawing2.xml><?xml version="1.0" encoding="utf-8"?>
<xdr:wsDr xmlns:xdr="http://schemas.openxmlformats.org/drawingml/2006/spreadsheetDrawing" xmlns:a="http://schemas.openxmlformats.org/drawingml/2006/main">
  <xdr:twoCellAnchor>
    <xdr:from>
      <xdr:col>7</xdr:col>
      <xdr:colOff>95250</xdr:colOff>
      <xdr:row>0</xdr:row>
      <xdr:rowOff>0</xdr:rowOff>
    </xdr:from>
    <xdr:to>
      <xdr:col>19</xdr:col>
      <xdr:colOff>533400</xdr:colOff>
      <xdr:row>27</xdr:row>
      <xdr:rowOff>152400</xdr:rowOff>
    </xdr:to>
    <xdr:graphicFrame macro="">
      <xdr:nvGraphicFramePr>
        <xdr:cNvPr id="2" name="Grafiek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7</xdr:col>
      <xdr:colOff>698500</xdr:colOff>
      <xdr:row>255</xdr:row>
      <xdr:rowOff>120650</xdr:rowOff>
    </xdr:from>
    <xdr:to>
      <xdr:col>12</xdr:col>
      <xdr:colOff>335643</xdr:colOff>
      <xdr:row>272</xdr:row>
      <xdr:rowOff>87993</xdr:rowOff>
    </xdr:to>
    <xdr:graphicFrame macro="">
      <xdr:nvGraphicFramePr>
        <xdr:cNvPr id="4" name="Grafiek 3">
          <a:extLst>
            <a:ext uri="{FF2B5EF4-FFF2-40B4-BE49-F238E27FC236}">
              <a16:creationId xmlns:a16="http://schemas.microsoft.com/office/drawing/2014/main" id="{CD91E1CB-2845-4F1F-91F4-BFF585C84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xdr:col>
      <xdr:colOff>19050</xdr:colOff>
      <xdr:row>39</xdr:row>
      <xdr:rowOff>171450</xdr:rowOff>
    </xdr:from>
    <xdr:to>
      <xdr:col>12</xdr:col>
      <xdr:colOff>333374</xdr:colOff>
      <xdr:row>59</xdr:row>
      <xdr:rowOff>66674</xdr:rowOff>
    </xdr:to>
    <xdr:graphicFrame macro="">
      <xdr:nvGraphicFramePr>
        <xdr:cNvPr id="2" name="Chart 1">
          <a:extLst>
            <a:ext uri="{FF2B5EF4-FFF2-40B4-BE49-F238E27FC236}">
              <a16:creationId xmlns:a16="http://schemas.microsoft.com/office/drawing/2014/main" id="{00000000-0008-0000-0D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747713</xdr:colOff>
      <xdr:row>101</xdr:row>
      <xdr:rowOff>2384</xdr:rowOff>
    </xdr:from>
    <xdr:to>
      <xdr:col>20</xdr:col>
      <xdr:colOff>35719</xdr:colOff>
      <xdr:row>118</xdr:row>
      <xdr:rowOff>107159</xdr:rowOff>
    </xdr:to>
    <xdr:grpSp>
      <xdr:nvGrpSpPr>
        <xdr:cNvPr id="3" name="Group 2">
          <a:extLst>
            <a:ext uri="{FF2B5EF4-FFF2-40B4-BE49-F238E27FC236}">
              <a16:creationId xmlns:a16="http://schemas.microsoft.com/office/drawing/2014/main" id="{00000000-0008-0000-0D00-000003000000}"/>
            </a:ext>
          </a:extLst>
        </xdr:cNvPr>
        <xdr:cNvGrpSpPr/>
      </xdr:nvGrpSpPr>
      <xdr:grpSpPr>
        <a:xfrm>
          <a:off x="12003088" y="20266822"/>
          <a:ext cx="6463506" cy="3224212"/>
          <a:chOff x="8974932" y="21421727"/>
          <a:chExt cx="5884067" cy="2883693"/>
        </a:xfrm>
      </xdr:grpSpPr>
      <xdr:graphicFrame macro="">
        <xdr:nvGraphicFramePr>
          <xdr:cNvPr id="4" name="Chart 3">
            <a:extLst>
              <a:ext uri="{FF2B5EF4-FFF2-40B4-BE49-F238E27FC236}">
                <a16:creationId xmlns:a16="http://schemas.microsoft.com/office/drawing/2014/main" id="{00000000-0008-0000-0D00-000004000000}"/>
              </a:ext>
            </a:extLst>
          </xdr:cNvPr>
          <xdr:cNvGraphicFramePr/>
        </xdr:nvGraphicFramePr>
        <xdr:xfrm>
          <a:off x="8974932" y="21421727"/>
          <a:ext cx="5884067" cy="2883693"/>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6" name="Straight Connector 5">
            <a:extLst>
              <a:ext uri="{FF2B5EF4-FFF2-40B4-BE49-F238E27FC236}">
                <a16:creationId xmlns:a16="http://schemas.microsoft.com/office/drawing/2014/main" id="{00000000-0008-0000-0D00-000006000000}"/>
              </a:ext>
            </a:extLst>
          </xdr:cNvPr>
          <xdr:cNvCxnSpPr/>
        </xdr:nvCxnSpPr>
        <xdr:spPr>
          <a:xfrm flipV="1">
            <a:off x="13463588" y="21600319"/>
            <a:ext cx="0" cy="2352675"/>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33</xdr:col>
      <xdr:colOff>297656</xdr:colOff>
      <xdr:row>111</xdr:row>
      <xdr:rowOff>154781</xdr:rowOff>
    </xdr:from>
    <xdr:to>
      <xdr:col>33</xdr:col>
      <xdr:colOff>345281</xdr:colOff>
      <xdr:row>116</xdr:row>
      <xdr:rowOff>23812</xdr:rowOff>
    </xdr:to>
    <xdr:cxnSp macro="">
      <xdr:nvCxnSpPr>
        <xdr:cNvPr id="7" name="Straight Arrow Connector 6">
          <a:extLst>
            <a:ext uri="{FF2B5EF4-FFF2-40B4-BE49-F238E27FC236}">
              <a16:creationId xmlns:a16="http://schemas.microsoft.com/office/drawing/2014/main" id="{00000000-0008-0000-0D00-000007000000}"/>
            </a:ext>
          </a:extLst>
        </xdr:cNvPr>
        <xdr:cNvCxnSpPr/>
      </xdr:nvCxnSpPr>
      <xdr:spPr>
        <a:xfrm flipH="1" flipV="1">
          <a:off x="32039719" y="23276719"/>
          <a:ext cx="47625" cy="821531"/>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19050</xdr:colOff>
      <xdr:row>39</xdr:row>
      <xdr:rowOff>171450</xdr:rowOff>
    </xdr:from>
    <xdr:to>
      <xdr:col>12</xdr:col>
      <xdr:colOff>333374</xdr:colOff>
      <xdr:row>59</xdr:row>
      <xdr:rowOff>66674</xdr:rowOff>
    </xdr:to>
    <xdr:graphicFrame macro="">
      <xdr:nvGraphicFramePr>
        <xdr:cNvPr id="2" name="Chart 1">
          <a:extLst>
            <a:ext uri="{FF2B5EF4-FFF2-40B4-BE49-F238E27FC236}">
              <a16:creationId xmlns:a16="http://schemas.microsoft.com/office/drawing/2014/main" id="{00000000-0008-0000-11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747713</xdr:colOff>
      <xdr:row>101</xdr:row>
      <xdr:rowOff>2384</xdr:rowOff>
    </xdr:from>
    <xdr:to>
      <xdr:col>20</xdr:col>
      <xdr:colOff>35719</xdr:colOff>
      <xdr:row>118</xdr:row>
      <xdr:rowOff>107159</xdr:rowOff>
    </xdr:to>
    <xdr:grpSp>
      <xdr:nvGrpSpPr>
        <xdr:cNvPr id="3" name="Group 2">
          <a:extLst>
            <a:ext uri="{FF2B5EF4-FFF2-40B4-BE49-F238E27FC236}">
              <a16:creationId xmlns:a16="http://schemas.microsoft.com/office/drawing/2014/main" id="{00000000-0008-0000-1100-000003000000}"/>
            </a:ext>
          </a:extLst>
        </xdr:cNvPr>
        <xdr:cNvGrpSpPr/>
      </xdr:nvGrpSpPr>
      <xdr:grpSpPr>
        <a:xfrm>
          <a:off x="12590463" y="20266822"/>
          <a:ext cx="6463506" cy="3224212"/>
          <a:chOff x="8974932" y="21421727"/>
          <a:chExt cx="5884067" cy="2883693"/>
        </a:xfrm>
      </xdr:grpSpPr>
      <xdr:graphicFrame macro="">
        <xdr:nvGraphicFramePr>
          <xdr:cNvPr id="4" name="Chart 3">
            <a:extLst>
              <a:ext uri="{FF2B5EF4-FFF2-40B4-BE49-F238E27FC236}">
                <a16:creationId xmlns:a16="http://schemas.microsoft.com/office/drawing/2014/main" id="{00000000-0008-0000-1100-000004000000}"/>
              </a:ext>
            </a:extLst>
          </xdr:cNvPr>
          <xdr:cNvGraphicFramePr/>
        </xdr:nvGraphicFramePr>
        <xdr:xfrm>
          <a:off x="8974932" y="21421727"/>
          <a:ext cx="5884067" cy="2883693"/>
        </xdr:xfrm>
        <a:graphic>
          <a:graphicData uri="http://schemas.openxmlformats.org/drawingml/2006/chart">
            <c:chart xmlns:c="http://schemas.openxmlformats.org/drawingml/2006/chart" xmlns:r="http://schemas.openxmlformats.org/officeDocument/2006/relationships" r:id="rId2"/>
          </a:graphicData>
        </a:graphic>
      </xdr:graphicFrame>
      <xdr:cxnSp macro="">
        <xdr:nvCxnSpPr>
          <xdr:cNvPr id="5" name="Straight Connector 4">
            <a:extLst>
              <a:ext uri="{FF2B5EF4-FFF2-40B4-BE49-F238E27FC236}">
                <a16:creationId xmlns:a16="http://schemas.microsoft.com/office/drawing/2014/main" id="{00000000-0008-0000-1100-000005000000}"/>
              </a:ext>
            </a:extLst>
          </xdr:cNvPr>
          <xdr:cNvCxnSpPr/>
        </xdr:nvCxnSpPr>
        <xdr:spPr>
          <a:xfrm flipV="1">
            <a:off x="13463588" y="21600319"/>
            <a:ext cx="0" cy="2352675"/>
          </a:xfrm>
          <a:prstGeom prst="line">
            <a:avLst/>
          </a:prstGeom>
          <a:ln>
            <a:solidFill>
              <a:schemeClr val="bg1">
                <a:lumMod val="65000"/>
              </a:schemeClr>
            </a:solidFill>
          </a:ln>
        </xdr:spPr>
        <xdr:style>
          <a:lnRef idx="1">
            <a:schemeClr val="accent1"/>
          </a:lnRef>
          <a:fillRef idx="0">
            <a:schemeClr val="accent1"/>
          </a:fillRef>
          <a:effectRef idx="0">
            <a:schemeClr val="accent1"/>
          </a:effectRef>
          <a:fontRef idx="minor">
            <a:schemeClr val="tx1"/>
          </a:fontRef>
        </xdr:style>
      </xdr:cxnSp>
    </xdr:grpSp>
    <xdr:clientData/>
  </xdr:twoCellAnchor>
  <xdr:twoCellAnchor>
    <xdr:from>
      <xdr:col>34</xdr:col>
      <xdr:colOff>297656</xdr:colOff>
      <xdr:row>111</xdr:row>
      <xdr:rowOff>154781</xdr:rowOff>
    </xdr:from>
    <xdr:to>
      <xdr:col>34</xdr:col>
      <xdr:colOff>345281</xdr:colOff>
      <xdr:row>116</xdr:row>
      <xdr:rowOff>23812</xdr:rowOff>
    </xdr:to>
    <xdr:cxnSp macro="">
      <xdr:nvCxnSpPr>
        <xdr:cNvPr id="6" name="Straight Arrow Connector 5">
          <a:extLst>
            <a:ext uri="{FF2B5EF4-FFF2-40B4-BE49-F238E27FC236}">
              <a16:creationId xmlns:a16="http://schemas.microsoft.com/office/drawing/2014/main" id="{00000000-0008-0000-1100-000006000000}"/>
            </a:ext>
          </a:extLst>
        </xdr:cNvPr>
        <xdr:cNvCxnSpPr/>
      </xdr:nvCxnSpPr>
      <xdr:spPr>
        <a:xfrm flipH="1" flipV="1">
          <a:off x="32034956" y="23110031"/>
          <a:ext cx="47625" cy="821531"/>
        </a:xfrm>
        <a:prstGeom prst="straightConnector1">
          <a:avLst/>
        </a:prstGeom>
        <a:ln>
          <a:tailEnd type="arrow"/>
        </a:ln>
      </xdr:spPr>
      <xdr:style>
        <a:lnRef idx="1">
          <a:schemeClr val="accent2"/>
        </a:lnRef>
        <a:fillRef idx="0">
          <a:schemeClr val="accent2"/>
        </a:fillRef>
        <a:effectRef idx="0">
          <a:schemeClr val="accent2"/>
        </a:effectRef>
        <a:fontRef idx="minor">
          <a:schemeClr val="tx1"/>
        </a:fontRef>
      </xdr:style>
    </xdr:cxn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Users/4019547/Library/Containers/com.microsoft.Excel/Data/Documents/C:/Drive/University/100%25%20RES%20Feasibility%20Study/Power%20System%20Model%20Base%20Input_v10.xlsx"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Users/4019547/Library/Containers/com.microsoft.Excel/Data/Documents/C:/Drive/University/100%25%20RES%20Feasibility%20Study/Power%20System%20Model%20Base%20Input_v32a.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Users/4019547/Library/Containers/com.microsoft.Excel/Data/Documents/C:/Drive/University/100%25%20RES%20Feasibility%20Study/Power%20System%20Model%20Base%20Input_v3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Nodes - Objects"/>
    </sheetNames>
    <sheetDataSet>
      <sheetData sheetId="0"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toPropList"/>
    </sheetNames>
    <sheetDataSet>
      <sheetData sheetId="0"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d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tools.wmflabs.org/geohack/geohack.php?pagename=List_of_power_stations_in_Germany&amp;params=50.365783_N_7.581553_E_&amp;title=Koblenz+Power+Station" TargetMode="External"/><Relationship Id="rId671" Type="http://schemas.openxmlformats.org/officeDocument/2006/relationships/hyperlink" Target="https://en.wikipedia.org/wiki/List_of_power_stations_in_Scotland" TargetMode="External"/><Relationship Id="rId769" Type="http://schemas.openxmlformats.org/officeDocument/2006/relationships/hyperlink" Target="https://en.wikipedia.org/wiki/Lochaber_hydroelectric_scheme" TargetMode="External"/><Relationship Id="rId21" Type="http://schemas.openxmlformats.org/officeDocument/2006/relationships/hyperlink" Target="https://tools.wmflabs.org/geohack/geohack.php?pagename=List_of_power_stations_in_Belgium&amp;params=50.653180_N_5.631349_E_type:landmark&amp;title=Monsin%2C+EDF+Luminus%2C+hydroelectric" TargetMode="External"/><Relationship Id="rId324" Type="http://schemas.openxmlformats.org/officeDocument/2006/relationships/hyperlink" Target="https://en.wikipedia.org/wiki/Essent" TargetMode="External"/><Relationship Id="rId531" Type="http://schemas.openxmlformats.org/officeDocument/2006/relationships/hyperlink" Target="https://en.wikipedia.org/wiki/Kirchbichl" TargetMode="External"/><Relationship Id="rId629" Type="http://schemas.openxmlformats.org/officeDocument/2006/relationships/hyperlink" Target="https://en.wikipedia.org/wiki/List_of_power_stations_in_Scotland" TargetMode="External"/><Relationship Id="rId170" Type="http://schemas.openxmlformats.org/officeDocument/2006/relationships/hyperlink" Target="https://en.wikipedia.org/w/index.php?title=Leitzach_Pumped_Storage_Station&amp;action=edit&amp;redlink=1" TargetMode="External"/><Relationship Id="rId836" Type="http://schemas.openxmlformats.org/officeDocument/2006/relationships/hyperlink" Target="https://tools.wmflabs.org/os/coor_g/?pagename=List_of_power_stations_in_Scotland&amp;params=NO114328_region%3AGB_scale%3A25000" TargetMode="External"/><Relationship Id="rId268" Type="http://schemas.openxmlformats.org/officeDocument/2006/relationships/hyperlink" Target="https://en.wikipedia.org/wiki/Enel" TargetMode="External"/><Relationship Id="rId475" Type="http://schemas.openxmlformats.org/officeDocument/2006/relationships/hyperlink" Target="https://tools.wmflabs.org/geohack/geohack.php?pagename=List_of_power_stations_in_Switzerland&amp;params=47.194347_N_8.811166_E_type:landmark_region:CH&amp;title=Etzelwerk+Power+Station" TargetMode="External"/><Relationship Id="rId682" Type="http://schemas.openxmlformats.org/officeDocument/2006/relationships/hyperlink" Target="https://en.wikipedia.org/wiki/Scottish_and_Southern_Energy" TargetMode="External"/><Relationship Id="rId32" Type="http://schemas.openxmlformats.org/officeDocument/2006/relationships/hyperlink" Target="https://tools.wmflabs.org/geohack/geohack.php?pagename=List_of_power_stations_in_Bulgaria&amp;params=42.020685_N_24.201529_E_&amp;title=Batak+Hydro+Power+Plant" TargetMode="External"/><Relationship Id="rId128" Type="http://schemas.openxmlformats.org/officeDocument/2006/relationships/hyperlink" Target="https://en.wikipedia.org/w/index.php?title=Ryburg-Schw%C3%B6rstadt_Power_Station&amp;action=edit&amp;redlink=1" TargetMode="External"/><Relationship Id="rId335" Type="http://schemas.openxmlformats.org/officeDocument/2006/relationships/hyperlink" Target="https://en.wikipedia.org/wiki/Kujawsko-Pomorskie" TargetMode="External"/><Relationship Id="rId542" Type="http://schemas.openxmlformats.org/officeDocument/2006/relationships/hyperlink" Target="https://tools.wmflabs.org/geohack/geohack.php?pagename=List_of_power_stations_in_England&amp;params=52_54_0.055_N_1_22_0.031_W_&amp;title=%22Borrowash+Mill%22" TargetMode="External"/><Relationship Id="rId181" Type="http://schemas.openxmlformats.org/officeDocument/2006/relationships/hyperlink" Target="https://tools.wmflabs.org/geohack/geohack.php?pagename=List_of_power_stations_in_Germany&amp;params=50.3763118_N_9.092592_E_&amp;title=Ortenberg-Lissberg+Pumped+Storage+Station" TargetMode="External"/><Relationship Id="rId402" Type="http://schemas.openxmlformats.org/officeDocument/2006/relationships/hyperlink" Target="https://en.wikipedia.org/wiki/List_of_power_stations_in_Slovakia" TargetMode="External"/><Relationship Id="rId847" Type="http://schemas.openxmlformats.org/officeDocument/2006/relationships/hyperlink" Target="https://tools.wmflabs.org/os/coor_g/?pagename=List_of_power_stations_in_Scotland&amp;params=NS056839_region%3AGB_scale%3A25000" TargetMode="External"/><Relationship Id="rId279" Type="http://schemas.openxmlformats.org/officeDocument/2006/relationships/hyperlink" Target="https://en.wikipedia.org/wiki/Enel" TargetMode="External"/><Relationship Id="rId486" Type="http://schemas.openxmlformats.org/officeDocument/2006/relationships/hyperlink" Target="https://tools.wmflabs.org/geohack/geohack.php?pagename=List_of_power_stations_in_Switzerland&amp;params=47.401835_N_8.487035_E_type:landmark_region:CH&amp;title=H%C3%B6ngg+Power+Station" TargetMode="External"/><Relationship Id="rId693" Type="http://schemas.openxmlformats.org/officeDocument/2006/relationships/hyperlink" Target="https://en.wikipedia.org/wiki/Tummel_hydro-electric_power_scheme" TargetMode="External"/><Relationship Id="rId707" Type="http://schemas.openxmlformats.org/officeDocument/2006/relationships/hyperlink" Target="https://en.wikipedia.org/wiki/List_of_power_stations_in_Scotland" TargetMode="External"/><Relationship Id="rId43" Type="http://schemas.openxmlformats.org/officeDocument/2006/relationships/hyperlink" Target="https://en.wikipedia.org/wiki/Ivailovgrad_Hydroelectric_Power_Station" TargetMode="External"/><Relationship Id="rId139" Type="http://schemas.openxmlformats.org/officeDocument/2006/relationships/hyperlink" Target="https://tools.wmflabs.org/geohack/geohack.php?pagename=List_of_power_stations_in_Germany&amp;params=48.4354009_N_13.4388113_E_&amp;title=Sch%C3%A4rding-Neuhaus+Power+Station" TargetMode="External"/><Relationship Id="rId346" Type="http://schemas.openxmlformats.org/officeDocument/2006/relationships/hyperlink" Target="https://en.wikipedia.org/wiki/Cabril_Dam" TargetMode="External"/><Relationship Id="rId553" Type="http://schemas.openxmlformats.org/officeDocument/2006/relationships/hyperlink" Target="https://en.wikipedia.org/w/index.php?title=Hamlyn_Mill&amp;action=edit&amp;redlink=1" TargetMode="External"/><Relationship Id="rId760" Type="http://schemas.openxmlformats.org/officeDocument/2006/relationships/hyperlink" Target="https://en.wikipedia.org/wiki/Scottish_and_Southern_Energy" TargetMode="External"/><Relationship Id="rId192" Type="http://schemas.openxmlformats.org/officeDocument/2006/relationships/hyperlink" Target="https://en.wikipedia.org/w/index.php?title=Tanzm%C3%BChle_Pumped_Storage_Station&amp;action=edit&amp;redlink=1" TargetMode="External"/><Relationship Id="rId206" Type="http://schemas.openxmlformats.org/officeDocument/2006/relationships/hyperlink" Target="https://en.wikipedia.org/wiki/Kastraki_Dam" TargetMode="External"/><Relationship Id="rId413" Type="http://schemas.openxmlformats.org/officeDocument/2006/relationships/hyperlink" Target="https://tools.wmflabs.org/geohack/geohack.php?pagename=List_of_power_stations_in_Slovakia&amp;params=49.1331494_N_18.4537697_E_type:landmark&amp;title=Pova%C5%BEsk%C3%A1+Bystrica+Hydro+Power+Plant" TargetMode="External"/><Relationship Id="rId858" Type="http://schemas.openxmlformats.org/officeDocument/2006/relationships/hyperlink" Target="https://tools.wmflabs.org/os/coor_g/?pagename=List_of_power_stations_in_Scotland&amp;params=NN724647_region%3AGB_scale%3A25000" TargetMode="External"/><Relationship Id="rId497" Type="http://schemas.openxmlformats.org/officeDocument/2006/relationships/hyperlink" Target="https://tools.wmflabs.org/geohack/geohack.php?pagename=List_of_power_stations_in_Switzerland&amp;params=45.997997_N_7.348658_E_type:landmark_region:CH&amp;title=Lac+de+Mauvoisin+Dam" TargetMode="External"/><Relationship Id="rId620" Type="http://schemas.openxmlformats.org/officeDocument/2006/relationships/hyperlink" Target="https://en.wikipedia.org/wiki/List_of_power_stations_in_Scotland" TargetMode="External"/><Relationship Id="rId718" Type="http://schemas.openxmlformats.org/officeDocument/2006/relationships/hyperlink" Target="https://en.wikipedia.org/wiki/RWE_npower_Renewables" TargetMode="External"/><Relationship Id="rId357" Type="http://schemas.openxmlformats.org/officeDocument/2006/relationships/hyperlink" Target="https://en.wikipedia.org/wiki/Picote_Dam" TargetMode="External"/><Relationship Id="rId54" Type="http://schemas.openxmlformats.org/officeDocument/2006/relationships/hyperlink" Target="https://en.wikipedia.org/wiki/Peshtera_Hydroelectric_Power_Station" TargetMode="External"/><Relationship Id="rId217" Type="http://schemas.openxmlformats.org/officeDocument/2006/relationships/hyperlink" Target="https://en.wikipedia.org/wiki/Thisavros_Dam" TargetMode="External"/><Relationship Id="rId564" Type="http://schemas.openxmlformats.org/officeDocument/2006/relationships/hyperlink" Target="https://en.wikipedia.org/w/index.php?title=Dolgarrog_Hydro_Power_Station&amp;action=edit&amp;redlink=1" TargetMode="External"/><Relationship Id="rId771" Type="http://schemas.openxmlformats.org/officeDocument/2006/relationships/hyperlink" Target="https://en.wikipedia.org/wiki/List_of_power_stations_in_Scotland" TargetMode="External"/><Relationship Id="rId869" Type="http://schemas.openxmlformats.org/officeDocument/2006/relationships/hyperlink" Target="https://en.wikipedia.org/wiki/Kaunas_Hydroelectric_Power_Plant" TargetMode="External"/><Relationship Id="rId424" Type="http://schemas.openxmlformats.org/officeDocument/2006/relationships/hyperlink" Target="https://en.wikipedia.org/wiki/Sava" TargetMode="External"/><Relationship Id="rId631" Type="http://schemas.openxmlformats.org/officeDocument/2006/relationships/hyperlink" Target="https://en.wikipedia.org/wiki/Loch_Sloy_Hydro-Electric_Scheme" TargetMode="External"/><Relationship Id="rId729" Type="http://schemas.openxmlformats.org/officeDocument/2006/relationships/hyperlink" Target="https://tools.wmflabs.org/os/coor_g/?pagename=List_of_power_stations_in_Scotland&amp;params=NX604876_region%3AGB_scale%3A25000" TargetMode="External"/><Relationship Id="rId270" Type="http://schemas.openxmlformats.org/officeDocument/2006/relationships/hyperlink" Target="https://en.wikipedia.org/wiki/Maccagno" TargetMode="External"/><Relationship Id="rId65" Type="http://schemas.openxmlformats.org/officeDocument/2006/relationships/hyperlink" Target="https://en.wikipedia.org/wiki/Dubrovnik_Hydroelectric_Power_Plant" TargetMode="External"/><Relationship Id="rId130" Type="http://schemas.openxmlformats.org/officeDocument/2006/relationships/hyperlink" Target="https://en.wikipedia.org/w/index.php?title=Serrig_Power_Station&amp;action=edit&amp;redlink=1" TargetMode="External"/><Relationship Id="rId368" Type="http://schemas.openxmlformats.org/officeDocument/2006/relationships/hyperlink" Target="https://en.wikipedia.org/wiki/Santa_Luzia_Dam" TargetMode="External"/><Relationship Id="rId575" Type="http://schemas.openxmlformats.org/officeDocument/2006/relationships/hyperlink" Target="https://en.wikipedia.org/w/index.php?title=Cwm_Dyli_Hydro_Power_Station&amp;action=edit&amp;redlink=1" TargetMode="External"/><Relationship Id="rId782" Type="http://schemas.openxmlformats.org/officeDocument/2006/relationships/hyperlink" Target="https://en.wikipedia.org/wiki/List_of_power_stations_in_Scotland" TargetMode="External"/><Relationship Id="rId228" Type="http://schemas.openxmlformats.org/officeDocument/2006/relationships/hyperlink" Target="https://en.wikipedia.org/wiki/County_Tipperary" TargetMode="External"/><Relationship Id="rId435" Type="http://schemas.openxmlformats.org/officeDocument/2006/relationships/hyperlink" Target="https://en.wikipedia.org/wiki/Av%C4%8De" TargetMode="External"/><Relationship Id="rId642" Type="http://schemas.openxmlformats.org/officeDocument/2006/relationships/hyperlink" Target="https://en.wikipedia.org/wiki/Scottish_and_Southern_Energy" TargetMode="External"/><Relationship Id="rId281" Type="http://schemas.openxmlformats.org/officeDocument/2006/relationships/hyperlink" Target="https://en.wikipedia.org/wiki/Enel" TargetMode="External"/><Relationship Id="rId502" Type="http://schemas.openxmlformats.org/officeDocument/2006/relationships/hyperlink" Target="https://en.wikipedia.org/wiki/Ottenbach,_Switzerland" TargetMode="External"/><Relationship Id="rId76" Type="http://schemas.openxmlformats.org/officeDocument/2006/relationships/hyperlink" Target="https://en.wikipedia.org/wiki/Orl%C3%ADk_Hydro_Power_Plant" TargetMode="External"/><Relationship Id="rId141" Type="http://schemas.openxmlformats.org/officeDocument/2006/relationships/hyperlink" Target="https://tools.wmflabs.org/geohack/geohack.php?pagename=List_of_power_stations_in_Germany&amp;params=47.5863428_N_11.549651_E_&amp;title=Sylvenstein+Dam" TargetMode="External"/><Relationship Id="rId379" Type="http://schemas.openxmlformats.org/officeDocument/2006/relationships/hyperlink" Target="https://tools.wmflabs.org/geohack/geohack.php?pagename=List_of_power_stations_in_Romania&amp;params=45.4470051_N_23.7681913_E_&amp;title=Lotru-Ciunget+Hydroelectric+Power+Station" TargetMode="External"/><Relationship Id="rId586" Type="http://schemas.openxmlformats.org/officeDocument/2006/relationships/hyperlink" Target="https://en.wikipedia.org/wiki/List_of_power_stations_in_Scotland" TargetMode="External"/><Relationship Id="rId793" Type="http://schemas.openxmlformats.org/officeDocument/2006/relationships/hyperlink" Target="https://en.wikipedia.org/wiki/Affric-Beauly_hydro-electric_power_scheme" TargetMode="External"/><Relationship Id="rId807" Type="http://schemas.openxmlformats.org/officeDocument/2006/relationships/hyperlink" Target="https://en.wikipedia.org/wiki/Tummel_hydro-electric_power_scheme" TargetMode="External"/><Relationship Id="rId7" Type="http://schemas.openxmlformats.org/officeDocument/2006/relationships/hyperlink" Target="https://tools.wmflabs.org/geohack/geohack.php?pagename=List_of_power_stations_in_Belgium&amp;params=50.438796_N_6.038930_E_type:landmark&amp;title=B%C3%A9verc%C3%A9%2C+Electrabel%2C+hydroelectric" TargetMode="External"/><Relationship Id="rId239" Type="http://schemas.openxmlformats.org/officeDocument/2006/relationships/hyperlink" Target="https://en.wikipedia.org/wiki/County_Cork" TargetMode="External"/><Relationship Id="rId446" Type="http://schemas.openxmlformats.org/officeDocument/2006/relationships/hyperlink" Target="https://tools.wmflabs.org/geohack/geohack.php?pagename=List_of_power_stations_in_Sweden&amp;params=60.71065_N_12.67385_E_region:SE_type:landmark&amp;title=Letten+Pumped-Storage+Hydroelectric+Power+Station" TargetMode="External"/><Relationship Id="rId653" Type="http://schemas.openxmlformats.org/officeDocument/2006/relationships/hyperlink" Target="https://en.wikipedia.org/wiki/Scottish_and_Southern_Energy" TargetMode="External"/><Relationship Id="rId250" Type="http://schemas.openxmlformats.org/officeDocument/2006/relationships/hyperlink" Target="https://en.wikipedia.org/wiki/A2A" TargetMode="External"/><Relationship Id="rId292" Type="http://schemas.openxmlformats.org/officeDocument/2006/relationships/hyperlink" Target="https://en.wikipedia.org/wiki/Enel" TargetMode="External"/><Relationship Id="rId306" Type="http://schemas.openxmlformats.org/officeDocument/2006/relationships/hyperlink" Target="https://en.wikipedia.org/wiki/Edison_(company)" TargetMode="External"/><Relationship Id="rId488" Type="http://schemas.openxmlformats.org/officeDocument/2006/relationships/hyperlink" Target="https://tools.wmflabs.org/geohack/geohack.php?pagename=List_of_power_stations_in_Switzerland&amp;params=47.484469_N_8.292945_E_type:landmark_region:CH&amp;title=Kappelerhof+Power+Station" TargetMode="External"/><Relationship Id="rId695" Type="http://schemas.openxmlformats.org/officeDocument/2006/relationships/hyperlink" Target="https://en.wikipedia.org/wiki/Scottish_and_Southern_Energy" TargetMode="External"/><Relationship Id="rId709" Type="http://schemas.openxmlformats.org/officeDocument/2006/relationships/hyperlink" Target="https://tools.wmflabs.org/os/coor_g/?pagename=List_of_power_stations_in_Scotland&amp;params=NH364156_region%3AGB_scale%3A25000" TargetMode="External"/><Relationship Id="rId860" Type="http://schemas.openxmlformats.org/officeDocument/2006/relationships/hyperlink" Target="https://en.wikipedia.org/wiki/Scottish_and_Southern_Energy" TargetMode="External"/><Relationship Id="rId45" Type="http://schemas.openxmlformats.org/officeDocument/2006/relationships/hyperlink" Target="https://en.wikipedia.org/wiki/Kardzhali_Hydroelectric_Power_Station" TargetMode="External"/><Relationship Id="rId87" Type="http://schemas.openxmlformats.org/officeDocument/2006/relationships/hyperlink" Target="https://en.wikipedia.org/wiki/Vranov_nad_Dyj%C3%AD" TargetMode="External"/><Relationship Id="rId110" Type="http://schemas.openxmlformats.org/officeDocument/2006/relationships/hyperlink" Target="https://en.wikipedia.org/w/index.php?title=Iffezheim_Power_Station&amp;action=edit&amp;redlink=1" TargetMode="External"/><Relationship Id="rId348" Type="http://schemas.openxmlformats.org/officeDocument/2006/relationships/hyperlink" Target="https://en.wikipedia.org/wiki/Carrapatelo_Dam" TargetMode="External"/><Relationship Id="rId513" Type="http://schemas.openxmlformats.org/officeDocument/2006/relationships/hyperlink" Target="https://tools.wmflabs.org/geohack/geohack.php?pagename=List_of_power_stations_in_Switzerland&amp;params=47.456554_N_8.320631_E_type:landmark_region:CH&amp;title=Wettingen+Power+Station" TargetMode="External"/><Relationship Id="rId555" Type="http://schemas.openxmlformats.org/officeDocument/2006/relationships/hyperlink" Target="https://en.wikipedia.org/wiki/Kielder_Water" TargetMode="External"/><Relationship Id="rId597" Type="http://schemas.openxmlformats.org/officeDocument/2006/relationships/hyperlink" Target="https://en.wikipedia.org/wiki/RWE_npower_Renewables" TargetMode="External"/><Relationship Id="rId720" Type="http://schemas.openxmlformats.org/officeDocument/2006/relationships/hyperlink" Target="https://en.wikipedia.org/wiki/List_of_power_stations_in_Scotland" TargetMode="External"/><Relationship Id="rId762" Type="http://schemas.openxmlformats.org/officeDocument/2006/relationships/hyperlink" Target="https://tools.wmflabs.org/os/coor_g/?pagename=List_of_power_stations_in_Scotland&amp;params=NN553727_region%3AGB_scale%3A25000" TargetMode="External"/><Relationship Id="rId818" Type="http://schemas.openxmlformats.org/officeDocument/2006/relationships/hyperlink" Target="https://tools.wmflabs.org/os/coor_g/?pagename=List_of_power_stations_in_Scotland&amp;params=NH521164_region%3AGB_scale%3A25000" TargetMode="External"/><Relationship Id="rId152" Type="http://schemas.openxmlformats.org/officeDocument/2006/relationships/hyperlink" Target="https://en.wikipedia.org/w/index.php?title=Geesthacht_Pumped_Storage_Station&amp;action=edit&amp;redlink=1" TargetMode="External"/><Relationship Id="rId194" Type="http://schemas.openxmlformats.org/officeDocument/2006/relationships/hyperlink" Target="https://en.wikipedia.org/wiki/Waldeck_Pumped_Storage_Station" TargetMode="External"/><Relationship Id="rId208" Type="http://schemas.openxmlformats.org/officeDocument/2006/relationships/hyperlink" Target="https://en.wikipedia.org/wiki/Kremasta_Dam" TargetMode="External"/><Relationship Id="rId415" Type="http://schemas.openxmlformats.org/officeDocument/2006/relationships/hyperlink" Target="https://tools.wmflabs.org/geohack/geohack.php?pagename=List_of_power_stations_in_Slovakia&amp;params=48.8612704_N_21.090821_E_type:landmark&amp;title=Ru%C5%BE%C3%ADn+Hydro+Power+Plant" TargetMode="External"/><Relationship Id="rId457" Type="http://schemas.openxmlformats.org/officeDocument/2006/relationships/hyperlink" Target="https://en.wikipedia.org/wiki/Ume_River" TargetMode="External"/><Relationship Id="rId622" Type="http://schemas.openxmlformats.org/officeDocument/2006/relationships/hyperlink" Target="https://tools.wmflabs.org/os/coor_g/?pagename=List_of_power_stations_in_Scotland&amp;params=NC396232_region%3AGB_scale%3A25000" TargetMode="External"/><Relationship Id="rId261" Type="http://schemas.openxmlformats.org/officeDocument/2006/relationships/hyperlink" Target="https://en.wikipedia.org/wiki/Enel" TargetMode="External"/><Relationship Id="rId499" Type="http://schemas.openxmlformats.org/officeDocument/2006/relationships/hyperlink" Target="https://tools.wmflabs.org/geohack/geohack.php?pagename=List_of_power_stations_in_Switzerland&amp;params=46.063661_N_6.911036_E_type:landmark_region:CH&amp;title=Nant+de+Drance" TargetMode="External"/><Relationship Id="rId664" Type="http://schemas.openxmlformats.org/officeDocument/2006/relationships/hyperlink" Target="https://en.wikipedia.org/wiki/Scottish_Power" TargetMode="External"/><Relationship Id="rId871" Type="http://schemas.openxmlformats.org/officeDocument/2006/relationships/hyperlink" Target="https://en.wikipedia.org/wiki/Kaunas_Reservoir" TargetMode="External"/><Relationship Id="rId14" Type="http://schemas.openxmlformats.org/officeDocument/2006/relationships/hyperlink" Target="https://en.wikipedia.org/wiki/Amay" TargetMode="External"/><Relationship Id="rId56" Type="http://schemas.openxmlformats.org/officeDocument/2006/relationships/hyperlink" Target="https://en.wikipedia.org/w/index.php?title=Studen_Kladenets_Hydroelectric_Power_Station&amp;action=edit&amp;redlink=1" TargetMode="External"/><Relationship Id="rId317" Type="http://schemas.openxmlformats.org/officeDocument/2006/relationships/hyperlink" Target="https://tools.wmflabs.org/geohack/geohack.php?pagename=List_of_power_stations_in_Latvia&amp;params=56.8513187_N_24.2720389_E_&amp;title=Riga+Hydroelectric+Power+Plant" TargetMode="External"/><Relationship Id="rId359" Type="http://schemas.openxmlformats.org/officeDocument/2006/relationships/hyperlink" Target="https://en.wikipedia.org/wiki/Pocinho_Dam" TargetMode="External"/><Relationship Id="rId524" Type="http://schemas.openxmlformats.org/officeDocument/2006/relationships/hyperlink" Target="https://en.wikipedia.org/wiki/List_of_power_stations_in_Austria" TargetMode="External"/><Relationship Id="rId566" Type="http://schemas.openxmlformats.org/officeDocument/2006/relationships/hyperlink" Target="https://en.wikipedia.org/wiki/Ffestiniog_Power_Station" TargetMode="External"/><Relationship Id="rId731" Type="http://schemas.openxmlformats.org/officeDocument/2006/relationships/hyperlink" Target="https://en.wikipedia.org/wiki/Scottish_and_Southern_Energy" TargetMode="External"/><Relationship Id="rId773" Type="http://schemas.openxmlformats.org/officeDocument/2006/relationships/hyperlink" Target="https://en.wikipedia.org/wiki/Breadalbane_hydro-electric_power_scheme" TargetMode="External"/><Relationship Id="rId98" Type="http://schemas.openxmlformats.org/officeDocument/2006/relationships/hyperlink" Target="https://en.wikipedia.org/w/index.php?title=Bettenberg_Power_Station&amp;action=edit&amp;redlink=1" TargetMode="External"/><Relationship Id="rId121" Type="http://schemas.openxmlformats.org/officeDocument/2006/relationships/hyperlink" Target="https://tools.wmflabs.org/geohack/geohack.php?pagename=List_of_power_stations_in_Germany&amp;params=51.4896339_N_8.0589706_E_&amp;title=M%C3%B6hne+Dam" TargetMode="External"/><Relationship Id="rId163" Type="http://schemas.openxmlformats.org/officeDocument/2006/relationships/hyperlink" Target="https://tools.wmflabs.org/geohack/geohack.php?pagename=List_of_power_stations_in_Germany&amp;params=50.6040914_N_11.4749408_E_&amp;title=Hohenwarte+II+Pumped+Storage+Station" TargetMode="External"/><Relationship Id="rId219" Type="http://schemas.openxmlformats.org/officeDocument/2006/relationships/hyperlink" Target="https://en.wikipedia.org/wiki/County_Donegal" TargetMode="External"/><Relationship Id="rId370" Type="http://schemas.openxmlformats.org/officeDocument/2006/relationships/hyperlink" Target="https://en.wikipedia.org/wiki/Valeira_Dam" TargetMode="External"/><Relationship Id="rId426" Type="http://schemas.openxmlformats.org/officeDocument/2006/relationships/hyperlink" Target="https://en.wikipedia.org/wiki/So%C4%8Da" TargetMode="External"/><Relationship Id="rId633" Type="http://schemas.openxmlformats.org/officeDocument/2006/relationships/hyperlink" Target="https://en.wikipedia.org/wiki/List_of_power_stations_in_Scotland" TargetMode="External"/><Relationship Id="rId829" Type="http://schemas.openxmlformats.org/officeDocument/2006/relationships/hyperlink" Target="https://tools.wmflabs.org/os/coor_g/?pagename=List_of_power_stations_in_Scotland&amp;params=NN161200_region%3AGB_scale%3A25000" TargetMode="External"/><Relationship Id="rId230" Type="http://schemas.openxmlformats.org/officeDocument/2006/relationships/hyperlink" Target="https://en.wikipedia.org/wiki/County_Kildare" TargetMode="External"/><Relationship Id="rId468" Type="http://schemas.openxmlformats.org/officeDocument/2006/relationships/hyperlink" Target="https://tools.wmflabs.org/geohack/geohack.php?pagename=List_of_power_stations_in_Switzerland&amp;params=47.47034_N_8.31098_E_type:landmark_region:CH&amp;title=Aue+Power+Station" TargetMode="External"/><Relationship Id="rId675" Type="http://schemas.openxmlformats.org/officeDocument/2006/relationships/hyperlink" Target="https://en.wikipedia.org/wiki/List_of_power_stations_in_Scotland" TargetMode="External"/><Relationship Id="rId840" Type="http://schemas.openxmlformats.org/officeDocument/2006/relationships/hyperlink" Target="https://tools.wmflabs.org/os/coor_g/?pagename=List_of_power_stations_in_Scotland&amp;params=NS850441_region%3AGB_scale%3A25000" TargetMode="External"/><Relationship Id="rId25" Type="http://schemas.openxmlformats.org/officeDocument/2006/relationships/hyperlink" Target="https://tools.wmflabs.org/geohack/geohack.php?pagename=List_of_power_stations_in_Belgium&amp;params=50.446742_N_4.77364_E_type:landmark&amp;title=Floriffoux%2C+EDF+Luminus%2C+hydroelectric" TargetMode="External"/><Relationship Id="rId67" Type="http://schemas.openxmlformats.org/officeDocument/2006/relationships/hyperlink" Target="https://en.wikipedia.org/wiki/Vinodol_Hydroelectric_Power_Plant" TargetMode="External"/><Relationship Id="rId272" Type="http://schemas.openxmlformats.org/officeDocument/2006/relationships/hyperlink" Target="https://en.wikipedia.org/wiki/Edison_(company)" TargetMode="External"/><Relationship Id="rId328" Type="http://schemas.openxmlformats.org/officeDocument/2006/relationships/hyperlink" Target="https://en.wikipedia.org/wiki/List_of_power_stations_in_Poland" TargetMode="External"/><Relationship Id="rId535" Type="http://schemas.openxmlformats.org/officeDocument/2006/relationships/hyperlink" Target="https://en.wikipedia.org/wiki/List_of_power_stations_in_Austria" TargetMode="External"/><Relationship Id="rId577" Type="http://schemas.openxmlformats.org/officeDocument/2006/relationships/hyperlink" Target="https://en.wikipedia.org/w/index.php?title=Maentwrog_Hydro_Power_Station&amp;action=edit&amp;redlink=1" TargetMode="External"/><Relationship Id="rId700" Type="http://schemas.openxmlformats.org/officeDocument/2006/relationships/hyperlink" Target="https://en.wikipedia.org/wiki/Scottish_and_Southern_Energy" TargetMode="External"/><Relationship Id="rId742" Type="http://schemas.openxmlformats.org/officeDocument/2006/relationships/hyperlink" Target="https://tools.wmflabs.org/os/coor_g/?pagename=List_of_power_stations_in_Scotland&amp;params=NM836532_region%3AGB_scale%3A25000" TargetMode="External"/><Relationship Id="rId132" Type="http://schemas.openxmlformats.org/officeDocument/2006/relationships/hyperlink" Target="https://en.wikipedia.org/wiki/Walchensee_Hydroelectric_Power_Station" TargetMode="External"/><Relationship Id="rId174" Type="http://schemas.openxmlformats.org/officeDocument/2006/relationships/hyperlink" Target="https://en.wikipedia.org/w/index.php?title=Mittweida_Pumped_Storage_Station&amp;action=edit&amp;redlink=1" TargetMode="External"/><Relationship Id="rId381" Type="http://schemas.openxmlformats.org/officeDocument/2006/relationships/hyperlink" Target="https://en.wikipedia.org/wiki/Oa%C5%9Fa_Dam" TargetMode="External"/><Relationship Id="rId602" Type="http://schemas.openxmlformats.org/officeDocument/2006/relationships/hyperlink" Target="https://en.wikipedia.org/wiki/List_of_power_stations_in_Scotland" TargetMode="External"/><Relationship Id="rId784" Type="http://schemas.openxmlformats.org/officeDocument/2006/relationships/hyperlink" Target="https://en.wikipedia.org/wiki/Loch_Sloy_Hydro-Electric_Scheme" TargetMode="External"/><Relationship Id="rId241" Type="http://schemas.openxmlformats.org/officeDocument/2006/relationships/hyperlink" Target="https://en.wikipedia.org/wiki/County_Cork" TargetMode="External"/><Relationship Id="rId437" Type="http://schemas.openxmlformats.org/officeDocument/2006/relationships/hyperlink" Target="https://tools.wmflabs.org/geohack/geohack.php?pagename=List_of_power_stations_in_Sweden&amp;params=60.5638178_N_17.442137_E_region:SE_type:landmark&amp;title=%C3%84lvkarleby+Hydroelectric+Power+Station" TargetMode="External"/><Relationship Id="rId479" Type="http://schemas.openxmlformats.org/officeDocument/2006/relationships/hyperlink" Target="https://tools.wmflabs.org/geohack/geohack.php?pagename=List_of_power_stations_in_Switzerland&amp;params=46.563604_N_8.362504_E_type:landmark_region:CH&amp;title=Gletsch+Small+Hydro" TargetMode="External"/><Relationship Id="rId644" Type="http://schemas.openxmlformats.org/officeDocument/2006/relationships/hyperlink" Target="https://en.wikipedia.org/wiki/List_of_power_stations_in_Scotland" TargetMode="External"/><Relationship Id="rId686" Type="http://schemas.openxmlformats.org/officeDocument/2006/relationships/hyperlink" Target="https://en.wikipedia.org/wiki/RWE_npower_Renewables" TargetMode="External"/><Relationship Id="rId851" Type="http://schemas.openxmlformats.org/officeDocument/2006/relationships/hyperlink" Target="https://tools.wmflabs.org/os/coor_g/?pagename=List_of_power_stations_in_Scotland&amp;params=NX694535_region%3AGB_scale%3A25000" TargetMode="External"/><Relationship Id="rId36" Type="http://schemas.openxmlformats.org/officeDocument/2006/relationships/hyperlink" Target="https://en.wikipedia.org/wiki/Chaira_Hydro_Power_Plant" TargetMode="External"/><Relationship Id="rId283" Type="http://schemas.openxmlformats.org/officeDocument/2006/relationships/hyperlink" Target="https://en.wikipedia.org/wiki/Enel" TargetMode="External"/><Relationship Id="rId339" Type="http://schemas.openxmlformats.org/officeDocument/2006/relationships/hyperlink" Target="https://tools.wmflabs.org/geohack/geohack.php?pagename=List_of_power_stations_in_Portugal&amp;params=40.340200_N_8.197000_W_type:landmark&amp;title=Aguieira+Dam" TargetMode="External"/><Relationship Id="rId490" Type="http://schemas.openxmlformats.org/officeDocument/2006/relationships/hyperlink" Target="https://en.wikipedia.org/wiki/Martigny" TargetMode="External"/><Relationship Id="rId504" Type="http://schemas.openxmlformats.org/officeDocument/2006/relationships/hyperlink" Target="https://en.wikipedia.org/wiki/Untersiggenthal" TargetMode="External"/><Relationship Id="rId546" Type="http://schemas.openxmlformats.org/officeDocument/2006/relationships/hyperlink" Target="https://tools.wmflabs.org/geohack/geohack.php?pagename=List_of_power_stations_in_England&amp;params=53_14_6.031_N_1_9_14.024_W_&amp;title=%22Cuckney+School%22" TargetMode="External"/><Relationship Id="rId711" Type="http://schemas.openxmlformats.org/officeDocument/2006/relationships/hyperlink" Target="https://en.wikipedia.org/wiki/Scottish_and_Southern_Energy" TargetMode="External"/><Relationship Id="rId753" Type="http://schemas.openxmlformats.org/officeDocument/2006/relationships/hyperlink" Target="https://en.wikipedia.org/wiki/List_of_power_stations_in_Scotland" TargetMode="External"/><Relationship Id="rId78" Type="http://schemas.openxmlformats.org/officeDocument/2006/relationships/hyperlink" Target="https://tools.wmflabs.org/geohack/geohack.php?pagename=List_of_power_stations_in_the_Czech_Republic&amp;params=49.6068444_N_14.1812253_E_type:landmark&amp;title=Orl%C3%ADk+Hydro+Power+Plant" TargetMode="External"/><Relationship Id="rId101" Type="http://schemas.openxmlformats.org/officeDocument/2006/relationships/hyperlink" Target="https://tools.wmflabs.org/geohack/geohack.php?pagename=List_of_power_stations_in_Germany&amp;params=48.7344448_N_11.1436504_E_&amp;title=Bittenbrunn+Power+Station" TargetMode="External"/><Relationship Id="rId143" Type="http://schemas.openxmlformats.org/officeDocument/2006/relationships/hyperlink" Target="https://tools.wmflabs.org/geohack/geohack.php?pagename=List_of_power_stations_in_Germany&amp;params=51.7386962_N_10.310626_E_&amp;title=S%C3%B6se+Dam" TargetMode="External"/><Relationship Id="rId185" Type="http://schemas.openxmlformats.org/officeDocument/2006/relationships/hyperlink" Target="https://tools.wmflabs.org/geohack/geohack.php?pagename=List_of_power_stations_in_Germany&amp;params=51.2247664_N_7.9933155_E_&amp;title=R%C3%B6nkhausen+Pumped+Storage+Station" TargetMode="External"/><Relationship Id="rId350" Type="http://schemas.openxmlformats.org/officeDocument/2006/relationships/hyperlink" Target="https://en.wikipedia.org/wiki/Castelo_de_Bode_Dam" TargetMode="External"/><Relationship Id="rId406" Type="http://schemas.openxmlformats.org/officeDocument/2006/relationships/hyperlink" Target="https://en.wikipedia.org/wiki/Liptovsk%C3%A1_Mara" TargetMode="External"/><Relationship Id="rId588" Type="http://schemas.openxmlformats.org/officeDocument/2006/relationships/hyperlink" Target="https://en.wikipedia.org/wiki/Affric-Beauly_hydro-electric_power_scheme" TargetMode="External"/><Relationship Id="rId795" Type="http://schemas.openxmlformats.org/officeDocument/2006/relationships/hyperlink" Target="https://en.wikipedia.org/wiki/List_of_power_stations_in_Scotland" TargetMode="External"/><Relationship Id="rId809" Type="http://schemas.openxmlformats.org/officeDocument/2006/relationships/hyperlink" Target="https://en.wikipedia.org/wiki/List_of_power_stations_in_Scotland" TargetMode="External"/><Relationship Id="rId9" Type="http://schemas.openxmlformats.org/officeDocument/2006/relationships/hyperlink" Target="https://tools.wmflabs.org/geohack/geohack.php?pagename=List_of_power_stations_in_Belgium&amp;params=50.436191_N_6.210401_E_type:landmark&amp;title=B%C3%BCtgenbach%2C+Electrabel%2C+hydroelectric" TargetMode="External"/><Relationship Id="rId210" Type="http://schemas.openxmlformats.org/officeDocument/2006/relationships/hyperlink" Target="https://en.wikipedia.org/wiki/Ladon_Lake" TargetMode="External"/><Relationship Id="rId392" Type="http://schemas.openxmlformats.org/officeDocument/2006/relationships/hyperlink" Target="https://en.wikipedia.org/wiki/R%C3%A2ul_Mare_Hydroelectric_Power_Station" TargetMode="External"/><Relationship Id="rId448" Type="http://schemas.openxmlformats.org/officeDocument/2006/relationships/hyperlink" Target="https://en.wikipedia.org/wiki/Olidan_Hydroelectric_Power_Station" TargetMode="External"/><Relationship Id="rId613" Type="http://schemas.openxmlformats.org/officeDocument/2006/relationships/hyperlink" Target="https://en.wikipedia.org/wiki/Scottish_Power" TargetMode="External"/><Relationship Id="rId655" Type="http://schemas.openxmlformats.org/officeDocument/2006/relationships/hyperlink" Target="https://tools.wmflabs.org/os/coor_g/?pagename=List_of_power_stations_in_Scotland&amp;params=NH291387_region%3AGB_scale%3A25000" TargetMode="External"/><Relationship Id="rId697" Type="http://schemas.openxmlformats.org/officeDocument/2006/relationships/hyperlink" Target="https://en.wikipedia.org/wiki/List_of_power_stations_in_Scotland" TargetMode="External"/><Relationship Id="rId820" Type="http://schemas.openxmlformats.org/officeDocument/2006/relationships/hyperlink" Target="https://en.wikipedia.org/wiki/Scottish_and_Southern_Energy" TargetMode="External"/><Relationship Id="rId862" Type="http://schemas.openxmlformats.org/officeDocument/2006/relationships/hyperlink" Target="https://tools.wmflabs.org/os/coor_g/?pagename=List_of_power_stations_in_Scotland&amp;params=NN763590_region%3AGB_scale%3A25000" TargetMode="External"/><Relationship Id="rId252" Type="http://schemas.openxmlformats.org/officeDocument/2006/relationships/hyperlink" Target="https://en.wikipedia.org/wiki/Edison_(company)" TargetMode="External"/><Relationship Id="rId294" Type="http://schemas.openxmlformats.org/officeDocument/2006/relationships/hyperlink" Target="https://en.wikipedia.org/wiki/Edison_(company)" TargetMode="External"/><Relationship Id="rId308" Type="http://schemas.openxmlformats.org/officeDocument/2006/relationships/hyperlink" Target="https://en.wikipedia.org/wiki/Enel" TargetMode="External"/><Relationship Id="rId515" Type="http://schemas.openxmlformats.org/officeDocument/2006/relationships/hyperlink" Target="https://en.wikipedia.org/wiki/Mayrhofen" TargetMode="External"/><Relationship Id="rId722" Type="http://schemas.openxmlformats.org/officeDocument/2006/relationships/hyperlink" Target="https://tools.wmflabs.org/os/coor_g/?pagename=List_of_power_stations_in_Scotland&amp;params=NH319013_region%3AGB_scale%3A25000" TargetMode="External"/><Relationship Id="rId47" Type="http://schemas.openxmlformats.org/officeDocument/2006/relationships/hyperlink" Target="https://en.wikipedia.org/wiki/Krichim_Hydro_Power_Plant" TargetMode="External"/><Relationship Id="rId89" Type="http://schemas.openxmlformats.org/officeDocument/2006/relationships/hyperlink" Target="https://tools.wmflabs.org/geohack/geohack.php?pagename=List_of_power_stations_in_Germany&amp;params=48.94638809_N_12.01305556_E_&amp;title=Bad+Abbach+Power+Station" TargetMode="External"/><Relationship Id="rId112" Type="http://schemas.openxmlformats.org/officeDocument/2006/relationships/hyperlink" Target="https://en.wikipedia.org/w/index.php?title=Ingolstadt_Hydroelectric_Power_Station&amp;action=edit&amp;redlink=1" TargetMode="External"/><Relationship Id="rId154" Type="http://schemas.openxmlformats.org/officeDocument/2006/relationships/hyperlink" Target="https://en.wikipedia.org/w/index.php?title=Glems_Pumped_Storage_Station&amp;action=edit&amp;redlink=1" TargetMode="External"/><Relationship Id="rId361" Type="http://schemas.openxmlformats.org/officeDocument/2006/relationships/hyperlink" Target="https://tools.wmflabs.org/geohack/geohack.php?pagename=List_of_power_stations_in_Portugal&amp;params=41.134103_N_7.114131_W_type:landmark&amp;title=Pocinho+Dam" TargetMode="External"/><Relationship Id="rId557" Type="http://schemas.openxmlformats.org/officeDocument/2006/relationships/hyperlink" Target="https://tools.wmflabs.org/geohack/geohack.php?pagename=List_of_power_stations_in_England&amp;params=53_6_46.038_N_1_33_42.004_W_&amp;title=%22Masson+Mill%22" TargetMode="External"/><Relationship Id="rId599" Type="http://schemas.openxmlformats.org/officeDocument/2006/relationships/hyperlink" Target="https://en.wikipedia.org/wiki/List_of_power_stations_in_Scotland" TargetMode="External"/><Relationship Id="rId764" Type="http://schemas.openxmlformats.org/officeDocument/2006/relationships/hyperlink" Target="https://en.wikipedia.org/wiki/Scottish_and_Southern_Energy" TargetMode="External"/><Relationship Id="rId196" Type="http://schemas.openxmlformats.org/officeDocument/2006/relationships/hyperlink" Target="https://en.wikipedia.org/wiki/Waldeck_Pumped_Storage_Station" TargetMode="External"/><Relationship Id="rId417" Type="http://schemas.openxmlformats.org/officeDocument/2006/relationships/hyperlink" Target="https://en.wikipedia.org/wiki/Fala,_Ru%C5%A1e" TargetMode="External"/><Relationship Id="rId459" Type="http://schemas.openxmlformats.org/officeDocument/2006/relationships/hyperlink" Target="https://tools.wmflabs.org/geohack/geohack.php?pagename=List_of_power_stations_in_Sweden&amp;params=66.410_N_20.20_E_region:SE_type:landmark&amp;title=Messaure" TargetMode="External"/><Relationship Id="rId624" Type="http://schemas.openxmlformats.org/officeDocument/2006/relationships/hyperlink" Target="https://en.wikipedia.org/wiki/Scottish_and_Southern_Energy" TargetMode="External"/><Relationship Id="rId666" Type="http://schemas.openxmlformats.org/officeDocument/2006/relationships/hyperlink" Target="https://tools.wmflabs.org/os/coor_g/?pagename=List_of_power_stations_in_Scotland&amp;params=NX614818_region%3AGB_scale%3A25000" TargetMode="External"/><Relationship Id="rId831" Type="http://schemas.openxmlformats.org/officeDocument/2006/relationships/hyperlink" Target="https://en.wikipedia.org/wiki/Scottish_and_Southern_Energy" TargetMode="External"/><Relationship Id="rId873" Type="http://schemas.openxmlformats.org/officeDocument/2006/relationships/hyperlink" Target="https://tools.wmflabs.org/geohack/geohack.php?pagename=List_of_power_stations_in_Lithuania&amp;params=54.7990769_N_24.2470837_E_&amp;title=Kruonis+Pumped+Storage+Plant" TargetMode="External"/><Relationship Id="rId16" Type="http://schemas.openxmlformats.org/officeDocument/2006/relationships/hyperlink" Target="https://en.wikipedia.org/wiki/Li%C3%A8ge" TargetMode="External"/><Relationship Id="rId221" Type="http://schemas.openxmlformats.org/officeDocument/2006/relationships/hyperlink" Target="https://en.wikipedia.org/wiki/Ardnacrusha_power_plant" TargetMode="External"/><Relationship Id="rId263" Type="http://schemas.openxmlformats.org/officeDocument/2006/relationships/hyperlink" Target="https://en.wikipedia.org/wiki/Enel" TargetMode="External"/><Relationship Id="rId319" Type="http://schemas.openxmlformats.org/officeDocument/2006/relationships/hyperlink" Target="https://en.wikipedia.org/wiki/%C4%B6egums" TargetMode="External"/><Relationship Id="rId470" Type="http://schemas.openxmlformats.org/officeDocument/2006/relationships/hyperlink" Target="https://tools.wmflabs.org/geohack/geohack.php?pagename=List_of_power_stations_in_Switzerland&amp;params=46.185297_N_7.249561_E_type:landmark_region:CH&amp;title=Grande+Dixence+Dam" TargetMode="External"/><Relationship Id="rId526" Type="http://schemas.openxmlformats.org/officeDocument/2006/relationships/hyperlink" Target="https://en.wikipedia.org/wiki/Run-of-the-river" TargetMode="External"/><Relationship Id="rId58" Type="http://schemas.openxmlformats.org/officeDocument/2006/relationships/hyperlink" Target="https://en.wikipedia.org/wiki/Sestrimo_Hydro_Power_Plant" TargetMode="External"/><Relationship Id="rId123" Type="http://schemas.openxmlformats.org/officeDocument/2006/relationships/hyperlink" Target="https://tools.wmflabs.org/geohack/geohack.php?pagename=List_of_power_stations_in_Germany&amp;params=48.933664_N_8.90195_E_&amp;title=M%C3%BChlhausen+Power+Station" TargetMode="External"/><Relationship Id="rId330" Type="http://schemas.openxmlformats.org/officeDocument/2006/relationships/hyperlink" Target="https://en.wikipedia.org/wiki/List_of_power_stations_in_Poland" TargetMode="External"/><Relationship Id="rId568" Type="http://schemas.openxmlformats.org/officeDocument/2006/relationships/hyperlink" Target="https://tools.wmflabs.org/geohack/geohack.php?pagename=List_of_power_stations_in_Wales&amp;params=52_58_51_N_3_58_8_W_&amp;title=Ffestiniog+Power+Station" TargetMode="External"/><Relationship Id="rId733" Type="http://schemas.openxmlformats.org/officeDocument/2006/relationships/hyperlink" Target="https://en.wikipedia.org/wiki/List_of_power_stations_in_Scotland" TargetMode="External"/><Relationship Id="rId775" Type="http://schemas.openxmlformats.org/officeDocument/2006/relationships/hyperlink" Target="https://en.wikipedia.org/wiki/List_of_power_stations_in_Scotland" TargetMode="External"/><Relationship Id="rId165" Type="http://schemas.openxmlformats.org/officeDocument/2006/relationships/hyperlink" Target="https://tools.wmflabs.org/geohack/geohack.php?pagename=List_of_power_stations_in_Germany&amp;params=47.6523655_N_7.9256701_E_&amp;title=Hotzenwald+Pumped+Storage+Station" TargetMode="External"/><Relationship Id="rId372" Type="http://schemas.openxmlformats.org/officeDocument/2006/relationships/hyperlink" Target="https://en.wikipedia.org/w/index.php?title=Vilarinho_das_Furnas_Dam&amp;action=edit&amp;redlink=1" TargetMode="External"/><Relationship Id="rId428" Type="http://schemas.openxmlformats.org/officeDocument/2006/relationships/hyperlink" Target="https://en.wikipedia.org/wiki/So%C4%8Da" TargetMode="External"/><Relationship Id="rId635" Type="http://schemas.openxmlformats.org/officeDocument/2006/relationships/hyperlink" Target="https://en.wikipedia.org/wiki/Tummel_hydro-electric_power_scheme" TargetMode="External"/><Relationship Id="rId677" Type="http://schemas.openxmlformats.org/officeDocument/2006/relationships/hyperlink" Target="https://en.wikipedia.org/wiki/Breadalbane_hydro-electric_power_scheme" TargetMode="External"/><Relationship Id="rId800" Type="http://schemas.openxmlformats.org/officeDocument/2006/relationships/hyperlink" Target="https://en.wikipedia.org/wiki/Scottish_and_Southern_Energy" TargetMode="External"/><Relationship Id="rId842" Type="http://schemas.openxmlformats.org/officeDocument/2006/relationships/hyperlink" Target="https://en.wikipedia.org/wiki/Scottish_and_Southern_Energy" TargetMode="External"/><Relationship Id="rId232" Type="http://schemas.openxmlformats.org/officeDocument/2006/relationships/hyperlink" Target="https://en.wikipedia.org/wiki/County_Sligo" TargetMode="External"/><Relationship Id="rId274" Type="http://schemas.openxmlformats.org/officeDocument/2006/relationships/hyperlink" Target="https://en.wikipedia.org/wiki/Enel" TargetMode="External"/><Relationship Id="rId481" Type="http://schemas.openxmlformats.org/officeDocument/2006/relationships/hyperlink" Target="https://tools.wmflabs.org/geohack/geohack.php?pagename=List_of_power_stations_in_Switzerland&amp;params=46.5721746_N_8.3296108_E_type:landmark_region:CH&amp;title=Grimsel+1" TargetMode="External"/><Relationship Id="rId702" Type="http://schemas.openxmlformats.org/officeDocument/2006/relationships/hyperlink" Target="https://tools.wmflabs.org/os/coor_g/?pagename=List_of_power_stations_in_Scotland&amp;params=NH451031_region%3AGB_scale%3A25000" TargetMode="External"/><Relationship Id="rId27" Type="http://schemas.openxmlformats.org/officeDocument/2006/relationships/hyperlink" Target="https://tools.wmflabs.org/geohack/geohack.php?pagename=List_of_power_stations_in_Belgium&amp;params=50.465968_N_4.899369_E_type:landmark&amp;title=Grands-Malades%2C+EDF+Luminus%2C+hydroelectric" TargetMode="External"/><Relationship Id="rId69" Type="http://schemas.openxmlformats.org/officeDocument/2006/relationships/hyperlink" Target="https://en.wikipedia.org/wiki/Dlouh%C3%A9_Str%C3%A1n%C4%9B_Hydro_Power_Plant" TargetMode="External"/><Relationship Id="rId134" Type="http://schemas.openxmlformats.org/officeDocument/2006/relationships/hyperlink" Target="https://en.wikipedia.org/wiki/Wendefurth_Power_Station" TargetMode="External"/><Relationship Id="rId537" Type="http://schemas.openxmlformats.org/officeDocument/2006/relationships/hyperlink" Target="https://en.wikipedia.org/wiki/Alqueva_Dam" TargetMode="External"/><Relationship Id="rId579" Type="http://schemas.openxmlformats.org/officeDocument/2006/relationships/hyperlink" Target="https://en.wikipedia.org/wiki/Scottish_Power" TargetMode="External"/><Relationship Id="rId744" Type="http://schemas.openxmlformats.org/officeDocument/2006/relationships/hyperlink" Target="https://en.wikipedia.org/wiki/Alcan" TargetMode="External"/><Relationship Id="rId786" Type="http://schemas.openxmlformats.org/officeDocument/2006/relationships/hyperlink" Target="https://en.wikipedia.org/wiki/List_of_power_stations_in_Scotland" TargetMode="External"/><Relationship Id="rId80" Type="http://schemas.openxmlformats.org/officeDocument/2006/relationships/hyperlink" Target="https://en.wikipedia.org/wiki/%C5%A0t%C4%9Bchovice" TargetMode="External"/><Relationship Id="rId176" Type="http://schemas.openxmlformats.org/officeDocument/2006/relationships/hyperlink" Target="https://en.wikipedia.org/w/index.php?title=Niederwartha_Pumped_Storage_Station&amp;action=edit&amp;redlink=1" TargetMode="External"/><Relationship Id="rId341" Type="http://schemas.openxmlformats.org/officeDocument/2006/relationships/hyperlink" Target="https://en.wikipedia.org/wiki/Viana_do_Castelo_District" TargetMode="External"/><Relationship Id="rId383" Type="http://schemas.openxmlformats.org/officeDocument/2006/relationships/hyperlink" Target="https://tools.wmflabs.org/geohack/geohack.php?pagename=List_of_power_stations_in_Romania&amp;params=44.6732766_N_22.5320363_E_&amp;title=Iron+Gate+I+Hydroelectric+Power+Station" TargetMode="External"/><Relationship Id="rId439" Type="http://schemas.openxmlformats.org/officeDocument/2006/relationships/hyperlink" Target="https://en.wikipedia.org/wiki/Hojum_Hydroelectric_Power_Station" TargetMode="External"/><Relationship Id="rId590" Type="http://schemas.openxmlformats.org/officeDocument/2006/relationships/hyperlink" Target="https://en.wikipedia.org/wiki/List_of_power_stations_in_Scotland" TargetMode="External"/><Relationship Id="rId604" Type="http://schemas.openxmlformats.org/officeDocument/2006/relationships/hyperlink" Target="https://en.wikipedia.org/wiki/Lanark_Hydro_Electric_Scheme" TargetMode="External"/><Relationship Id="rId646" Type="http://schemas.openxmlformats.org/officeDocument/2006/relationships/hyperlink" Target="https://en.wikipedia.org/wiki/Affric-Beauly_hydro-electric_power_scheme" TargetMode="External"/><Relationship Id="rId811" Type="http://schemas.openxmlformats.org/officeDocument/2006/relationships/hyperlink" Target="https://tools.wmflabs.org/os/coor_g/?pagename=List_of_power_stations_in_Scotland&amp;params=NH107011_region%3AGB_scale%3A25000" TargetMode="External"/><Relationship Id="rId201" Type="http://schemas.openxmlformats.org/officeDocument/2006/relationships/hyperlink" Target="https://tools.wmflabs.org/geohack/geohack.php?pagename=List_of_power_stations_in_Germany&amp;params=47.3495674_N_10.2657473_E_&amp;title=Warmutsgund+Pumped+Storage+Station" TargetMode="External"/><Relationship Id="rId243" Type="http://schemas.openxmlformats.org/officeDocument/2006/relationships/hyperlink" Target="https://en.wikipedia.org/wiki/County_Wicklow" TargetMode="External"/><Relationship Id="rId285" Type="http://schemas.openxmlformats.org/officeDocument/2006/relationships/hyperlink" Target="https://en.wikipedia.org/wiki/Enel" TargetMode="External"/><Relationship Id="rId450" Type="http://schemas.openxmlformats.org/officeDocument/2006/relationships/hyperlink" Target="https://en.wikipedia.org/wiki/Porjus_Hydroelectric_Power_Station" TargetMode="External"/><Relationship Id="rId506" Type="http://schemas.openxmlformats.org/officeDocument/2006/relationships/hyperlink" Target="https://en.wikipedia.org/w/index.php?title=Thorenberg_Power_Station&amp;action=edit&amp;redlink=1" TargetMode="External"/><Relationship Id="rId688" Type="http://schemas.openxmlformats.org/officeDocument/2006/relationships/hyperlink" Target="https://en.wikipedia.org/wiki/List_of_power_stations_in_Scotland" TargetMode="External"/><Relationship Id="rId853" Type="http://schemas.openxmlformats.org/officeDocument/2006/relationships/hyperlink" Target="https://en.wikipedia.org/wiki/Scottish_and_Southern_Energy" TargetMode="External"/><Relationship Id="rId38" Type="http://schemas.openxmlformats.org/officeDocument/2006/relationships/hyperlink" Target="https://tools.wmflabs.org/geohack/geohack.php?pagename=List_of_power_stations_in_Bulgaria&amp;params=42.1589498_N_23.8708448_E_&amp;title=Chaira+Hydro+Power+Plant" TargetMode="External"/><Relationship Id="rId103" Type="http://schemas.openxmlformats.org/officeDocument/2006/relationships/hyperlink" Target="https://tools.wmflabs.org/geohack/geohack.php?pagename=List_of_power_stations_in_Germany&amp;params=48.112167_N_10.133225_E_&amp;title=Dettingen+Power+Station" TargetMode="External"/><Relationship Id="rId310" Type="http://schemas.openxmlformats.org/officeDocument/2006/relationships/hyperlink" Target="https://en.wikipedia.org/wiki/Enel" TargetMode="External"/><Relationship Id="rId492" Type="http://schemas.openxmlformats.org/officeDocument/2006/relationships/hyperlink" Target="https://en.wikipedia.org/wiki/Zurich" TargetMode="External"/><Relationship Id="rId548" Type="http://schemas.openxmlformats.org/officeDocument/2006/relationships/hyperlink" Target="https://en.wikipedia.org/w/index.php?title=Earth_Balance&amp;action=edit&amp;redlink=1" TargetMode="External"/><Relationship Id="rId713" Type="http://schemas.openxmlformats.org/officeDocument/2006/relationships/hyperlink" Target="https://en.wikipedia.org/wiki/List_of_power_stations_in_Scotland" TargetMode="External"/><Relationship Id="rId755" Type="http://schemas.openxmlformats.org/officeDocument/2006/relationships/hyperlink" Target="https://tools.wmflabs.org/os/coor_g/?pagename=List_of_power_stations_in_Scotland&amp;params=NH353159_region%3AGB_scale%3A25000" TargetMode="External"/><Relationship Id="rId797" Type="http://schemas.openxmlformats.org/officeDocument/2006/relationships/hyperlink" Target="https://en.wikipedia.org/wiki/Loch_Sloy_Hydro-Electric_Scheme" TargetMode="External"/><Relationship Id="rId91" Type="http://schemas.openxmlformats.org/officeDocument/2006/relationships/hyperlink" Target="https://tools.wmflabs.org/geohack/geohack.php?pagename=List_of_power_stations_in_Germany&amp;params=48.3052492_N_11.8577135_E_&amp;title=Aufkirchen+Power+Station" TargetMode="External"/><Relationship Id="rId145" Type="http://schemas.openxmlformats.org/officeDocument/2006/relationships/hyperlink" Target="https://tools.wmflabs.org/geohack/geohack.php?pagename=List_of_power_stations_in_Germany&amp;params=47.6878681_N_8.2514513_E_&amp;title=Albbecken+Pumped+Storage+Station" TargetMode="External"/><Relationship Id="rId187" Type="http://schemas.openxmlformats.org/officeDocument/2006/relationships/hyperlink" Target="https://tools.wmflabs.org/geohack/geohack.php?pagename=List_of_power_stations_in_Germany&amp;params=48.6685328_N_8.3530855_E_&amp;title=Rudolf-Fettweis-Power+Plant" TargetMode="External"/><Relationship Id="rId352" Type="http://schemas.openxmlformats.org/officeDocument/2006/relationships/hyperlink" Target="https://tools.wmflabs.org/geohack/geohack.php?pagename=List_of_power_stations_in_Portugal&amp;params=39.543772_N_8.319936_W_type:landmark&amp;title=Castelo+de+Bode+Dam" TargetMode="External"/><Relationship Id="rId394" Type="http://schemas.openxmlformats.org/officeDocument/2006/relationships/hyperlink" Target="https://en.wikipedia.org/wiki/%C5%9Eugag_Dam" TargetMode="External"/><Relationship Id="rId408" Type="http://schemas.openxmlformats.org/officeDocument/2006/relationships/hyperlink" Target="https://en.wikipedia.org/w/index.php?title=Mik%C5%A1ov%C3%A1_Hydro_Power_Plant&amp;action=edit&amp;redlink=1" TargetMode="External"/><Relationship Id="rId615" Type="http://schemas.openxmlformats.org/officeDocument/2006/relationships/hyperlink" Target="https://tools.wmflabs.org/os/coor_g/?pagename=List_of_power_stations_in_Scotland&amp;params=NX604854_region%3AGB_scale%3A25000" TargetMode="External"/><Relationship Id="rId822" Type="http://schemas.openxmlformats.org/officeDocument/2006/relationships/hyperlink" Target="https://en.wikipedia.org/wiki/List_of_power_stations_in_Scotland" TargetMode="External"/><Relationship Id="rId212" Type="http://schemas.openxmlformats.org/officeDocument/2006/relationships/hyperlink" Target="https://tools.wmflabs.org/geohack/geohack.php?pagename=List_of_power_stations_in_Greece&amp;params=37.7577_N_21.9716_E_&amp;title=Ladon+Hydroelectric+Dam" TargetMode="External"/><Relationship Id="rId254" Type="http://schemas.openxmlformats.org/officeDocument/2006/relationships/hyperlink" Target="https://en.wikipedia.org/wiki/Enel" TargetMode="External"/><Relationship Id="rId657" Type="http://schemas.openxmlformats.org/officeDocument/2006/relationships/hyperlink" Target="https://en.wikipedia.org/wiki/RWE_npower_Renewables" TargetMode="External"/><Relationship Id="rId699" Type="http://schemas.openxmlformats.org/officeDocument/2006/relationships/hyperlink" Target="https://tools.wmflabs.org/os/coor_g/?pagename=List_of_power_stations_in_Scotland&amp;params=NM865605_region%3AGB_scale%3A25000" TargetMode="External"/><Relationship Id="rId864" Type="http://schemas.openxmlformats.org/officeDocument/2006/relationships/hyperlink" Target="https://en.wikipedia.org/wiki/Pumped_storage" TargetMode="External"/><Relationship Id="rId49" Type="http://schemas.openxmlformats.org/officeDocument/2006/relationships/hyperlink" Target="https://tools.wmflabs.org/geohack/geohack.php?pagename=List_of_power_stations_in_Bulgaria&amp;params=41.9917775_N_24.4680333_E_&amp;title=Krichim+Hydro+Power+Plant" TargetMode="External"/><Relationship Id="rId114" Type="http://schemas.openxmlformats.org/officeDocument/2006/relationships/hyperlink" Target="https://en.wikipedia.org/w/index.php?title=Kachlet_Power_Station&amp;action=edit&amp;redlink=1" TargetMode="External"/><Relationship Id="rId296" Type="http://schemas.openxmlformats.org/officeDocument/2006/relationships/hyperlink" Target="https://en.wikipedia.org/wiki/Edison_(company)" TargetMode="External"/><Relationship Id="rId461" Type="http://schemas.openxmlformats.org/officeDocument/2006/relationships/hyperlink" Target="https://en.wikipedia.org/wiki/Lesser_Lule_River" TargetMode="External"/><Relationship Id="rId517" Type="http://schemas.openxmlformats.org/officeDocument/2006/relationships/hyperlink" Target="https://tools.wmflabs.org/geohack/geohack.php?pagename=List_of_power_stations_in_Austria&amp;params=46.975278_N_10.044722_E_type:landmark_region:UA&amp;title=Kops+II+Pumped-Storage+Hydroelectric+Power+Station" TargetMode="External"/><Relationship Id="rId559" Type="http://schemas.openxmlformats.org/officeDocument/2006/relationships/hyperlink" Target="https://tools.wmflabs.org/geohack/geohack.php?pagename=List_of_power_stations_in_England&amp;params=51_17_54.06_N_2_16_51.86_W_&amp;title=%22Tellisford+Mill%22" TargetMode="External"/><Relationship Id="rId724" Type="http://schemas.openxmlformats.org/officeDocument/2006/relationships/hyperlink" Target="https://en.wikipedia.org/wiki/RWE_npower_Renewables" TargetMode="External"/><Relationship Id="rId766" Type="http://schemas.openxmlformats.org/officeDocument/2006/relationships/hyperlink" Target="https://tools.wmflabs.org/os/coor_g/?pagename=List_of_power_stations_in_Scotland&amp;params=NR924908_region%3AGB_scale%3A25000" TargetMode="External"/><Relationship Id="rId60" Type="http://schemas.openxmlformats.org/officeDocument/2006/relationships/hyperlink" Target="https://en.wikipedia.org/wiki/Teshel_Hydro_Power_Plant" TargetMode="External"/><Relationship Id="rId156" Type="http://schemas.openxmlformats.org/officeDocument/2006/relationships/hyperlink" Target="https://en.wikipedia.org/wiki/Goldisthal_Pumped_Storage_Station" TargetMode="External"/><Relationship Id="rId198" Type="http://schemas.openxmlformats.org/officeDocument/2006/relationships/hyperlink" Target="https://en.wikipedia.org/w/index.php?title=Waldshut_Pumped_Storage_Station&amp;action=edit&amp;redlink=1" TargetMode="External"/><Relationship Id="rId321" Type="http://schemas.openxmlformats.org/officeDocument/2006/relationships/hyperlink" Target="https://en.wikipedia.org/wiki/Aiviekste_Hydroelectric_Power_Station" TargetMode="External"/><Relationship Id="rId363" Type="http://schemas.openxmlformats.org/officeDocument/2006/relationships/hyperlink" Target="https://en.wikipedia.org/wiki/Vila_Real_District" TargetMode="External"/><Relationship Id="rId419" Type="http://schemas.openxmlformats.org/officeDocument/2006/relationships/hyperlink" Target="https://en.wikipedia.org/wiki/Dravograd" TargetMode="External"/><Relationship Id="rId570" Type="http://schemas.openxmlformats.org/officeDocument/2006/relationships/hyperlink" Target="https://en.wikipedia.org/wiki/Ceredigion" TargetMode="External"/><Relationship Id="rId626" Type="http://schemas.openxmlformats.org/officeDocument/2006/relationships/hyperlink" Target="https://en.wikipedia.org/wiki/List_of_power_stations_in_Scotland" TargetMode="External"/><Relationship Id="rId223" Type="http://schemas.openxmlformats.org/officeDocument/2006/relationships/hyperlink" Target="https://en.wikipedia.org/wiki/County_Sligo" TargetMode="External"/><Relationship Id="rId430" Type="http://schemas.openxmlformats.org/officeDocument/2006/relationships/hyperlink" Target="https://en.wikipedia.org/wiki/So%C4%8Da" TargetMode="External"/><Relationship Id="rId668" Type="http://schemas.openxmlformats.org/officeDocument/2006/relationships/hyperlink" Target="https://en.wikipedia.org/wiki/Scottish_and_Southern_Energy" TargetMode="External"/><Relationship Id="rId833" Type="http://schemas.openxmlformats.org/officeDocument/2006/relationships/hyperlink" Target="https://tools.wmflabs.org/os/coor_g/?pagename=List_of_power_stations_in_Scotland&amp;params=NN690246_region%3AGB_scale%3A25000" TargetMode="External"/><Relationship Id="rId875" Type="http://schemas.openxmlformats.org/officeDocument/2006/relationships/drawing" Target="../drawings/drawing1.xml"/><Relationship Id="rId18" Type="http://schemas.openxmlformats.org/officeDocument/2006/relationships/hyperlink" Target="https://en.wikipedia.org/wiki/Andenne" TargetMode="External"/><Relationship Id="rId265" Type="http://schemas.openxmlformats.org/officeDocument/2006/relationships/hyperlink" Target="https://en.wikipedia.org/wiki/Entracque_Power_Plant" TargetMode="External"/><Relationship Id="rId472" Type="http://schemas.openxmlformats.org/officeDocument/2006/relationships/hyperlink" Target="https://en.wikipedia.org/wiki/Dietikon" TargetMode="External"/><Relationship Id="rId528" Type="http://schemas.openxmlformats.org/officeDocument/2006/relationships/hyperlink" Target="https://en.wikipedia.org/wiki/K%C3%BChtai" TargetMode="External"/><Relationship Id="rId735" Type="http://schemas.openxmlformats.org/officeDocument/2006/relationships/hyperlink" Target="https://tools.wmflabs.org/os/coor_g/?pagename=List_of_power_stations_in_Scotland&amp;params=NM832141_region%3AGB_scale%3A25000" TargetMode="External"/><Relationship Id="rId125" Type="http://schemas.openxmlformats.org/officeDocument/2006/relationships/hyperlink" Target="https://tools.wmflabs.org/geohack/geohack.php?pagename=List_of_power_stations_in_Germany&amp;params=48.4413727_N_11.9928968_E_&amp;title=Pfrombach+Power+Station" TargetMode="External"/><Relationship Id="rId167" Type="http://schemas.openxmlformats.org/officeDocument/2006/relationships/hyperlink" Target="https://tools.wmflabs.org/geohack/geohack.php?pagename=List_of_power_stations_in_Germany&amp;params=51.411363_N_7.4541378_E_&amp;title=Koepchenwerk+Pumped+Storage+Station" TargetMode="External"/><Relationship Id="rId332" Type="http://schemas.openxmlformats.org/officeDocument/2006/relationships/hyperlink" Target="https://en.wikipedia.org/wiki/List_of_power_stations_in_Poland" TargetMode="External"/><Relationship Id="rId374" Type="http://schemas.openxmlformats.org/officeDocument/2006/relationships/hyperlink" Target="https://en.wikipedia.org/wiki/Bicaz-Stejaru_Hydroelectric_Power_Station" TargetMode="External"/><Relationship Id="rId581" Type="http://schemas.openxmlformats.org/officeDocument/2006/relationships/hyperlink" Target="https://en.wikipedia.org/wiki/Falls_of_Foyers" TargetMode="External"/><Relationship Id="rId777" Type="http://schemas.openxmlformats.org/officeDocument/2006/relationships/hyperlink" Target="https://en.wikipedia.org/wiki/Breadalbane_hydro-electric_power_scheme" TargetMode="External"/><Relationship Id="rId71" Type="http://schemas.openxmlformats.org/officeDocument/2006/relationships/hyperlink" Target="https://tools.wmflabs.org/geohack/geohack.php?pagename=List_of_power_stations_in_the_Czech_Republic&amp;params=50.084298_N_17.1810293_E_type:landmark&amp;title=Dlouh%C3%A9+Str%C3%A1n%C4%9B+Hydro+Power+Plant" TargetMode="External"/><Relationship Id="rId234" Type="http://schemas.openxmlformats.org/officeDocument/2006/relationships/hyperlink" Target="https://en.wikipedia.org/wiki/County_Donegal" TargetMode="External"/><Relationship Id="rId637" Type="http://schemas.openxmlformats.org/officeDocument/2006/relationships/hyperlink" Target="https://en.wikipedia.org/wiki/List_of_power_stations_in_Scotland" TargetMode="External"/><Relationship Id="rId679" Type="http://schemas.openxmlformats.org/officeDocument/2006/relationships/hyperlink" Target="https://en.wikipedia.org/wiki/British_Aluminium_Company" TargetMode="External"/><Relationship Id="rId802" Type="http://schemas.openxmlformats.org/officeDocument/2006/relationships/hyperlink" Target="https://en.wikipedia.org/wiki/List_of_power_stations_in_Scotland" TargetMode="External"/><Relationship Id="rId844" Type="http://schemas.openxmlformats.org/officeDocument/2006/relationships/hyperlink" Target="https://en.wikipedia.org/wiki/List_of_power_stations_in_Scotland" TargetMode="External"/><Relationship Id="rId2" Type="http://schemas.openxmlformats.org/officeDocument/2006/relationships/hyperlink" Target="https://en.wikipedia.org/wiki/Stavelot" TargetMode="External"/><Relationship Id="rId29" Type="http://schemas.openxmlformats.org/officeDocument/2006/relationships/hyperlink" Target="https://en.wikipedia.org/w/index.php?title=Aleko_Konstantinovo&amp;action=edit&amp;redlink=1" TargetMode="External"/><Relationship Id="rId276" Type="http://schemas.openxmlformats.org/officeDocument/2006/relationships/hyperlink" Target="https://en.wikipedia.org/wiki/Enel" TargetMode="External"/><Relationship Id="rId441" Type="http://schemas.openxmlformats.org/officeDocument/2006/relationships/hyperlink" Target="https://en.wikipedia.org/wiki/G%C3%B6taland" TargetMode="External"/><Relationship Id="rId483" Type="http://schemas.openxmlformats.org/officeDocument/2006/relationships/hyperlink" Target="https://en.wikipedia.org/wiki/Guttannen" TargetMode="External"/><Relationship Id="rId539" Type="http://schemas.openxmlformats.org/officeDocument/2006/relationships/hyperlink" Target="https://tools.wmflabs.org/geohack/geohack.php?pagename=List_of_power_stations_in_England&amp;params=52_55_8.043_N_1_13_41.043_W_&amp;title=%22Beeston%22" TargetMode="External"/><Relationship Id="rId690" Type="http://schemas.openxmlformats.org/officeDocument/2006/relationships/hyperlink" Target="https://tools.wmflabs.org/os/coor_g/?pagename=List_of_power_stations_in_Scotland&amp;params=NH170004_region%3AGB_scale%3A25000" TargetMode="External"/><Relationship Id="rId704" Type="http://schemas.openxmlformats.org/officeDocument/2006/relationships/hyperlink" Target="https://en.wikipedia.org/wiki/Scottish_Power" TargetMode="External"/><Relationship Id="rId746" Type="http://schemas.openxmlformats.org/officeDocument/2006/relationships/hyperlink" Target="https://en.wikipedia.org/wiki/List_of_power_stations_in_Scotland" TargetMode="External"/><Relationship Id="rId40" Type="http://schemas.openxmlformats.org/officeDocument/2006/relationships/hyperlink" Target="https://en.wikipedia.org/wiki/Devin,_Bulgaria" TargetMode="External"/><Relationship Id="rId136" Type="http://schemas.openxmlformats.org/officeDocument/2006/relationships/hyperlink" Target="https://en.wikipedia.org/w/index.php?title=Wyhlen_Dam&amp;action=edit&amp;redlink=1" TargetMode="External"/><Relationship Id="rId178" Type="http://schemas.openxmlformats.org/officeDocument/2006/relationships/hyperlink" Target="https://en.wikipedia.org/w/index.php?title=Oder_Valley_Dam&amp;action=edit&amp;redlink=1" TargetMode="External"/><Relationship Id="rId301" Type="http://schemas.openxmlformats.org/officeDocument/2006/relationships/hyperlink" Target="https://en.wikipedia.org/wiki/Enel" TargetMode="External"/><Relationship Id="rId343" Type="http://schemas.openxmlformats.org/officeDocument/2006/relationships/hyperlink" Target="https://en.wikipedia.org/wiki/Bemposta_Dam" TargetMode="External"/><Relationship Id="rId550" Type="http://schemas.openxmlformats.org/officeDocument/2006/relationships/hyperlink" Target="https://tools.wmflabs.org/geohack/geohack.php?pagename=List_of_power_stations_in_England&amp;params=51_6_23.2_N_2_28_0.91_W_&amp;title=%22Gants+Mill%22" TargetMode="External"/><Relationship Id="rId788" Type="http://schemas.openxmlformats.org/officeDocument/2006/relationships/hyperlink" Target="https://en.wikipedia.org/wiki/List_of_power_stations_in_Scotland" TargetMode="External"/><Relationship Id="rId82" Type="http://schemas.openxmlformats.org/officeDocument/2006/relationships/hyperlink" Target="https://en.wikipedia.org/wiki/Lipno_Hydro_Power_Plant" TargetMode="External"/><Relationship Id="rId203" Type="http://schemas.openxmlformats.org/officeDocument/2006/relationships/hyperlink" Target="https://tools.wmflabs.org/geohack/geohack.php?pagename=List_of_power_stations_in_Germany&amp;params=51.7390151_N_10.9072566_E_&amp;title=Wendefurth+Pumped+Storage+Station" TargetMode="External"/><Relationship Id="rId385" Type="http://schemas.openxmlformats.org/officeDocument/2006/relationships/hyperlink" Target="https://en.wikipedia.org/wiki/Iron_Gate_II_Hydroelectric_Power_Station" TargetMode="External"/><Relationship Id="rId592" Type="http://schemas.openxmlformats.org/officeDocument/2006/relationships/hyperlink" Target="https://en.wikipedia.org/wiki/List_of_power_stations_in_Scotland" TargetMode="External"/><Relationship Id="rId606" Type="http://schemas.openxmlformats.org/officeDocument/2006/relationships/hyperlink" Target="https://en.wikipedia.org/wiki/List_of_power_stations_in_Scotland" TargetMode="External"/><Relationship Id="rId648" Type="http://schemas.openxmlformats.org/officeDocument/2006/relationships/hyperlink" Target="https://en.wikipedia.org/wiki/List_of_power_stations_in_Scotland" TargetMode="External"/><Relationship Id="rId813" Type="http://schemas.openxmlformats.org/officeDocument/2006/relationships/hyperlink" Target="https://en.wikipedia.org/wiki/Scottish_and_Southern_Energy" TargetMode="External"/><Relationship Id="rId855" Type="http://schemas.openxmlformats.org/officeDocument/2006/relationships/hyperlink" Target="https://en.wikipedia.org/wiki/List_of_power_stations_in_Scotland" TargetMode="External"/><Relationship Id="rId245" Type="http://schemas.openxmlformats.org/officeDocument/2006/relationships/hyperlink" Target="https://en.wikipedia.org/wiki/Turlough_Hill" TargetMode="External"/><Relationship Id="rId287" Type="http://schemas.openxmlformats.org/officeDocument/2006/relationships/hyperlink" Target="https://en.wikipedia.org/wiki/Enel" TargetMode="External"/><Relationship Id="rId410" Type="http://schemas.openxmlformats.org/officeDocument/2006/relationships/hyperlink" Target="https://en.wikipedia.org/w/index.php?title=Nosice_Hydro_Power_Plant&amp;action=edit&amp;redlink=1" TargetMode="External"/><Relationship Id="rId452" Type="http://schemas.openxmlformats.org/officeDocument/2006/relationships/hyperlink" Target="https://en.wikipedia.org/wiki/Lule_River" TargetMode="External"/><Relationship Id="rId494" Type="http://schemas.openxmlformats.org/officeDocument/2006/relationships/hyperlink" Target="https://en.wikipedia.org/wiki/Linth%E2%80%93Limmern_Power_Stations" TargetMode="External"/><Relationship Id="rId508" Type="http://schemas.openxmlformats.org/officeDocument/2006/relationships/hyperlink" Target="https://tools.wmflabs.org/geohack/geohack.php?pagename=List_of_power_stations_in_Switzerland&amp;params=47.052696_N_8.248102_E_type:landmark_region:CH&amp;title=Schiffm%C3%BChle+Power+Station" TargetMode="External"/><Relationship Id="rId715" Type="http://schemas.openxmlformats.org/officeDocument/2006/relationships/hyperlink" Target="https://en.wikipedia.org/wiki/Loch_Sloy_Hydro-Electric_Scheme" TargetMode="External"/><Relationship Id="rId105" Type="http://schemas.openxmlformats.org/officeDocument/2006/relationships/hyperlink" Target="https://tools.wmflabs.org/geohack/geohack.php?pagename=List_of_power_stations_in_Germany&amp;params=48.3589581_N_11.8827975_E_&amp;title=Eitting+Power+Station" TargetMode="External"/><Relationship Id="rId147" Type="http://schemas.openxmlformats.org/officeDocument/2006/relationships/hyperlink" Target="https://tools.wmflabs.org/geohack/geohack.php?pagename=List_of_power_stations_in_Germany&amp;params=50.5252824_N_11.7150521_E_&amp;title=Bleiloch+Pumped+Storage+Station" TargetMode="External"/><Relationship Id="rId312" Type="http://schemas.openxmlformats.org/officeDocument/2006/relationships/hyperlink" Target="https://en.wikipedia.org/wiki/P%C4%BCavi%C5%86as_Hydroelectric_Power_Station" TargetMode="External"/><Relationship Id="rId354" Type="http://schemas.openxmlformats.org/officeDocument/2006/relationships/hyperlink" Target="https://tools.wmflabs.org/geohack/geohack.php?pagename=List_of_power_stations_in_Portugal&amp;params=41.070882_N_8.485744_W_type:landmark&amp;title=Crestuma+-+Lever+Dam" TargetMode="External"/><Relationship Id="rId757" Type="http://schemas.openxmlformats.org/officeDocument/2006/relationships/hyperlink" Target="https://en.wikipedia.org/wiki/Alcan" TargetMode="External"/><Relationship Id="rId799" Type="http://schemas.openxmlformats.org/officeDocument/2006/relationships/hyperlink" Target="https://en.wikipedia.org/wiki/List_of_power_stations_in_Scotland" TargetMode="External"/><Relationship Id="rId51" Type="http://schemas.openxmlformats.org/officeDocument/2006/relationships/hyperlink" Target="https://tools.wmflabs.org/geohack/geohack.php?pagename=List_of_power_stations_in_Bulgaria&amp;params=42.231944_N_23.949444_E_&amp;title=Momina+Klisura+Hydroelectric+Power+Station" TargetMode="External"/><Relationship Id="rId93" Type="http://schemas.openxmlformats.org/officeDocument/2006/relationships/hyperlink" Target="https://tools.wmflabs.org/geohack/geohack.php?pagename=List_of_power_stations_in_Germany&amp;params=47.5577658_N_7.956714_E_&amp;title=Bad+S%C3%A4ckingen+Power+Station" TargetMode="External"/><Relationship Id="rId189" Type="http://schemas.openxmlformats.org/officeDocument/2006/relationships/hyperlink" Target="https://tools.wmflabs.org/geohack/geohack.php?pagename=List_of_power_stations_in_Germany&amp;params=48.8592093_N_13.0070293_E_&amp;title=Rusel+Power+Plant" TargetMode="External"/><Relationship Id="rId396" Type="http://schemas.openxmlformats.org/officeDocument/2006/relationships/hyperlink" Target="https://en.wikipedia.org/wiki/Tismana_Hydroelectric_Power_Station" TargetMode="External"/><Relationship Id="rId561" Type="http://schemas.openxmlformats.org/officeDocument/2006/relationships/hyperlink" Target="https://en.wikipedia.org/wiki/Dinorwig_Power_Station" TargetMode="External"/><Relationship Id="rId617" Type="http://schemas.openxmlformats.org/officeDocument/2006/relationships/hyperlink" Target="https://en.wikipedia.org/wiki/Scottish_and_Southern_Energy" TargetMode="External"/><Relationship Id="rId659" Type="http://schemas.openxmlformats.org/officeDocument/2006/relationships/hyperlink" Target="https://en.wikipedia.org/wiki/List_of_power_stations_in_Scotland" TargetMode="External"/><Relationship Id="rId824" Type="http://schemas.openxmlformats.org/officeDocument/2006/relationships/hyperlink" Target="https://en.wikipedia.org/wiki/Loch_Sloy_Hydro-Electric_Scheme" TargetMode="External"/><Relationship Id="rId866" Type="http://schemas.openxmlformats.org/officeDocument/2006/relationships/hyperlink" Target="https://en.wikipedia.org/wiki/Pumped-storage_hydroelectricity" TargetMode="External"/><Relationship Id="rId214" Type="http://schemas.openxmlformats.org/officeDocument/2006/relationships/hyperlink" Target="https://tools.wmflabs.org/geohack/geohack.php?pagename=List_of_power_stations_in_Greece&amp;params=39.235556_N_21.746389_E_&amp;title=Plastiras+Hydroelectric+Dam" TargetMode="External"/><Relationship Id="rId256" Type="http://schemas.openxmlformats.org/officeDocument/2006/relationships/hyperlink" Target="https://en.wikipedia.org/wiki/Edolo_Pumped_Storage_Plant" TargetMode="External"/><Relationship Id="rId298" Type="http://schemas.openxmlformats.org/officeDocument/2006/relationships/hyperlink" Target="https://en.wikipedia.org/wiki/Enel" TargetMode="External"/><Relationship Id="rId421" Type="http://schemas.openxmlformats.org/officeDocument/2006/relationships/hyperlink" Target="https://en.wikipedia.org/wiki/Zlatoli%C4%8Dje" TargetMode="External"/><Relationship Id="rId463" Type="http://schemas.openxmlformats.org/officeDocument/2006/relationships/hyperlink" Target="https://tools.wmflabs.org/geohack/geohack.php?pagename=List_of_power_stations_in_Sweden&amp;params=63.3244_N_16.4542_E_region:SE_type:landmark&amp;title=Kilforsen" TargetMode="External"/><Relationship Id="rId519" Type="http://schemas.openxmlformats.org/officeDocument/2006/relationships/hyperlink" Target="https://en.wikipedia.org/wiki/List_of_power_stations_in_Austria" TargetMode="External"/><Relationship Id="rId670" Type="http://schemas.openxmlformats.org/officeDocument/2006/relationships/hyperlink" Target="https://tools.wmflabs.org/os/coor_g/?pagename=List_of_power_stations_in_Scotland&amp;params=NN772593_region%3AGB_scale%3A25000" TargetMode="External"/><Relationship Id="rId116" Type="http://schemas.openxmlformats.org/officeDocument/2006/relationships/hyperlink" Target="https://en.wikipedia.org/w/index.php?title=Koblenz_Power_Station&amp;action=edit&amp;redlink=1" TargetMode="External"/><Relationship Id="rId158" Type="http://schemas.openxmlformats.org/officeDocument/2006/relationships/hyperlink" Target="https://en.wikipedia.org/w/index.php?title=Happurg_Pumped_Storage_Station&amp;action=edit&amp;redlink=1" TargetMode="External"/><Relationship Id="rId323" Type="http://schemas.openxmlformats.org/officeDocument/2006/relationships/hyperlink" Target="https://en.wikipedia.org/wiki/NV._Nuon" TargetMode="External"/><Relationship Id="rId530" Type="http://schemas.openxmlformats.org/officeDocument/2006/relationships/hyperlink" Target="https://en.wikipedia.org/wiki/Run-of-the-river" TargetMode="External"/><Relationship Id="rId726" Type="http://schemas.openxmlformats.org/officeDocument/2006/relationships/hyperlink" Target="https://en.wikipedia.org/wiki/List_of_power_stations_in_Scotland" TargetMode="External"/><Relationship Id="rId768" Type="http://schemas.openxmlformats.org/officeDocument/2006/relationships/hyperlink" Target="https://en.wikipedia.org/wiki/Rio_Tinto_Alcan" TargetMode="External"/><Relationship Id="rId20" Type="http://schemas.openxmlformats.org/officeDocument/2006/relationships/hyperlink" Target="https://en.wikipedia.org/wiki/Li%C3%A8ge" TargetMode="External"/><Relationship Id="rId62" Type="http://schemas.openxmlformats.org/officeDocument/2006/relationships/hyperlink" Target="https://en.wikipedia.org/wiki/Tsankov_Kamak_Hydro_Power_Plant" TargetMode="External"/><Relationship Id="rId365" Type="http://schemas.openxmlformats.org/officeDocument/2006/relationships/hyperlink" Target="https://en.wikipedia.org/wiki/Salamonde_Dam" TargetMode="External"/><Relationship Id="rId572" Type="http://schemas.openxmlformats.org/officeDocument/2006/relationships/hyperlink" Target="https://en.wikipedia.org/wiki/Swansea_Bay_barrage" TargetMode="External"/><Relationship Id="rId628" Type="http://schemas.openxmlformats.org/officeDocument/2006/relationships/hyperlink" Target="https://tools.wmflabs.org/os/coor_g/?pagename=List_of_power_stations_in_Scotland&amp;params=NB059091_region%3AGB_scale%3A25000" TargetMode="External"/><Relationship Id="rId835" Type="http://schemas.openxmlformats.org/officeDocument/2006/relationships/hyperlink" Target="https://en.wikipedia.org/wiki/RWE_npower_Renewables" TargetMode="External"/><Relationship Id="rId225" Type="http://schemas.openxmlformats.org/officeDocument/2006/relationships/hyperlink" Target="https://en.wikipedia.org/wiki/County_Kilkenny" TargetMode="External"/><Relationship Id="rId267" Type="http://schemas.openxmlformats.org/officeDocument/2006/relationships/hyperlink" Target="https://en.wikipedia.org/wiki/Enel" TargetMode="External"/><Relationship Id="rId432" Type="http://schemas.openxmlformats.org/officeDocument/2006/relationships/hyperlink" Target="https://en.wikipedia.org/wiki/So%C4%8Da" TargetMode="External"/><Relationship Id="rId474" Type="http://schemas.openxmlformats.org/officeDocument/2006/relationships/hyperlink" Target="https://en.wikipedia.org/wiki/Altendorf,_Schwyz" TargetMode="External"/><Relationship Id="rId877" Type="http://schemas.openxmlformats.org/officeDocument/2006/relationships/comments" Target="../comments1.xml"/><Relationship Id="rId127" Type="http://schemas.openxmlformats.org/officeDocument/2006/relationships/hyperlink" Target="https://tools.wmflabs.org/geohack/geohack.php?pagename=List_of_power_stations_in_Germany&amp;params=47.5700403_N_7.8126848_E_&amp;title=Rheinfelden+Power+Station" TargetMode="External"/><Relationship Id="rId681" Type="http://schemas.openxmlformats.org/officeDocument/2006/relationships/hyperlink" Target="https://en.wikipedia.org/wiki/List_of_power_stations_in_Scotland" TargetMode="External"/><Relationship Id="rId737" Type="http://schemas.openxmlformats.org/officeDocument/2006/relationships/hyperlink" Target="https://en.wikipedia.org/wiki/Scottish_and_Southern_Energy" TargetMode="External"/><Relationship Id="rId779" Type="http://schemas.openxmlformats.org/officeDocument/2006/relationships/hyperlink" Target="https://en.wikipedia.org/wiki/List_of_power_stations_in_Scotland" TargetMode="External"/><Relationship Id="rId31" Type="http://schemas.openxmlformats.org/officeDocument/2006/relationships/hyperlink" Target="https://en.wikipedia.org/w/index.php?title=Batak_Hydro_Power_Plant&amp;action=edit&amp;redlink=1" TargetMode="External"/><Relationship Id="rId73" Type="http://schemas.openxmlformats.org/officeDocument/2006/relationships/hyperlink" Target="https://en.wikipedia.org/wiki/Dale%C5%A1ice_Hydro_Power_Plant" TargetMode="External"/><Relationship Id="rId169" Type="http://schemas.openxmlformats.org/officeDocument/2006/relationships/hyperlink" Target="https://tools.wmflabs.org/geohack/geohack.php?pagename=List_of_power_stations_in_Germany&amp;params=50.0531314_N_9.5813522_E_&amp;title=Langenprozelten+Pumped+Storage+Station" TargetMode="External"/><Relationship Id="rId334" Type="http://schemas.openxmlformats.org/officeDocument/2006/relationships/hyperlink" Target="https://en.wikipedia.org/wiki/List_of_power_stations_in_Poland" TargetMode="External"/><Relationship Id="rId376" Type="http://schemas.openxmlformats.org/officeDocument/2006/relationships/hyperlink" Target="https://en.wikipedia.org/wiki/List_of_power_stations_in_Romania" TargetMode="External"/><Relationship Id="rId541" Type="http://schemas.openxmlformats.org/officeDocument/2006/relationships/hyperlink" Target="https://en.wikipedia.org/w/index.php?title=Bippulph_Park&amp;action=edit&amp;redlink=1" TargetMode="External"/><Relationship Id="rId583" Type="http://schemas.openxmlformats.org/officeDocument/2006/relationships/hyperlink" Target="https://en.wikipedia.org/wiki/List_of_power_stations_in_Scotland" TargetMode="External"/><Relationship Id="rId639" Type="http://schemas.openxmlformats.org/officeDocument/2006/relationships/hyperlink" Target="https://en.wikipedia.org/wiki/Tummel_hydro-electric_power_scheme" TargetMode="External"/><Relationship Id="rId790" Type="http://schemas.openxmlformats.org/officeDocument/2006/relationships/hyperlink" Target="https://tools.wmflabs.org/os/coor_g/?pagename=List_of_power_stations_in_Scotland&amp;params=NH330633_region%3AGB_scale%3A25000" TargetMode="External"/><Relationship Id="rId804" Type="http://schemas.openxmlformats.org/officeDocument/2006/relationships/hyperlink" Target="https://tools.wmflabs.org/os/coor_g/?pagename=List_of_power_stations_in_Scotland&amp;params=NH436545_region%3AGB_scale%3A25000" TargetMode="External"/><Relationship Id="rId4" Type="http://schemas.openxmlformats.org/officeDocument/2006/relationships/hyperlink" Target="https://en.wikipedia.org/wiki/Lake_Eau_d%27Heure" TargetMode="External"/><Relationship Id="rId180" Type="http://schemas.openxmlformats.org/officeDocument/2006/relationships/hyperlink" Target="https://en.wikipedia.org/w/index.php?title=Ortenberg-Lissberg_Pumped_Storage_Station&amp;action=edit&amp;redlink=1" TargetMode="External"/><Relationship Id="rId236" Type="http://schemas.openxmlformats.org/officeDocument/2006/relationships/hyperlink" Target="https://en.wikipedia.org/wiki/County_Tipperary" TargetMode="External"/><Relationship Id="rId278" Type="http://schemas.openxmlformats.org/officeDocument/2006/relationships/hyperlink" Target="https://en.wikipedia.org/wiki/Enel" TargetMode="External"/><Relationship Id="rId401" Type="http://schemas.openxmlformats.org/officeDocument/2006/relationships/hyperlink" Target="https://tools.wmflabs.org/geohack/geohack.php?pagename=List_of_power_stations_in_Slovakia&amp;params=49.0087904_N_19.9122369_E_type:landmark&amp;title=%C4%8Cierny+V%C3%A1h+Hydro+Power+Plant" TargetMode="External"/><Relationship Id="rId443" Type="http://schemas.openxmlformats.org/officeDocument/2006/relationships/hyperlink" Target="https://en.wikipedia.org/wiki/List_of_power_stations_in_Sweden" TargetMode="External"/><Relationship Id="rId650" Type="http://schemas.openxmlformats.org/officeDocument/2006/relationships/hyperlink" Target="https://en.wikipedia.org/wiki/Breadalbane_hydro-electric_power_scheme" TargetMode="External"/><Relationship Id="rId846" Type="http://schemas.openxmlformats.org/officeDocument/2006/relationships/hyperlink" Target="https://en.wikipedia.org/wiki/Loch_Sloy_Hydro-Electric_Scheme" TargetMode="External"/><Relationship Id="rId303" Type="http://schemas.openxmlformats.org/officeDocument/2006/relationships/hyperlink" Target="https://en.wikipedia.org/wiki/Enel" TargetMode="External"/><Relationship Id="rId485" Type="http://schemas.openxmlformats.org/officeDocument/2006/relationships/hyperlink" Target="https://en.wikipedia.org/wiki/Zurich" TargetMode="External"/><Relationship Id="rId692" Type="http://schemas.openxmlformats.org/officeDocument/2006/relationships/hyperlink" Target="https://en.wikipedia.org/wiki/Scottish_and_Southern_Energy" TargetMode="External"/><Relationship Id="rId706" Type="http://schemas.openxmlformats.org/officeDocument/2006/relationships/hyperlink" Target="https://tools.wmflabs.org/os/coor_g/?pagename=List_of_power_stations_in_Scotland&amp;params=NX606805_region%3AGB_scale%3A25000" TargetMode="External"/><Relationship Id="rId748" Type="http://schemas.openxmlformats.org/officeDocument/2006/relationships/hyperlink" Target="https://tools.wmflabs.org/os/coor_g/?pagename=List_of_power_stations_in_Scotland&amp;params=NC575069_region%3AGB_scale%3A25000" TargetMode="External"/><Relationship Id="rId42" Type="http://schemas.openxmlformats.org/officeDocument/2006/relationships/hyperlink" Target="https://en.wikipedia.org/wiki/Gorna_Arda_Hydro_Power_Plant" TargetMode="External"/><Relationship Id="rId84" Type="http://schemas.openxmlformats.org/officeDocument/2006/relationships/hyperlink" Target="https://tools.wmflabs.org/geohack/geohack.php?pagename=List_of_power_stations_in_the_Czech_Republic&amp;params=48.6329937_N_14.2399335_E_type:landmark&amp;title=Lipno+Hydro+Power+Plant" TargetMode="External"/><Relationship Id="rId138" Type="http://schemas.openxmlformats.org/officeDocument/2006/relationships/hyperlink" Target="https://en.wikipedia.org/w/index.php?title=Sch%C3%A4rding-Neuhaus_Power_Station&amp;action=edit&amp;redlink=1" TargetMode="External"/><Relationship Id="rId345" Type="http://schemas.openxmlformats.org/officeDocument/2006/relationships/hyperlink" Target="https://tools.wmflabs.org/geohack/geohack.php?pagename=List_of_power_stations_in_Portugal&amp;params=41.300991_N_6.470025_W_type:landmark&amp;title=Bemposta+Dam" TargetMode="External"/><Relationship Id="rId387" Type="http://schemas.openxmlformats.org/officeDocument/2006/relationships/hyperlink" Target="https://en.wikipedia.org/wiki/Reme%C5%A3i_Hydroelectric_Power_Station" TargetMode="External"/><Relationship Id="rId510" Type="http://schemas.openxmlformats.org/officeDocument/2006/relationships/hyperlink" Target="https://en.wikipedia.org/wiki/Verzasca_Hydroelectric_Power_Station" TargetMode="External"/><Relationship Id="rId552" Type="http://schemas.openxmlformats.org/officeDocument/2006/relationships/hyperlink" Target="https://en.wikipedia.org/w/index.php?title=Guildford_Mill&amp;action=edit&amp;redlink=1" TargetMode="External"/><Relationship Id="rId594" Type="http://schemas.openxmlformats.org/officeDocument/2006/relationships/hyperlink" Target="https://en.wikipedia.org/wiki/Loch_Sloy_Hydro-Electric_Scheme" TargetMode="External"/><Relationship Id="rId608" Type="http://schemas.openxmlformats.org/officeDocument/2006/relationships/hyperlink" Target="https://tools.wmflabs.org/os/coor_g/?pagename=List_of_power_stations_in_Scotland&amp;params=NM958073_region%3AGB_scale%3A25000" TargetMode="External"/><Relationship Id="rId815" Type="http://schemas.openxmlformats.org/officeDocument/2006/relationships/hyperlink" Target="https://tools.wmflabs.org/os/coor_g/?pagename=List_of_power_stations_in_Scotland&amp;params=NN529582_region%3AGB_scale%3A25000" TargetMode="External"/><Relationship Id="rId191" Type="http://schemas.openxmlformats.org/officeDocument/2006/relationships/hyperlink" Target="https://tools.wmflabs.org/geohack/geohack.php?pagename=List_of_power_stations_in_Germany&amp;params=47.5656065_N_7.9536295_E_&amp;title=S%C3%A4ckingen+Pumped+Storage+Station" TargetMode="External"/><Relationship Id="rId205" Type="http://schemas.openxmlformats.org/officeDocument/2006/relationships/hyperlink" Target="https://tools.wmflabs.org/geohack/geohack.php?pagename=List_of_power_stations_in_Germany&amp;params=50.5763182_N_11.7171872_E_&amp;title=Wisenta+Pumped+Storage+Station" TargetMode="External"/><Relationship Id="rId247" Type="http://schemas.openxmlformats.org/officeDocument/2006/relationships/hyperlink" Target="https://en.wikipedia.org/wiki/A2A" TargetMode="External"/><Relationship Id="rId412" Type="http://schemas.openxmlformats.org/officeDocument/2006/relationships/hyperlink" Target="https://en.wikipedia.org/w/index.php?title=Pova%C5%BEsk%C3%A1_Bystrica_Hydro_Power_Plant&amp;action=edit&amp;redlink=1" TargetMode="External"/><Relationship Id="rId857" Type="http://schemas.openxmlformats.org/officeDocument/2006/relationships/hyperlink" Target="https://en.wikipedia.org/wiki/Tummel_hydro-electric_power_scheme" TargetMode="External"/><Relationship Id="rId107" Type="http://schemas.openxmlformats.org/officeDocument/2006/relationships/hyperlink" Target="https://tools.wmflabs.org/geohack/geohack.php?pagename=List_of_power_stations_in_Germany&amp;params=50.124044_N_7.227222_E_&amp;title=Eitting+Power+Station" TargetMode="External"/><Relationship Id="rId289" Type="http://schemas.openxmlformats.org/officeDocument/2006/relationships/hyperlink" Target="https://en.wikipedia.org/wiki/Enel" TargetMode="External"/><Relationship Id="rId454" Type="http://schemas.openxmlformats.org/officeDocument/2006/relationships/hyperlink" Target="https://tools.wmflabs.org/geohack/geohack.php?pagename=List_of_power_stations_in_Sweden&amp;params=66.885_N_19.8148_E_region:SE_type:landmark&amp;title=Harspr%C3%A5nget+Hydroelectric+power+station" TargetMode="External"/><Relationship Id="rId496" Type="http://schemas.openxmlformats.org/officeDocument/2006/relationships/hyperlink" Target="https://en.wikipedia.org/wiki/Mauvoisin_Dam" TargetMode="External"/><Relationship Id="rId661" Type="http://schemas.openxmlformats.org/officeDocument/2006/relationships/hyperlink" Target="https://en.wikipedia.org/wiki/Galloway_hydro-electric_power_scheme" TargetMode="External"/><Relationship Id="rId717" Type="http://schemas.openxmlformats.org/officeDocument/2006/relationships/hyperlink" Target="https://en.wikipedia.org/wiki/List_of_power_stations_in_Scotland" TargetMode="External"/><Relationship Id="rId759" Type="http://schemas.openxmlformats.org/officeDocument/2006/relationships/hyperlink" Target="https://en.wikipedia.org/wiki/List_of_power_stations_in_Scotland" TargetMode="External"/><Relationship Id="rId11" Type="http://schemas.openxmlformats.org/officeDocument/2006/relationships/hyperlink" Target="https://tools.wmflabs.org/geohack/geohack.php?pagename=List_of_power_stations_in_Belgium&amp;params=50.456188_N_5.717836_E_type:landmark&amp;title=Heid-de-Goreux%2C+Electrabel%2C+hydroelectric" TargetMode="External"/><Relationship Id="rId53" Type="http://schemas.openxmlformats.org/officeDocument/2006/relationships/hyperlink" Target="https://tools.wmflabs.org/geohack/geohack.php?pagename=List_of_power_stations_in_Bulgaria&amp;params=41.9403077_N_24.4467902_E_&amp;title=Orphey+Hydroelectric+Power+Station" TargetMode="External"/><Relationship Id="rId149" Type="http://schemas.openxmlformats.org/officeDocument/2006/relationships/hyperlink" Target="https://tools.wmflabs.org/geohack/geohack.php?pagename=List_of_power_stations_in_Germany&amp;params=49.796274_N_6.8985558_E_&amp;title=Dhron+Valley+Dam" TargetMode="External"/><Relationship Id="rId314" Type="http://schemas.openxmlformats.org/officeDocument/2006/relationships/hyperlink" Target="https://tools.wmflabs.org/geohack/geohack.php?pagename=List_of_power_stations_in_Latvia&amp;params=56.5822027_N_25.2373123_E_&amp;title=P%C4%BCavi%C5%86as+Hydroelectric+Power+Station" TargetMode="External"/><Relationship Id="rId356" Type="http://schemas.openxmlformats.org/officeDocument/2006/relationships/hyperlink" Target="https://tools.wmflabs.org/geohack/geohack.php?pagename=List_of_power_stations_in_Portugal&amp;params=41.488600_N_6.265600_W_type:landmark&amp;title=Miranda+Dam" TargetMode="External"/><Relationship Id="rId398" Type="http://schemas.openxmlformats.org/officeDocument/2006/relationships/hyperlink" Target="https://tools.wmflabs.org/geohack/geohack.php?pagename=List_of_power_stations_in_Romania&amp;params=45.3667_N_24.6307_E_&amp;title=Vidraru+Hydroelectric+Power+Station" TargetMode="External"/><Relationship Id="rId521" Type="http://schemas.openxmlformats.org/officeDocument/2006/relationships/hyperlink" Target="https://en.wikipedia.org/wiki/Carinthia_(state)" TargetMode="External"/><Relationship Id="rId563" Type="http://schemas.openxmlformats.org/officeDocument/2006/relationships/hyperlink" Target="https://tools.wmflabs.org/geohack/geohack.php?pagename=List_of_power_stations_in_Wales&amp;params=53_7_7_N_4_6_50_W_&amp;title=Dinorwig+Power+Station" TargetMode="External"/><Relationship Id="rId619" Type="http://schemas.openxmlformats.org/officeDocument/2006/relationships/hyperlink" Target="https://tools.wmflabs.org/os/coor_g/?pagename=List_of_power_stations_in_Scotland&amp;params=NN507419_region%3AGB_scale%3A25000" TargetMode="External"/><Relationship Id="rId770" Type="http://schemas.openxmlformats.org/officeDocument/2006/relationships/hyperlink" Target="https://tools.wmflabs.org/os/coor_g/?pagename=List_of_power_stations_in_Scotland&amp;params=NN127751_region%3AGB_scale%3A25000" TargetMode="External"/><Relationship Id="rId95" Type="http://schemas.openxmlformats.org/officeDocument/2006/relationships/hyperlink" Target="https://tools.wmflabs.org/geohack/geohack.php?pagename=List_of_power_stations_in_Germany&amp;params=48.7507492_N_11.2729812_E_&amp;title=Bergheim+Power+Station" TargetMode="External"/><Relationship Id="rId160" Type="http://schemas.openxmlformats.org/officeDocument/2006/relationships/hyperlink" Target="https://en.wikipedia.org/w/index.php?title=H%C3%A4usern_Pumped_Storage_Station&amp;action=edit&amp;redlink=1" TargetMode="External"/><Relationship Id="rId216" Type="http://schemas.openxmlformats.org/officeDocument/2006/relationships/hyperlink" Target="https://tools.wmflabs.org/geohack/geohack.php?pagename=List_of_power_stations_in_Greece&amp;params=38.6758027_N_21.3258898_E_&amp;title=Stratos+Hydroelectric+Dam" TargetMode="External"/><Relationship Id="rId423" Type="http://schemas.openxmlformats.org/officeDocument/2006/relationships/hyperlink" Target="https://en.wikipedia.org/wiki/Markovci" TargetMode="External"/><Relationship Id="rId826" Type="http://schemas.openxmlformats.org/officeDocument/2006/relationships/hyperlink" Target="https://en.wikipedia.org/wiki/List_of_power_stations_in_Scotland" TargetMode="External"/><Relationship Id="rId868" Type="http://schemas.openxmlformats.org/officeDocument/2006/relationships/hyperlink" Target="https://en.wikipedia.org/wiki/Megawatt" TargetMode="External"/><Relationship Id="rId258" Type="http://schemas.openxmlformats.org/officeDocument/2006/relationships/hyperlink" Target="https://en.wikipedia.org/wiki/Enel" TargetMode="External"/><Relationship Id="rId465" Type="http://schemas.openxmlformats.org/officeDocument/2006/relationships/hyperlink" Target="https://en.wikipedia.org/wiki/Tr%C3%A4ngslet_Dam" TargetMode="External"/><Relationship Id="rId630" Type="http://schemas.openxmlformats.org/officeDocument/2006/relationships/hyperlink" Target="https://en.wikipedia.org/wiki/Scottish_and_Southern_Energy" TargetMode="External"/><Relationship Id="rId672" Type="http://schemas.openxmlformats.org/officeDocument/2006/relationships/hyperlink" Target="https://en.wikipedia.org/wiki/Scottish_and_Southern_Energy" TargetMode="External"/><Relationship Id="rId728" Type="http://schemas.openxmlformats.org/officeDocument/2006/relationships/hyperlink" Target="https://en.wikipedia.org/wiki/Galloway_hydro-electric_power_scheme" TargetMode="External"/><Relationship Id="rId22" Type="http://schemas.openxmlformats.org/officeDocument/2006/relationships/hyperlink" Target="https://en.wikipedia.org/wiki/Vis%C3%A9" TargetMode="External"/><Relationship Id="rId64" Type="http://schemas.openxmlformats.org/officeDocument/2006/relationships/hyperlink" Target="https://en.wikipedia.org/w/index.php?title=Vacha_Hydro_Power_Plant&amp;action=edit&amp;redlink=1" TargetMode="External"/><Relationship Id="rId118" Type="http://schemas.openxmlformats.org/officeDocument/2006/relationships/hyperlink" Target="https://en.wikipedia.org/w/index.php?title=Laufenburg_Power_Station&amp;action=edit&amp;redlink=1" TargetMode="External"/><Relationship Id="rId325" Type="http://schemas.openxmlformats.org/officeDocument/2006/relationships/hyperlink" Target="https://en.wikipedia.org/wiki/Amerongen" TargetMode="External"/><Relationship Id="rId367" Type="http://schemas.openxmlformats.org/officeDocument/2006/relationships/hyperlink" Target="https://tools.wmflabs.org/geohack/geohack.php?pagename=List_of_power_stations_in_Portugal&amp;params=41.690886_N_8.091744_W_type:landmark&amp;title=Salamonde+Dam" TargetMode="External"/><Relationship Id="rId532" Type="http://schemas.openxmlformats.org/officeDocument/2006/relationships/hyperlink" Target="https://en.wikipedia.org/wiki/Run-of-the-river" TargetMode="External"/><Relationship Id="rId574" Type="http://schemas.openxmlformats.org/officeDocument/2006/relationships/hyperlink" Target="https://tools.wmflabs.org/geohack/geohack.php?pagename=List_of_power_stations_in_Wales&amp;params=51_36_58_N_3_55_44_W_&amp;title=Swansea+Bay+barrage" TargetMode="External"/><Relationship Id="rId171" Type="http://schemas.openxmlformats.org/officeDocument/2006/relationships/hyperlink" Target="https://tools.wmflabs.org/geohack/geohack.php?pagename=List_of_power_stations_in_Germany&amp;params=47.8740619_N_11.8701214_E_&amp;title=Leitzach+Pumped+Storage+Station" TargetMode="External"/><Relationship Id="rId227" Type="http://schemas.openxmlformats.org/officeDocument/2006/relationships/hyperlink" Target="https://en.wikipedia.org/wiki/County_Cork" TargetMode="External"/><Relationship Id="rId781" Type="http://schemas.openxmlformats.org/officeDocument/2006/relationships/hyperlink" Target="https://tools.wmflabs.org/os/coor_g/?pagename=List_of_power_stations_in_Scotland&amp;params=NH394570_region%3AGB_scale%3A25000" TargetMode="External"/><Relationship Id="rId837" Type="http://schemas.openxmlformats.org/officeDocument/2006/relationships/hyperlink" Target="https://en.wikipedia.org/wiki/List_of_power_stations_in_Scotland" TargetMode="External"/><Relationship Id="rId269" Type="http://schemas.openxmlformats.org/officeDocument/2006/relationships/hyperlink" Target="https://en.wikipedia.org/wiki/Roncovalgrande_Hydroelectric_Plant" TargetMode="External"/><Relationship Id="rId434" Type="http://schemas.openxmlformats.org/officeDocument/2006/relationships/hyperlink" Target="https://en.wikipedia.org/wiki/So%C4%8Da" TargetMode="External"/><Relationship Id="rId476" Type="http://schemas.openxmlformats.org/officeDocument/2006/relationships/hyperlink" Target="https://en.wikipedia.org/wiki/Fionnay_Power_Station" TargetMode="External"/><Relationship Id="rId641" Type="http://schemas.openxmlformats.org/officeDocument/2006/relationships/hyperlink" Target="https://en.wikipedia.org/wiki/List_of_power_stations_in_Scotland" TargetMode="External"/><Relationship Id="rId683" Type="http://schemas.openxmlformats.org/officeDocument/2006/relationships/hyperlink" Target="https://en.wikipedia.org/wiki/Falls_of_Foyers" TargetMode="External"/><Relationship Id="rId739" Type="http://schemas.openxmlformats.org/officeDocument/2006/relationships/hyperlink" Target="https://tools.wmflabs.org/os/coor_g/?pagename=List_of_power_stations_in_Scotland&amp;params=NH494442_region%3AGB_scale%3A25000" TargetMode="External"/><Relationship Id="rId33" Type="http://schemas.openxmlformats.org/officeDocument/2006/relationships/hyperlink" Target="https://en.wikipedia.org/wiki/Belmeken_Hydro_Power_Plant" TargetMode="External"/><Relationship Id="rId129" Type="http://schemas.openxmlformats.org/officeDocument/2006/relationships/hyperlink" Target="https://tools.wmflabs.org/geohack/geohack.php?pagename=List_of_power_stations_in_Germany&amp;params=47.5868403_N_7.8338555_E_&amp;title=Ryburg-Schw%C3%B6rstadt+Power+Station" TargetMode="External"/><Relationship Id="rId280" Type="http://schemas.openxmlformats.org/officeDocument/2006/relationships/hyperlink" Target="https://en.wikipedia.org/wiki/Enel" TargetMode="External"/><Relationship Id="rId336" Type="http://schemas.openxmlformats.org/officeDocument/2006/relationships/hyperlink" Target="https://en.wikipedia.org/wiki/List_of_power_stations_in_Poland" TargetMode="External"/><Relationship Id="rId501" Type="http://schemas.openxmlformats.org/officeDocument/2006/relationships/hyperlink" Target="https://en.wikipedia.org/w/index.php?title=Ottenbach_Small_Hydro&amp;action=edit&amp;redlink=1" TargetMode="External"/><Relationship Id="rId543" Type="http://schemas.openxmlformats.org/officeDocument/2006/relationships/hyperlink" Target="https://tools.wmflabs.org/geohack/geohack.php?pagename=List_of_power_stations_in_England&amp;params=54_30_20.95_N_1_53_54.011_W_&amp;title=%22Brignall+Mill%22" TargetMode="External"/><Relationship Id="rId75" Type="http://schemas.openxmlformats.org/officeDocument/2006/relationships/hyperlink" Target="https://tools.wmflabs.org/geohack/geohack.php?pagename=List_of_power_stations_in_the_Czech_Republic&amp;params=49.1242473_N_16.1243677_E_type:landmark&amp;title=Dale%C5%A1ice+Hydro+Power+Plant" TargetMode="External"/><Relationship Id="rId140" Type="http://schemas.openxmlformats.org/officeDocument/2006/relationships/hyperlink" Target="https://en.wikipedia.org/wiki/Sylvenstein_Dam" TargetMode="External"/><Relationship Id="rId182" Type="http://schemas.openxmlformats.org/officeDocument/2006/relationships/hyperlink" Target="https://en.wikipedia.org/w/index.php?title=Reisach_Pumped_Storage_Station&amp;action=edit&amp;redlink=1" TargetMode="External"/><Relationship Id="rId378" Type="http://schemas.openxmlformats.org/officeDocument/2006/relationships/hyperlink" Target="https://en.wikipedia.org/wiki/Lotru-Ciunget_Hydroelectric_Power_Station" TargetMode="External"/><Relationship Id="rId403" Type="http://schemas.openxmlformats.org/officeDocument/2006/relationships/hyperlink" Target="https://tools.wmflabs.org/geohack/geohack.php?pagename=List_of_power_stations_in_Slovakia&amp;params=48.855574_N_20.3838444_E_type:landmark&amp;title=Dob%C5%A1in%C3%A1" TargetMode="External"/><Relationship Id="rId585" Type="http://schemas.openxmlformats.org/officeDocument/2006/relationships/hyperlink" Target="https://tools.wmflabs.org/os/coor_g/?pagename=List_of_power_stations_in_Scotland&amp;params=NH308619_region%3AGB_scale%3A25000" TargetMode="External"/><Relationship Id="rId750" Type="http://schemas.openxmlformats.org/officeDocument/2006/relationships/hyperlink" Target="https://en.wikipedia.org/wiki/Scottish_and_Southern_Energy" TargetMode="External"/><Relationship Id="rId792" Type="http://schemas.openxmlformats.org/officeDocument/2006/relationships/hyperlink" Target="https://en.wikipedia.org/wiki/Scottish_and_Southern_Energy" TargetMode="External"/><Relationship Id="rId806" Type="http://schemas.openxmlformats.org/officeDocument/2006/relationships/hyperlink" Target="https://en.wikipedia.org/wiki/Scottish_and_Southern_Energy" TargetMode="External"/><Relationship Id="rId848" Type="http://schemas.openxmlformats.org/officeDocument/2006/relationships/hyperlink" Target="https://en.wikipedia.org/wiki/List_of_power_stations_in_Scotland" TargetMode="External"/><Relationship Id="rId6" Type="http://schemas.openxmlformats.org/officeDocument/2006/relationships/hyperlink" Target="https://en.wikipedia.org/wiki/Malmedy" TargetMode="External"/><Relationship Id="rId238" Type="http://schemas.openxmlformats.org/officeDocument/2006/relationships/hyperlink" Target="https://en.wikipedia.org/wiki/Inniscarra_Dam" TargetMode="External"/><Relationship Id="rId445" Type="http://schemas.openxmlformats.org/officeDocument/2006/relationships/hyperlink" Target="https://en.wikipedia.org/w/index.php?title=Jukt%C3%A5n&amp;action=edit&amp;redlink=1" TargetMode="External"/><Relationship Id="rId487" Type="http://schemas.openxmlformats.org/officeDocument/2006/relationships/hyperlink" Target="https://en.wikipedia.org/wiki/Baden,_Switzerland" TargetMode="External"/><Relationship Id="rId610" Type="http://schemas.openxmlformats.org/officeDocument/2006/relationships/hyperlink" Target="https://en.wikipedia.org/wiki/RWE_npower_Renewables" TargetMode="External"/><Relationship Id="rId652" Type="http://schemas.openxmlformats.org/officeDocument/2006/relationships/hyperlink" Target="https://en.wikipedia.org/wiki/List_of_power_stations_in_Scotland" TargetMode="External"/><Relationship Id="rId694" Type="http://schemas.openxmlformats.org/officeDocument/2006/relationships/hyperlink" Target="https://tools.wmflabs.org/os/coor_g/?pagename=List_of_power_stations_in_Scotland&amp;params=NN464569_region%3AGB_scale%3A25000" TargetMode="External"/><Relationship Id="rId708" Type="http://schemas.openxmlformats.org/officeDocument/2006/relationships/hyperlink" Target="https://en.wikipedia.org/wiki/Scottish_and_Southern_Energy" TargetMode="External"/><Relationship Id="rId291" Type="http://schemas.openxmlformats.org/officeDocument/2006/relationships/hyperlink" Target="https://en.wikipedia.org/wiki/Edison_(company)" TargetMode="External"/><Relationship Id="rId305" Type="http://schemas.openxmlformats.org/officeDocument/2006/relationships/hyperlink" Target="https://en.wikipedia.org/wiki/Enel" TargetMode="External"/><Relationship Id="rId347" Type="http://schemas.openxmlformats.org/officeDocument/2006/relationships/hyperlink" Target="https://tools.wmflabs.org/geohack/geohack.php?pagename=List_of_power_stations_in_Portugal&amp;params=39.917270_N_8.132440_W_type:landmark&amp;title=Cabril+Dam" TargetMode="External"/><Relationship Id="rId512" Type="http://schemas.openxmlformats.org/officeDocument/2006/relationships/hyperlink" Target="https://en.wikipedia.org/wiki/Wettingen" TargetMode="External"/><Relationship Id="rId44" Type="http://schemas.openxmlformats.org/officeDocument/2006/relationships/hyperlink" Target="https://tools.wmflabs.org/geohack/geohack.php?pagename=List_of_power_stations_in_Bulgaria&amp;params=41.5837352_N_26.1074424_E_&amp;title=Ivailovgrad+Hydroelectric+Power+Station" TargetMode="External"/><Relationship Id="rId86" Type="http://schemas.openxmlformats.org/officeDocument/2006/relationships/hyperlink" Target="https://en.wikipedia.org/wiki/%C3%9Ast%C3%AD_nad_Labem" TargetMode="External"/><Relationship Id="rId151" Type="http://schemas.openxmlformats.org/officeDocument/2006/relationships/hyperlink" Target="https://tools.wmflabs.org/geohack/geohack.php?pagename=List_of_power_stations_in_Germany&amp;params=51.8986677_N_9.9248707_E_&amp;title=Erzhausen+Pumped+Storage+Station" TargetMode="External"/><Relationship Id="rId389" Type="http://schemas.openxmlformats.org/officeDocument/2006/relationships/hyperlink" Target="https://en.wikipedia.org/wiki/List_of_power_stations_in_Romania" TargetMode="External"/><Relationship Id="rId554" Type="http://schemas.openxmlformats.org/officeDocument/2006/relationships/hyperlink" Target="https://en.wikipedia.org/wiki/Houghton_Mill" TargetMode="External"/><Relationship Id="rId596" Type="http://schemas.openxmlformats.org/officeDocument/2006/relationships/hyperlink" Target="https://en.wikipedia.org/wiki/List_of_power_stations_in_Scotland" TargetMode="External"/><Relationship Id="rId761" Type="http://schemas.openxmlformats.org/officeDocument/2006/relationships/hyperlink" Target="https://en.wikipedia.org/wiki/Tummel_hydro-electric_power_scheme" TargetMode="External"/><Relationship Id="rId817" Type="http://schemas.openxmlformats.org/officeDocument/2006/relationships/hyperlink" Target="https://en.wikipedia.org/wiki/RWE_npower_Renewables" TargetMode="External"/><Relationship Id="rId859" Type="http://schemas.openxmlformats.org/officeDocument/2006/relationships/hyperlink" Target="https://en.wikipedia.org/wiki/List_of_power_stations_in_Scotland" TargetMode="External"/><Relationship Id="rId193" Type="http://schemas.openxmlformats.org/officeDocument/2006/relationships/hyperlink" Target="https://tools.wmflabs.org/geohack/geohack.php?pagename=List_of_power_stations_in_Germany&amp;params=49.5521595_N_12.281127_E_&amp;title=Tanzm%C3%BChle+Pumped+Storage+Station" TargetMode="External"/><Relationship Id="rId207" Type="http://schemas.openxmlformats.org/officeDocument/2006/relationships/hyperlink" Target="https://tools.wmflabs.org/geohack/geohack.php?pagename=List_of_power_stations_in_Greece&amp;params=38_44_30.69_N_21_21_51.05_E_&amp;title=Kastraki+Hydroelectric+Dam" TargetMode="External"/><Relationship Id="rId249" Type="http://schemas.openxmlformats.org/officeDocument/2006/relationships/hyperlink" Target="https://en.wikipedia.org/wiki/A2A" TargetMode="External"/><Relationship Id="rId414" Type="http://schemas.openxmlformats.org/officeDocument/2006/relationships/hyperlink" Target="https://en.wikipedia.org/w/index.php?title=Ru%C5%BE%C3%ADn_Hydro_Power_Plant&amp;action=edit&amp;redlink=1" TargetMode="External"/><Relationship Id="rId456" Type="http://schemas.openxmlformats.org/officeDocument/2006/relationships/hyperlink" Target="https://tools.wmflabs.org/geohack/geohack.php?pagename=List_of_power_stations_in_Sweden&amp;params=63.519_N_20.36_E_region:SE_type:landmark&amp;title=Stornorrfors+Hydroelectric+power+station" TargetMode="External"/><Relationship Id="rId498" Type="http://schemas.openxmlformats.org/officeDocument/2006/relationships/hyperlink" Target="https://en.wikipedia.org/wiki/Nant_de_Drance_Hydropower_Plant" TargetMode="External"/><Relationship Id="rId621" Type="http://schemas.openxmlformats.org/officeDocument/2006/relationships/hyperlink" Target="https://en.wikipedia.org/wiki/Scottish_and_Southern_Energy" TargetMode="External"/><Relationship Id="rId663" Type="http://schemas.openxmlformats.org/officeDocument/2006/relationships/hyperlink" Target="https://en.wikipedia.org/wiki/List_of_power_stations_in_Scotland" TargetMode="External"/><Relationship Id="rId870" Type="http://schemas.openxmlformats.org/officeDocument/2006/relationships/hyperlink" Target="https://tools.wmflabs.org/geohack/geohack.php?pagename=List_of_power_stations_in_Lithuania&amp;params=54.8739893_N_23.9994836_E_&amp;title=Kaunas+Hydroelectric+Power+Plant" TargetMode="External"/><Relationship Id="rId13" Type="http://schemas.openxmlformats.org/officeDocument/2006/relationships/hyperlink" Target="https://tools.wmflabs.org/geohack/geohack.php?pagename=List_of_power_stations_in_Belgium&amp;params=49.732938_N_5.376884_E_type:landmark&amp;title=La-Vierre%2C+Electrabel%2C+hydroelectric" TargetMode="External"/><Relationship Id="rId109" Type="http://schemas.openxmlformats.org/officeDocument/2006/relationships/hyperlink" Target="https://tools.wmflabs.org/geohack/geohack.php?pagename=List_of_power_stations_in_Germany&amp;params=47.6542518_N_10.7497251_E_&amp;title=Forggensee+Dam" TargetMode="External"/><Relationship Id="rId260" Type="http://schemas.openxmlformats.org/officeDocument/2006/relationships/hyperlink" Target="https://tools.wmflabs.org/geohack/geohack.php?pagename=List_of_power_stations_in_Italy&amp;params=41_22_53_N_14_5_25_E_&amp;title=Presenzano+Hydroelectric+Plant" TargetMode="External"/><Relationship Id="rId316" Type="http://schemas.openxmlformats.org/officeDocument/2006/relationships/hyperlink" Target="https://en.wikipedia.org/wiki/Salaspils" TargetMode="External"/><Relationship Id="rId523" Type="http://schemas.openxmlformats.org/officeDocument/2006/relationships/hyperlink" Target="https://tools.wmflabs.org/geohack/geohack.php?pagename=List_of_power_stations_in_Austria&amp;params=47.0845776_N_9.8746437_E_type:landmark_region:UA&amp;title=Rodundwerk+II+Pumped-Storage+Hydroelectric+Power+Station" TargetMode="External"/><Relationship Id="rId719" Type="http://schemas.openxmlformats.org/officeDocument/2006/relationships/hyperlink" Target="https://tools.wmflabs.org/os/coor_g/?pagename=List_of_power_stations_in_Scotland&amp;params=NG786549_region%3AGB_scale%3A25000" TargetMode="External"/><Relationship Id="rId55" Type="http://schemas.openxmlformats.org/officeDocument/2006/relationships/hyperlink" Target="https://tools.wmflabs.org/geohack/geohack.php?pagename=List_of_power_stations_in_Bulgaria&amp;params=42.016325_N_24.2617822_E_&amp;title=Peshtera+Hydroelectric+Power+Station" TargetMode="External"/><Relationship Id="rId97" Type="http://schemas.openxmlformats.org/officeDocument/2006/relationships/hyperlink" Target="https://tools.wmflabs.org/geohack/geohack.php?pagename=List_of_power_stations_in_Germany&amp;params=48.735722_N_11.0208321_E_&amp;title=Bertoldsheim+Power+Station" TargetMode="External"/><Relationship Id="rId120" Type="http://schemas.openxmlformats.org/officeDocument/2006/relationships/hyperlink" Target="https://en.wikipedia.org/wiki/M%C3%B6hne_Reservoir" TargetMode="External"/><Relationship Id="rId358" Type="http://schemas.openxmlformats.org/officeDocument/2006/relationships/hyperlink" Target="https://tools.wmflabs.org/geohack/geohack.php?pagename=List_of_power_stations_in_Portugal&amp;params=41.378302_N_6.351589_W_type:landmark&amp;title=Bemposta+Dam" TargetMode="External"/><Relationship Id="rId565" Type="http://schemas.openxmlformats.org/officeDocument/2006/relationships/hyperlink" Target="https://en.wikipedia.org/wiki/Conwy_(county_borough)" TargetMode="External"/><Relationship Id="rId730" Type="http://schemas.openxmlformats.org/officeDocument/2006/relationships/hyperlink" Target="https://en.wikipedia.org/wiki/List_of_power_stations_in_Scotland" TargetMode="External"/><Relationship Id="rId772" Type="http://schemas.openxmlformats.org/officeDocument/2006/relationships/hyperlink" Target="https://en.wikipedia.org/wiki/Scottish_and_Southern_Energy" TargetMode="External"/><Relationship Id="rId828" Type="http://schemas.openxmlformats.org/officeDocument/2006/relationships/hyperlink" Target="https://en.wikipedia.org/wiki/Loch_Sloy_Hydro-Electric_Scheme" TargetMode="External"/><Relationship Id="rId162" Type="http://schemas.openxmlformats.org/officeDocument/2006/relationships/hyperlink" Target="https://en.wikipedia.org/w/index.php?title=Hohenwarte_II_Pumped_Storage_Station&amp;action=edit&amp;redlink=1" TargetMode="External"/><Relationship Id="rId218" Type="http://schemas.openxmlformats.org/officeDocument/2006/relationships/hyperlink" Target="https://tools.wmflabs.org/geohack/geohack.php?pagename=List_of_power_stations_in_Greece&amp;params=41.354444_N_24.366944_E_&amp;title=Thisavros++Hydroelectric+Dam" TargetMode="External"/><Relationship Id="rId425" Type="http://schemas.openxmlformats.org/officeDocument/2006/relationships/hyperlink" Target="https://en.wikipedia.org/wiki/Medvode" TargetMode="External"/><Relationship Id="rId467" Type="http://schemas.openxmlformats.org/officeDocument/2006/relationships/hyperlink" Target="https://en.wikipedia.org/wiki/Baden,_Switzerland" TargetMode="External"/><Relationship Id="rId632" Type="http://schemas.openxmlformats.org/officeDocument/2006/relationships/hyperlink" Target="https://tools.wmflabs.org/os/coor_g/?pagename=List_of_power_stations_in_Scotland&amp;params=NN191133_region%3AGB_scale%3A25000" TargetMode="External"/><Relationship Id="rId271" Type="http://schemas.openxmlformats.org/officeDocument/2006/relationships/hyperlink" Target="https://tools.wmflabs.org/geohack/geohack.php?pagename=List_of_power_stations_in_Italy&amp;params=46_04_10_N_8_43_55_E_&amp;title=Roncovalgrande+Hydroelectric+Power+Plant" TargetMode="External"/><Relationship Id="rId674" Type="http://schemas.openxmlformats.org/officeDocument/2006/relationships/hyperlink" Target="https://tools.wmflabs.org/os/coor_g/?pagename=List_of_power_stations_in_Scotland&amp;params=NH318295_region%3AGB_scale%3A25000" TargetMode="External"/><Relationship Id="rId24" Type="http://schemas.openxmlformats.org/officeDocument/2006/relationships/hyperlink" Target="https://en.wikipedia.org/wiki/Namur_(city)" TargetMode="External"/><Relationship Id="rId66" Type="http://schemas.openxmlformats.org/officeDocument/2006/relationships/hyperlink" Target="https://en.wikipedia.org/wiki/Senj_Hydroelectric_Power_Plant" TargetMode="External"/><Relationship Id="rId131" Type="http://schemas.openxmlformats.org/officeDocument/2006/relationships/hyperlink" Target="https://tools.wmflabs.org/geohack/geohack.php?pagename=List_of_power_stations_in_Germany&amp;params=49.566669_N_6.592558_E_&amp;title=Serrig+Power+Station" TargetMode="External"/><Relationship Id="rId327" Type="http://schemas.openxmlformats.org/officeDocument/2006/relationships/hyperlink" Target="https://en.wikipedia.org/wiki/Lubuskie" TargetMode="External"/><Relationship Id="rId369" Type="http://schemas.openxmlformats.org/officeDocument/2006/relationships/hyperlink" Target="https://tools.wmflabs.org/geohack/geohack.php?pagename=List_of_power_stations_in_Portugal&amp;params=40.089233_N_7.857365_W_type:landmark&amp;title=Santa+Luzia+Dam" TargetMode="External"/><Relationship Id="rId534" Type="http://schemas.openxmlformats.org/officeDocument/2006/relationships/hyperlink" Target="https://en.wikipedia.org/wiki/Amlach" TargetMode="External"/><Relationship Id="rId576" Type="http://schemas.openxmlformats.org/officeDocument/2006/relationships/hyperlink" Target="https://en.wikipedia.org/wiki/Gwynedd" TargetMode="External"/><Relationship Id="rId741" Type="http://schemas.openxmlformats.org/officeDocument/2006/relationships/hyperlink" Target="https://en.wikipedia.org/wiki/Scottish_and_Southern_Energy" TargetMode="External"/><Relationship Id="rId783" Type="http://schemas.openxmlformats.org/officeDocument/2006/relationships/hyperlink" Target="https://en.wikipedia.org/wiki/Scottish_and_Southern_Energy" TargetMode="External"/><Relationship Id="rId839" Type="http://schemas.openxmlformats.org/officeDocument/2006/relationships/hyperlink" Target="https://en.wikipedia.org/wiki/Lanark_Hydro_Electric_Scheme" TargetMode="External"/><Relationship Id="rId173" Type="http://schemas.openxmlformats.org/officeDocument/2006/relationships/hyperlink" Target="https://tools.wmflabs.org/geohack/geohack.php?pagename=List_of_power_stations_in_Germany&amp;params=50.5175266_N_12.8806436_E_&amp;title=Markersbach+Pumped+Storage+Station" TargetMode="External"/><Relationship Id="rId229" Type="http://schemas.openxmlformats.org/officeDocument/2006/relationships/hyperlink" Target="https://en.wikipedia.org/wiki/County_Donegal" TargetMode="External"/><Relationship Id="rId380" Type="http://schemas.openxmlformats.org/officeDocument/2006/relationships/hyperlink" Target="https://en.wikipedia.org/wiki/M%C4%83ri%C5%9Felu_Hydroelectric_Power_Station" TargetMode="External"/><Relationship Id="rId436" Type="http://schemas.openxmlformats.org/officeDocument/2006/relationships/hyperlink" Target="https://en.wikipedia.org/wiki/%C3%84lvkarleby_Hydroelectric_Power_Station" TargetMode="External"/><Relationship Id="rId601" Type="http://schemas.openxmlformats.org/officeDocument/2006/relationships/hyperlink" Target="https://tools.wmflabs.org/os/coor_g/?pagename=List_of_power_stations_in_Scotland&amp;params=NS695583_region%3AGB_scale%3A25000" TargetMode="External"/><Relationship Id="rId643" Type="http://schemas.openxmlformats.org/officeDocument/2006/relationships/hyperlink" Target="https://tools.wmflabs.org/os/coor_g/?pagename=List_of_power_stations_in_Scotland&amp;params=NH179767_region%3AGB_scale%3A25000" TargetMode="External"/><Relationship Id="rId240" Type="http://schemas.openxmlformats.org/officeDocument/2006/relationships/hyperlink" Target="https://en.wikipedia.org/wiki/County_Carlow" TargetMode="External"/><Relationship Id="rId478" Type="http://schemas.openxmlformats.org/officeDocument/2006/relationships/hyperlink" Target="https://en.wikipedia.org/wiki/Gletsch" TargetMode="External"/><Relationship Id="rId685" Type="http://schemas.openxmlformats.org/officeDocument/2006/relationships/hyperlink" Target="https://en.wikipedia.org/wiki/List_of_power_stations_in_Scotland" TargetMode="External"/><Relationship Id="rId850" Type="http://schemas.openxmlformats.org/officeDocument/2006/relationships/hyperlink" Target="https://en.wikipedia.org/wiki/Galloway_hydro-electric_power_scheme" TargetMode="External"/><Relationship Id="rId35" Type="http://schemas.openxmlformats.org/officeDocument/2006/relationships/hyperlink" Target="https://tools.wmflabs.org/geohack/geohack.php?pagename=List_of_power_stations_in_Bulgaria&amp;params=42.1995137_N_23.8579917_E_&amp;title=Belmeken+Hydro+Power+Plant" TargetMode="External"/><Relationship Id="rId77" Type="http://schemas.openxmlformats.org/officeDocument/2006/relationships/hyperlink" Target="https://en.wikipedia.org/wiki/Solenice" TargetMode="External"/><Relationship Id="rId100" Type="http://schemas.openxmlformats.org/officeDocument/2006/relationships/hyperlink" Target="https://en.wikipedia.org/w/index.php?title=Bittenbrunn_Power_Station&amp;action=edit&amp;redlink=1" TargetMode="External"/><Relationship Id="rId282" Type="http://schemas.openxmlformats.org/officeDocument/2006/relationships/hyperlink" Target="https://en.wikipedia.org/wiki/Enel" TargetMode="External"/><Relationship Id="rId338" Type="http://schemas.openxmlformats.org/officeDocument/2006/relationships/hyperlink" Target="https://en.wikipedia.org/wiki/Coimbra_District" TargetMode="External"/><Relationship Id="rId503" Type="http://schemas.openxmlformats.org/officeDocument/2006/relationships/hyperlink" Target="https://tools.wmflabs.org/geohack/geohack.php?pagename=List_of_power_stations_in_Switzerland&amp;params=47.27985_N_8.39741_E_type:landmark_region:CH&amp;title=Ottenbach+Small+Hydro" TargetMode="External"/><Relationship Id="rId545" Type="http://schemas.openxmlformats.org/officeDocument/2006/relationships/hyperlink" Target="https://tools.wmflabs.org/geohack/geohack.php?pagename=List_of_power_stations_in_England&amp;params=52_3_27.216_N_0_42_31.916_W_&amp;title=%22Cotton+Valley+Sewage+Works+2%22" TargetMode="External"/><Relationship Id="rId587" Type="http://schemas.openxmlformats.org/officeDocument/2006/relationships/hyperlink" Target="https://en.wikipedia.org/wiki/Scottish_and_Southern_Energy" TargetMode="External"/><Relationship Id="rId710" Type="http://schemas.openxmlformats.org/officeDocument/2006/relationships/hyperlink" Target="https://en.wikipedia.org/wiki/List_of_power_stations_in_Scotland" TargetMode="External"/><Relationship Id="rId752" Type="http://schemas.openxmlformats.org/officeDocument/2006/relationships/hyperlink" Target="https://tools.wmflabs.org/os/coor_g/?pagename=List_of_power_stations_in_Scotland&amp;params=NN698303_region%3AGB_scale%3A25000" TargetMode="External"/><Relationship Id="rId808" Type="http://schemas.openxmlformats.org/officeDocument/2006/relationships/hyperlink" Target="https://tools.wmflabs.org/os/coor_g/?pagename=List_of_power_stations_in_Scotland&amp;params=NN935577_region%3AGB_scale%3A25000" TargetMode="External"/><Relationship Id="rId8" Type="http://schemas.openxmlformats.org/officeDocument/2006/relationships/hyperlink" Target="https://en.wikipedia.org/wiki/B%C3%BCtgenbach" TargetMode="External"/><Relationship Id="rId142" Type="http://schemas.openxmlformats.org/officeDocument/2006/relationships/hyperlink" Target="https://en.wikipedia.org/wiki/S%C3%B6se_Dam" TargetMode="External"/><Relationship Id="rId184" Type="http://schemas.openxmlformats.org/officeDocument/2006/relationships/hyperlink" Target="https://en.wikipedia.org/w/index.php?title=R%C3%B6nkhausen_Pumped_Storage_Station&amp;action=edit&amp;redlink=1" TargetMode="External"/><Relationship Id="rId391" Type="http://schemas.openxmlformats.org/officeDocument/2006/relationships/hyperlink" Target="https://tools.wmflabs.org/geohack/geohack.php?pagename=List_of_power_stations_in_Romania&amp;params=45.4260459_N_22.475667_E_&amp;title=Ruieni+Hydroelectric+Power+Station" TargetMode="External"/><Relationship Id="rId405" Type="http://schemas.openxmlformats.org/officeDocument/2006/relationships/hyperlink" Target="https://tools.wmflabs.org/geohack/geohack.php?pagename=List_of_power_stations_in_Slovakia&amp;params=47.8800886_N_17.5385141_E_type:landmark&amp;title=Nagymaros+Dams" TargetMode="External"/><Relationship Id="rId447" Type="http://schemas.openxmlformats.org/officeDocument/2006/relationships/hyperlink" Target="https://en.wikipedia.org/w/index.php?title=Letten&amp;action=edit&amp;redlink=1" TargetMode="External"/><Relationship Id="rId612" Type="http://schemas.openxmlformats.org/officeDocument/2006/relationships/hyperlink" Target="https://en.wikipedia.org/wiki/List_of_power_stations_in_Scotland" TargetMode="External"/><Relationship Id="rId794" Type="http://schemas.openxmlformats.org/officeDocument/2006/relationships/hyperlink" Target="https://tools.wmflabs.org/os/coor_g/?pagename=List_of_power_stations_in_Scotland&amp;params=NH222309_region%3AGB_scale%3A25000" TargetMode="External"/><Relationship Id="rId251" Type="http://schemas.openxmlformats.org/officeDocument/2006/relationships/hyperlink" Target="https://en.wikipedia.org/wiki/List_of_power_stations_in_Italy" TargetMode="External"/><Relationship Id="rId489" Type="http://schemas.openxmlformats.org/officeDocument/2006/relationships/hyperlink" Target="https://en.wikipedia.org/wiki/La_B%C3%A2tiaz_Power_Station" TargetMode="External"/><Relationship Id="rId654" Type="http://schemas.openxmlformats.org/officeDocument/2006/relationships/hyperlink" Target="https://en.wikipedia.org/wiki/Affric-Beauly_hydro-electric_power_scheme" TargetMode="External"/><Relationship Id="rId696" Type="http://schemas.openxmlformats.org/officeDocument/2006/relationships/hyperlink" Target="https://tools.wmflabs.org/os/coor_g/?pagename=List_of_power_stations_in_Scotland&amp;params=NB128257_region%3AGB_scale%3A25000" TargetMode="External"/><Relationship Id="rId861" Type="http://schemas.openxmlformats.org/officeDocument/2006/relationships/hyperlink" Target="https://en.wikipedia.org/wiki/Tummel_hydro-electric_power_scheme" TargetMode="External"/><Relationship Id="rId46" Type="http://schemas.openxmlformats.org/officeDocument/2006/relationships/hyperlink" Target="https://tools.wmflabs.org/geohack/geohack.php?pagename=List_of_power_stations_in_Bulgaria&amp;params=41.6334391_N_25.339998_E_&amp;title=Kardzhali+Hydroelectric+Power+Station" TargetMode="External"/><Relationship Id="rId293" Type="http://schemas.openxmlformats.org/officeDocument/2006/relationships/hyperlink" Target="https://en.wikipedia.org/wiki/Enel" TargetMode="External"/><Relationship Id="rId307" Type="http://schemas.openxmlformats.org/officeDocument/2006/relationships/hyperlink" Target="https://en.wikipedia.org/wiki/Enel" TargetMode="External"/><Relationship Id="rId349" Type="http://schemas.openxmlformats.org/officeDocument/2006/relationships/hyperlink" Target="https://tools.wmflabs.org/geohack/geohack.php?pagename=List_of_power_stations_in_Portugal&amp;params=41.084871_N_8.130218_W_type:landmark&amp;title=Carrapatelo+Dam" TargetMode="External"/><Relationship Id="rId514" Type="http://schemas.openxmlformats.org/officeDocument/2006/relationships/hyperlink" Target="https://en.wikipedia.org/wiki/Zillergr%C3%BCndl_Dam" TargetMode="External"/><Relationship Id="rId556" Type="http://schemas.openxmlformats.org/officeDocument/2006/relationships/hyperlink" Target="https://tools.wmflabs.org/geohack/geohack.php?pagename=List_of_power_stations_in_England&amp;params=55_10_59.91_N_2_30_0.003_W_&amp;title=%22Kielder+Water%22" TargetMode="External"/><Relationship Id="rId721" Type="http://schemas.openxmlformats.org/officeDocument/2006/relationships/hyperlink" Target="https://en.wikipedia.org/wiki/Scottish_and_Southern_Energy" TargetMode="External"/><Relationship Id="rId763" Type="http://schemas.openxmlformats.org/officeDocument/2006/relationships/hyperlink" Target="https://en.wikipedia.org/wiki/List_of_power_stations_in_Scotland" TargetMode="External"/><Relationship Id="rId88" Type="http://schemas.openxmlformats.org/officeDocument/2006/relationships/hyperlink" Target="https://en.wikipedia.org/wiki/E.ON" TargetMode="External"/><Relationship Id="rId111" Type="http://schemas.openxmlformats.org/officeDocument/2006/relationships/hyperlink" Target="https://tools.wmflabs.org/geohack/geohack.php?pagename=List_of_power_stations_in_Germany&amp;params=48.8327607_N_8.1104851_E_&amp;title=Iffezheim+Power+Station" TargetMode="External"/><Relationship Id="rId153" Type="http://schemas.openxmlformats.org/officeDocument/2006/relationships/hyperlink" Target="https://tools.wmflabs.org/geohack/geohack.php?pagename=List_of_power_stations_in_Germany&amp;params=53.4191238_N_10.3936458_E_&amp;title=Geesthacht+Pumped+Storage+Station" TargetMode="External"/><Relationship Id="rId195" Type="http://schemas.openxmlformats.org/officeDocument/2006/relationships/hyperlink" Target="https://tools.wmflabs.org/geohack/geohack.php?pagename=List_of_power_stations_in_Germany&amp;params=51.1661452_N_9.0463078_E_&amp;title=Waldeck+I+Pumped+Storage+Station" TargetMode="External"/><Relationship Id="rId209" Type="http://schemas.openxmlformats.org/officeDocument/2006/relationships/hyperlink" Target="https://tools.wmflabs.org/geohack/geohack.php?pagename=List_of_power_stations_in_Greece&amp;params=38.8839511_N_21.4937961_E_&amp;title=Kremasta+Hydroelectric+Dam" TargetMode="External"/><Relationship Id="rId360" Type="http://schemas.openxmlformats.org/officeDocument/2006/relationships/hyperlink" Target="https://en.wikipedia.org/wiki/Guarda_District" TargetMode="External"/><Relationship Id="rId416" Type="http://schemas.openxmlformats.org/officeDocument/2006/relationships/hyperlink" Target="https://en.wikipedia.org/wiki/Drava" TargetMode="External"/><Relationship Id="rId598" Type="http://schemas.openxmlformats.org/officeDocument/2006/relationships/hyperlink" Target="https://tools.wmflabs.org/os/coor_g/?pagename=List_of_power_stations_in_Scotland&amp;params=NN353290_region%3AGB_scale%3A25000" TargetMode="External"/><Relationship Id="rId819" Type="http://schemas.openxmlformats.org/officeDocument/2006/relationships/hyperlink" Target="https://en.wikipedia.org/wiki/List_of_power_stations_in_Scotland" TargetMode="External"/><Relationship Id="rId220" Type="http://schemas.openxmlformats.org/officeDocument/2006/relationships/hyperlink" Target="https://en.wikipedia.org/wiki/County_Kerry" TargetMode="External"/><Relationship Id="rId458" Type="http://schemas.openxmlformats.org/officeDocument/2006/relationships/hyperlink" Target="https://en.wikipedia.org/w/index.php?title=Messaure&amp;action=edit&amp;redlink=1" TargetMode="External"/><Relationship Id="rId623" Type="http://schemas.openxmlformats.org/officeDocument/2006/relationships/hyperlink" Target="https://en.wikipedia.org/wiki/List_of_power_stations_in_Scotland" TargetMode="External"/><Relationship Id="rId665" Type="http://schemas.openxmlformats.org/officeDocument/2006/relationships/hyperlink" Target="https://en.wikipedia.org/wiki/Galloway_hydro-electric_power_scheme" TargetMode="External"/><Relationship Id="rId830" Type="http://schemas.openxmlformats.org/officeDocument/2006/relationships/hyperlink" Target="https://en.wikipedia.org/wiki/List_of_power_stations_in_Scotland" TargetMode="External"/><Relationship Id="rId872" Type="http://schemas.openxmlformats.org/officeDocument/2006/relationships/hyperlink" Target="https://en.wikipedia.org/wiki/Kruonis_Pumped_Storage_Plant" TargetMode="External"/><Relationship Id="rId15" Type="http://schemas.openxmlformats.org/officeDocument/2006/relationships/hyperlink" Target="https://tools.wmflabs.org/geohack/geohack.php?pagename=List_of_power_stations_in_Belgium&amp;params=50.534154_N_5.296673_E_type:landmark&amp;title=Ampsin-Neuville%2C+EDF+Luminus%2C+hydroelectric" TargetMode="External"/><Relationship Id="rId57" Type="http://schemas.openxmlformats.org/officeDocument/2006/relationships/hyperlink" Target="https://tools.wmflabs.org/geohack/geohack.php?pagename=List_of_power_stations_in_Bulgaria&amp;params=41.6194768_N_25.6414569_E_&amp;title=Studen+Kladenets+Hydroelectric+Power+Station" TargetMode="External"/><Relationship Id="rId262" Type="http://schemas.openxmlformats.org/officeDocument/2006/relationships/hyperlink" Target="https://en.wikipedia.org/wiki/Enel" TargetMode="External"/><Relationship Id="rId318" Type="http://schemas.openxmlformats.org/officeDocument/2006/relationships/hyperlink" Target="https://en.wikipedia.org/wiki/%C4%B6egums_Hydroelectric_Power_Station" TargetMode="External"/><Relationship Id="rId525" Type="http://schemas.openxmlformats.org/officeDocument/2006/relationships/hyperlink" Target="https://en.wikipedia.org/wiki/Kaunertal" TargetMode="External"/><Relationship Id="rId567" Type="http://schemas.openxmlformats.org/officeDocument/2006/relationships/hyperlink" Target="https://en.wikipedia.org/wiki/Gwynedd" TargetMode="External"/><Relationship Id="rId732" Type="http://schemas.openxmlformats.org/officeDocument/2006/relationships/hyperlink" Target="https://tools.wmflabs.org/os/coor_g/?pagename=List_of_power_stations_in_Scotland&amp;params=NG829719_region%3AGB_scale%3A25000" TargetMode="External"/><Relationship Id="rId99" Type="http://schemas.openxmlformats.org/officeDocument/2006/relationships/hyperlink" Target="https://tools.wmflabs.org/geohack/geohack.php?pagename=List_of_power_stations_in_Germany&amp;params=48.600881_N_8.73715_E_&amp;title=Bettenberg+Power+Station" TargetMode="External"/><Relationship Id="rId122" Type="http://schemas.openxmlformats.org/officeDocument/2006/relationships/hyperlink" Target="https://en.wikipedia.org/w/index.php?title=M%C3%BChlhausen_Power_Station&amp;action=edit&amp;redlink=1" TargetMode="External"/><Relationship Id="rId164" Type="http://schemas.openxmlformats.org/officeDocument/2006/relationships/hyperlink" Target="https://en.wikipedia.org/w/index.php?title=Hotzenwald_Pumped_Storage_Station&amp;action=edit&amp;redlink=1" TargetMode="External"/><Relationship Id="rId371" Type="http://schemas.openxmlformats.org/officeDocument/2006/relationships/hyperlink" Target="https://tools.wmflabs.org/geohack/geohack.php?pagename=List_of_power_stations_in_Portugal&amp;params=41.160763_N_7.377368_W_type:landmark&amp;title=Valeira+Dam" TargetMode="External"/><Relationship Id="rId774" Type="http://schemas.openxmlformats.org/officeDocument/2006/relationships/hyperlink" Target="https://tools.wmflabs.org/os/coor_g/?pagename=List_of_power_stations_in_Scotland&amp;params=NN545349_region%3AGB_scale%3A25000" TargetMode="External"/><Relationship Id="rId427" Type="http://schemas.openxmlformats.org/officeDocument/2006/relationships/hyperlink" Target="https://en.wikipedia.org/wiki/Doblar" TargetMode="External"/><Relationship Id="rId469" Type="http://schemas.openxmlformats.org/officeDocument/2006/relationships/hyperlink" Target="https://en.wikipedia.org/wiki/Bieudron_Hydroelectric_Power_Station" TargetMode="External"/><Relationship Id="rId634" Type="http://schemas.openxmlformats.org/officeDocument/2006/relationships/hyperlink" Target="https://en.wikipedia.org/wiki/Scottish_and_Southern_Energy" TargetMode="External"/><Relationship Id="rId676" Type="http://schemas.openxmlformats.org/officeDocument/2006/relationships/hyperlink" Target="https://en.wikipedia.org/wiki/Scottish_and_Southern_Energy" TargetMode="External"/><Relationship Id="rId841" Type="http://schemas.openxmlformats.org/officeDocument/2006/relationships/hyperlink" Target="https://en.wikipedia.org/wiki/List_of_power_stations_in_Scotland" TargetMode="External"/><Relationship Id="rId26" Type="http://schemas.openxmlformats.org/officeDocument/2006/relationships/hyperlink" Target="https://en.wikipedia.org/wiki/Namur_(city)" TargetMode="External"/><Relationship Id="rId231" Type="http://schemas.openxmlformats.org/officeDocument/2006/relationships/hyperlink" Target="https://en.wikipedia.org/wiki/County_Donegal" TargetMode="External"/><Relationship Id="rId273" Type="http://schemas.openxmlformats.org/officeDocument/2006/relationships/hyperlink" Target="https://en.wikipedia.org/wiki/Enel" TargetMode="External"/><Relationship Id="rId329" Type="http://schemas.openxmlformats.org/officeDocument/2006/relationships/hyperlink" Target="https://en.wikipedia.org/wiki/Lubuskie" TargetMode="External"/><Relationship Id="rId480" Type="http://schemas.openxmlformats.org/officeDocument/2006/relationships/hyperlink" Target="https://en.wikipedia.org/wiki/Guttannen" TargetMode="External"/><Relationship Id="rId536" Type="http://schemas.openxmlformats.org/officeDocument/2006/relationships/hyperlink" Target="https://tools.wmflabs.org/geohack/geohack.php?pagename=List_of_power_stations_in_Portugal&amp;params=38.195562_N_7.497708_W_type:landmark&amp;title=Alqueva+Dam" TargetMode="External"/><Relationship Id="rId701" Type="http://schemas.openxmlformats.org/officeDocument/2006/relationships/hyperlink" Target="https://en.wikipedia.org/wiki/Glendoe_Hydro_Scheme" TargetMode="External"/><Relationship Id="rId68" Type="http://schemas.openxmlformats.org/officeDocument/2006/relationships/hyperlink" Target="https://en.wikipedia.org/wiki/Zaku%C4%8Dac_Hydroelectric_Power_Plant" TargetMode="External"/><Relationship Id="rId133" Type="http://schemas.openxmlformats.org/officeDocument/2006/relationships/hyperlink" Target="https://tools.wmflabs.org/geohack/geohack.php?pagename=List_of_power_stations_in_Germany&amp;params=47.6298189_N_11.3374454_E_&amp;title=Walchensee+Hydroelectric+Power+Station" TargetMode="External"/><Relationship Id="rId175" Type="http://schemas.openxmlformats.org/officeDocument/2006/relationships/hyperlink" Target="https://tools.wmflabs.org/geohack/geohack.php?pagename=List_of_power_stations_in_Germany&amp;params=50.9895028_N_13.0066431_E_&amp;title=Mittweida+Pumped+Storage+Station" TargetMode="External"/><Relationship Id="rId340" Type="http://schemas.openxmlformats.org/officeDocument/2006/relationships/hyperlink" Target="https://en.wikipedia.org/wiki/Alto_Lindoso_Dam" TargetMode="External"/><Relationship Id="rId578" Type="http://schemas.openxmlformats.org/officeDocument/2006/relationships/hyperlink" Target="https://en.wikipedia.org/wiki/Gwynedd" TargetMode="External"/><Relationship Id="rId743" Type="http://schemas.openxmlformats.org/officeDocument/2006/relationships/hyperlink" Target="https://en.wikipedia.org/wiki/List_of_power_stations_in_Scotland" TargetMode="External"/><Relationship Id="rId785" Type="http://schemas.openxmlformats.org/officeDocument/2006/relationships/hyperlink" Target="https://tools.wmflabs.org/os/coor_g/?pagename=List_of_power_stations_in_Scotland&amp;params=NR735260_region%3AGB_scale%3A25000" TargetMode="External"/><Relationship Id="rId200" Type="http://schemas.openxmlformats.org/officeDocument/2006/relationships/hyperlink" Target="https://en.wikipedia.org/w/index.php?title=Warmutsgund_Pumped_Storage_Station&amp;action=edit&amp;redlink=1" TargetMode="External"/><Relationship Id="rId382" Type="http://schemas.openxmlformats.org/officeDocument/2006/relationships/hyperlink" Target="https://en.wikipedia.org/wiki/Iron_Gate_I_Hydroelectric_Power_Station" TargetMode="External"/><Relationship Id="rId438" Type="http://schemas.openxmlformats.org/officeDocument/2006/relationships/hyperlink" Target="https://en.wikipedia.org/wiki/Dal_River" TargetMode="External"/><Relationship Id="rId603" Type="http://schemas.openxmlformats.org/officeDocument/2006/relationships/hyperlink" Target="https://en.wikipedia.org/wiki/Scottish_Power" TargetMode="External"/><Relationship Id="rId645" Type="http://schemas.openxmlformats.org/officeDocument/2006/relationships/hyperlink" Target="https://en.wikipedia.org/wiki/Scottish_and_Southern_Energy" TargetMode="External"/><Relationship Id="rId687" Type="http://schemas.openxmlformats.org/officeDocument/2006/relationships/hyperlink" Target="https://tools.wmflabs.org/os/coor_g/?pagename=List_of_power_stations_in_Scotland&amp;params=NH500132_region%3AGB_scale%3A25000" TargetMode="External"/><Relationship Id="rId810" Type="http://schemas.openxmlformats.org/officeDocument/2006/relationships/hyperlink" Target="https://en.wikipedia.org/wiki/Scottish_and_Southern_Energy" TargetMode="External"/><Relationship Id="rId852" Type="http://schemas.openxmlformats.org/officeDocument/2006/relationships/hyperlink" Target="https://en.wikipedia.org/wiki/List_of_power_stations_in_Scotland" TargetMode="External"/><Relationship Id="rId242" Type="http://schemas.openxmlformats.org/officeDocument/2006/relationships/hyperlink" Target="https://en.wikipedia.org/wiki/County_Wicklow" TargetMode="External"/><Relationship Id="rId284" Type="http://schemas.openxmlformats.org/officeDocument/2006/relationships/hyperlink" Target="https://en.wikipedia.org/wiki/Edison_(company)" TargetMode="External"/><Relationship Id="rId491" Type="http://schemas.openxmlformats.org/officeDocument/2006/relationships/hyperlink" Target="https://tools.wmflabs.org/geohack/geohack.php?pagename=List_of_power_stations_in_Switzerland&amp;params=46.0676332_N_6.9321907_E_type:landmark_region:CH&amp;title=La+B%C3%A2tiaz+Power+Station" TargetMode="External"/><Relationship Id="rId505" Type="http://schemas.openxmlformats.org/officeDocument/2006/relationships/hyperlink" Target="https://tools.wmflabs.org/geohack/geohack.php?pagename=List_of_power_stations_in_Switzerland&amp;params=47.488687_N_8.264937_E_type:landmark_region:CH&amp;title=Schiffm%C3%BChle+Power+Station" TargetMode="External"/><Relationship Id="rId712" Type="http://schemas.openxmlformats.org/officeDocument/2006/relationships/hyperlink" Target="https://tools.wmflabs.org/os/coor_g/?pagename=List_of_power_stations_in_Scotland&amp;params=NH320623_region%3AGB_scale%3A25000" TargetMode="External"/><Relationship Id="rId37" Type="http://schemas.openxmlformats.org/officeDocument/2006/relationships/hyperlink" Target="https://en.wikipedia.org/w/index.php?title=Sestrimo&amp;action=edit&amp;redlink=1" TargetMode="External"/><Relationship Id="rId79" Type="http://schemas.openxmlformats.org/officeDocument/2006/relationships/hyperlink" Target="https://en.wikipedia.org/wiki/Slapy_Hydro_Power_Plant" TargetMode="External"/><Relationship Id="rId102" Type="http://schemas.openxmlformats.org/officeDocument/2006/relationships/hyperlink" Target="https://en.wikipedia.org/w/index.php?title=Dettingen_Power_Station&amp;action=edit&amp;redlink=1" TargetMode="External"/><Relationship Id="rId144" Type="http://schemas.openxmlformats.org/officeDocument/2006/relationships/hyperlink" Target="https://en.wikipedia.org/w/index.php?title=Albbecken_Pumped_Storage_Station&amp;action=edit&amp;redlink=1" TargetMode="External"/><Relationship Id="rId547" Type="http://schemas.openxmlformats.org/officeDocument/2006/relationships/hyperlink" Target="https://en.wikipedia.org/wiki/Derwent_Reservoir_(North_East_England)" TargetMode="External"/><Relationship Id="rId589" Type="http://schemas.openxmlformats.org/officeDocument/2006/relationships/hyperlink" Target="https://tools.wmflabs.org/os/coor_g/?pagename=List_of_power_stations_in_Scotland&amp;params=NH474436_region%3AGB_scale%3A25000" TargetMode="External"/><Relationship Id="rId754" Type="http://schemas.openxmlformats.org/officeDocument/2006/relationships/hyperlink" Target="https://en.wikipedia.org/wiki/Scottish_and_Southern_Energy" TargetMode="External"/><Relationship Id="rId796" Type="http://schemas.openxmlformats.org/officeDocument/2006/relationships/hyperlink" Target="https://en.wikipedia.org/wiki/Scottish_and_Southern_Energy" TargetMode="External"/><Relationship Id="rId90" Type="http://schemas.openxmlformats.org/officeDocument/2006/relationships/hyperlink" Target="https://en.wikipedia.org/w/index.php?title=Aufkirchen_Power_Station&amp;action=edit&amp;redlink=1" TargetMode="External"/><Relationship Id="rId186" Type="http://schemas.openxmlformats.org/officeDocument/2006/relationships/hyperlink" Target="https://en.wikipedia.org/w/index.php?title=Rudolf-Fettweis-Power_Plant&amp;action=edit&amp;redlink=1" TargetMode="External"/><Relationship Id="rId351" Type="http://schemas.openxmlformats.org/officeDocument/2006/relationships/hyperlink" Target="https://en.wikipedia.org/wiki/Santar%C3%A9m_District" TargetMode="External"/><Relationship Id="rId393" Type="http://schemas.openxmlformats.org/officeDocument/2006/relationships/hyperlink" Target="https://tools.wmflabs.org/geohack/geohack.php?pagename=List_of_power_stations_in_Romania&amp;params=45.3376069_N_22.7201986_E_&amp;title=R%C3%A2ul+Mare+Hydroelectric+Power+Station" TargetMode="External"/><Relationship Id="rId407" Type="http://schemas.openxmlformats.org/officeDocument/2006/relationships/hyperlink" Target="https://tools.wmflabs.org/geohack/geohack.php?pagename=List_of_power_stations_in_Slovakia&amp;params=49.0981217_N_19.484725_E_type:landmark&amp;title=Liptovsk%C3%A1+Mara" TargetMode="External"/><Relationship Id="rId449" Type="http://schemas.openxmlformats.org/officeDocument/2006/relationships/hyperlink" Target="https://tools.wmflabs.org/geohack/geohack.php?pagename=List_of_power_stations_in_Sweden&amp;params=58.2750011_N_12.2725332_E_region:SE_type:landmark&amp;title=Olidan+Hydroelectric+Power+Station" TargetMode="External"/><Relationship Id="rId614" Type="http://schemas.openxmlformats.org/officeDocument/2006/relationships/hyperlink" Target="https://en.wikipedia.org/wiki/Galloway_hydro-electric_power_scheme" TargetMode="External"/><Relationship Id="rId656" Type="http://schemas.openxmlformats.org/officeDocument/2006/relationships/hyperlink" Target="https://en.wikipedia.org/wiki/List_of_power_stations_in_Scotland" TargetMode="External"/><Relationship Id="rId821" Type="http://schemas.openxmlformats.org/officeDocument/2006/relationships/hyperlink" Target="https://tools.wmflabs.org/os/coor_g/?pagename=List_of_power_stations_in_Scotland&amp;params=NH573974_region%3AGB_scale%3A25000" TargetMode="External"/><Relationship Id="rId863" Type="http://schemas.openxmlformats.org/officeDocument/2006/relationships/hyperlink" Target="https://en.wikipedia.org/wiki/List_of_power_stations_in_Scotland" TargetMode="External"/><Relationship Id="rId211" Type="http://schemas.openxmlformats.org/officeDocument/2006/relationships/hyperlink" Target="https://en.wikipedia.org/wiki/Arcadia" TargetMode="External"/><Relationship Id="rId253" Type="http://schemas.openxmlformats.org/officeDocument/2006/relationships/hyperlink" Target="https://en.wikipedia.org/wiki/Endesa_(Spain)" TargetMode="External"/><Relationship Id="rId295" Type="http://schemas.openxmlformats.org/officeDocument/2006/relationships/hyperlink" Target="https://en.wikipedia.org/wiki/Enel" TargetMode="External"/><Relationship Id="rId309" Type="http://schemas.openxmlformats.org/officeDocument/2006/relationships/hyperlink" Target="https://en.wikipedia.org/wiki/Enel" TargetMode="External"/><Relationship Id="rId460" Type="http://schemas.openxmlformats.org/officeDocument/2006/relationships/hyperlink" Target="https://en.wikipedia.org/w/index.php?title=Letsi&amp;action=edit&amp;redlink=1" TargetMode="External"/><Relationship Id="rId516" Type="http://schemas.openxmlformats.org/officeDocument/2006/relationships/hyperlink" Target="https://tools.wmflabs.org/geohack/geohack.php?pagename=List_of_power_stations_in_Austria&amp;params=47_08_46_N_11_58_02_E_&amp;title=H%C3%A4usling+Power+Plant" TargetMode="External"/><Relationship Id="rId698" Type="http://schemas.openxmlformats.org/officeDocument/2006/relationships/hyperlink" Target="https://en.wikipedia.org/wiki/RWE_npower_Renewables" TargetMode="External"/><Relationship Id="rId48" Type="http://schemas.openxmlformats.org/officeDocument/2006/relationships/hyperlink" Target="https://en.wikipedia.org/wiki/Krichim" TargetMode="External"/><Relationship Id="rId113" Type="http://schemas.openxmlformats.org/officeDocument/2006/relationships/hyperlink" Target="https://tools.wmflabs.org/geohack/geohack.php?pagename=List_of_power_stations_in_Germany&amp;params=48.7503672_N_11.4119518_E_&amp;title=Ingolstadt+Hydroelectric+Power+Station" TargetMode="External"/><Relationship Id="rId320" Type="http://schemas.openxmlformats.org/officeDocument/2006/relationships/hyperlink" Target="https://tools.wmflabs.org/geohack/geohack.php?pagename=List_of_power_stations_in_Latvia&amp;params=56.7406744_N_24.710784_E_&amp;title=Kegums+Hydroelectric+Power+Station" TargetMode="External"/><Relationship Id="rId558" Type="http://schemas.openxmlformats.org/officeDocument/2006/relationships/hyperlink" Target="https://en.wikipedia.org/wiki/Mendip_Power_Group" TargetMode="External"/><Relationship Id="rId723" Type="http://schemas.openxmlformats.org/officeDocument/2006/relationships/hyperlink" Target="https://en.wikipedia.org/wiki/List_of_power_stations_in_Scotland" TargetMode="External"/><Relationship Id="rId765" Type="http://schemas.openxmlformats.org/officeDocument/2006/relationships/hyperlink" Target="https://en.wikipedia.org/wiki/Loch_Sloy_Hydro-Electric_Scheme" TargetMode="External"/><Relationship Id="rId155" Type="http://schemas.openxmlformats.org/officeDocument/2006/relationships/hyperlink" Target="https://tools.wmflabs.org/geohack/geohack.php?pagename=List_of_power_stations_in_Germany&amp;params=48.5051789_N_9.2872453_E_&amp;title=Glems+Pumped+Storage+Station" TargetMode="External"/><Relationship Id="rId197" Type="http://schemas.openxmlformats.org/officeDocument/2006/relationships/hyperlink" Target="https://tools.wmflabs.org/geohack/geohack.php?pagename=List_of_power_stations_in_Germany&amp;params=51.1665488_N_9.0465868_E_&amp;title=Waldeck+II+Pumped+Storage+Station" TargetMode="External"/><Relationship Id="rId362" Type="http://schemas.openxmlformats.org/officeDocument/2006/relationships/hyperlink" Target="https://en.wikipedia.org/wiki/R%C3%A9gua_Dam" TargetMode="External"/><Relationship Id="rId418" Type="http://schemas.openxmlformats.org/officeDocument/2006/relationships/hyperlink" Target="https://en.wikipedia.org/wiki/Drava" TargetMode="External"/><Relationship Id="rId625" Type="http://schemas.openxmlformats.org/officeDocument/2006/relationships/hyperlink" Target="https://tools.wmflabs.org/os/coor_g/?pagename=List_of_power_stations_in_Scotland&amp;params=NH223108_region%3AGB_scale%3A25000" TargetMode="External"/><Relationship Id="rId832" Type="http://schemas.openxmlformats.org/officeDocument/2006/relationships/hyperlink" Target="https://en.wikipedia.org/wiki/Breadalbane_hydro-electric_power_scheme" TargetMode="External"/><Relationship Id="rId222" Type="http://schemas.openxmlformats.org/officeDocument/2006/relationships/hyperlink" Target="https://en.wikipedia.org/wiki/County_Clare" TargetMode="External"/><Relationship Id="rId264" Type="http://schemas.openxmlformats.org/officeDocument/2006/relationships/hyperlink" Target="https://en.wikipedia.org/wiki/Enel" TargetMode="External"/><Relationship Id="rId471" Type="http://schemas.openxmlformats.org/officeDocument/2006/relationships/hyperlink" Target="https://en.wikipedia.org/wiki/Chandoline_Power_Station" TargetMode="External"/><Relationship Id="rId667" Type="http://schemas.openxmlformats.org/officeDocument/2006/relationships/hyperlink" Target="https://en.wikipedia.org/wiki/List_of_power_stations_in_Scotland" TargetMode="External"/><Relationship Id="rId874" Type="http://schemas.openxmlformats.org/officeDocument/2006/relationships/printerSettings" Target="../printerSettings/printerSettings1.bin"/><Relationship Id="rId17" Type="http://schemas.openxmlformats.org/officeDocument/2006/relationships/hyperlink" Target="https://tools.wmflabs.org/geohack/geohack.php?pagename=List_of_power_stations_in_Belgium&amp;params=50.593184_N_5.461270_E_type:landmark&amp;title=Ivoz-Ramet%2C+EDF+Luminus%2C+hydroelectric" TargetMode="External"/><Relationship Id="rId59" Type="http://schemas.openxmlformats.org/officeDocument/2006/relationships/hyperlink" Target="https://tools.wmflabs.org/geohack/geohack.php?pagename=List_of_power_stations_in_Bulgaria&amp;params=42.2083672_N_23.9158201_E_&amp;title=Sestrimo+Hydro+Power+Plant" TargetMode="External"/><Relationship Id="rId124" Type="http://schemas.openxmlformats.org/officeDocument/2006/relationships/hyperlink" Target="https://en.wikipedia.org/w/index.php?title=Pfrombach_Power_Station&amp;action=edit&amp;redlink=1" TargetMode="External"/><Relationship Id="rId527" Type="http://schemas.openxmlformats.org/officeDocument/2006/relationships/hyperlink" Target="https://en.wikipedia.org/wiki/Imst" TargetMode="External"/><Relationship Id="rId569" Type="http://schemas.openxmlformats.org/officeDocument/2006/relationships/hyperlink" Target="https://en.wikipedia.org/wiki/Rheidol_Power_Station" TargetMode="External"/><Relationship Id="rId734" Type="http://schemas.openxmlformats.org/officeDocument/2006/relationships/hyperlink" Target="https://en.wikipedia.org/wiki/Scottish_and_Southern_Energy" TargetMode="External"/><Relationship Id="rId776" Type="http://schemas.openxmlformats.org/officeDocument/2006/relationships/hyperlink" Target="https://en.wikipedia.org/wiki/Scottish_and_Southern_Energy" TargetMode="External"/><Relationship Id="rId70" Type="http://schemas.openxmlformats.org/officeDocument/2006/relationships/hyperlink" Target="https://en.wikipedia.org/wiki/Lou%C4%8Dn%C3%A1_nad_Desnou" TargetMode="External"/><Relationship Id="rId166" Type="http://schemas.openxmlformats.org/officeDocument/2006/relationships/hyperlink" Target="https://en.wikipedia.org/w/index.php?title=Koepchenwerk_Pumped_Storage_Station&amp;action=edit&amp;redlink=1" TargetMode="External"/><Relationship Id="rId331" Type="http://schemas.openxmlformats.org/officeDocument/2006/relationships/hyperlink" Target="https://en.wikipedia.org/wiki/Malopolskie" TargetMode="External"/><Relationship Id="rId373" Type="http://schemas.openxmlformats.org/officeDocument/2006/relationships/hyperlink" Target="https://tools.wmflabs.org/geohack/geohack.php?pagename=List_of_power_stations_in_Portugal&amp;params=41.762177_N_8.208314_W_type:landmark&amp;title=Vilarinho+das+Furnas+Dam" TargetMode="External"/><Relationship Id="rId429" Type="http://schemas.openxmlformats.org/officeDocument/2006/relationships/hyperlink" Target="https://en.wikipedia.org/wiki/Plave" TargetMode="External"/><Relationship Id="rId580" Type="http://schemas.openxmlformats.org/officeDocument/2006/relationships/hyperlink" Target="https://en.wikipedia.org/wiki/Argyll_and_Bute" TargetMode="External"/><Relationship Id="rId636" Type="http://schemas.openxmlformats.org/officeDocument/2006/relationships/hyperlink" Target="https://tools.wmflabs.org/os/coor_g/?pagename=List_of_power_stations_in_Scotland&amp;params=NN912597_region%3AGB_scale%3A25000" TargetMode="External"/><Relationship Id="rId801" Type="http://schemas.openxmlformats.org/officeDocument/2006/relationships/hyperlink" Target="https://tools.wmflabs.org/os/coor_g/?pagename=List_of_power_stations_in_Scotland&amp;params=NG852272_region%3AGB_scale%3A25000" TargetMode="External"/><Relationship Id="rId1" Type="http://schemas.openxmlformats.org/officeDocument/2006/relationships/hyperlink" Target="https://en.wikipedia.org/wiki/Coo-Trois-Ponts_Hydroelectric_Power_Station" TargetMode="External"/><Relationship Id="rId233" Type="http://schemas.openxmlformats.org/officeDocument/2006/relationships/hyperlink" Target="https://en.wikipedia.org/wiki/County_Kerry" TargetMode="External"/><Relationship Id="rId440" Type="http://schemas.openxmlformats.org/officeDocument/2006/relationships/hyperlink" Target="https://tools.wmflabs.org/geohack/geohack.php?pagename=List_of_power_stations_in_Sweden&amp;params=58.2803547_N_12.2787452_E_region:SE_type:landmark&amp;title=Hojum+Hydroelectric+Power+Station" TargetMode="External"/><Relationship Id="rId678" Type="http://schemas.openxmlformats.org/officeDocument/2006/relationships/hyperlink" Target="https://tools.wmflabs.org/os/coor_g/?pagename=List_of_power_stations_in_Scotland&amp;params=NN585345_region%3AGB_scale%3A25000" TargetMode="External"/><Relationship Id="rId843" Type="http://schemas.openxmlformats.org/officeDocument/2006/relationships/hyperlink" Target="https://tools.wmflabs.org/os/coor_g/?pagename=List_of_power_stations_in_Scotland&amp;params=NG500506_region%3AGB_scale%3A25000" TargetMode="External"/><Relationship Id="rId28" Type="http://schemas.openxmlformats.org/officeDocument/2006/relationships/hyperlink" Target="https://en.wikipedia.org/wiki/Aleko_Hydro_Power_Plant" TargetMode="External"/><Relationship Id="rId275" Type="http://schemas.openxmlformats.org/officeDocument/2006/relationships/hyperlink" Target="https://en.wikipedia.org/wiki/Edison_(company)" TargetMode="External"/><Relationship Id="rId300" Type="http://schemas.openxmlformats.org/officeDocument/2006/relationships/hyperlink" Target="https://en.wikipedia.org/wiki/Enel" TargetMode="External"/><Relationship Id="rId482" Type="http://schemas.openxmlformats.org/officeDocument/2006/relationships/hyperlink" Target="https://en.wikipedia.org/w/index.php?title=Grimsel_2_Hydroelectric_Power_Station&amp;action=edit&amp;redlink=1" TargetMode="External"/><Relationship Id="rId538" Type="http://schemas.openxmlformats.org/officeDocument/2006/relationships/hyperlink" Target="https://tools.wmflabs.org/geohack/geohack.php?pagename=List_of_power_stations_in_England&amp;params=54_15_15.857_N_2_59_25.389_W_&amp;title=%22Backbarrow%22" TargetMode="External"/><Relationship Id="rId703" Type="http://schemas.openxmlformats.org/officeDocument/2006/relationships/hyperlink" Target="https://en.wikipedia.org/wiki/List_of_power_stations_in_Scotland" TargetMode="External"/><Relationship Id="rId745" Type="http://schemas.openxmlformats.org/officeDocument/2006/relationships/hyperlink" Target="https://tools.wmflabs.org/os/coor_g/?pagename=List_of_power_stations_in_Scotland&amp;params=NN191617_region%3AGB_scale%3A25000" TargetMode="External"/><Relationship Id="rId81" Type="http://schemas.openxmlformats.org/officeDocument/2006/relationships/hyperlink" Target="https://tools.wmflabs.org/geohack/geohack.php?pagename=List_of_power_stations_in_the_Czech_Republic&amp;params=49.8235461_N_14.4345009_E_type:landmark&amp;title=Slapy+Hydro+Power+Plant" TargetMode="External"/><Relationship Id="rId135" Type="http://schemas.openxmlformats.org/officeDocument/2006/relationships/hyperlink" Target="https://tools.wmflabs.org/geohack/geohack.php?pagename=List_of_power_stations_in_Germany&amp;params=51.7390417_N_10.9071493_E_&amp;title=Wendefurth+Power+Station" TargetMode="External"/><Relationship Id="rId177" Type="http://schemas.openxmlformats.org/officeDocument/2006/relationships/hyperlink" Target="https://tools.wmflabs.org/geohack/geohack.php?pagename=List_of_power_stations_in_Germany&amp;params=51.0913301_N_13.6100435_E_&amp;title=Niederwartha+Pumped+Storage+Station" TargetMode="External"/><Relationship Id="rId342" Type="http://schemas.openxmlformats.org/officeDocument/2006/relationships/hyperlink" Target="https://tools.wmflabs.org/geohack/geohack.php?pagename=List_of_power_stations_in_Portugal&amp;params=41.872835_N_8.204075_W_type:landmark&amp;title=Alto+Lindoso+Dam" TargetMode="External"/><Relationship Id="rId384" Type="http://schemas.openxmlformats.org/officeDocument/2006/relationships/hyperlink" Target="https://en.wikipedia.org/wiki/List_of_power_stations_in_Romania" TargetMode="External"/><Relationship Id="rId591" Type="http://schemas.openxmlformats.org/officeDocument/2006/relationships/hyperlink" Target="https://tools.wmflabs.org/os/coor_g/?pagename=List_of_power_stations_in_Scotland&amp;params=NN331209_region%3AGB_scale%3A25000" TargetMode="External"/><Relationship Id="rId605" Type="http://schemas.openxmlformats.org/officeDocument/2006/relationships/hyperlink" Target="https://tools.wmflabs.org/os/coor_g/?pagename=List_of_power_stations_in_Scotland&amp;params=NS884416_region%3AGB_scale%3A25000" TargetMode="External"/><Relationship Id="rId787" Type="http://schemas.openxmlformats.org/officeDocument/2006/relationships/hyperlink" Target="https://tools.wmflabs.org/os/coor_g/?pagename=List_of_power_stations_in_Scotland&amp;params=NM683922_region%3AGB_scale%3A25000" TargetMode="External"/><Relationship Id="rId812" Type="http://schemas.openxmlformats.org/officeDocument/2006/relationships/hyperlink" Target="https://en.wikipedia.org/wiki/List_of_power_stations_in_Scotland" TargetMode="External"/><Relationship Id="rId202" Type="http://schemas.openxmlformats.org/officeDocument/2006/relationships/hyperlink" Target="https://en.wikipedia.org/w/index.php?title=Wendefurth_Pumped_Storage_Station&amp;action=edit&amp;redlink=1" TargetMode="External"/><Relationship Id="rId244" Type="http://schemas.openxmlformats.org/officeDocument/2006/relationships/hyperlink" Target="https://en.wikipedia.org/wiki/County_Kildare" TargetMode="External"/><Relationship Id="rId647" Type="http://schemas.openxmlformats.org/officeDocument/2006/relationships/hyperlink" Target="https://tools.wmflabs.org/os/coor_g/?pagename=List_of_power_stations_in_Scotland&amp;params=NH377404_region%3AGB_scale%3A25000" TargetMode="External"/><Relationship Id="rId689" Type="http://schemas.openxmlformats.org/officeDocument/2006/relationships/hyperlink" Target="https://en.wikipedia.org/wiki/RWE_npower_Renewables" TargetMode="External"/><Relationship Id="rId854" Type="http://schemas.openxmlformats.org/officeDocument/2006/relationships/hyperlink" Target="https://tools.wmflabs.org/os/coor_g/?pagename=List_of_power_stations_in_Scotland&amp;params=NH446545_region%3AGB_scale%3A25000" TargetMode="External"/><Relationship Id="rId39" Type="http://schemas.openxmlformats.org/officeDocument/2006/relationships/hyperlink" Target="https://en.wikipedia.org/wiki/Devin_Hydro_Power_Plant" TargetMode="External"/><Relationship Id="rId286" Type="http://schemas.openxmlformats.org/officeDocument/2006/relationships/hyperlink" Target="https://en.wikipedia.org/wiki/Enel" TargetMode="External"/><Relationship Id="rId451" Type="http://schemas.openxmlformats.org/officeDocument/2006/relationships/hyperlink" Target="https://tools.wmflabs.org/geohack/geohack.php?pagename=List_of_power_stations_in_Sweden&amp;params=66.9542809_N_19.7960758_E_region:SE_type:landmark&amp;title=Porjus+Hydroelectric+Power+Station" TargetMode="External"/><Relationship Id="rId493" Type="http://schemas.openxmlformats.org/officeDocument/2006/relationships/hyperlink" Target="https://tools.wmflabs.org/geohack/geohack.php?pagename=List_of_power_stations_in_Switzerland&amp;params=47.387396_N_8.532321_E_type:landmark_region:CH&amp;title=Letten+Power+Station" TargetMode="External"/><Relationship Id="rId507" Type="http://schemas.openxmlformats.org/officeDocument/2006/relationships/hyperlink" Target="https://en.wikipedia.org/wiki/Littau,_Switzerland" TargetMode="External"/><Relationship Id="rId549" Type="http://schemas.openxmlformats.org/officeDocument/2006/relationships/hyperlink" Target="https://en.wikipedia.org/wiki/Gants_Mill" TargetMode="External"/><Relationship Id="rId714" Type="http://schemas.openxmlformats.org/officeDocument/2006/relationships/hyperlink" Target="https://en.wikipedia.org/wiki/Scottish_and_Southern_Energy" TargetMode="External"/><Relationship Id="rId756" Type="http://schemas.openxmlformats.org/officeDocument/2006/relationships/hyperlink" Target="https://en.wikipedia.org/wiki/List_of_power_stations_in_Scotland" TargetMode="External"/><Relationship Id="rId50" Type="http://schemas.openxmlformats.org/officeDocument/2006/relationships/hyperlink" Target="https://en.wikipedia.org/wiki/Momina_Klisura_Hydroelectric_Power_Station" TargetMode="External"/><Relationship Id="rId104" Type="http://schemas.openxmlformats.org/officeDocument/2006/relationships/hyperlink" Target="https://en.wikipedia.org/w/index.php?title=Eitting_Power_Station&amp;action=edit&amp;redlink=1" TargetMode="External"/><Relationship Id="rId146" Type="http://schemas.openxmlformats.org/officeDocument/2006/relationships/hyperlink" Target="https://en.wikipedia.org/w/index.php?title=Bleiloch_Pumped_Storage_Station&amp;action=edit&amp;redlink=1" TargetMode="External"/><Relationship Id="rId188" Type="http://schemas.openxmlformats.org/officeDocument/2006/relationships/hyperlink" Target="https://en.wikipedia.org/w/index.php?title=Rusel_Power_Plant&amp;action=edit&amp;redlink=1" TargetMode="External"/><Relationship Id="rId311" Type="http://schemas.openxmlformats.org/officeDocument/2006/relationships/hyperlink" Target="https://en.wikipedia.org/wiki/Enel" TargetMode="External"/><Relationship Id="rId353" Type="http://schemas.openxmlformats.org/officeDocument/2006/relationships/hyperlink" Target="https://en.wikipedia.org/wiki/Crestuma-Lever_Dam" TargetMode="External"/><Relationship Id="rId395" Type="http://schemas.openxmlformats.org/officeDocument/2006/relationships/hyperlink" Target="https://tools.wmflabs.org/geohack/geohack.php?pagename=List_of_power_stations_in_Romania&amp;params=45.689244_N_23.6093831_E_&amp;title=%C5%9Eugag+Dam" TargetMode="External"/><Relationship Id="rId409" Type="http://schemas.openxmlformats.org/officeDocument/2006/relationships/hyperlink" Target="https://tools.wmflabs.org/geohack/geohack.php?pagename=List_of_power_stations_in_Slovakia&amp;params=49.1929_N_18.5083_E_type:landmark&amp;title=Mik%C5%A1ov%C3%A1" TargetMode="External"/><Relationship Id="rId560" Type="http://schemas.openxmlformats.org/officeDocument/2006/relationships/hyperlink" Target="https://tools.wmflabs.org/geohack/geohack.php?pagename=List_of_power_stations_in_England&amp;params=51_10_48.202_N_0_45_0.034_W_&amp;title=%22River+Wey%22" TargetMode="External"/><Relationship Id="rId798" Type="http://schemas.openxmlformats.org/officeDocument/2006/relationships/hyperlink" Target="https://tools.wmflabs.org/os/coor_g/?pagename=List_of_power_stations_in_Scotland&amp;params=NN015208_region%3AGB_scale%3A25000" TargetMode="External"/><Relationship Id="rId92" Type="http://schemas.openxmlformats.org/officeDocument/2006/relationships/hyperlink" Target="https://en.wikipedia.org/w/index.php?title=Bad_S%C3%A4ckingen_Power_Station&amp;action=edit&amp;redlink=1" TargetMode="External"/><Relationship Id="rId213" Type="http://schemas.openxmlformats.org/officeDocument/2006/relationships/hyperlink" Target="https://en.wikipedia.org/wiki/Plastiras_Dam" TargetMode="External"/><Relationship Id="rId420" Type="http://schemas.openxmlformats.org/officeDocument/2006/relationships/hyperlink" Target="https://en.wikipedia.org/wiki/Drava" TargetMode="External"/><Relationship Id="rId616" Type="http://schemas.openxmlformats.org/officeDocument/2006/relationships/hyperlink" Target="https://en.wikipedia.org/wiki/List_of_power_stations_in_Scotland" TargetMode="External"/><Relationship Id="rId658" Type="http://schemas.openxmlformats.org/officeDocument/2006/relationships/hyperlink" Target="https://tools.wmflabs.org/os/coor_g/?pagename=List_of_power_stations_in_Scotland&amp;params=NN054054_region%3AGB_scale%3A25000" TargetMode="External"/><Relationship Id="rId823" Type="http://schemas.openxmlformats.org/officeDocument/2006/relationships/hyperlink" Target="https://en.wikipedia.org/wiki/Scottish_and_Southern_Energy" TargetMode="External"/><Relationship Id="rId865" Type="http://schemas.openxmlformats.org/officeDocument/2006/relationships/hyperlink" Target="https://en.wikipedia.org/wiki/Run-of-the-river_hydroelectricity" TargetMode="External"/><Relationship Id="rId255" Type="http://schemas.openxmlformats.org/officeDocument/2006/relationships/hyperlink" Target="https://en.wikipedia.org/wiki/Enel" TargetMode="External"/><Relationship Id="rId297" Type="http://schemas.openxmlformats.org/officeDocument/2006/relationships/hyperlink" Target="https://en.wikipedia.org/wiki/Edison_(company)" TargetMode="External"/><Relationship Id="rId462" Type="http://schemas.openxmlformats.org/officeDocument/2006/relationships/hyperlink" Target="https://en.wikipedia.org/w/index.php?title=Kilforsen&amp;action=edit&amp;redlink=1" TargetMode="External"/><Relationship Id="rId518" Type="http://schemas.openxmlformats.org/officeDocument/2006/relationships/hyperlink" Target="https://en.wikipedia.org/wiki/List_of_power_stations_in_Austria" TargetMode="External"/><Relationship Id="rId725" Type="http://schemas.openxmlformats.org/officeDocument/2006/relationships/hyperlink" Target="https://tools.wmflabs.org/os/coor_g/?pagename=List_of_power_stations_in_Scotland&amp;params=NH189854_region%3AGB_scale%3A25000" TargetMode="External"/><Relationship Id="rId115" Type="http://schemas.openxmlformats.org/officeDocument/2006/relationships/hyperlink" Target="https://tools.wmflabs.org/geohack/geohack.php?pagename=List_of_power_stations_in_Germany&amp;params=48.5791554_N_13.4073865_E_&amp;title=Kachlet+Power+Station" TargetMode="External"/><Relationship Id="rId157" Type="http://schemas.openxmlformats.org/officeDocument/2006/relationships/hyperlink" Target="https://tools.wmflabs.org/geohack/geohack.php?pagename=List_of_power_stations_in_Germany&amp;params=50.5080843_N_11.0044706_E_&amp;title=Goldisthal+Pumped+Storage+Station" TargetMode="External"/><Relationship Id="rId322" Type="http://schemas.openxmlformats.org/officeDocument/2006/relationships/hyperlink" Target="https://tools.wmflabs.org/geohack/geohack.php?pagename=Vianden_Pumped_Storage_Plant&amp;params=49_57_08_N_6_10_38_E_type:landmark" TargetMode="External"/><Relationship Id="rId364" Type="http://schemas.openxmlformats.org/officeDocument/2006/relationships/hyperlink" Target="https://tools.wmflabs.org/geohack/geohack.php?pagename=List_of_power_stations_in_Portugal&amp;params=41.147998_N_7.739552_W_type:landmark&amp;title=R%C3%A9gua+Dam" TargetMode="External"/><Relationship Id="rId767" Type="http://schemas.openxmlformats.org/officeDocument/2006/relationships/hyperlink" Target="https://en.wikipedia.org/wiki/List_of_power_stations_in_Scotland" TargetMode="External"/><Relationship Id="rId61" Type="http://schemas.openxmlformats.org/officeDocument/2006/relationships/hyperlink" Target="https://tools.wmflabs.org/geohack/geohack.php?pagename=List_of_power_stations_in_Bulgaria&amp;params=41.6637673_N_24.3409181_E_&amp;title=Teshel+Hydro+Power+Plant" TargetMode="External"/><Relationship Id="rId199" Type="http://schemas.openxmlformats.org/officeDocument/2006/relationships/hyperlink" Target="https://tools.wmflabs.org/geohack/geohack.php?pagename=List_of_power_stations_in_Germany&amp;params=47.6176199_N_8.192625_E_&amp;title=Waldshut+Pumped+Storage+Station" TargetMode="External"/><Relationship Id="rId571" Type="http://schemas.openxmlformats.org/officeDocument/2006/relationships/hyperlink" Target="https://tools.wmflabs.org/geohack/geohack.php?pagename=List_of_power_stations_in_Wales&amp;params=52_23_46_N_3_54_00_W_&amp;title=Rheidol+Power+Station" TargetMode="External"/><Relationship Id="rId627" Type="http://schemas.openxmlformats.org/officeDocument/2006/relationships/hyperlink" Target="https://en.wikipedia.org/wiki/Scottish_and_Southern_Energy" TargetMode="External"/><Relationship Id="rId669" Type="http://schemas.openxmlformats.org/officeDocument/2006/relationships/hyperlink" Target="https://en.wikipedia.org/wiki/Tummel_hydro-electric_power_scheme" TargetMode="External"/><Relationship Id="rId834" Type="http://schemas.openxmlformats.org/officeDocument/2006/relationships/hyperlink" Target="https://en.wikipedia.org/wiki/List_of_power_stations_in_Scotland" TargetMode="External"/><Relationship Id="rId876" Type="http://schemas.openxmlformats.org/officeDocument/2006/relationships/vmlDrawing" Target="../drawings/vmlDrawing1.vml"/><Relationship Id="rId19" Type="http://schemas.openxmlformats.org/officeDocument/2006/relationships/hyperlink" Target="https://tools.wmflabs.org/geohack/geohack.php?pagename=List_of_power_stations_in_Belgium&amp;params=50.491974_N_5.069906_E_type:landmark&amp;title=Andenne%2C+EDF+Luminus%2C+hydroelectric" TargetMode="External"/><Relationship Id="rId224" Type="http://schemas.openxmlformats.org/officeDocument/2006/relationships/hyperlink" Target="https://en.wikipedia.org/wiki/County_Offaly" TargetMode="External"/><Relationship Id="rId266" Type="http://schemas.openxmlformats.org/officeDocument/2006/relationships/hyperlink" Target="https://tools.wmflabs.org/geohack/geohack.php?pagename=List_of_power_stations_in_Italy&amp;params=44_13_29_N_07_23_10_E_&amp;title=Entracque+Power+Plant" TargetMode="External"/><Relationship Id="rId431" Type="http://schemas.openxmlformats.org/officeDocument/2006/relationships/hyperlink" Target="https://en.wikipedia.org/wiki/Doblar" TargetMode="External"/><Relationship Id="rId473" Type="http://schemas.openxmlformats.org/officeDocument/2006/relationships/hyperlink" Target="https://tools.wmflabs.org/geohack/geohack.php?pagename=List_of_power_stations_in_Switzerland&amp;params=47.410137_N_8.408344_E_type:landmark_region:CH&amp;title=Dietikon+Power+Station" TargetMode="External"/><Relationship Id="rId529" Type="http://schemas.openxmlformats.org/officeDocument/2006/relationships/hyperlink" Target="https://en.wikipedia.org/wiki/Jenbach" TargetMode="External"/><Relationship Id="rId680" Type="http://schemas.openxmlformats.org/officeDocument/2006/relationships/hyperlink" Target="https://tools.wmflabs.org/os/coor_g/?pagename=List_of_power_stations_in_Scotland&amp;params=NH503217_region%3AGB_scale%3A25000" TargetMode="External"/><Relationship Id="rId736" Type="http://schemas.openxmlformats.org/officeDocument/2006/relationships/hyperlink" Target="https://en.wikipedia.org/wiki/List_of_power_stations_in_Scotland" TargetMode="External"/><Relationship Id="rId30" Type="http://schemas.openxmlformats.org/officeDocument/2006/relationships/hyperlink" Target="https://tools.wmflabs.org/geohack/geohack.php?pagename=List_of_power_stations_in_Bulgaria&amp;params=42.1194263_N_24.2889798_E_&amp;title=Aleko+Hydro+Power+Plant" TargetMode="External"/><Relationship Id="rId126" Type="http://schemas.openxmlformats.org/officeDocument/2006/relationships/hyperlink" Target="https://en.wikipedia.org/w/index.php?title=Rheinfelden_Power_Station&amp;action=edit&amp;redlink=1" TargetMode="External"/><Relationship Id="rId168" Type="http://schemas.openxmlformats.org/officeDocument/2006/relationships/hyperlink" Target="https://en.wikipedia.org/wiki/Langenprozelten_Pumped_Storage_Station" TargetMode="External"/><Relationship Id="rId333" Type="http://schemas.openxmlformats.org/officeDocument/2006/relationships/hyperlink" Target="https://en.wikipedia.org/wiki/Malopolskie" TargetMode="External"/><Relationship Id="rId540" Type="http://schemas.openxmlformats.org/officeDocument/2006/relationships/hyperlink" Target="https://tools.wmflabs.org/geohack/geohack.php?pagename=List_of_power_stations_in_England&amp;params=53_1_41.579_N_1_29_12.841_W_&amp;title=%22Belper+North+Mill%22" TargetMode="External"/><Relationship Id="rId778" Type="http://schemas.openxmlformats.org/officeDocument/2006/relationships/hyperlink" Target="https://tools.wmflabs.org/os/coor_g/?pagename=List_of_power_stations_in_Scotland&amp;params=NN453417_region%3AGB_scale%3A25000" TargetMode="External"/><Relationship Id="rId72" Type="http://schemas.openxmlformats.org/officeDocument/2006/relationships/hyperlink" Target="https://en.wikipedia.org/wiki/%C4%8CEZ" TargetMode="External"/><Relationship Id="rId375" Type="http://schemas.openxmlformats.org/officeDocument/2006/relationships/hyperlink" Target="https://tools.wmflabs.org/geohack/geohack.php?pagename=List_of_power_stations_in_Romania&amp;params=46.9386307_N_26.1028719_E_&amp;title=Bicaz-Stejaru+Hydroelectric+Power+Station" TargetMode="External"/><Relationship Id="rId582" Type="http://schemas.openxmlformats.org/officeDocument/2006/relationships/hyperlink" Target="https://en.wikipedia.org/wiki/Scottish_and_Southern_Energy" TargetMode="External"/><Relationship Id="rId638" Type="http://schemas.openxmlformats.org/officeDocument/2006/relationships/hyperlink" Target="https://en.wikipedia.org/wiki/Scottish_and_Southern_Energy" TargetMode="External"/><Relationship Id="rId803" Type="http://schemas.openxmlformats.org/officeDocument/2006/relationships/hyperlink" Target="https://en.wikipedia.org/wiki/Scottish_and_Southern_Energy" TargetMode="External"/><Relationship Id="rId845" Type="http://schemas.openxmlformats.org/officeDocument/2006/relationships/hyperlink" Target="https://en.wikipedia.org/wiki/Scottish_and_Southern_Energy" TargetMode="External"/><Relationship Id="rId3" Type="http://schemas.openxmlformats.org/officeDocument/2006/relationships/hyperlink" Target="https://tools.wmflabs.org/geohack/geohack.php?pagename=List_of_power_stations_in_Belgium&amp;params=50.3867143_N_5.8572578_E_type:landmark&amp;title=Coo-trois-Ponts%2C+Electrabel%2C+Pumped+storage" TargetMode="External"/><Relationship Id="rId235" Type="http://schemas.openxmlformats.org/officeDocument/2006/relationships/hyperlink" Target="https://en.wikipedia.org/wiki/County_Cork" TargetMode="External"/><Relationship Id="rId277" Type="http://schemas.openxmlformats.org/officeDocument/2006/relationships/hyperlink" Target="https://en.wikipedia.org/wiki/Enel" TargetMode="External"/><Relationship Id="rId400" Type="http://schemas.openxmlformats.org/officeDocument/2006/relationships/hyperlink" Target="https://en.wikipedia.org/w/index.php?title=%C4%8Cierny_V%C3%A1h_Hydro_Power_Plant&amp;action=edit&amp;redlink=1" TargetMode="External"/><Relationship Id="rId442" Type="http://schemas.openxmlformats.org/officeDocument/2006/relationships/hyperlink" Target="https://en.wikipedia.org/wiki/G%C3%B6ta_%C3%A4lv" TargetMode="External"/><Relationship Id="rId484" Type="http://schemas.openxmlformats.org/officeDocument/2006/relationships/hyperlink" Target="https://tools.wmflabs.org/geohack/geohack.php?pagename=List_of_power_stations_in_Switzerland&amp;params=46.5731887_N_8.3378989_E_type:landmark_region:CH&amp;title=Grimsel+2" TargetMode="External"/><Relationship Id="rId705" Type="http://schemas.openxmlformats.org/officeDocument/2006/relationships/hyperlink" Target="https://en.wikipedia.org/wiki/Galloway_hydro-electric_power_scheme" TargetMode="External"/><Relationship Id="rId137" Type="http://schemas.openxmlformats.org/officeDocument/2006/relationships/hyperlink" Target="https://tools.wmflabs.org/geohack/geohack.php?pagename=List_of_power_stations_in_Germany&amp;params=47.5389195_N_7.7076817_E_&amp;title=Wyhlen+Dam" TargetMode="External"/><Relationship Id="rId302" Type="http://schemas.openxmlformats.org/officeDocument/2006/relationships/hyperlink" Target="https://en.wikipedia.org/wiki/Enel" TargetMode="External"/><Relationship Id="rId344" Type="http://schemas.openxmlformats.org/officeDocument/2006/relationships/hyperlink" Target="https://en.wikipedia.org/wiki/Bragan%C3%A7a_District" TargetMode="External"/><Relationship Id="rId691" Type="http://schemas.openxmlformats.org/officeDocument/2006/relationships/hyperlink" Target="https://en.wikipedia.org/wiki/List_of_power_stations_in_Scotland" TargetMode="External"/><Relationship Id="rId747" Type="http://schemas.openxmlformats.org/officeDocument/2006/relationships/hyperlink" Target="https://en.wikipedia.org/wiki/Scottish_and_Southern_Energy" TargetMode="External"/><Relationship Id="rId789" Type="http://schemas.openxmlformats.org/officeDocument/2006/relationships/hyperlink" Target="https://en.wikipedia.org/wiki/Scottish_and_Southern_Energy" TargetMode="External"/><Relationship Id="rId41" Type="http://schemas.openxmlformats.org/officeDocument/2006/relationships/hyperlink" Target="https://tools.wmflabs.org/geohack/geohack.php?pagename=List_of_power_stations_in_Bulgaria&amp;params=41.7201526_N_24.424957_E_&amp;title=Devin+Hydro+Power+Plant" TargetMode="External"/><Relationship Id="rId83" Type="http://schemas.openxmlformats.org/officeDocument/2006/relationships/hyperlink" Target="https://en.wikipedia.org/wiki/Lipno_nad_Vltavou" TargetMode="External"/><Relationship Id="rId179" Type="http://schemas.openxmlformats.org/officeDocument/2006/relationships/hyperlink" Target="https://tools.wmflabs.org/geohack/geohack.php?pagename=List_of_power_stations_in_Germany&amp;params=51.6460663_N_10.5031013_E_&amp;title=Oder+Valley+Dam" TargetMode="External"/><Relationship Id="rId386" Type="http://schemas.openxmlformats.org/officeDocument/2006/relationships/hyperlink" Target="https://tools.wmflabs.org/geohack/geohack.php?pagename=List_of_power_stations_in_Romania&amp;params=46.7889_N_22.5671625_E_&amp;title=Iron+Gate+II+Hydroelectric+Power+Station" TargetMode="External"/><Relationship Id="rId551" Type="http://schemas.openxmlformats.org/officeDocument/2006/relationships/hyperlink" Target="https://en.wikipedia.org/w/index.php?title=Glen_Lyn_Gorge&amp;action=edit&amp;redlink=1" TargetMode="External"/><Relationship Id="rId593" Type="http://schemas.openxmlformats.org/officeDocument/2006/relationships/hyperlink" Target="https://en.wikipedia.org/wiki/Scottish_and_Southern_Energy" TargetMode="External"/><Relationship Id="rId607" Type="http://schemas.openxmlformats.org/officeDocument/2006/relationships/hyperlink" Target="https://en.wikipedia.org/wiki/RWE_npower_Renewables" TargetMode="External"/><Relationship Id="rId649" Type="http://schemas.openxmlformats.org/officeDocument/2006/relationships/hyperlink" Target="https://en.wikipedia.org/wiki/Scottish_and_Southern_Energy" TargetMode="External"/><Relationship Id="rId814" Type="http://schemas.openxmlformats.org/officeDocument/2006/relationships/hyperlink" Target="https://en.wikipedia.org/wiki/Tummel_hydro-electric_power_scheme" TargetMode="External"/><Relationship Id="rId856" Type="http://schemas.openxmlformats.org/officeDocument/2006/relationships/hyperlink" Target="https://en.wikipedia.org/wiki/Scottish_and_Southern_Energy" TargetMode="External"/><Relationship Id="rId190" Type="http://schemas.openxmlformats.org/officeDocument/2006/relationships/hyperlink" Target="https://en.wikipedia.org/w/index.php?title=S%C3%A4ckingen_Pumped_Storage_Station&amp;action=edit&amp;redlink=1" TargetMode="External"/><Relationship Id="rId204" Type="http://schemas.openxmlformats.org/officeDocument/2006/relationships/hyperlink" Target="https://en.wikipedia.org/w/index.php?title=Wisenta_Pumped_Storage_Station&amp;action=edit&amp;redlink=1" TargetMode="External"/><Relationship Id="rId246" Type="http://schemas.openxmlformats.org/officeDocument/2006/relationships/hyperlink" Target="https://en.wikipedia.org/wiki/County_Wicklow" TargetMode="External"/><Relationship Id="rId288" Type="http://schemas.openxmlformats.org/officeDocument/2006/relationships/hyperlink" Target="https://en.wikipedia.org/wiki/Enel" TargetMode="External"/><Relationship Id="rId411" Type="http://schemas.openxmlformats.org/officeDocument/2006/relationships/hyperlink" Target="https://tools.wmflabs.org/geohack/geohack.php?pagename=List_of_power_stations_in_Slovakia&amp;params=49.1274594_N_18.3642483_E_type:landmark&amp;title=Nosice+Hydro+Power+Plant" TargetMode="External"/><Relationship Id="rId453" Type="http://schemas.openxmlformats.org/officeDocument/2006/relationships/hyperlink" Target="https://en.wikipedia.org/wiki/Harspr%C3%A5nget_Hydroelectric_power_station" TargetMode="External"/><Relationship Id="rId509" Type="http://schemas.openxmlformats.org/officeDocument/2006/relationships/hyperlink" Target="https://en.wikipedia.org/wiki/Turgi" TargetMode="External"/><Relationship Id="rId660" Type="http://schemas.openxmlformats.org/officeDocument/2006/relationships/hyperlink" Target="https://en.wikipedia.org/wiki/Scottish_Power" TargetMode="External"/><Relationship Id="rId106" Type="http://schemas.openxmlformats.org/officeDocument/2006/relationships/hyperlink" Target="https://en.wikipedia.org/w/index.php?title=Fankel_Power_Station&amp;action=edit&amp;redlink=1" TargetMode="External"/><Relationship Id="rId313" Type="http://schemas.openxmlformats.org/officeDocument/2006/relationships/hyperlink" Target="https://en.wikipedia.org/wiki/Aizkraukle" TargetMode="External"/><Relationship Id="rId495" Type="http://schemas.openxmlformats.org/officeDocument/2006/relationships/hyperlink" Target="https://tools.wmflabs.org/geohack/geohack.php?pagename=List_of_power_stations_in_Switzerland&amp;params=46_51_00_N_9_0_03_E_type:landmark_region:CH&amp;title=Linth%E2%80%93Limmern+Power+Stations" TargetMode="External"/><Relationship Id="rId716" Type="http://schemas.openxmlformats.org/officeDocument/2006/relationships/hyperlink" Target="https://tools.wmflabs.org/os/coor_g/?pagename=List_of_power_stations_in_Scotland&amp;params=NN016321_region%3AGB_scale%3A25000" TargetMode="External"/><Relationship Id="rId758" Type="http://schemas.openxmlformats.org/officeDocument/2006/relationships/hyperlink" Target="https://tools.wmflabs.org/os/coor_g/?pagename=List_of_power_stations_in_Scotland&amp;params=NC149012_region%3AGB_scale%3A25000" TargetMode="External"/><Relationship Id="rId10" Type="http://schemas.openxmlformats.org/officeDocument/2006/relationships/hyperlink" Target="https://en.wikipedia.org/wiki/Aywaille" TargetMode="External"/><Relationship Id="rId52" Type="http://schemas.openxmlformats.org/officeDocument/2006/relationships/hyperlink" Target="https://en.wikipedia.org/wiki/Orphey_Hydroelectric_Power_Station" TargetMode="External"/><Relationship Id="rId94" Type="http://schemas.openxmlformats.org/officeDocument/2006/relationships/hyperlink" Target="https://en.wikipedia.org/w/index.php?title=Bergheim_Power_Station&amp;action=edit&amp;redlink=1" TargetMode="External"/><Relationship Id="rId148" Type="http://schemas.openxmlformats.org/officeDocument/2006/relationships/hyperlink" Target="https://en.wikipedia.org/w/index.php?title=Dhron_Valley_Dam&amp;action=edit&amp;redlink=1" TargetMode="External"/><Relationship Id="rId355" Type="http://schemas.openxmlformats.org/officeDocument/2006/relationships/hyperlink" Target="https://en.wikipedia.org/wiki/Miranda_Dam" TargetMode="External"/><Relationship Id="rId397" Type="http://schemas.openxmlformats.org/officeDocument/2006/relationships/hyperlink" Target="https://tools.wmflabs.org/geohack/geohack.php?pagename=List_of_power_stations_in_Romania&amp;params=45.0444035_N_22.9472423_E_&amp;title=Tismana+Hydroelectric+Power+Station" TargetMode="External"/><Relationship Id="rId520" Type="http://schemas.openxmlformats.org/officeDocument/2006/relationships/hyperlink" Target="https://en.wikipedia.org/wiki/Malta-Reisseck_Power_Plant_Group" TargetMode="External"/><Relationship Id="rId562" Type="http://schemas.openxmlformats.org/officeDocument/2006/relationships/hyperlink" Target="https://en.wikipedia.org/wiki/Gwynedd" TargetMode="External"/><Relationship Id="rId618" Type="http://schemas.openxmlformats.org/officeDocument/2006/relationships/hyperlink" Target="https://en.wikipedia.org/wiki/Breadalbane_hydro-electric_power_scheme" TargetMode="External"/><Relationship Id="rId825" Type="http://schemas.openxmlformats.org/officeDocument/2006/relationships/hyperlink" Target="https://tools.wmflabs.org/os/coor_g/?pagename=List_of_power_stations_in_Scotland&amp;params=NN320098_region%3AGB_scale%3A25000" TargetMode="External"/><Relationship Id="rId215" Type="http://schemas.openxmlformats.org/officeDocument/2006/relationships/hyperlink" Target="https://en.wikipedia.org/wiki/Stratos_Dam" TargetMode="External"/><Relationship Id="rId257" Type="http://schemas.openxmlformats.org/officeDocument/2006/relationships/hyperlink" Target="https://tools.wmflabs.org/geohack/geohack.php?pagename=List_of_power_stations_in_Italy&amp;params=46_10_15_N_10_20_52_E_&amp;title=Edolo+Pumped+Storage+Plant" TargetMode="External"/><Relationship Id="rId422" Type="http://schemas.openxmlformats.org/officeDocument/2006/relationships/hyperlink" Target="https://en.wikipedia.org/wiki/Drava" TargetMode="External"/><Relationship Id="rId464" Type="http://schemas.openxmlformats.org/officeDocument/2006/relationships/hyperlink" Target="https://en.wikipedia.org/w/index.php?title=Fj%C3%A4llsj%C3%B6_River&amp;action=edit&amp;redlink=1" TargetMode="External"/><Relationship Id="rId867" Type="http://schemas.openxmlformats.org/officeDocument/2006/relationships/hyperlink" Target="https://en.wikipedia.org/wiki/Hydroelectricity_in_the_Netherlands" TargetMode="External"/><Relationship Id="rId299" Type="http://schemas.openxmlformats.org/officeDocument/2006/relationships/hyperlink" Target="https://en.wikipedia.org/wiki/Enel" TargetMode="External"/><Relationship Id="rId727" Type="http://schemas.openxmlformats.org/officeDocument/2006/relationships/hyperlink" Target="https://en.wikipedia.org/wiki/Scottish_Power" TargetMode="External"/><Relationship Id="rId63" Type="http://schemas.openxmlformats.org/officeDocument/2006/relationships/hyperlink" Target="https://tools.wmflabs.org/geohack/geohack.php?pagename=List_of_power_stations_in_Bulgaria&amp;params=41.8221821_N_24.4420481_E_&amp;title=Tsankov+Kamak+Hydro+Power+Plant" TargetMode="External"/><Relationship Id="rId159" Type="http://schemas.openxmlformats.org/officeDocument/2006/relationships/hyperlink" Target="https://tools.wmflabs.org/geohack/geohack.php?pagename=List_of_power_stations_in_Germany&amp;params=49.4870295_N_11.4747262_E_&amp;title=Happurg+Pumped+Storage+Station" TargetMode="External"/><Relationship Id="rId366" Type="http://schemas.openxmlformats.org/officeDocument/2006/relationships/hyperlink" Target="https://en.wikipedia.org/wiki/Braga_District" TargetMode="External"/><Relationship Id="rId573" Type="http://schemas.openxmlformats.org/officeDocument/2006/relationships/hyperlink" Target="https://en.wikipedia.org/wiki/Swansea" TargetMode="External"/><Relationship Id="rId780" Type="http://schemas.openxmlformats.org/officeDocument/2006/relationships/hyperlink" Target="https://en.wikipedia.org/wiki/Scottish_and_Southern_Energy" TargetMode="External"/><Relationship Id="rId226" Type="http://schemas.openxmlformats.org/officeDocument/2006/relationships/hyperlink" Target="https://en.wikipedia.org/wiki/County_Roscommon" TargetMode="External"/><Relationship Id="rId433" Type="http://schemas.openxmlformats.org/officeDocument/2006/relationships/hyperlink" Target="https://en.wikipedia.org/wiki/Plave" TargetMode="External"/><Relationship Id="rId640" Type="http://schemas.openxmlformats.org/officeDocument/2006/relationships/hyperlink" Target="https://tools.wmflabs.org/os/coor_g/?pagename=List_of_power_stations_in_Scotland&amp;params=NN674876_region%3AGB_scale%3A25000" TargetMode="External"/><Relationship Id="rId738" Type="http://schemas.openxmlformats.org/officeDocument/2006/relationships/hyperlink" Target="https://en.wikipedia.org/wiki/Affric-Beauly_hydro-electric_power_scheme" TargetMode="External"/><Relationship Id="rId74" Type="http://schemas.openxmlformats.org/officeDocument/2006/relationships/hyperlink" Target="https://en.wikipedia.org/wiki/Kramol%C3%ADn_(T%C5%99eb%C3%AD%C4%8D_District)" TargetMode="External"/><Relationship Id="rId377" Type="http://schemas.openxmlformats.org/officeDocument/2006/relationships/hyperlink" Target="https://en.wikipedia.org/wiki/Br%C4%83di%C5%9For_Dam" TargetMode="External"/><Relationship Id="rId500" Type="http://schemas.openxmlformats.org/officeDocument/2006/relationships/hyperlink" Target="https://en.wikipedia.org/wiki/Nendaz_Power_Station" TargetMode="External"/><Relationship Id="rId584" Type="http://schemas.openxmlformats.org/officeDocument/2006/relationships/hyperlink" Target="https://en.wikipedia.org/wiki/Scottish_and_Southern_Energy" TargetMode="External"/><Relationship Id="rId805" Type="http://schemas.openxmlformats.org/officeDocument/2006/relationships/hyperlink" Target="https://en.wikipedia.org/wiki/List_of_power_stations_in_Scotland" TargetMode="External"/><Relationship Id="rId5" Type="http://schemas.openxmlformats.org/officeDocument/2006/relationships/hyperlink" Target="https://tools.wmflabs.org/geohack/geohack.php?pagename=List_of_power_stations_in_Belgium&amp;params=50.188651_N_4.386258_E_type:landmark&amp;title=Plate+Taille%2C+Electrabel%2C+pumped+storage" TargetMode="External"/><Relationship Id="rId237" Type="http://schemas.openxmlformats.org/officeDocument/2006/relationships/hyperlink" Target="https://en.wikipedia.org/wiki/County_Kilkenny" TargetMode="External"/><Relationship Id="rId791" Type="http://schemas.openxmlformats.org/officeDocument/2006/relationships/hyperlink" Target="https://en.wikipedia.org/wiki/List_of_power_stations_in_Scotland" TargetMode="External"/><Relationship Id="rId444" Type="http://schemas.openxmlformats.org/officeDocument/2006/relationships/hyperlink" Target="https://tools.wmflabs.org/geohack/geohack.php?pagename=List_of_power_stations_in_Sweden&amp;params=64.9601851_N_17.5798416_E_region:SE_type:landmark&amp;title=Juktan+Pumped-Storage+Hydroelectric+Power+Station" TargetMode="External"/><Relationship Id="rId651" Type="http://schemas.openxmlformats.org/officeDocument/2006/relationships/hyperlink" Target="https://tools.wmflabs.org/os/coor_g/?pagename=List_of_power_stations_in_Scotland&amp;params=NN740219_region%3AGB_scale%3A25000" TargetMode="External"/><Relationship Id="rId749" Type="http://schemas.openxmlformats.org/officeDocument/2006/relationships/hyperlink" Target="https://en.wikipedia.org/wiki/List_of_power_stations_in_Scotland" TargetMode="External"/><Relationship Id="rId290" Type="http://schemas.openxmlformats.org/officeDocument/2006/relationships/hyperlink" Target="https://en.wikipedia.org/wiki/Edison_(company)" TargetMode="External"/><Relationship Id="rId304" Type="http://schemas.openxmlformats.org/officeDocument/2006/relationships/hyperlink" Target="https://en.wikipedia.org/wiki/Enel" TargetMode="External"/><Relationship Id="rId388" Type="http://schemas.openxmlformats.org/officeDocument/2006/relationships/hyperlink" Target="https://tools.wmflabs.org/geohack/geohack.php?pagename=List_of_power_stations_in_Romania&amp;params=44.6732766_N_22.7156_E_&amp;title=Reme%C5%A3i+Hydroelectric+Power+Station" TargetMode="External"/><Relationship Id="rId511" Type="http://schemas.openxmlformats.org/officeDocument/2006/relationships/hyperlink" Target="https://tools.wmflabs.org/geohack/geohack.php?pagename=List_of_power_stations_in_Switzerland&amp;params=46.196681_N_8.848097_E_type:landmark_region:CH&amp;title=Verzasca+Dam" TargetMode="External"/><Relationship Id="rId609" Type="http://schemas.openxmlformats.org/officeDocument/2006/relationships/hyperlink" Target="https://en.wikipedia.org/wiki/List_of_power_stations_in_Scotland" TargetMode="External"/><Relationship Id="rId85" Type="http://schemas.openxmlformats.org/officeDocument/2006/relationships/hyperlink" Target="https://en.wikipedia.org/wiki/Kam%C3%BDk_nad_Vltavou" TargetMode="External"/><Relationship Id="rId150" Type="http://schemas.openxmlformats.org/officeDocument/2006/relationships/hyperlink" Target="https://en.wikipedia.org/w/index.php?title=Erzhausen_Pumped_Storage_Station&amp;action=edit&amp;redlink=1" TargetMode="External"/><Relationship Id="rId595" Type="http://schemas.openxmlformats.org/officeDocument/2006/relationships/hyperlink" Target="https://tools.wmflabs.org/os/coor_g/?pagename=List_of_power_stations_in_Scotland&amp;params=NN231136_region%3AGB_scale%3A25000" TargetMode="External"/><Relationship Id="rId816" Type="http://schemas.openxmlformats.org/officeDocument/2006/relationships/hyperlink" Target="https://en.wikipedia.org/wiki/List_of_power_stations_in_Scotland" TargetMode="External"/><Relationship Id="rId248" Type="http://schemas.openxmlformats.org/officeDocument/2006/relationships/hyperlink" Target="https://en.wikipedia.org/wiki/A2A" TargetMode="External"/><Relationship Id="rId455" Type="http://schemas.openxmlformats.org/officeDocument/2006/relationships/hyperlink" Target="https://en.wikipedia.org/w/index.php?title=Stornorrfors_Hydroelectric_power_station&amp;action=edit&amp;redlink=1" TargetMode="External"/><Relationship Id="rId662" Type="http://schemas.openxmlformats.org/officeDocument/2006/relationships/hyperlink" Target="https://tools.wmflabs.org/os/coor_g/?pagename=List_of_power_stations_in_Scotland&amp;params=NX521973_region%3AGB_scale%3A25000" TargetMode="External"/><Relationship Id="rId12" Type="http://schemas.openxmlformats.org/officeDocument/2006/relationships/hyperlink" Target="https://en.wikipedia.org/wiki/Chiny" TargetMode="External"/><Relationship Id="rId108" Type="http://schemas.openxmlformats.org/officeDocument/2006/relationships/hyperlink" Target="https://en.wikipedia.org/w/index.php?title=Forggensee_Dam&amp;action=edit&amp;redlink=1" TargetMode="External"/><Relationship Id="rId315" Type="http://schemas.openxmlformats.org/officeDocument/2006/relationships/hyperlink" Target="https://en.wikipedia.org/wiki/Riga_Hydroelectric_Power_Plant" TargetMode="External"/><Relationship Id="rId522" Type="http://schemas.openxmlformats.org/officeDocument/2006/relationships/hyperlink" Target="https://en.wikipedia.org/wiki/Pumped-storage" TargetMode="External"/><Relationship Id="rId96" Type="http://schemas.openxmlformats.org/officeDocument/2006/relationships/hyperlink" Target="https://en.wikipedia.org/w/index.php?title=Bertoldsheim_Power_Station&amp;action=edit&amp;redlink=1" TargetMode="External"/><Relationship Id="rId161" Type="http://schemas.openxmlformats.org/officeDocument/2006/relationships/hyperlink" Target="https://tools.wmflabs.org/geohack/geohack.php?pagename=List_of_power_stations_in_Germany&amp;params=47.7553855_N_8.1883067_E_&amp;title=H%C3%A4usern+Pumped+Storage+Station" TargetMode="External"/><Relationship Id="rId399" Type="http://schemas.openxmlformats.org/officeDocument/2006/relationships/hyperlink" Target="https://en.wikipedia.org/wiki/List_of_power_stations_in_Romania" TargetMode="External"/><Relationship Id="rId827" Type="http://schemas.openxmlformats.org/officeDocument/2006/relationships/hyperlink" Target="https://en.wikipedia.org/wiki/Scottish_and_Southern_Energy" TargetMode="External"/><Relationship Id="rId259" Type="http://schemas.openxmlformats.org/officeDocument/2006/relationships/hyperlink" Target="https://en.wikipedia.org/wiki/Presenzano_Hydroelectric_Plant" TargetMode="External"/><Relationship Id="rId466" Type="http://schemas.openxmlformats.org/officeDocument/2006/relationships/hyperlink" Target="https://tools.wmflabs.org/geohack/geohack.php?pagename=List_of_power_stations_in_Sweden&amp;params=61.3800_N_13.7300_E_region:SE_type:landmark&amp;title=Tr%C3%A4ngslet" TargetMode="External"/><Relationship Id="rId673" Type="http://schemas.openxmlformats.org/officeDocument/2006/relationships/hyperlink" Target="https://en.wikipedia.org/wiki/Affric-Beauly_hydro-electric_power_scheme" TargetMode="External"/><Relationship Id="rId23" Type="http://schemas.openxmlformats.org/officeDocument/2006/relationships/hyperlink" Target="https://tools.wmflabs.org/geohack/geohack.php?pagename=List_of_power_stations_in_Belgium&amp;params=50.751765_N_5.687777_E_type:landmark&amp;title=Lixhe%2C+EDF+Luminus%2C+hydroelectric" TargetMode="External"/><Relationship Id="rId119" Type="http://schemas.openxmlformats.org/officeDocument/2006/relationships/hyperlink" Target="https://tools.wmflabs.org/geohack/geohack.php?pagename=List_of_power_stations_in_Germany&amp;params=47.5566146_N_8.0480593_E_&amp;title=Laufenburg+Power+Station" TargetMode="External"/><Relationship Id="rId326" Type="http://schemas.openxmlformats.org/officeDocument/2006/relationships/hyperlink" Target="https://en.wikipedia.org/wiki/Hagestein" TargetMode="External"/><Relationship Id="rId533" Type="http://schemas.openxmlformats.org/officeDocument/2006/relationships/hyperlink" Target="https://en.wikipedia.org/wiki/Langkampfen" TargetMode="External"/><Relationship Id="rId740" Type="http://schemas.openxmlformats.org/officeDocument/2006/relationships/hyperlink" Target="https://en.wikipedia.org/wiki/List_of_power_stations_in_Scotland" TargetMode="External"/><Relationship Id="rId838" Type="http://schemas.openxmlformats.org/officeDocument/2006/relationships/hyperlink" Target="https://en.wikipedia.org/wiki/Scottish_Power" TargetMode="External"/><Relationship Id="rId172" Type="http://schemas.openxmlformats.org/officeDocument/2006/relationships/hyperlink" Target="https://en.wikipedia.org/w/index.php?title=Markersbach_Pumped_Storage_Station&amp;action=edit&amp;redlink=1" TargetMode="External"/><Relationship Id="rId477" Type="http://schemas.openxmlformats.org/officeDocument/2006/relationships/hyperlink" Target="https://en.wikipedia.org/w/index.php?title=Gletsch_Small_Hydro&amp;action=edit&amp;redlink=1" TargetMode="External"/><Relationship Id="rId600" Type="http://schemas.openxmlformats.org/officeDocument/2006/relationships/hyperlink" Target="https://en.wikipedia.org/wiki/RWE_npower_Renewables" TargetMode="External"/><Relationship Id="rId684" Type="http://schemas.openxmlformats.org/officeDocument/2006/relationships/hyperlink" Target="https://tools.wmflabs.org/os/coor_g/?pagename=List_of_power_stations_in_Scotland&amp;params=NH503217_region%3AGB_scale%3A25000" TargetMode="External"/><Relationship Id="rId337" Type="http://schemas.openxmlformats.org/officeDocument/2006/relationships/hyperlink" Target="https://en.wikipedia.org/wiki/Aguieira_Dam" TargetMode="External"/><Relationship Id="rId34" Type="http://schemas.openxmlformats.org/officeDocument/2006/relationships/hyperlink" Target="https://en.wikipedia.org/w/index.php?title=Sestrimo&amp;action=edit&amp;redlink=1" TargetMode="External"/><Relationship Id="rId544" Type="http://schemas.openxmlformats.org/officeDocument/2006/relationships/hyperlink" Target="https://en.wikipedia.org/wiki/Burton_Mill" TargetMode="External"/><Relationship Id="rId751" Type="http://schemas.openxmlformats.org/officeDocument/2006/relationships/hyperlink" Target="https://en.wikipedia.org/wiki/Breadalbane_hydro-electric_power_scheme" TargetMode="External"/><Relationship Id="rId849" Type="http://schemas.openxmlformats.org/officeDocument/2006/relationships/hyperlink" Target="https://en.wikipedia.org/wiki/Scottish_Power" TargetMode="External"/><Relationship Id="rId183" Type="http://schemas.openxmlformats.org/officeDocument/2006/relationships/hyperlink" Target="https://tools.wmflabs.org/geohack/geohack.php?pagename=List_of_power_stations_in_Germany&amp;params=49.530104_N_12.2845924_E_&amp;title=Reisach+Pumped+Storage+Station" TargetMode="External"/><Relationship Id="rId390" Type="http://schemas.openxmlformats.org/officeDocument/2006/relationships/hyperlink" Target="https://en.wikipedia.org/wiki/Ruieni_Hydroelectric_Power_Station" TargetMode="External"/><Relationship Id="rId404" Type="http://schemas.openxmlformats.org/officeDocument/2006/relationships/hyperlink" Target="https://en.wikipedia.org/wiki/Gab%C4%8D%C3%ADkovo_%E2%80%93_Nagymaros_Dams" TargetMode="External"/><Relationship Id="rId611" Type="http://schemas.openxmlformats.org/officeDocument/2006/relationships/hyperlink" Target="https://tools.wmflabs.org/os/coor_g/?pagename=List_of_power_stations_in_Scotland&amp;params=NM847606_region%3AGB_scale%3A25000"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wiki.openmod-initiative.org/wiki/Hydroelectricity_data" TargetMode="External"/></Relationships>
</file>

<file path=xl/worksheets/_rels/sheet5.xml.rels><?xml version="1.0" encoding="UTF-8" standalone="yes"?>
<Relationships xmlns="http://schemas.openxmlformats.org/package/2006/relationships"><Relationship Id="rId117" Type="http://schemas.openxmlformats.org/officeDocument/2006/relationships/hyperlink" Target="http://www.e-co.no/filestore/statkraft_ToreK.pdf" TargetMode="External"/><Relationship Id="rId21" Type="http://schemas.openxmlformats.org/officeDocument/2006/relationships/hyperlink" Target="https://en.wikipedia.org/wiki/Edolo_Pumped_Storage_Plant" TargetMode="External"/><Relationship Id="rId42" Type="http://schemas.openxmlformats.org/officeDocument/2006/relationships/hyperlink" Target="https://en.wikipedia.org/wiki/Picote_Dam" TargetMode="External"/><Relationship Id="rId63" Type="http://schemas.openxmlformats.org/officeDocument/2006/relationships/hyperlink" Target="https://en.wikipedia.org/wiki/Argyll_and_Bute" TargetMode="External"/><Relationship Id="rId84" Type="http://schemas.openxmlformats.org/officeDocument/2006/relationships/hyperlink" Target="http://www.grimselstrom.ch/home/download/1254" TargetMode="External"/><Relationship Id="rId138" Type="http://schemas.openxmlformats.org/officeDocument/2006/relationships/hyperlink" Target="http://www.e-co.no/?module=Articles;action=Article.publicOpen;ID=219" TargetMode="External"/><Relationship Id="rId159" Type="http://schemas.openxmlformats.org/officeDocument/2006/relationships/hyperlink" Target="https://fr.wikipedia.org/wiki/Barrage_de_Mar%C3%A8ges" TargetMode="External"/><Relationship Id="rId170" Type="http://schemas.openxmlformats.org/officeDocument/2006/relationships/hyperlink" Target="https://de.wikipedia.org/wiki/Stausee_Ferden" TargetMode="External"/><Relationship Id="rId191" Type="http://schemas.openxmlformats.org/officeDocument/2006/relationships/hyperlink" Target="https://powerplants.vattenfall.com/olidan" TargetMode="External"/><Relationship Id="rId205" Type="http://schemas.openxmlformats.org/officeDocument/2006/relationships/hyperlink" Target="http://www.e-co.no/?module=Articles;action=Article.publicShow;ID=1699" TargetMode="External"/><Relationship Id="rId226" Type="http://schemas.openxmlformats.org/officeDocument/2006/relationships/hyperlink" Target="http://www.a2a.eu/it/impianti_reti/idroelettrica/grosio.html" TargetMode="External"/><Relationship Id="rId107" Type="http://schemas.openxmlformats.org/officeDocument/2006/relationships/hyperlink" Target="https://en.wikipedia.org/wiki/Bemposta_Dam" TargetMode="External"/><Relationship Id="rId11" Type="http://schemas.openxmlformats.org/officeDocument/2006/relationships/hyperlink" Target="https://en.wikipedia.org/w/index.php?title=Markersbach_Pumped_Storage_Station&amp;action=edit&amp;redlink=1" TargetMode="External"/><Relationship Id="rId32" Type="http://schemas.openxmlformats.org/officeDocument/2006/relationships/hyperlink" Target="https://tools.wmflabs.org/geohack/geohack.php?pagename=List_of_power_stations_in_Latvia&amp;params=56.5822027_N_25.2373123_E_&amp;title=P%C4%BCavi%C5%86as+Hydroelectric+Power+Station" TargetMode="External"/><Relationship Id="rId53" Type="http://schemas.openxmlformats.org/officeDocument/2006/relationships/hyperlink" Target="https://en.wikipedia.org/w/index.php?title=Letsi&amp;action=edit&amp;redlink=1" TargetMode="External"/><Relationship Id="rId74" Type="http://schemas.openxmlformats.org/officeDocument/2006/relationships/hyperlink" Target="https://www.engie-electrabel.be/assets/be/corporate/documents/12018_Coo_Folder_NL_LR.pdf" TargetMode="External"/><Relationship Id="rId128" Type="http://schemas.openxmlformats.org/officeDocument/2006/relationships/hyperlink" Target="https://www.tiroler-wasserkraft.at/www_tiwag/de/hn/stromerzeugung/kraftwerkspark/kuehtai/index.php" TargetMode="External"/><Relationship Id="rId149" Type="http://schemas.openxmlformats.org/officeDocument/2006/relationships/hyperlink" Target="https://www.google.com/url?q=http%3A%2F%2Fwww.engie.com%2Fwp-content%2Fuploads%2F2012%2F05%2Fbrochure-cnr-20102.pdf" TargetMode="External"/><Relationship Id="rId5" Type="http://schemas.openxmlformats.org/officeDocument/2006/relationships/hyperlink" Target="https://en.wikipedia.org/wiki/Lou%C4%8Dn%C3%A1_nad_Desnou" TargetMode="External"/><Relationship Id="rId95" Type="http://schemas.openxmlformats.org/officeDocument/2006/relationships/hyperlink" Target="https://en.wikipedia.org/wiki/Ulla-F%C3%B8rre" TargetMode="External"/><Relationship Id="rId160" Type="http://schemas.openxmlformats.org/officeDocument/2006/relationships/hyperlink" Target="https://www.enbw.com/erneuerbare-energien/wasser/standorte.html" TargetMode="External"/><Relationship Id="rId181" Type="http://schemas.openxmlformats.org/officeDocument/2006/relationships/hyperlink" Target="https://www.google.nl/url?sa=t&amp;rct=j&amp;q=&amp;esrc=s&amp;source=web&amp;cd=3&amp;cad=rja&amp;uact=8&amp;ved=0ahUKEwi77fGzvc3YAhWLAMAKHepFAcsQFgg4MAI&amp;url=http%3A%2F%2Fwww.silnativa.ch%2Ffileadmin%2Fdocuments%2Fsilnativa.ch%2FLavey.pdf&amp;usg=AOvVaw04HCnO-2H7VJP50wnWEVmK" TargetMode="External"/><Relationship Id="rId216" Type="http://schemas.openxmlformats.org/officeDocument/2006/relationships/hyperlink" Target="https://en.wikipedia.org/wiki/Shannon_hydroelectric_scheme" TargetMode="External"/><Relationship Id="rId22" Type="http://schemas.openxmlformats.org/officeDocument/2006/relationships/hyperlink" Target="https://en.wikipedia.org/wiki/Enel" TargetMode="External"/><Relationship Id="rId27" Type="http://schemas.openxmlformats.org/officeDocument/2006/relationships/hyperlink" Target="https://en.wikipedia.org/wiki/Enel" TargetMode="External"/><Relationship Id="rId43" Type="http://schemas.openxmlformats.org/officeDocument/2006/relationships/hyperlink" Target="https://en.wikipedia.org/wiki/Lotru-Ciunget_Hydroelectric_Power_Station" TargetMode="External"/><Relationship Id="rId48" Type="http://schemas.openxmlformats.org/officeDocument/2006/relationships/hyperlink" Target="https://en.wikipedia.org/wiki/Porjus_Hydroelectric_Power_Station" TargetMode="External"/><Relationship Id="rId64" Type="http://schemas.openxmlformats.org/officeDocument/2006/relationships/hyperlink" Target="https://en.wikipedia.org/wiki/Kruonis_Pumped_Storage_Plant" TargetMode="External"/><Relationship Id="rId69" Type="http://schemas.openxmlformats.org/officeDocument/2006/relationships/hyperlink" Target="http://www.statkraft.com/energy-sources/Power-plants/Norway/Saurdal/" TargetMode="External"/><Relationship Id="rId113" Type="http://schemas.openxmlformats.org/officeDocument/2006/relationships/hyperlink" Target="https://de.wikipedia.org/wiki/Vorarlberger_Illwerke" TargetMode="External"/><Relationship Id="rId118" Type="http://schemas.openxmlformats.org/officeDocument/2006/relationships/hyperlink" Target="https://www.enel.it/it-it/documents/azienda/ambiente/dichiarazioni_ambientali/montorio_da2007_2008.pdf" TargetMode="External"/><Relationship Id="rId134" Type="http://schemas.openxmlformats.org/officeDocument/2006/relationships/hyperlink" Target="https://www.verbund.com/en-de/about-verbund/power-plants/our-power-plants/reisseck2" TargetMode="External"/><Relationship Id="rId139" Type="http://schemas.openxmlformats.org/officeDocument/2006/relationships/hyperlink" Target="http://www.e-co.no/filestore/statkraft_ToreK.pdf" TargetMode="External"/><Relationship Id="rId80" Type="http://schemas.openxmlformats.org/officeDocument/2006/relationships/hyperlink" Target="http://www.fhc.co.uk/dinorwig.htm" TargetMode="External"/><Relationship Id="rId85" Type="http://schemas.openxmlformats.org/officeDocument/2006/relationships/hyperlink" Target="../../../../Marte/Users/Marte/Users/Marte/Desktop/kwo2019s-power-plants.pdf" TargetMode="External"/><Relationship Id="rId150" Type="http://schemas.openxmlformats.org/officeDocument/2006/relationships/hyperlink" Target="http://www.a-nossa-energia.edp.pt/centros_produtores/info_tecnica.php?item_id=40&amp;cp_type=he&amp;section_type=info_tecnica" TargetMode="External"/><Relationship Id="rId155" Type="http://schemas.openxmlformats.org/officeDocument/2006/relationships/hyperlink" Target="https://de.wikipedia.org/wiki/Kraftwerk_Ottensheim-Wilhering" TargetMode="External"/><Relationship Id="rId171" Type="http://schemas.openxmlformats.org/officeDocument/2006/relationships/hyperlink" Target="https://www.aet.ch/IT/Impianto-idroelettrico-Tremorgio-e68a9800" TargetMode="External"/><Relationship Id="rId176" Type="http://schemas.openxmlformats.org/officeDocument/2006/relationships/hyperlink" Target="https://www.kwa.ch/unternehmen/zahlen-fakten" TargetMode="External"/><Relationship Id="rId192" Type="http://schemas.openxmlformats.org/officeDocument/2006/relationships/hyperlink" Target="https://sv.wikipedia.org/wiki/Olidans_kraftverk" TargetMode="External"/><Relationship Id="rId197" Type="http://schemas.openxmlformats.org/officeDocument/2006/relationships/hyperlink" Target="https://www.researchgate.net/publication/294670963_Construction_of_a_new_hydro_power_plant_at_Albbruck-Dogern" TargetMode="External"/><Relationship Id="rId206" Type="http://schemas.openxmlformats.org/officeDocument/2006/relationships/hyperlink" Target="http://www.e-co.no/Norsk/Forside/Kraftverk/Glomma/Kykkelsrud_kraftverk/" TargetMode="External"/><Relationship Id="rId227" Type="http://schemas.openxmlformats.org/officeDocument/2006/relationships/hyperlink" Target="http://www.a2a.eu/it/impianti_reti/idroelettrica/val_grosina.html" TargetMode="External"/><Relationship Id="rId201" Type="http://schemas.openxmlformats.org/officeDocument/2006/relationships/hyperlink" Target="https://www.arendalsfoss.no/en/power-production/" TargetMode="External"/><Relationship Id="rId222" Type="http://schemas.openxmlformats.org/officeDocument/2006/relationships/hyperlink" Target="https://www.scottishpower.com/userfiles/file/GallowayTechnical2011.pdf" TargetMode="External"/><Relationship Id="rId12" Type="http://schemas.openxmlformats.org/officeDocument/2006/relationships/hyperlink" Target="https://en.wikipedia.org/w/index.php?title=S%C3%A4ckingen_Pumped_Storage_Station&amp;action=edit&amp;redlink=1" TargetMode="External"/><Relationship Id="rId17" Type="http://schemas.openxmlformats.org/officeDocument/2006/relationships/hyperlink" Target="https://en.wikipedia.org/wiki/Thisavros_Dam" TargetMode="External"/><Relationship Id="rId33" Type="http://schemas.openxmlformats.org/officeDocument/2006/relationships/hyperlink" Target="https://en.wikipedia.org/wiki/Riga_Hydroelectric_Power_Plant" TargetMode="External"/><Relationship Id="rId38" Type="http://schemas.openxmlformats.org/officeDocument/2006/relationships/hyperlink" Target="https://tools.wmflabs.org/geohack/geohack.php?pagename=List_of_power_stations_in_Portugal&amp;params=41.872835_N_8.204075_W_type:landmark&amp;title=Alto+Lindoso+Dam" TargetMode="External"/><Relationship Id="rId59" Type="http://schemas.openxmlformats.org/officeDocument/2006/relationships/hyperlink" Target="https://en.wikipedia.org/wiki/Carinthia_(state)" TargetMode="External"/><Relationship Id="rId103" Type="http://schemas.openxmlformats.org/officeDocument/2006/relationships/hyperlink" Target="https://www.hs-mainz.de/fileadmin/content/fb1/pdf/Bau/Exkursionen/Kraftwerksgruppe_Sellrain-Silz.pdf" TargetMode="External"/><Relationship Id="rId108" Type="http://schemas.openxmlformats.org/officeDocument/2006/relationships/hyperlink" Target="http://www.a2a.eu/it/impianti_reti/idroelettrica/grosio.html" TargetMode="External"/><Relationship Id="rId124" Type="http://schemas.openxmlformats.org/officeDocument/2006/relationships/hyperlink" Target="http://powerplants.vattenfall.com/harspranget" TargetMode="External"/><Relationship Id="rId129" Type="http://schemas.openxmlformats.org/officeDocument/2006/relationships/hyperlink" Target="https://de.wikipedia.org/wiki/Kraftwerksgruppe_Sellrain-Silz" TargetMode="External"/><Relationship Id="rId54" Type="http://schemas.openxmlformats.org/officeDocument/2006/relationships/hyperlink" Target="https://en.wikipedia.org/wiki/Lesser_Lule_River" TargetMode="External"/><Relationship Id="rId70" Type="http://schemas.openxmlformats.org/officeDocument/2006/relationships/hyperlink" Target="http://www.statkraft.com/energy-sources/Power-plants/Norway/Kvilldal/" TargetMode="External"/><Relationship Id="rId75" Type="http://schemas.openxmlformats.org/officeDocument/2006/relationships/hyperlink" Target="http://www.ecohz.com/powerplants/aurland-2/" TargetMode="External"/><Relationship Id="rId91" Type="http://schemas.openxmlformats.org/officeDocument/2006/relationships/hyperlink" Target="https://en.wikipedia.org/wiki/Bieudron_Hydroelectric_Power_Station" TargetMode="External"/><Relationship Id="rId96" Type="http://schemas.openxmlformats.org/officeDocument/2006/relationships/hyperlink" Target="http://www.iberdrola.es/about-us/a-great-company/facilities-map/2015/" TargetMode="External"/><Relationship Id="rId140" Type="http://schemas.openxmlformats.org/officeDocument/2006/relationships/hyperlink" Target="https://no.wikipedia.org/wiki/Store_Vargevatnet" TargetMode="External"/><Relationship Id="rId145" Type="http://schemas.openxmlformats.org/officeDocument/2006/relationships/hyperlink" Target="https://www.verbund.com/en-at/about-verbund/power-plants/our-power-plants/ybbs-persenbeug" TargetMode="External"/><Relationship Id="rId161" Type="http://schemas.openxmlformats.org/officeDocument/2006/relationships/hyperlink" Target="https://www.enbw.com/erneuerbare-energien/wasser/standorte.html" TargetMode="External"/><Relationship Id="rId166" Type="http://schemas.openxmlformats.org/officeDocument/2006/relationships/hyperlink" Target="https://www.aet.ch/Impianto-idroelettrico-Piottino-6ac6ec00" TargetMode="External"/><Relationship Id="rId182" Type="http://schemas.openxmlformats.org/officeDocument/2006/relationships/hyperlink" Target="https://www.verbund.com/de-at/ueber-verbund/kraftwerke/unsere-kraftwerke/abwinden-asten" TargetMode="External"/><Relationship Id="rId187" Type="http://schemas.openxmlformats.org/officeDocument/2006/relationships/hyperlink" Target="https://cas.oslo.no/getfile.php/137530/CAS_publications_events/CAS_publications/Seminar_booklets/PDF/0809Jakobsson.pdf" TargetMode="External"/><Relationship Id="rId217" Type="http://schemas.openxmlformats.org/officeDocument/2006/relationships/hyperlink" Target="https://www.esb.ie/docs/default-source/education-hub/erne-stations74dc5b2d46d164eb900aff0000c22e36" TargetMode="External"/><Relationship Id="rId1" Type="http://schemas.openxmlformats.org/officeDocument/2006/relationships/hyperlink" Target="https://en.wikipedia.org/wiki/Chaira_Hydro_Power_Plant" TargetMode="External"/><Relationship Id="rId6" Type="http://schemas.openxmlformats.org/officeDocument/2006/relationships/hyperlink" Target="https://en.wikipedia.org/wiki/%C4%8CEZ" TargetMode="External"/><Relationship Id="rId212" Type="http://schemas.openxmlformats.org/officeDocument/2006/relationships/hyperlink" Target="http://akershusenergi.no/no/vannkraft/vaare-kraftverk/bingsfoss" TargetMode="External"/><Relationship Id="rId233" Type="http://schemas.openxmlformats.org/officeDocument/2006/relationships/vmlDrawing" Target="../drawings/vmlDrawing4.vml"/><Relationship Id="rId23" Type="http://schemas.openxmlformats.org/officeDocument/2006/relationships/hyperlink" Target="https://en.wikipedia.org/wiki/Presenzano_Hydroelectric_Plant" TargetMode="External"/><Relationship Id="rId28" Type="http://schemas.openxmlformats.org/officeDocument/2006/relationships/hyperlink" Target="https://en.wikipedia.org/wiki/Roncovalgrande_Hydroelectric_Plant" TargetMode="External"/><Relationship Id="rId49" Type="http://schemas.openxmlformats.org/officeDocument/2006/relationships/hyperlink" Target="https://en.wikipedia.org/wiki/Lule_River" TargetMode="External"/><Relationship Id="rId114" Type="http://schemas.openxmlformats.org/officeDocument/2006/relationships/hyperlink" Target="https://en.wikipedia.org/w/index.php?title=Hohenwarte_II_Pumped_Storage_Station&amp;action=edit&amp;redlink=1" TargetMode="External"/><Relationship Id="rId119" Type="http://schemas.openxmlformats.org/officeDocument/2006/relationships/hyperlink" Target="http://www.e-co.no/?module=Articles;action=Article.publicOpen;ID=219" TargetMode="External"/><Relationship Id="rId44" Type="http://schemas.openxmlformats.org/officeDocument/2006/relationships/hyperlink" Target="https://en.wikipedia.org/wiki/Iron_Gate_II_Hydroelectric_Power_Station" TargetMode="External"/><Relationship Id="rId60" Type="http://schemas.openxmlformats.org/officeDocument/2006/relationships/hyperlink" Target="https://en.wikipedia.org/wiki/Kaunertal" TargetMode="External"/><Relationship Id="rId65" Type="http://schemas.openxmlformats.org/officeDocument/2006/relationships/hyperlink" Target="https://en.wikipedia.org/wiki/Enel" TargetMode="External"/><Relationship Id="rId81" Type="http://schemas.openxmlformats.org/officeDocument/2006/relationships/hyperlink" Target="https://en.wikipedia.org/wiki/Marchlyn_Mawr" TargetMode="External"/><Relationship Id="rId86" Type="http://schemas.openxmlformats.org/officeDocument/2006/relationships/hyperlink" Target="http://www.grimselstrom.ch/electrical-energy/power-plants-and-dams/power-plants/" TargetMode="External"/><Relationship Id="rId130" Type="http://schemas.openxmlformats.org/officeDocument/2006/relationships/hyperlink" Target="https://www.hs-mainz.de/fileadmin/content/fb1/pdf/Bau/Exkursionen/Kraftwerksgruppe_Sellrain-Silz.pdf" TargetMode="External"/><Relationship Id="rId135" Type="http://schemas.openxmlformats.org/officeDocument/2006/relationships/hyperlink" Target="http://www.statkraft.com/energy-sources/Power-plants/Norway/Rana/" TargetMode="External"/><Relationship Id="rId151" Type="http://schemas.openxmlformats.org/officeDocument/2006/relationships/hyperlink" Target="http://www.centrodeinformacao.ren.pt/PT/publicacoes/PublicacoesGerais/Hidroelectricidade%20em%20Portugal%20-%20Mem%C3%B3ria%20e%20desafio.pdf" TargetMode="External"/><Relationship Id="rId156" Type="http://schemas.openxmlformats.org/officeDocument/2006/relationships/hyperlink" Target="http://www.a-nossa-energia.edp.pt/centros_produtores/info_tecnica.php?item_id=28&amp;cp_type=&amp;section_type=info_tecnica" TargetMode="External"/><Relationship Id="rId177" Type="http://schemas.openxmlformats.org/officeDocument/2006/relationships/hyperlink" Target="http://www.kw-birsfelden.ch/en/technik/generatoren/" TargetMode="External"/><Relationship Id="rId198" Type="http://schemas.openxmlformats.org/officeDocument/2006/relationships/hyperlink" Target="http://www.schluchseewerk.de/images/download/Plan-Schluchseewerk_Albbruck-Dogern.pdf" TargetMode="External"/><Relationship Id="rId172" Type="http://schemas.openxmlformats.org/officeDocument/2006/relationships/hyperlink" Target="https://www.enbw.com/erneuerbare-energien/wasser/standorte.html" TargetMode="External"/><Relationship Id="rId193" Type="http://schemas.openxmlformats.org/officeDocument/2006/relationships/hyperlink" Target="https://powerplants.vattenfall.com/en/lilla-edet" TargetMode="External"/><Relationship Id="rId202" Type="http://schemas.openxmlformats.org/officeDocument/2006/relationships/hyperlink" Target="https://no.wikipedia.org/wiki/B%C3%B8ylefoss_kraftverk" TargetMode="External"/><Relationship Id="rId207" Type="http://schemas.openxmlformats.org/officeDocument/2006/relationships/hyperlink" Target="http://www.e-co.no/Norsk/Forside/Kraftverk/Glomma/Sarp_kraftverk/" TargetMode="External"/><Relationship Id="rId223" Type="http://schemas.openxmlformats.org/officeDocument/2006/relationships/hyperlink" Target="https://www.scottishpower.com/userfiles/file/GallowayTechnical2011.pdf" TargetMode="External"/><Relationship Id="rId228" Type="http://schemas.openxmlformats.org/officeDocument/2006/relationships/hyperlink" Target="https://www.enelgreenpower.com/where-we-are?topic=hydro&amp;plant_name=&amp;continent=EUROPE&amp;nation=Italy" TargetMode="External"/><Relationship Id="rId13" Type="http://schemas.openxmlformats.org/officeDocument/2006/relationships/hyperlink" Target="https://en.wikipedia.org/wiki/Waldeck_Pumped_Storage_Station" TargetMode="External"/><Relationship Id="rId18" Type="http://schemas.openxmlformats.org/officeDocument/2006/relationships/hyperlink" Target="https://tools.wmflabs.org/geohack/geohack.php?pagename=List_of_power_stations_in_Greece&amp;params=41.354444_N_24.366944_E_&amp;title=Thisavros++Hydroelectric+Dam" TargetMode="External"/><Relationship Id="rId39" Type="http://schemas.openxmlformats.org/officeDocument/2006/relationships/hyperlink" Target="https://en.wikipedia.org/wiki/Bemposta_Dam" TargetMode="External"/><Relationship Id="rId109" Type="http://schemas.openxmlformats.org/officeDocument/2006/relationships/hyperlink" Target="http://www.latvenergo.lv/portal/page/portal/english/latvenergo/main1/about_latvenergo/energy_production/hidroelektrostacijas" TargetMode="External"/><Relationship Id="rId34" Type="http://schemas.openxmlformats.org/officeDocument/2006/relationships/hyperlink" Target="https://en.wikipedia.org/wiki/Salaspils" TargetMode="External"/><Relationship Id="rId50" Type="http://schemas.openxmlformats.org/officeDocument/2006/relationships/hyperlink" Target="https://en.wikipedia.org/w/index.php?title=Stornorrfors_Hydroelectric_power_station&amp;action=edit&amp;redlink=1" TargetMode="External"/><Relationship Id="rId55" Type="http://schemas.openxmlformats.org/officeDocument/2006/relationships/hyperlink" Target="https://en.wikipedia.org/w/index.php?title=Kilforsen&amp;action=edit&amp;redlink=1" TargetMode="External"/><Relationship Id="rId76" Type="http://schemas.openxmlformats.org/officeDocument/2006/relationships/hyperlink" Target="http://www.verbund.com/pp/de/pumpspeicherkraftwerk/malta-hauptstufe" TargetMode="External"/><Relationship Id="rId97" Type="http://schemas.openxmlformats.org/officeDocument/2006/relationships/hyperlink" Target="https://en.wikipedia.org/wiki/Aldead%C3%A1vila_Dam" TargetMode="External"/><Relationship Id="rId104" Type="http://schemas.openxmlformats.org/officeDocument/2006/relationships/hyperlink" Target="https://www.hs-mainz.de/fileadmin/content/fb1/pdf/Bau/Exkursionen/Kraftwerksgruppe_Sellrain-Silz.pdf" TargetMode="External"/><Relationship Id="rId120" Type="http://schemas.openxmlformats.org/officeDocument/2006/relationships/hyperlink" Target="http://energie.edf.com/fichiers/fckeditor/DP_Visite_Cheylas.pdf" TargetMode="External"/><Relationship Id="rId125" Type="http://schemas.openxmlformats.org/officeDocument/2006/relationships/hyperlink" Target="https://snl.no/Sima_kraftverk" TargetMode="External"/><Relationship Id="rId141" Type="http://schemas.openxmlformats.org/officeDocument/2006/relationships/hyperlink" Target="http://www.sirakvina.no/Prosjekter-og-anlegg/Hovedmagasiner/Svartevatn/" TargetMode="External"/><Relationship Id="rId146" Type="http://schemas.openxmlformats.org/officeDocument/2006/relationships/hyperlink" Target="https://de.wikipedia.org/wiki/Kraftwerk_Ybbs-Persenbeug" TargetMode="External"/><Relationship Id="rId167" Type="http://schemas.openxmlformats.org/officeDocument/2006/relationships/hyperlink" Target="https://www.aet.ch/IT/Impianto-idroelettrico-Nuova-Biaschina-af2c3e00" TargetMode="External"/><Relationship Id="rId188" Type="http://schemas.openxmlformats.org/officeDocument/2006/relationships/hyperlink" Target="https://sv.wikipedia.org/wiki/Varg%C3%B6ns_kraftverk" TargetMode="External"/><Relationship Id="rId7" Type="http://schemas.openxmlformats.org/officeDocument/2006/relationships/hyperlink" Target="https://en.wikipedia.org/wiki/Dale%C5%A1ice_Hydro_Power_Plant" TargetMode="External"/><Relationship Id="rId71" Type="http://schemas.openxmlformats.org/officeDocument/2006/relationships/hyperlink" Target="https://en.wikipedia.org/wiki/Iron_Gate_I_Hydroelectric_Power_Station" TargetMode="External"/><Relationship Id="rId92" Type="http://schemas.openxmlformats.org/officeDocument/2006/relationships/hyperlink" Target="http://www.grande-dixence.ch/energie/hydraulic/switzerland/fionnay-power-station-altitude-1490.html" TargetMode="External"/><Relationship Id="rId162" Type="http://schemas.openxmlformats.org/officeDocument/2006/relationships/hyperlink" Target="https://www.statkraft.com/energy-sources/Power-plants/Sweden/Kvistforsen/" TargetMode="External"/><Relationship Id="rId183" Type="http://schemas.openxmlformats.org/officeDocument/2006/relationships/hyperlink" Target="https://de.wikipedia.org/wiki/Kraftwerk_Abwinden-Asten" TargetMode="External"/><Relationship Id="rId213" Type="http://schemas.openxmlformats.org/officeDocument/2006/relationships/hyperlink" Target="http://www.kruoniohae.lt/en/main/activity" TargetMode="External"/><Relationship Id="rId218" Type="http://schemas.openxmlformats.org/officeDocument/2006/relationships/hyperlink" Target="https://www.esb.ie/docs/default-source/education-hub/erne-stations74dc5b2d46d164eb900aff0000c22e36" TargetMode="External"/><Relationship Id="rId234" Type="http://schemas.openxmlformats.org/officeDocument/2006/relationships/comments" Target="../comments4.xml"/><Relationship Id="rId2" Type="http://schemas.openxmlformats.org/officeDocument/2006/relationships/hyperlink" Target="https://en.wikipedia.org/w/index.php?title=Sestrimo&amp;action=edit&amp;redlink=1" TargetMode="External"/><Relationship Id="rId29" Type="http://schemas.openxmlformats.org/officeDocument/2006/relationships/hyperlink" Target="https://en.wikipedia.org/wiki/Maccagno" TargetMode="External"/><Relationship Id="rId24" Type="http://schemas.openxmlformats.org/officeDocument/2006/relationships/hyperlink" Target="https://en.wikipedia.org/wiki/Enel" TargetMode="External"/><Relationship Id="rId40" Type="http://schemas.openxmlformats.org/officeDocument/2006/relationships/hyperlink" Target="https://en.wikipedia.org/wiki/Bragan%C3%A7a_District" TargetMode="External"/><Relationship Id="rId45" Type="http://schemas.openxmlformats.org/officeDocument/2006/relationships/hyperlink" Target="https://tools.wmflabs.org/geohack/geohack.php?pagename=List_of_power_stations_in_Romania&amp;params=46.7889_N_22.5671625_E_&amp;title=Iron+Gate+II+Hydroelectric+Power+Station" TargetMode="External"/><Relationship Id="rId66" Type="http://schemas.openxmlformats.org/officeDocument/2006/relationships/hyperlink" Target="https://en.wikipedia.org/wiki/Entracque_Power_Plant" TargetMode="External"/><Relationship Id="rId87" Type="http://schemas.openxmlformats.org/officeDocument/2006/relationships/hyperlink" Target="http://www.grimselstrom.ch/home/download/1254" TargetMode="External"/><Relationship Id="rId110" Type="http://schemas.openxmlformats.org/officeDocument/2006/relationships/hyperlink" Target="http://www.latvenergo.lv/portal/page/portal/english/latvenergo/main1/about_latvenergo/energy_production/hidroelektrostacijas" TargetMode="External"/><Relationship Id="rId115" Type="http://schemas.openxmlformats.org/officeDocument/2006/relationships/hyperlink" Target="https://en.wikipedia.org/wiki/Carinthia_(state)" TargetMode="External"/><Relationship Id="rId131" Type="http://schemas.openxmlformats.org/officeDocument/2006/relationships/hyperlink" Target="https://it.wikipedia.org/wiki/Lago_di_Campotosto" TargetMode="External"/><Relationship Id="rId136" Type="http://schemas.openxmlformats.org/officeDocument/2006/relationships/hyperlink" Target="https://no.wikipedia.org/wiki/Gresvatnet" TargetMode="External"/><Relationship Id="rId157" Type="http://schemas.openxmlformats.org/officeDocument/2006/relationships/hyperlink" Target="https://www.researchgate.net/profile/Michal_Habel2/publication/266072268_Dynamics_of_the_Vistula_River_channel_deformations_downstream_of_the_Wloclawek_Reservoir/links/542424610cf26120b7a71ebe/Dynamics-of-the-Vistula-River-channel-deformations-downstream-of-the-Wloclawek-Reservoir.pdf" TargetMode="External"/><Relationship Id="rId178" Type="http://schemas.openxmlformats.org/officeDocument/2006/relationships/hyperlink" Target="https://www.google.nl/url?sa=t&amp;rct=j&amp;q=&amp;esrc=s&amp;source=web&amp;cd=6&amp;cad=rja&amp;uact=8&amp;ved=0ahUKEwiZ0YK2vM3YAhWjIsAKHYPFCA8QFgg3MAU&amp;url=https%3A%2F%2Fwww.e-periodica.ch%2Fcntmng%3Fpid%3Dwbw-002%3A1957%3A44%3A%3A1589&amp;usg=AOvVaw2I7UY7VZmSt-1iJ7O7NAVB" TargetMode="External"/><Relationship Id="rId61" Type="http://schemas.openxmlformats.org/officeDocument/2006/relationships/hyperlink" Target="https://en.wikipedia.org/wiki/Alqueva_Dam" TargetMode="External"/><Relationship Id="rId82" Type="http://schemas.openxmlformats.org/officeDocument/2006/relationships/hyperlink" Target="http://globalenergyobservatory.org/form.php?pid=44137" TargetMode="External"/><Relationship Id="rId152" Type="http://schemas.openxmlformats.org/officeDocument/2006/relationships/hyperlink" Target="https://www.verbund.com/de-at/ueber-verbund/kraftwerke/unsere-kraftwerke/ottensheim-wilhering" TargetMode="External"/><Relationship Id="rId173" Type="http://schemas.openxmlformats.org/officeDocument/2006/relationships/hyperlink" Target="https://www.energiedienst.de/produktion/wasserkraftwerk-laufenburg/" TargetMode="External"/><Relationship Id="rId194" Type="http://schemas.openxmlformats.org/officeDocument/2006/relationships/hyperlink" Target="https://sv.wikipedia.org/wiki/Lilla_Edets_kraftverk" TargetMode="External"/><Relationship Id="rId199" Type="http://schemas.openxmlformats.org/officeDocument/2006/relationships/hyperlink" Target="https://www.statkraft.com/energy-sources/Power-plants/Norway/Svelgfoss/" TargetMode="External"/><Relationship Id="rId203" Type="http://schemas.openxmlformats.org/officeDocument/2006/relationships/hyperlink" Target="https://www.glitreenergi.no/konsern/prosjekt/kaggefoss/" TargetMode="External"/><Relationship Id="rId208" Type="http://schemas.openxmlformats.org/officeDocument/2006/relationships/hyperlink" Target="http://www.e-co.no/Norsk/Forside/Kraftverk/Glomma/Hafslund_kraftverk/" TargetMode="External"/><Relationship Id="rId229" Type="http://schemas.openxmlformats.org/officeDocument/2006/relationships/hyperlink" Target="http://orizzontenergia.it/download/Appr/RINNOVABILI/2013_12_30_centrali%20idroelettriche_Univ%20Pavia.pdf" TargetMode="External"/><Relationship Id="rId19" Type="http://schemas.openxmlformats.org/officeDocument/2006/relationships/hyperlink" Target="https://en.wikipedia.org/wiki/A2A" TargetMode="External"/><Relationship Id="rId224" Type="http://schemas.openxmlformats.org/officeDocument/2006/relationships/hyperlink" Target="http://www.cvaspa.it/acqua/impianti/avise/" TargetMode="External"/><Relationship Id="rId14" Type="http://schemas.openxmlformats.org/officeDocument/2006/relationships/hyperlink" Target="https://tools.wmflabs.org/geohack/geohack.php?pagename=List_of_power_stations_in_Germany&amp;params=51.1665488_N_9.0465868_E_&amp;title=Waldeck+II+Pumped+Storage+Station" TargetMode="External"/><Relationship Id="rId30" Type="http://schemas.openxmlformats.org/officeDocument/2006/relationships/hyperlink" Target="https://en.wikipedia.org/wiki/P%C4%BCavi%C5%86as_Hydroelectric_Power_Station" TargetMode="External"/><Relationship Id="rId35" Type="http://schemas.openxmlformats.org/officeDocument/2006/relationships/hyperlink" Target="https://tools.wmflabs.org/geohack/geohack.php?pagename=List_of_power_stations_in_Latvia&amp;params=56.8513187_N_24.2720389_E_&amp;title=Riga+Hydroelectric+Power+Plant" TargetMode="External"/><Relationship Id="rId56" Type="http://schemas.openxmlformats.org/officeDocument/2006/relationships/hyperlink" Target="https://en.wikipedia.org/w/index.php?title=Fj%C3%A4llsj%C3%B6_River&amp;action=edit&amp;redlink=1" TargetMode="External"/><Relationship Id="rId77" Type="http://schemas.openxmlformats.org/officeDocument/2006/relationships/hyperlink" Target="http://globalenergyobservatory.org/geoid/45431" TargetMode="External"/><Relationship Id="rId100" Type="http://schemas.openxmlformats.org/officeDocument/2006/relationships/hyperlink" Target="https://en.wikipedia.org/wiki/Iron_Gate_I_Hydroelectric_Power_Station" TargetMode="External"/><Relationship Id="rId105" Type="http://schemas.openxmlformats.org/officeDocument/2006/relationships/hyperlink" Target="http://www.verbund.com/pp/de/pumpspeicherkraftwerk/haeusling" TargetMode="External"/><Relationship Id="rId126" Type="http://schemas.openxmlformats.org/officeDocument/2006/relationships/hyperlink" Target="http://www.statkraft.com/globalassets/old-contains-the-old-folder-structure/documents/sima-folder-eng-8s-final_tcm9-14179.pdf" TargetMode="External"/><Relationship Id="rId147" Type="http://schemas.openxmlformats.org/officeDocument/2006/relationships/hyperlink" Target="https://fr.wikipedia.org/wiki/Barrage_de_Vallabr%C3%A8gues" TargetMode="External"/><Relationship Id="rId168" Type="http://schemas.openxmlformats.org/officeDocument/2006/relationships/hyperlink" Target="https://www.aet.ch/IT/Impianto-idroelettrico-Nuova-Biaschina-af2c3e00" TargetMode="External"/><Relationship Id="rId8" Type="http://schemas.openxmlformats.org/officeDocument/2006/relationships/hyperlink" Target="https://en.wikipedia.org/wiki/Kramol%C3%ADn_(T%C5%99eb%C3%AD%C4%8D_District)" TargetMode="External"/><Relationship Id="rId51" Type="http://schemas.openxmlformats.org/officeDocument/2006/relationships/hyperlink" Target="https://en.wikipedia.org/wiki/Ume_River" TargetMode="External"/><Relationship Id="rId72" Type="http://schemas.openxmlformats.org/officeDocument/2006/relationships/hyperlink" Target="https://tools.wmflabs.org/geohack/geohack.php?pagename=List_of_power_stations_in_Romania&amp;params=44.6732766_N_22.5320363_E_&amp;title=Iron+Gate+I+Hydroelectric+Power+Station" TargetMode="External"/><Relationship Id="rId93" Type="http://schemas.openxmlformats.org/officeDocument/2006/relationships/hyperlink" Target="https://en.wikipedia.org/wiki/Ulla-F%C3%B8rre" TargetMode="External"/><Relationship Id="rId98" Type="http://schemas.openxmlformats.org/officeDocument/2006/relationships/hyperlink" Target="https://es.wikipedia.org/wiki/Presa_de_Aldead%C3%A1vila" TargetMode="External"/><Relationship Id="rId121" Type="http://schemas.openxmlformats.org/officeDocument/2006/relationships/hyperlink" Target="http://www.seprem.es/ficha.php?idpresa=52&amp;p=2" TargetMode="External"/><Relationship Id="rId142" Type="http://schemas.openxmlformats.org/officeDocument/2006/relationships/hyperlink" Target="https://no.wikipedia.org/wiki/Svartevatn-magasinet" TargetMode="External"/><Relationship Id="rId163" Type="http://schemas.openxmlformats.org/officeDocument/2006/relationships/hyperlink" Target="http://www.poyry.com/sites/default/files/media/related_material/50.pdf" TargetMode="External"/><Relationship Id="rId184" Type="http://schemas.openxmlformats.org/officeDocument/2006/relationships/hyperlink" Target="https://www.verbund.com/en-at/about-verbund/power-plants/our-power-plants/jochenstein" TargetMode="External"/><Relationship Id="rId189" Type="http://schemas.openxmlformats.org/officeDocument/2006/relationships/hyperlink" Target="https://powerplants.vattenfall.com/hojum" TargetMode="External"/><Relationship Id="rId219" Type="http://schemas.openxmlformats.org/officeDocument/2006/relationships/hyperlink" Target="https://www.scottishpower.com/userfiles/file/GallowayTechnical2011.pdf" TargetMode="External"/><Relationship Id="rId3" Type="http://schemas.openxmlformats.org/officeDocument/2006/relationships/hyperlink" Target="https://en.wikipedia.org/wiki/Zaku%C4%8Dac_Hydroelectric_Power_Plant" TargetMode="External"/><Relationship Id="rId214" Type="http://schemas.openxmlformats.org/officeDocument/2006/relationships/hyperlink" Target="https://gamyba.le.lt/en/activities/electricity-generation/kaunas-algirdas-brazauskas-hydroelectric-power-plant-khpp" TargetMode="External"/><Relationship Id="rId230" Type="http://schemas.openxmlformats.org/officeDocument/2006/relationships/hyperlink" Target="https://www.progettodighe.it/main/le-centrali/article/isola-serafini-monticelli-d-ongina" TargetMode="External"/><Relationship Id="rId25" Type="http://schemas.openxmlformats.org/officeDocument/2006/relationships/hyperlink" Target="https://en.wikipedia.org/wiki/Enel" TargetMode="External"/><Relationship Id="rId46" Type="http://schemas.openxmlformats.org/officeDocument/2006/relationships/hyperlink" Target="https://en.wikipedia.org/wiki/Gab%C4%8D%C3%ADkovo_%E2%80%93_Nagymaros_Dams" TargetMode="External"/><Relationship Id="rId67" Type="http://schemas.openxmlformats.org/officeDocument/2006/relationships/hyperlink" Target="https://en.wikipedia.org/wiki/Entracque_Power_Plant" TargetMode="External"/><Relationship Id="rId116" Type="http://schemas.openxmlformats.org/officeDocument/2006/relationships/hyperlink" Target="http://www.verbund.com/pp/de/pumpspeicherkraftwerk/malta-oberstufe" TargetMode="External"/><Relationship Id="rId137" Type="http://schemas.openxmlformats.org/officeDocument/2006/relationships/hyperlink" Target="http://kraftverk.vattenfall.se/kilforsen" TargetMode="External"/><Relationship Id="rId158" Type="http://schemas.openxmlformats.org/officeDocument/2006/relationships/hyperlink" Target="http://www.energa-hydro.pl/obiekty/lista-obiektow/wloclawek,50,obiekt.html" TargetMode="External"/><Relationship Id="rId20" Type="http://schemas.openxmlformats.org/officeDocument/2006/relationships/hyperlink" Target="https://en.wikipedia.org/wiki/Enel" TargetMode="External"/><Relationship Id="rId41" Type="http://schemas.openxmlformats.org/officeDocument/2006/relationships/hyperlink" Target="https://en.wikipedia.org/wiki/Miranda_Dam" TargetMode="External"/><Relationship Id="rId62" Type="http://schemas.openxmlformats.org/officeDocument/2006/relationships/hyperlink" Target="https://en.wikipedia.org/wiki/Scottish_Power" TargetMode="External"/><Relationship Id="rId83" Type="http://schemas.openxmlformats.org/officeDocument/2006/relationships/hyperlink" Target="http://globalenergyobservatory.org/form.php?pid=44410" TargetMode="External"/><Relationship Id="rId88" Type="http://schemas.openxmlformats.org/officeDocument/2006/relationships/hyperlink" Target="https://en.wikipedia.org/wiki/Entracque_Power_Plant" TargetMode="External"/><Relationship Id="rId111" Type="http://schemas.openxmlformats.org/officeDocument/2006/relationships/hyperlink" Target="http://voith.com/de/11_06_Broschuere-Pumped-storage_einzeln.pdf" TargetMode="External"/><Relationship Id="rId132" Type="http://schemas.openxmlformats.org/officeDocument/2006/relationships/hyperlink" Target="https://en.wikipedia.org/wiki/K%C3%B6lnbrein_Dam" TargetMode="External"/><Relationship Id="rId153" Type="http://schemas.openxmlformats.org/officeDocument/2006/relationships/hyperlink" Target="http://globalenergyobservatory.org/geoid/45164" TargetMode="External"/><Relationship Id="rId174" Type="http://schemas.openxmlformats.org/officeDocument/2006/relationships/hyperlink" Target="http://www.rksag.de/unternehmen/" TargetMode="External"/><Relationship Id="rId179" Type="http://schemas.openxmlformats.org/officeDocument/2006/relationships/hyperlink" Target="http://www.hevs.ch/media/document/0/hasmatuchi_hydro2014b.pdf" TargetMode="External"/><Relationship Id="rId195" Type="http://schemas.openxmlformats.org/officeDocument/2006/relationships/hyperlink" Target="https://www.statkraft.no/globalassets/old-contains-the-old-folder-structure/documents/faktaark-cakit-eng-final-20101006_tcm10-11957.pdf" TargetMode="External"/><Relationship Id="rId209" Type="http://schemas.openxmlformats.org/officeDocument/2006/relationships/hyperlink" Target="https://no.wikipedia.org/wiki/Borregaard_kraftverk" TargetMode="External"/><Relationship Id="rId190" Type="http://schemas.openxmlformats.org/officeDocument/2006/relationships/hyperlink" Target="http://evolution.skf.com/a-steady-flow/" TargetMode="External"/><Relationship Id="rId204" Type="http://schemas.openxmlformats.org/officeDocument/2006/relationships/hyperlink" Target="https://no.wikipedia.org/wiki/Kaggefoss_kraftverk" TargetMode="External"/><Relationship Id="rId220" Type="http://schemas.openxmlformats.org/officeDocument/2006/relationships/hyperlink" Target="https://www.scottishpower.com/userfiles/file/GallowayTechnical2011.pdf" TargetMode="External"/><Relationship Id="rId225" Type="http://schemas.openxmlformats.org/officeDocument/2006/relationships/hyperlink" Target="https://it.wikipedia.org/wiki/Centrale_idroelettrica_di_Avise" TargetMode="External"/><Relationship Id="rId15" Type="http://schemas.openxmlformats.org/officeDocument/2006/relationships/hyperlink" Target="https://en.wikipedia.org/wiki/Kremasta_Dam" TargetMode="External"/><Relationship Id="rId36" Type="http://schemas.openxmlformats.org/officeDocument/2006/relationships/hyperlink" Target="https://en.wikipedia.org/wiki/Alto_Lindoso_Dam" TargetMode="External"/><Relationship Id="rId57" Type="http://schemas.openxmlformats.org/officeDocument/2006/relationships/hyperlink" Target="https://en.wikipedia.org/wiki/Bieudron_Hydroelectric_Power_Station" TargetMode="External"/><Relationship Id="rId106" Type="http://schemas.openxmlformats.org/officeDocument/2006/relationships/hyperlink" Target="https://en.wikipedia.org/wiki/Hrvatska_elektroprivreda" TargetMode="External"/><Relationship Id="rId127" Type="http://schemas.openxmlformats.org/officeDocument/2006/relationships/hyperlink" Target="http://www.hydroweb.fr/hydroweb.php?page=hydro_centrales.php&amp;HWC=9" TargetMode="External"/><Relationship Id="rId10" Type="http://schemas.openxmlformats.org/officeDocument/2006/relationships/hyperlink" Target="https://en.wikipedia.org/wiki/Solenice" TargetMode="External"/><Relationship Id="rId31" Type="http://schemas.openxmlformats.org/officeDocument/2006/relationships/hyperlink" Target="https://en.wikipedia.org/wiki/Aizkraukle" TargetMode="External"/><Relationship Id="rId52" Type="http://schemas.openxmlformats.org/officeDocument/2006/relationships/hyperlink" Target="https://en.wikipedia.org/w/index.php?title=Messaure&amp;action=edit&amp;redlink=1" TargetMode="External"/><Relationship Id="rId73" Type="http://schemas.openxmlformats.org/officeDocument/2006/relationships/hyperlink" Target="http://globalenergyobservatory.org/form.php?pid=45447" TargetMode="External"/><Relationship Id="rId78" Type="http://schemas.openxmlformats.org/officeDocument/2006/relationships/hyperlink" Target="https://de.wikipedia.org/wiki/Maltakraftwerke" TargetMode="External"/><Relationship Id="rId94" Type="http://schemas.openxmlformats.org/officeDocument/2006/relationships/hyperlink" Target="https://no.wikipedia.org/wiki/Kvilldal_kraftverk" TargetMode="External"/><Relationship Id="rId99" Type="http://schemas.openxmlformats.org/officeDocument/2006/relationships/hyperlink" Target="http://globalenergyobservatory.org/form.php?pid=40975" TargetMode="External"/><Relationship Id="rId101" Type="http://schemas.openxmlformats.org/officeDocument/2006/relationships/hyperlink" Target="http://www.seprem.es/ficha.php?idpresa=579&amp;p=23" TargetMode="External"/><Relationship Id="rId122" Type="http://schemas.openxmlformats.org/officeDocument/2006/relationships/hyperlink" Target="http://globalenergyobservatory.org/geoid/44131" TargetMode="External"/><Relationship Id="rId143" Type="http://schemas.openxmlformats.org/officeDocument/2006/relationships/hyperlink" Target="http://www.a2a.eu/en/plants_networks/idro/premadio.html" TargetMode="External"/><Relationship Id="rId148" Type="http://schemas.openxmlformats.org/officeDocument/2006/relationships/hyperlink" Target="http://www.a-nossa-energia.edp.pt/centros_produtores/info_tecnica.php?item_id=17&amp;cp_type=&amp;section_type=info_tecnica" TargetMode="External"/><Relationship Id="rId164" Type="http://schemas.openxmlformats.org/officeDocument/2006/relationships/hyperlink" Target="http://www.poyry.com/sites/default/files/media/related_material/49.pdf" TargetMode="External"/><Relationship Id="rId169" Type="http://schemas.openxmlformats.org/officeDocument/2006/relationships/hyperlink" Target="http://www.naturenergie.ch/enalpin/wasserkraftwerke/kraftwerk-loetschen-ag/" TargetMode="External"/><Relationship Id="rId185" Type="http://schemas.openxmlformats.org/officeDocument/2006/relationships/hyperlink" Target="http://holzmann.fh-potsdam.de/wp-content/uploads/2017/03/Jochensteinfertigge%C3%A4ndert.pdf" TargetMode="External"/><Relationship Id="rId4" Type="http://schemas.openxmlformats.org/officeDocument/2006/relationships/hyperlink" Target="https://en.wikipedia.org/wiki/Dlouh%C3%A9_Str%C3%A1n%C4%9B_Hydro_Power_Plant" TargetMode="External"/><Relationship Id="rId9" Type="http://schemas.openxmlformats.org/officeDocument/2006/relationships/hyperlink" Target="https://en.wikipedia.org/wiki/Orl%C3%ADk_Hydro_Power_Plant" TargetMode="External"/><Relationship Id="rId180" Type="http://schemas.openxmlformats.org/officeDocument/2006/relationships/hyperlink" Target="https://infoscience.epfl.ch/record/162408/files/2010-746-Muller-Bieri-Boillat-Schleiss-Barrage_de_lavey.pdf" TargetMode="External"/><Relationship Id="rId210" Type="http://schemas.openxmlformats.org/officeDocument/2006/relationships/hyperlink" Target="http://akershusenergi.no/no/vannkraft/vaare-kraftverk/copy_ranasfoss3" TargetMode="External"/><Relationship Id="rId215" Type="http://schemas.openxmlformats.org/officeDocument/2006/relationships/hyperlink" Target="https://lt.wikipedia.org/wiki/Kauno_Algirdo_Brazausko_hidroelektrin%C4%97" TargetMode="External"/><Relationship Id="rId26" Type="http://schemas.openxmlformats.org/officeDocument/2006/relationships/hyperlink" Target="https://en.wikipedia.org/wiki/Enel" TargetMode="External"/><Relationship Id="rId231" Type="http://schemas.openxmlformats.org/officeDocument/2006/relationships/printerSettings" Target="../printerSettings/printerSettings5.bin"/><Relationship Id="rId47" Type="http://schemas.openxmlformats.org/officeDocument/2006/relationships/hyperlink" Target="https://tools.wmflabs.org/geohack/geohack.php?pagename=List_of_power_stations_in_Slovakia&amp;params=47.8800886_N_17.5385141_E_type:landmark&amp;title=Nagymaros+Dams" TargetMode="External"/><Relationship Id="rId68" Type="http://schemas.openxmlformats.org/officeDocument/2006/relationships/hyperlink" Target="http://globalenergyobservatory.org/form.php?pid=45216" TargetMode="External"/><Relationship Id="rId89" Type="http://schemas.openxmlformats.org/officeDocument/2006/relationships/hyperlink" Target="http://globalenergyobservatory.org/geoid/45432" TargetMode="External"/><Relationship Id="rId112" Type="http://schemas.openxmlformats.org/officeDocument/2006/relationships/hyperlink" Target="https://de.wikipedia.org/wiki/Polska_Grupa_Energetyczna" TargetMode="External"/><Relationship Id="rId133" Type="http://schemas.openxmlformats.org/officeDocument/2006/relationships/hyperlink" Target="https://www.statkraft.com/energy-sources/Power-plants/Norway/Sima/" TargetMode="External"/><Relationship Id="rId154" Type="http://schemas.openxmlformats.org/officeDocument/2006/relationships/hyperlink" Target="https://ipfs.io/ipfs/QmXoypizjW3WknFiJnKLwHCnL72vedxjQkDDP1mXWo6uco/wiki/List_of_dams_and_reservoirs_in_Austria.html" TargetMode="External"/><Relationship Id="rId175" Type="http://schemas.openxmlformats.org/officeDocument/2006/relationships/hyperlink" Target="http://www.sig-ge.ch/nous-connaitre/nos-activites/notre-patrimoine/connaitre-et-visiter-les-sites-sig/le-barrage-de-verbois" TargetMode="External"/><Relationship Id="rId196" Type="http://schemas.openxmlformats.org/officeDocument/2006/relationships/hyperlink" Target="https://iam.innogy.com/en/about-innogy/innogy-innovation-technology/renewables/hydro-power/hydroelectric-power-station-radag" TargetMode="External"/><Relationship Id="rId200" Type="http://schemas.openxmlformats.org/officeDocument/2006/relationships/hyperlink" Target="https://www.hydro.com/en/products/energy/our-power-plants/telemark/svelgfoss/" TargetMode="External"/><Relationship Id="rId16" Type="http://schemas.openxmlformats.org/officeDocument/2006/relationships/hyperlink" Target="https://tools.wmflabs.org/geohack/geohack.php?pagename=List_of_power_stations_in_Greece&amp;params=38.8839511_N_21.4937961_E_&amp;title=Kremasta+Hydroelectric+Dam" TargetMode="External"/><Relationship Id="rId221" Type="http://schemas.openxmlformats.org/officeDocument/2006/relationships/hyperlink" Target="https://www.scottishpower.com/userfiles/file/GallowayTechnical2011.pdf" TargetMode="External"/><Relationship Id="rId37" Type="http://schemas.openxmlformats.org/officeDocument/2006/relationships/hyperlink" Target="https://en.wikipedia.org/wiki/Viana_do_Castelo_District" TargetMode="External"/><Relationship Id="rId58" Type="http://schemas.openxmlformats.org/officeDocument/2006/relationships/hyperlink" Target="https://en.wikipedia.org/wiki/Linth%E2%80%93Limmern_Power_Stations" TargetMode="External"/><Relationship Id="rId79" Type="http://schemas.openxmlformats.org/officeDocument/2006/relationships/hyperlink" Target="https://fr.wikipedia.org/wiki/Barrage_de_Grand%27Maison" TargetMode="External"/><Relationship Id="rId102" Type="http://schemas.openxmlformats.org/officeDocument/2006/relationships/hyperlink" Target="https://en.wikipedia.org/wiki/%C3%89lectricit%C3%A9_de_France" TargetMode="External"/><Relationship Id="rId123" Type="http://schemas.openxmlformats.org/officeDocument/2006/relationships/hyperlink" Target="https://en.wikipedia.org/wiki/Harspr%C3%A5nget_hydroelectric_power_station" TargetMode="External"/><Relationship Id="rId144" Type="http://schemas.openxmlformats.org/officeDocument/2006/relationships/hyperlink" Target="http://www.a-nossa-energia.edp.pt/centros_produtores/info_tecnica.php?item_id=57&amp;cp_type=&amp;section_type=info_tecnica" TargetMode="External"/><Relationship Id="rId90" Type="http://schemas.openxmlformats.org/officeDocument/2006/relationships/hyperlink" Target="http://enipedia.tudelft.nl/wiki/Bieudron_Powerplant" TargetMode="External"/><Relationship Id="rId165" Type="http://schemas.openxmlformats.org/officeDocument/2006/relationships/hyperlink" Target="https://www.aet.ch/IT/Impianto-idroelettrico-Piottino-57db1a00" TargetMode="External"/><Relationship Id="rId186" Type="http://schemas.openxmlformats.org/officeDocument/2006/relationships/hyperlink" Target="https://powerplants.vattenfall.com/vargon" TargetMode="External"/><Relationship Id="rId211" Type="http://schemas.openxmlformats.org/officeDocument/2006/relationships/hyperlink" Target="http://akershusenergi.no/no/vannkraft/vaare-kraftverk/raanaasfoss2" TargetMode="External"/><Relationship Id="rId232" Type="http://schemas.openxmlformats.org/officeDocument/2006/relationships/drawing" Target="../drawings/drawing3.xml"/></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9.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1.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2.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s://www.hydropower.org/country-profiles/turkey" TargetMode="External"/><Relationship Id="rId1" Type="http://schemas.openxmlformats.org/officeDocument/2006/relationships/hyperlink" Target="http://kraftnytt.no/2017/06/20/utvidelser-i-eksisterende-vannkraftanlegg-har-gitt-norge-storre-magasinkapasitet/" TargetMode="External"/><Relationship Id="rId6" Type="http://schemas.openxmlformats.org/officeDocument/2006/relationships/comments" Target="../comments12.xml"/><Relationship Id="rId5" Type="http://schemas.openxmlformats.org/officeDocument/2006/relationships/vmlDrawing" Target="../drawings/vmlDrawing12.vml"/><Relationship Id="rId4"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5.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6.bin"/></Relationships>
</file>

<file path=xl/worksheets/_rels/sheet18.xml.rels><?xml version="1.0" encoding="UTF-8" standalone="yes"?>
<Relationships xmlns="http://schemas.openxmlformats.org/package/2006/relationships"><Relationship Id="rId8" Type="http://schemas.openxmlformats.org/officeDocument/2006/relationships/hyperlink" Target="http://enipedia.tudelft.nl/maps/PowerPlants.html" TargetMode="External"/><Relationship Id="rId13" Type="http://schemas.openxmlformats.org/officeDocument/2006/relationships/hyperlink" Target="http://www.a-nossa-energia.edp.pt/centros_produtores/info_tecnica.php?item_id=40&amp;cp_type=he&amp;section_type=info_tecnica" TargetMode="External"/><Relationship Id="rId18" Type="http://schemas.openxmlformats.org/officeDocument/2006/relationships/vmlDrawing" Target="../drawings/vmlDrawing15.vml"/><Relationship Id="rId3" Type="http://schemas.openxmlformats.org/officeDocument/2006/relationships/hyperlink" Target="http://powerplants.vattenfall.nl/" TargetMode="External"/><Relationship Id="rId7" Type="http://schemas.openxmlformats.org/officeDocument/2006/relationships/hyperlink" Target="https://transparency.entsoe.eu/" TargetMode="External"/><Relationship Id="rId12" Type="http://schemas.openxmlformats.org/officeDocument/2006/relationships/hyperlink" Target="https://www.verbund.com/en-at/about-verbund/power-plants/our-power-plants" TargetMode="External"/><Relationship Id="rId17" Type="http://schemas.openxmlformats.org/officeDocument/2006/relationships/printerSettings" Target="../printerSettings/printerSettings17.bin"/><Relationship Id="rId2" Type="http://schemas.openxmlformats.org/officeDocument/2006/relationships/hyperlink" Target="https://forum.openmod-initiative.org/t/power-watch-beta-version/74" TargetMode="External"/><Relationship Id="rId16" Type="http://schemas.openxmlformats.org/officeDocument/2006/relationships/hyperlink" Target="https://atlas.nve.no/html5Viewer/?viewer=nveatlas" TargetMode="External"/><Relationship Id="rId1" Type="http://schemas.openxmlformats.org/officeDocument/2006/relationships/hyperlink" Target="http://www.energystorageexchange.org/projects/778" TargetMode="External"/><Relationship Id="rId6" Type="http://schemas.openxmlformats.org/officeDocument/2006/relationships/hyperlink" Target="http://www.bfe.admin.ch/themen/00490/00491/index.html?lang=en" TargetMode="External"/><Relationship Id="rId11" Type="http://schemas.openxmlformats.org/officeDocument/2006/relationships/hyperlink" Target="http://www.edpenergia.es/institucional/en/business/generation/hydro-electric-plants/" TargetMode="External"/><Relationship Id="rId5" Type="http://schemas.openxmlformats.org/officeDocument/2006/relationships/hyperlink" Target="http://www.hydro.com/en/products/energy/our-power-plants/roldal-suldal/" TargetMode="External"/><Relationship Id="rId15" Type="http://schemas.openxmlformats.org/officeDocument/2006/relationships/hyperlink" Target="https://en.wikipedia.org/wiki/List_of_power_stations_in_Slovenia" TargetMode="External"/><Relationship Id="rId10" Type="http://schemas.openxmlformats.org/officeDocument/2006/relationships/hyperlink" Target="http://clients.rte-france.com/lang/an/visiteurs/vie/prod/parc_reference.jsp" TargetMode="External"/><Relationship Id="rId19" Type="http://schemas.openxmlformats.org/officeDocument/2006/relationships/comments" Target="../comments15.xml"/><Relationship Id="rId4" Type="http://schemas.openxmlformats.org/officeDocument/2006/relationships/hyperlink" Target="https://www.statkraft.com/energy-sources/Power-plants/Norway/Aurland-IV-Vangen/" TargetMode="External"/><Relationship Id="rId9" Type="http://schemas.openxmlformats.org/officeDocument/2006/relationships/hyperlink" Target="http://globalenergyobservatory.org/select.php?tgl=Edit" TargetMode="External"/><Relationship Id="rId14" Type="http://schemas.openxmlformats.org/officeDocument/2006/relationships/hyperlink" Target="https://www.cez.cz/en/power-plants-and-environment/cez-hydraulic-power-plants.html" TargetMode="External"/></Relationships>
</file>

<file path=xl/worksheets/_rels/sheet19.xml.rels><?xml version="1.0" encoding="UTF-8" standalone="yes"?>
<Relationships xmlns="http://schemas.openxmlformats.org/package/2006/relationships"><Relationship Id="rId3" Type="http://schemas.openxmlformats.org/officeDocument/2006/relationships/printerSettings" Target="../printerSettings/printerSettings18.bin"/><Relationship Id="rId2" Type="http://schemas.openxmlformats.org/officeDocument/2006/relationships/hyperlink" Target="https://www.hydropower.org/country-profiles/turkey" TargetMode="External"/><Relationship Id="rId1" Type="http://schemas.openxmlformats.org/officeDocument/2006/relationships/hyperlink" Target="http://kraftnytt.no/2017/06/20/utvidelser-i-eksisterende-vannkraftanlegg-har-gitt-norge-storre-magasinkapasitet/" TargetMode="External"/><Relationship Id="rId6" Type="http://schemas.openxmlformats.org/officeDocument/2006/relationships/comments" Target="../comments16.xml"/><Relationship Id="rId5" Type="http://schemas.openxmlformats.org/officeDocument/2006/relationships/vmlDrawing" Target="../drawings/vmlDrawing16.vml"/><Relationship Id="rId4" Type="http://schemas.openxmlformats.org/officeDocument/2006/relationships/drawing" Target="../drawings/drawing5.xml"/></Relationships>
</file>

<file path=xl/worksheets/_rels/sheet20.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9.bin"/></Relationships>
</file>

<file path=xl/worksheets/_rels/sheet21.xml.rels><?xml version="1.0" encoding="UTF-8" standalone="yes"?>
<Relationships xmlns="http://schemas.openxmlformats.org/package/2006/relationships"><Relationship Id="rId2" Type="http://schemas.openxmlformats.org/officeDocument/2006/relationships/comments" Target="../comments18.xml"/><Relationship Id="rId1" Type="http://schemas.openxmlformats.org/officeDocument/2006/relationships/vmlDrawing" Target="../drawings/vmlDrawing18.vml"/></Relationships>
</file>

<file path=xl/worksheets/_rels/sheet22.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3.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2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1:T548"/>
  <sheetViews>
    <sheetView workbookViewId="0">
      <pane ySplit="1" topLeftCell="A158" activePane="bottomLeft" state="frozen"/>
      <selection activeCell="B17" sqref="B17"/>
      <selection pane="bottomLeft" activeCell="A185" sqref="A185"/>
    </sheetView>
  </sheetViews>
  <sheetFormatPr defaultColWidth="8.81640625" defaultRowHeight="10.5" x14ac:dyDescent="0.25"/>
  <cols>
    <col min="1" max="1" width="12" style="1" bestFit="1" customWidth="1"/>
    <col min="2" max="2" width="18.36328125" style="1" customWidth="1"/>
    <col min="3" max="3" width="51" style="1" bestFit="1" customWidth="1"/>
    <col min="4" max="4" width="16.453125" style="1" bestFit="1" customWidth="1"/>
    <col min="5" max="5" width="37.453125" style="18" bestFit="1" customWidth="1"/>
    <col min="6" max="6" width="12.1796875" style="1" bestFit="1" customWidth="1"/>
    <col min="7" max="7" width="19.6328125" style="5" bestFit="1" customWidth="1"/>
    <col min="8" max="8" width="13.1796875" style="1" customWidth="1"/>
    <col min="9" max="9" width="14.453125" style="1" customWidth="1"/>
    <col min="10" max="10" width="28.6328125" style="1" customWidth="1"/>
    <col min="11" max="12" width="8.81640625" style="1"/>
    <col min="13" max="13" width="9.1796875" style="1" customWidth="1"/>
    <col min="14" max="14" width="8.81640625" style="1"/>
    <col min="15" max="20" width="8.81640625" style="12"/>
    <col min="21" max="16384" width="8.81640625" style="1"/>
  </cols>
  <sheetData>
    <row r="1" spans="1:20" ht="21" x14ac:dyDescent="0.25">
      <c r="A1" s="6" t="s">
        <v>41</v>
      </c>
      <c r="B1" s="7" t="s">
        <v>1399</v>
      </c>
      <c r="C1" s="7" t="s">
        <v>61</v>
      </c>
      <c r="D1" s="7" t="s">
        <v>62</v>
      </c>
      <c r="E1" s="15" t="s">
        <v>63</v>
      </c>
      <c r="F1" s="7" t="s">
        <v>64</v>
      </c>
      <c r="G1" s="52" t="s">
        <v>65</v>
      </c>
      <c r="H1" s="7" t="s">
        <v>681</v>
      </c>
      <c r="I1" s="7" t="s">
        <v>66</v>
      </c>
      <c r="J1" s="7" t="s">
        <v>778</v>
      </c>
      <c r="K1" s="6" t="s">
        <v>792</v>
      </c>
      <c r="L1" s="6" t="s">
        <v>921</v>
      </c>
      <c r="M1" s="6" t="s">
        <v>922</v>
      </c>
      <c r="N1" s="6" t="s">
        <v>995</v>
      </c>
    </row>
    <row r="2" spans="1:20" s="6" customFormat="1" x14ac:dyDescent="0.25">
      <c r="A2" s="49" t="s">
        <v>13</v>
      </c>
      <c r="B2" s="1"/>
      <c r="C2" s="50" t="s">
        <v>1098</v>
      </c>
      <c r="D2" s="50" t="s">
        <v>23</v>
      </c>
      <c r="E2" s="53" t="s">
        <v>1099</v>
      </c>
      <c r="F2" s="1"/>
      <c r="G2" s="11">
        <v>1026</v>
      </c>
      <c r="H2" s="1"/>
      <c r="I2" s="1" t="s">
        <v>72</v>
      </c>
      <c r="J2" s="13">
        <f>SUM(G2:G14)</f>
        <v>3920</v>
      </c>
      <c r="K2" s="51"/>
      <c r="L2" s="1"/>
      <c r="M2" s="1"/>
      <c r="N2" s="1"/>
    </row>
    <row r="3" spans="1:20" x14ac:dyDescent="0.25">
      <c r="A3" s="1" t="s">
        <v>13</v>
      </c>
      <c r="C3" s="51" t="s">
        <v>1107</v>
      </c>
      <c r="D3" s="50" t="s">
        <v>24</v>
      </c>
      <c r="E3" s="17"/>
      <c r="G3" s="51">
        <v>781</v>
      </c>
      <c r="K3" s="51"/>
      <c r="O3" s="1"/>
      <c r="P3" s="1"/>
      <c r="Q3" s="1"/>
      <c r="R3" s="1"/>
      <c r="S3" s="1"/>
      <c r="T3" s="1"/>
    </row>
    <row r="4" spans="1:20" ht="12" x14ac:dyDescent="0.25">
      <c r="A4" s="1" t="s">
        <v>13</v>
      </c>
      <c r="C4" s="51" t="s">
        <v>1397</v>
      </c>
      <c r="D4" s="51" t="s">
        <v>1095</v>
      </c>
      <c r="E4" s="16" t="s">
        <v>1096</v>
      </c>
      <c r="G4" s="51">
        <v>450</v>
      </c>
      <c r="K4" s="50" t="s">
        <v>852</v>
      </c>
      <c r="O4" s="1"/>
      <c r="P4" s="1"/>
      <c r="Q4" s="1"/>
      <c r="R4" s="1"/>
      <c r="S4" s="1"/>
      <c r="T4" s="1"/>
    </row>
    <row r="5" spans="1:20" x14ac:dyDescent="0.25">
      <c r="A5" s="1" t="s">
        <v>13</v>
      </c>
      <c r="C5" s="51" t="s">
        <v>1103</v>
      </c>
      <c r="D5" s="50" t="s">
        <v>1104</v>
      </c>
      <c r="E5" s="17"/>
      <c r="G5" s="51">
        <v>392</v>
      </c>
      <c r="K5" s="51"/>
      <c r="O5" s="1"/>
      <c r="P5" s="1"/>
      <c r="Q5" s="1"/>
      <c r="R5" s="1"/>
      <c r="S5" s="1"/>
      <c r="T5" s="1"/>
    </row>
    <row r="6" spans="1:20" x14ac:dyDescent="0.25">
      <c r="A6" s="1" t="s">
        <v>13</v>
      </c>
      <c r="C6" s="50" t="s">
        <v>1092</v>
      </c>
      <c r="D6" s="50" t="s">
        <v>1093</v>
      </c>
      <c r="E6" s="16" t="s">
        <v>1094</v>
      </c>
      <c r="G6" s="51">
        <v>360</v>
      </c>
      <c r="K6" s="51"/>
      <c r="O6" s="1"/>
      <c r="P6" s="1"/>
      <c r="Q6" s="1"/>
      <c r="R6" s="1"/>
      <c r="S6" s="1"/>
      <c r="T6" s="1"/>
    </row>
    <row r="7" spans="1:20" x14ac:dyDescent="0.25">
      <c r="A7" s="1" t="s">
        <v>13</v>
      </c>
      <c r="C7" s="50" t="s">
        <v>1100</v>
      </c>
      <c r="D7" s="51" t="s">
        <v>1101</v>
      </c>
      <c r="E7" s="16" t="s">
        <v>1102</v>
      </c>
      <c r="G7" s="51">
        <v>276</v>
      </c>
      <c r="K7" s="50" t="s">
        <v>852</v>
      </c>
      <c r="O7" s="1"/>
      <c r="P7" s="1"/>
      <c r="Q7" s="1"/>
      <c r="R7" s="1"/>
      <c r="S7" s="1"/>
      <c r="T7" s="1"/>
    </row>
    <row r="8" spans="1:20" ht="12" x14ac:dyDescent="0.25">
      <c r="A8" s="1" t="s">
        <v>13</v>
      </c>
      <c r="C8" s="51" t="s">
        <v>2137</v>
      </c>
      <c r="D8" s="51" t="s">
        <v>1097</v>
      </c>
      <c r="E8" s="17"/>
      <c r="G8" s="51">
        <v>178</v>
      </c>
      <c r="K8" s="50" t="s">
        <v>852</v>
      </c>
      <c r="O8" s="1"/>
      <c r="P8" s="1"/>
      <c r="Q8" s="1"/>
      <c r="R8" s="1"/>
      <c r="S8" s="1"/>
      <c r="T8" s="1"/>
    </row>
    <row r="9" spans="1:20" x14ac:dyDescent="0.25">
      <c r="A9" s="1" t="s">
        <v>13</v>
      </c>
      <c r="C9" s="51" t="s">
        <v>1116</v>
      </c>
      <c r="D9" s="51" t="s">
        <v>1117</v>
      </c>
      <c r="E9" s="17"/>
      <c r="G9" s="51">
        <v>172</v>
      </c>
      <c r="K9" s="50" t="s">
        <v>859</v>
      </c>
      <c r="O9" s="1"/>
      <c r="P9" s="1"/>
      <c r="Q9" s="1"/>
      <c r="R9" s="1"/>
      <c r="S9" s="1"/>
      <c r="T9" s="1"/>
    </row>
    <row r="10" spans="1:20" x14ac:dyDescent="0.25">
      <c r="A10" s="1" t="s">
        <v>13</v>
      </c>
      <c r="C10" s="50" t="s">
        <v>1105</v>
      </c>
      <c r="D10" s="50" t="s">
        <v>1106</v>
      </c>
      <c r="E10" s="17"/>
      <c r="G10" s="51">
        <v>89</v>
      </c>
      <c r="K10" s="51"/>
      <c r="O10" s="1"/>
      <c r="P10" s="1"/>
      <c r="Q10" s="1"/>
      <c r="R10" s="1"/>
      <c r="S10" s="1"/>
      <c r="T10" s="1"/>
    </row>
    <row r="11" spans="1:20" x14ac:dyDescent="0.25">
      <c r="A11" s="1" t="s">
        <v>13</v>
      </c>
      <c r="C11" s="51" t="s">
        <v>1108</v>
      </c>
      <c r="D11" s="50" t="s">
        <v>1109</v>
      </c>
      <c r="E11" s="17"/>
      <c r="G11" s="51">
        <v>79</v>
      </c>
      <c r="K11" s="51"/>
      <c r="O11" s="1"/>
      <c r="P11" s="1"/>
      <c r="Q11" s="1"/>
      <c r="R11" s="1"/>
      <c r="S11" s="1"/>
      <c r="T11" s="1"/>
    </row>
    <row r="12" spans="1:20" x14ac:dyDescent="0.25">
      <c r="A12" s="1" t="s">
        <v>13</v>
      </c>
      <c r="C12" s="51" t="s">
        <v>1114</v>
      </c>
      <c r="D12" s="50" t="s">
        <v>1115</v>
      </c>
      <c r="E12" s="17"/>
      <c r="G12" s="51">
        <v>60</v>
      </c>
      <c r="K12" s="51"/>
      <c r="O12" s="1"/>
      <c r="P12" s="1"/>
      <c r="Q12" s="1"/>
      <c r="R12" s="1"/>
      <c r="S12" s="1"/>
      <c r="T12" s="1"/>
    </row>
    <row r="13" spans="1:20" x14ac:dyDescent="0.25">
      <c r="A13" s="1" t="s">
        <v>13</v>
      </c>
      <c r="C13" s="50" t="s">
        <v>1112</v>
      </c>
      <c r="D13" s="50" t="s">
        <v>1113</v>
      </c>
      <c r="E13" s="17"/>
      <c r="G13" s="51">
        <v>32</v>
      </c>
      <c r="K13" s="51"/>
      <c r="O13" s="1"/>
      <c r="P13" s="1"/>
      <c r="Q13" s="1"/>
      <c r="R13" s="1"/>
      <c r="S13" s="1"/>
      <c r="T13" s="1"/>
    </row>
    <row r="14" spans="1:20" x14ac:dyDescent="0.25">
      <c r="A14" s="1" t="s">
        <v>13</v>
      </c>
      <c r="C14" s="50" t="s">
        <v>1110</v>
      </c>
      <c r="D14" s="50" t="s">
        <v>1111</v>
      </c>
      <c r="E14" s="17"/>
      <c r="G14" s="51">
        <v>25</v>
      </c>
      <c r="K14" s="51"/>
      <c r="O14" s="1"/>
      <c r="P14" s="1"/>
      <c r="Q14" s="1"/>
      <c r="R14" s="1"/>
      <c r="S14" s="1"/>
      <c r="T14" s="1"/>
    </row>
    <row r="15" spans="1:20" x14ac:dyDescent="0.25">
      <c r="A15" s="1" t="s">
        <v>0</v>
      </c>
      <c r="B15" s="2" t="s">
        <v>67</v>
      </c>
      <c r="C15" s="8" t="s">
        <v>68</v>
      </c>
      <c r="D15" s="8" t="s">
        <v>69</v>
      </c>
      <c r="E15" s="16" t="s">
        <v>70</v>
      </c>
      <c r="F15" s="8" t="s">
        <v>71</v>
      </c>
      <c r="G15" s="4">
        <v>1164</v>
      </c>
      <c r="I15" s="2" t="s">
        <v>72</v>
      </c>
      <c r="J15" s="1">
        <f>SUM($G$3:$G$14)</f>
        <v>2894</v>
      </c>
      <c r="O15" s="1"/>
      <c r="P15" s="1"/>
      <c r="Q15" s="1"/>
      <c r="R15" s="1"/>
      <c r="S15" s="1"/>
      <c r="T15" s="1"/>
    </row>
    <row r="16" spans="1:20" x14ac:dyDescent="0.25">
      <c r="A16" s="1" t="s">
        <v>0</v>
      </c>
      <c r="B16" s="2" t="s">
        <v>73</v>
      </c>
      <c r="C16" s="2" t="s">
        <v>74</v>
      </c>
      <c r="D16" s="8" t="s">
        <v>75</v>
      </c>
      <c r="E16" s="16" t="s">
        <v>76</v>
      </c>
      <c r="F16" s="2" t="s">
        <v>71</v>
      </c>
      <c r="G16" s="4">
        <v>143</v>
      </c>
      <c r="I16" s="2" t="s">
        <v>72</v>
      </c>
      <c r="O16" s="1"/>
      <c r="P16" s="1"/>
      <c r="Q16" s="1"/>
      <c r="R16" s="1"/>
      <c r="S16" s="1"/>
      <c r="T16" s="1"/>
    </row>
    <row r="17" spans="1:20" x14ac:dyDescent="0.25">
      <c r="A17" s="1" t="s">
        <v>0</v>
      </c>
      <c r="B17" s="2" t="s">
        <v>89</v>
      </c>
      <c r="C17" s="2" t="s">
        <v>100</v>
      </c>
      <c r="D17" s="8" t="s">
        <v>101</v>
      </c>
      <c r="E17" s="16" t="s">
        <v>102</v>
      </c>
      <c r="F17" s="2" t="s">
        <v>80</v>
      </c>
      <c r="G17" s="4">
        <v>20</v>
      </c>
      <c r="I17" s="2" t="s">
        <v>72</v>
      </c>
      <c r="O17" s="1"/>
      <c r="P17" s="1"/>
      <c r="Q17" s="1"/>
      <c r="R17" s="1"/>
      <c r="S17" s="1"/>
      <c r="T17" s="1"/>
    </row>
    <row r="18" spans="1:20" x14ac:dyDescent="0.25">
      <c r="A18" s="1" t="s">
        <v>0</v>
      </c>
      <c r="B18" s="2" t="s">
        <v>89</v>
      </c>
      <c r="C18" s="2" t="s">
        <v>98</v>
      </c>
      <c r="D18" s="8" t="s">
        <v>94</v>
      </c>
      <c r="E18" s="16" t="s">
        <v>99</v>
      </c>
      <c r="F18" s="2" t="s">
        <v>80</v>
      </c>
      <c r="G18" s="4">
        <v>18</v>
      </c>
      <c r="I18" s="2" t="s">
        <v>72</v>
      </c>
      <c r="O18" s="1"/>
      <c r="P18" s="1"/>
      <c r="Q18" s="1"/>
      <c r="R18" s="1"/>
      <c r="S18" s="1"/>
      <c r="T18" s="1"/>
    </row>
    <row r="19" spans="1:20" x14ac:dyDescent="0.25">
      <c r="A19" s="1" t="s">
        <v>0</v>
      </c>
      <c r="B19" s="2" t="s">
        <v>89</v>
      </c>
      <c r="C19" s="2" t="s">
        <v>90</v>
      </c>
      <c r="D19" s="8" t="s">
        <v>91</v>
      </c>
      <c r="E19" s="16" t="s">
        <v>92</v>
      </c>
      <c r="F19" s="2" t="s">
        <v>80</v>
      </c>
      <c r="G19" s="4">
        <v>10</v>
      </c>
      <c r="I19" s="2" t="s">
        <v>72</v>
      </c>
      <c r="O19" s="1"/>
      <c r="P19" s="1"/>
      <c r="Q19" s="1"/>
      <c r="R19" s="1"/>
      <c r="S19" s="1"/>
      <c r="T19" s="1"/>
    </row>
    <row r="20" spans="1:20" x14ac:dyDescent="0.25">
      <c r="A20" s="1" t="s">
        <v>0</v>
      </c>
      <c r="B20" s="2" t="s">
        <v>89</v>
      </c>
      <c r="C20" s="2" t="s">
        <v>93</v>
      </c>
      <c r="D20" s="8" t="s">
        <v>94</v>
      </c>
      <c r="E20" s="16" t="s">
        <v>95</v>
      </c>
      <c r="F20" s="2" t="s">
        <v>80</v>
      </c>
      <c r="G20" s="4">
        <v>10</v>
      </c>
      <c r="I20" s="2" t="s">
        <v>72</v>
      </c>
      <c r="O20" s="1"/>
      <c r="P20" s="1"/>
      <c r="Q20" s="1"/>
      <c r="R20" s="1"/>
      <c r="S20" s="1"/>
      <c r="T20" s="1"/>
    </row>
    <row r="21" spans="1:20" x14ac:dyDescent="0.25">
      <c r="A21" s="1" t="s">
        <v>0</v>
      </c>
      <c r="B21" s="2" t="s">
        <v>67</v>
      </c>
      <c r="C21" s="2" t="s">
        <v>77</v>
      </c>
      <c r="D21" s="8" t="s">
        <v>78</v>
      </c>
      <c r="E21" s="16" t="s">
        <v>79</v>
      </c>
      <c r="F21" s="2" t="s">
        <v>80</v>
      </c>
      <c r="G21" s="4">
        <v>9.1999999999999993</v>
      </c>
      <c r="I21" s="2" t="s">
        <v>72</v>
      </c>
      <c r="O21" s="1"/>
      <c r="P21" s="1"/>
      <c r="Q21" s="1"/>
      <c r="R21" s="1"/>
      <c r="S21" s="1"/>
      <c r="T21" s="1"/>
    </row>
    <row r="22" spans="1:20" x14ac:dyDescent="0.25">
      <c r="A22" s="1" t="s">
        <v>0</v>
      </c>
      <c r="B22" s="2" t="s">
        <v>89</v>
      </c>
      <c r="C22" s="2" t="s">
        <v>96</v>
      </c>
      <c r="D22" s="8" t="s">
        <v>96</v>
      </c>
      <c r="E22" s="16" t="s">
        <v>97</v>
      </c>
      <c r="F22" s="2" t="s">
        <v>80</v>
      </c>
      <c r="G22" s="4">
        <v>9</v>
      </c>
      <c r="I22" s="2" t="s">
        <v>72</v>
      </c>
      <c r="O22" s="1"/>
      <c r="P22" s="1"/>
      <c r="Q22" s="1"/>
      <c r="R22" s="1"/>
      <c r="S22" s="1"/>
      <c r="T22" s="1"/>
    </row>
    <row r="23" spans="1:20" x14ac:dyDescent="0.25">
      <c r="A23" s="1" t="s">
        <v>0</v>
      </c>
      <c r="B23" s="2" t="s">
        <v>67</v>
      </c>
      <c r="C23" s="2" t="s">
        <v>83</v>
      </c>
      <c r="D23" s="8" t="s">
        <v>84</v>
      </c>
      <c r="E23" s="16" t="s">
        <v>85</v>
      </c>
      <c r="F23" s="2" t="s">
        <v>80</v>
      </c>
      <c r="G23" s="4">
        <v>8.1</v>
      </c>
      <c r="I23" s="2" t="s">
        <v>72</v>
      </c>
      <c r="O23" s="1"/>
      <c r="P23" s="1"/>
      <c r="Q23" s="1"/>
      <c r="R23" s="1"/>
      <c r="S23" s="1"/>
      <c r="T23" s="1"/>
    </row>
    <row r="24" spans="1:20" x14ac:dyDescent="0.25">
      <c r="A24" s="1" t="s">
        <v>0</v>
      </c>
      <c r="B24" s="2" t="s">
        <v>89</v>
      </c>
      <c r="C24" s="2" t="s">
        <v>106</v>
      </c>
      <c r="D24" s="8" t="s">
        <v>104</v>
      </c>
      <c r="E24" s="16" t="s">
        <v>107</v>
      </c>
      <c r="F24" s="2" t="s">
        <v>80</v>
      </c>
      <c r="G24" s="4">
        <v>5</v>
      </c>
      <c r="I24" s="2" t="s">
        <v>108</v>
      </c>
      <c r="O24" s="1"/>
      <c r="P24" s="1"/>
      <c r="Q24" s="1"/>
      <c r="R24" s="1"/>
      <c r="S24" s="1"/>
      <c r="T24" s="1"/>
    </row>
    <row r="25" spans="1:20" x14ac:dyDescent="0.25">
      <c r="A25" s="1" t="s">
        <v>0</v>
      </c>
      <c r="B25" s="2" t="s">
        <v>67</v>
      </c>
      <c r="C25" s="2" t="s">
        <v>86</v>
      </c>
      <c r="D25" s="8" t="s">
        <v>87</v>
      </c>
      <c r="E25" s="16" t="s">
        <v>88</v>
      </c>
      <c r="F25" s="2" t="s">
        <v>80</v>
      </c>
      <c r="G25" s="4">
        <v>1.9</v>
      </c>
      <c r="I25" s="2" t="s">
        <v>72</v>
      </c>
      <c r="O25" s="1"/>
      <c r="P25" s="1"/>
      <c r="Q25" s="1"/>
      <c r="R25" s="1"/>
      <c r="S25" s="1"/>
      <c r="T25" s="1"/>
    </row>
    <row r="26" spans="1:20" x14ac:dyDescent="0.25">
      <c r="A26" s="1" t="s">
        <v>0</v>
      </c>
      <c r="B26" s="2" t="s">
        <v>67</v>
      </c>
      <c r="C26" s="2" t="s">
        <v>81</v>
      </c>
      <c r="D26" s="8" t="s">
        <v>81</v>
      </c>
      <c r="E26" s="16" t="s">
        <v>82</v>
      </c>
      <c r="F26" s="2" t="s">
        <v>80</v>
      </c>
      <c r="G26" s="4">
        <v>1.8</v>
      </c>
      <c r="I26" s="2" t="s">
        <v>72</v>
      </c>
      <c r="O26" s="1"/>
      <c r="P26" s="1"/>
      <c r="Q26" s="1"/>
      <c r="R26" s="1"/>
      <c r="S26" s="1"/>
      <c r="T26" s="1"/>
    </row>
    <row r="27" spans="1:20" x14ac:dyDescent="0.25">
      <c r="A27" s="1" t="s">
        <v>0</v>
      </c>
      <c r="B27" s="2" t="s">
        <v>89</v>
      </c>
      <c r="C27" s="2" t="s">
        <v>103</v>
      </c>
      <c r="D27" s="8" t="s">
        <v>104</v>
      </c>
      <c r="E27" s="16" t="s">
        <v>105</v>
      </c>
      <c r="F27" s="2" t="s">
        <v>80</v>
      </c>
      <c r="G27" s="4">
        <v>1</v>
      </c>
      <c r="I27" s="2" t="s">
        <v>72</v>
      </c>
      <c r="O27" s="1"/>
      <c r="P27" s="1"/>
      <c r="Q27" s="1"/>
      <c r="R27" s="1"/>
      <c r="S27" s="1"/>
      <c r="T27" s="1"/>
    </row>
    <row r="28" spans="1:20" x14ac:dyDescent="0.25">
      <c r="A28" s="2" t="s">
        <v>1</v>
      </c>
      <c r="C28" s="8" t="s">
        <v>118</v>
      </c>
      <c r="D28" s="8" t="s">
        <v>116</v>
      </c>
      <c r="E28" s="16" t="s">
        <v>119</v>
      </c>
      <c r="G28" s="4">
        <v>840</v>
      </c>
      <c r="I28" s="2" t="s">
        <v>72</v>
      </c>
      <c r="O28" s="1"/>
      <c r="P28" s="1"/>
      <c r="Q28" s="1"/>
      <c r="R28" s="1"/>
      <c r="S28" s="1"/>
      <c r="T28" s="1"/>
    </row>
    <row r="29" spans="1:20" x14ac:dyDescent="0.25">
      <c r="A29" s="2" t="s">
        <v>1</v>
      </c>
      <c r="C29" s="8" t="s">
        <v>115</v>
      </c>
      <c r="D29" s="8" t="s">
        <v>116</v>
      </c>
      <c r="E29" s="16" t="s">
        <v>117</v>
      </c>
      <c r="G29" s="4">
        <v>375</v>
      </c>
      <c r="I29" s="2" t="s">
        <v>72</v>
      </c>
      <c r="O29" s="1"/>
      <c r="P29" s="1"/>
      <c r="Q29" s="1"/>
      <c r="R29" s="1"/>
      <c r="S29" s="1"/>
      <c r="T29" s="1"/>
    </row>
    <row r="30" spans="1:20" x14ac:dyDescent="0.25">
      <c r="A30" s="2" t="s">
        <v>1</v>
      </c>
      <c r="C30" s="8" t="s">
        <v>146</v>
      </c>
      <c r="D30" s="2" t="s">
        <v>116</v>
      </c>
      <c r="E30" s="16" t="s">
        <v>147</v>
      </c>
      <c r="G30" s="4">
        <v>240</v>
      </c>
      <c r="I30" s="2" t="s">
        <v>72</v>
      </c>
      <c r="O30" s="1"/>
      <c r="P30" s="1"/>
      <c r="Q30" s="1"/>
      <c r="R30" s="1"/>
      <c r="S30" s="1"/>
      <c r="T30" s="1"/>
    </row>
    <row r="31" spans="1:20" x14ac:dyDescent="0.25">
      <c r="A31" s="2" t="s">
        <v>1</v>
      </c>
      <c r="C31" s="8" t="s">
        <v>123</v>
      </c>
      <c r="D31" s="2"/>
      <c r="E31" s="17"/>
      <c r="G31" s="4">
        <v>174.2</v>
      </c>
      <c r="I31" s="2" t="s">
        <v>124</v>
      </c>
      <c r="O31" s="1"/>
      <c r="P31" s="1"/>
      <c r="Q31" s="1"/>
      <c r="R31" s="1"/>
      <c r="S31" s="1"/>
      <c r="T31" s="1"/>
    </row>
    <row r="32" spans="1:20" x14ac:dyDescent="0.25">
      <c r="A32" s="2" t="s">
        <v>1</v>
      </c>
      <c r="C32" s="8" t="s">
        <v>143</v>
      </c>
      <c r="D32" s="2" t="s">
        <v>144</v>
      </c>
      <c r="E32" s="16" t="s">
        <v>145</v>
      </c>
      <c r="G32" s="4">
        <v>172</v>
      </c>
      <c r="I32" s="2" t="s">
        <v>72</v>
      </c>
      <c r="O32" s="1"/>
      <c r="P32" s="1"/>
      <c r="Q32" s="1"/>
      <c r="R32" s="1"/>
      <c r="S32" s="1"/>
      <c r="T32" s="1"/>
    </row>
    <row r="33" spans="1:20" x14ac:dyDescent="0.25">
      <c r="A33" s="2" t="s">
        <v>1</v>
      </c>
      <c r="C33" s="8" t="s">
        <v>137</v>
      </c>
      <c r="D33" s="2" t="s">
        <v>138</v>
      </c>
      <c r="E33" s="16" t="s">
        <v>139</v>
      </c>
      <c r="G33" s="4">
        <v>160</v>
      </c>
      <c r="I33" s="2" t="s">
        <v>72</v>
      </c>
      <c r="O33" s="1"/>
      <c r="P33" s="1"/>
      <c r="Q33" s="1"/>
      <c r="R33" s="1"/>
      <c r="S33" s="1"/>
      <c r="T33" s="1"/>
    </row>
    <row r="34" spans="1:20" x14ac:dyDescent="0.25">
      <c r="A34" s="2" t="s">
        <v>1</v>
      </c>
      <c r="C34" s="8" t="s">
        <v>140</v>
      </c>
      <c r="D34" s="2" t="s">
        <v>141</v>
      </c>
      <c r="E34" s="16" t="s">
        <v>142</v>
      </c>
      <c r="G34" s="4">
        <v>128</v>
      </c>
      <c r="I34" s="2" t="s">
        <v>72</v>
      </c>
      <c r="O34" s="1"/>
      <c r="P34" s="1"/>
      <c r="Q34" s="1"/>
      <c r="R34" s="1"/>
      <c r="S34" s="1"/>
      <c r="T34" s="1"/>
    </row>
    <row r="35" spans="1:20" x14ac:dyDescent="0.25">
      <c r="A35" s="2" t="s">
        <v>1</v>
      </c>
      <c r="C35" s="8" t="s">
        <v>134</v>
      </c>
      <c r="D35" s="2" t="s">
        <v>135</v>
      </c>
      <c r="E35" s="16" t="s">
        <v>136</v>
      </c>
      <c r="G35" s="4">
        <v>120</v>
      </c>
      <c r="I35" s="2" t="s">
        <v>72</v>
      </c>
      <c r="O35" s="1"/>
      <c r="P35" s="1"/>
      <c r="Q35" s="1"/>
      <c r="R35" s="1"/>
      <c r="S35" s="1"/>
      <c r="T35" s="1"/>
    </row>
    <row r="36" spans="1:20" x14ac:dyDescent="0.25">
      <c r="A36" s="2" t="s">
        <v>1</v>
      </c>
      <c r="C36" s="8" t="s">
        <v>128</v>
      </c>
      <c r="D36" s="2" t="s">
        <v>129</v>
      </c>
      <c r="E36" s="16" t="s">
        <v>130</v>
      </c>
      <c r="G36" s="4">
        <v>108</v>
      </c>
      <c r="I36" s="2" t="s">
        <v>72</v>
      </c>
      <c r="O36" s="1"/>
      <c r="P36" s="1"/>
      <c r="Q36" s="1"/>
      <c r="R36" s="1"/>
      <c r="S36" s="1"/>
      <c r="T36" s="1"/>
    </row>
    <row r="37" spans="1:20" x14ac:dyDescent="0.25">
      <c r="A37" s="2" t="s">
        <v>1</v>
      </c>
      <c r="C37" s="8" t="s">
        <v>125</v>
      </c>
      <c r="D37" s="2" t="s">
        <v>126</v>
      </c>
      <c r="E37" s="16" t="s">
        <v>127</v>
      </c>
      <c r="G37" s="4">
        <v>104</v>
      </c>
      <c r="I37" s="2" t="s">
        <v>72</v>
      </c>
      <c r="O37" s="1"/>
      <c r="P37" s="1"/>
      <c r="Q37" s="1"/>
      <c r="R37" s="1"/>
      <c r="S37" s="1"/>
      <c r="T37" s="1"/>
    </row>
    <row r="38" spans="1:20" x14ac:dyDescent="0.25">
      <c r="A38" s="2" t="s">
        <v>1</v>
      </c>
      <c r="C38" s="8" t="s">
        <v>120</v>
      </c>
      <c r="D38" s="8" t="s">
        <v>121</v>
      </c>
      <c r="E38" s="16" t="s">
        <v>122</v>
      </c>
      <c r="G38" s="4">
        <v>80</v>
      </c>
      <c r="I38" s="2" t="s">
        <v>72</v>
      </c>
      <c r="O38" s="1"/>
      <c r="P38" s="1"/>
      <c r="Q38" s="1"/>
      <c r="R38" s="1"/>
      <c r="S38" s="1"/>
      <c r="T38" s="1"/>
    </row>
    <row r="39" spans="1:20" x14ac:dyDescent="0.25">
      <c r="A39" s="2" t="s">
        <v>1</v>
      </c>
      <c r="C39" s="8" t="s">
        <v>131</v>
      </c>
      <c r="D39" s="8" t="s">
        <v>132</v>
      </c>
      <c r="E39" s="16" t="s">
        <v>133</v>
      </c>
      <c r="G39" s="4">
        <v>80</v>
      </c>
      <c r="I39" s="2" t="s">
        <v>72</v>
      </c>
      <c r="O39" s="1"/>
      <c r="P39" s="1"/>
      <c r="Q39" s="1"/>
      <c r="R39" s="1"/>
      <c r="S39" s="1"/>
      <c r="T39" s="1"/>
    </row>
    <row r="40" spans="1:20" x14ac:dyDescent="0.25">
      <c r="A40" s="2" t="s">
        <v>1</v>
      </c>
      <c r="C40" s="8" t="s">
        <v>151</v>
      </c>
      <c r="D40" s="2" t="s">
        <v>152</v>
      </c>
      <c r="E40" s="16" t="s">
        <v>153</v>
      </c>
      <c r="G40" s="4">
        <v>80</v>
      </c>
      <c r="I40" s="2" t="s">
        <v>154</v>
      </c>
      <c r="O40" s="1"/>
      <c r="P40" s="1"/>
      <c r="Q40" s="1"/>
      <c r="R40" s="1"/>
      <c r="S40" s="1"/>
      <c r="T40" s="1"/>
    </row>
    <row r="41" spans="1:20" x14ac:dyDescent="0.25">
      <c r="A41" s="2" t="s">
        <v>1</v>
      </c>
      <c r="C41" s="8" t="s">
        <v>109</v>
      </c>
      <c r="D41" s="8" t="s">
        <v>110</v>
      </c>
      <c r="E41" s="16" t="s">
        <v>111</v>
      </c>
      <c r="G41" s="4">
        <v>66</v>
      </c>
      <c r="I41" s="2" t="s">
        <v>72</v>
      </c>
      <c r="J41" s="1">
        <f>SUM($G$15:$G$31)</f>
        <v>3030.2</v>
      </c>
      <c r="O41" s="1"/>
      <c r="P41" s="1"/>
      <c r="Q41" s="1"/>
      <c r="R41" s="1"/>
      <c r="S41" s="1"/>
      <c r="T41" s="1"/>
    </row>
    <row r="42" spans="1:20" x14ac:dyDescent="0.25">
      <c r="A42" s="2" t="s">
        <v>1</v>
      </c>
      <c r="C42" s="8" t="s">
        <v>148</v>
      </c>
      <c r="D42" s="2" t="s">
        <v>149</v>
      </c>
      <c r="E42" s="16" t="s">
        <v>150</v>
      </c>
      <c r="G42" s="4">
        <v>60</v>
      </c>
      <c r="I42" s="2" t="s">
        <v>72</v>
      </c>
      <c r="O42" s="1"/>
      <c r="P42" s="1"/>
      <c r="Q42" s="1"/>
      <c r="R42" s="1"/>
      <c r="S42" s="1"/>
      <c r="T42" s="1"/>
    </row>
    <row r="43" spans="1:20" x14ac:dyDescent="0.25">
      <c r="A43" s="2" t="s">
        <v>1</v>
      </c>
      <c r="C43" s="8" t="s">
        <v>112</v>
      </c>
      <c r="D43" s="2" t="s">
        <v>113</v>
      </c>
      <c r="E43" s="16" t="s">
        <v>114</v>
      </c>
      <c r="G43" s="4">
        <v>48</v>
      </c>
      <c r="I43" s="2" t="s">
        <v>72</v>
      </c>
      <c r="O43" s="1"/>
      <c r="P43" s="1"/>
      <c r="Q43" s="1"/>
      <c r="R43" s="1"/>
      <c r="S43" s="1"/>
      <c r="T43" s="1"/>
    </row>
    <row r="44" spans="1:20" x14ac:dyDescent="0.25">
      <c r="A44" s="2" t="s">
        <v>1</v>
      </c>
      <c r="C44" s="8" t="s">
        <v>155</v>
      </c>
      <c r="D44" s="2"/>
      <c r="E44" s="17" t="s">
        <v>156</v>
      </c>
      <c r="G44" s="4">
        <v>14</v>
      </c>
      <c r="I44" s="2" t="s">
        <v>72</v>
      </c>
      <c r="O44" s="1"/>
      <c r="P44" s="1"/>
      <c r="Q44" s="1"/>
      <c r="R44" s="1"/>
      <c r="S44" s="1"/>
      <c r="T44" s="1"/>
    </row>
    <row r="45" spans="1:20" x14ac:dyDescent="0.25">
      <c r="A45" s="2" t="s">
        <v>8</v>
      </c>
      <c r="C45" s="8" t="s">
        <v>52</v>
      </c>
      <c r="D45" s="2" t="s">
        <v>165</v>
      </c>
      <c r="E45" s="17"/>
      <c r="G45" s="4">
        <v>486</v>
      </c>
      <c r="I45" s="2" t="s">
        <v>72</v>
      </c>
      <c r="O45" s="1"/>
      <c r="P45" s="1"/>
      <c r="Q45" s="1"/>
      <c r="R45" s="1"/>
      <c r="S45" s="1"/>
      <c r="T45" s="1"/>
    </row>
    <row r="46" spans="1:20" ht="12" x14ac:dyDescent="0.25">
      <c r="A46" s="2" t="s">
        <v>8</v>
      </c>
      <c r="C46" s="2" t="s">
        <v>1074</v>
      </c>
      <c r="D46" s="2" t="s">
        <v>160</v>
      </c>
      <c r="E46" s="17"/>
      <c r="G46" s="4">
        <v>276</v>
      </c>
      <c r="I46" s="2"/>
      <c r="O46" s="1"/>
      <c r="P46" s="1"/>
      <c r="Q46" s="1"/>
      <c r="R46" s="1"/>
      <c r="S46" s="1"/>
      <c r="T46" s="1"/>
    </row>
    <row r="47" spans="1:20" x14ac:dyDescent="0.25">
      <c r="A47" s="2" t="s">
        <v>8</v>
      </c>
      <c r="C47" s="8" t="s">
        <v>157</v>
      </c>
      <c r="D47" s="2" t="s">
        <v>158</v>
      </c>
      <c r="E47" s="17"/>
      <c r="G47" s="4">
        <v>216</v>
      </c>
      <c r="I47" s="2" t="s">
        <v>72</v>
      </c>
      <c r="J47" s="1">
        <f>SUM($G$32:$G$37)</f>
        <v>792</v>
      </c>
      <c r="O47" s="1"/>
      <c r="P47" s="1"/>
      <c r="Q47" s="1"/>
      <c r="R47" s="1"/>
      <c r="S47" s="1"/>
      <c r="T47" s="1"/>
    </row>
    <row r="48" spans="1:20" x14ac:dyDescent="0.25">
      <c r="A48" s="2" t="s">
        <v>8</v>
      </c>
      <c r="C48" s="8" t="s">
        <v>161</v>
      </c>
      <c r="D48" s="2" t="s">
        <v>162</v>
      </c>
      <c r="E48" s="17"/>
      <c r="G48" s="4">
        <v>216</v>
      </c>
      <c r="I48" s="2" t="s">
        <v>72</v>
      </c>
      <c r="O48" s="1"/>
      <c r="P48" s="1"/>
      <c r="Q48" s="1"/>
      <c r="R48" s="1"/>
      <c r="S48" s="1"/>
      <c r="T48" s="1"/>
    </row>
    <row r="49" spans="1:20" x14ac:dyDescent="0.25">
      <c r="A49" s="2" t="s">
        <v>8</v>
      </c>
      <c r="C49" s="8" t="s">
        <v>163</v>
      </c>
      <c r="D49" s="2" t="s">
        <v>164</v>
      </c>
      <c r="E49" s="17"/>
      <c r="G49" s="4">
        <v>110</v>
      </c>
      <c r="I49" s="2" t="s">
        <v>72</v>
      </c>
      <c r="O49" s="1"/>
      <c r="P49" s="1"/>
      <c r="Q49" s="1"/>
      <c r="R49" s="1"/>
      <c r="S49" s="1"/>
      <c r="T49" s="1"/>
    </row>
    <row r="50" spans="1:20" ht="12" x14ac:dyDescent="0.25">
      <c r="A50" s="2" t="s">
        <v>8</v>
      </c>
      <c r="C50" s="2" t="s">
        <v>1073</v>
      </c>
      <c r="D50" s="2" t="s">
        <v>159</v>
      </c>
      <c r="E50" s="17"/>
      <c r="G50" s="4">
        <v>2.39</v>
      </c>
      <c r="I50" s="2"/>
      <c r="O50" s="1"/>
      <c r="P50" s="1"/>
      <c r="Q50" s="1"/>
      <c r="R50" s="1"/>
      <c r="S50" s="1"/>
      <c r="T50" s="1"/>
    </row>
    <row r="51" spans="1:20" x14ac:dyDescent="0.25">
      <c r="A51" s="2" t="s">
        <v>2</v>
      </c>
      <c r="B51" s="8" t="s">
        <v>57</v>
      </c>
      <c r="C51" s="8" t="s">
        <v>53</v>
      </c>
      <c r="D51" s="8" t="s">
        <v>54</v>
      </c>
      <c r="E51" s="16" t="s">
        <v>55</v>
      </c>
      <c r="F51" s="2" t="s">
        <v>56</v>
      </c>
      <c r="G51" s="4">
        <v>650</v>
      </c>
      <c r="H51" s="1">
        <v>152</v>
      </c>
      <c r="J51" s="1">
        <f>SUM($G$38:$G$47)</f>
        <v>1406</v>
      </c>
      <c r="O51" s="1"/>
      <c r="P51" s="1"/>
      <c r="Q51" s="1"/>
      <c r="R51" s="1"/>
      <c r="S51" s="1"/>
      <c r="T51" s="1"/>
    </row>
    <row r="52" spans="1:20" x14ac:dyDescent="0.25">
      <c r="A52" s="2" t="s">
        <v>2</v>
      </c>
      <c r="B52" s="2" t="s">
        <v>57</v>
      </c>
      <c r="C52" s="8" t="s">
        <v>58</v>
      </c>
      <c r="D52" s="8" t="s">
        <v>59</v>
      </c>
      <c r="E52" s="16" t="s">
        <v>60</v>
      </c>
      <c r="F52" s="2" t="s">
        <v>56</v>
      </c>
      <c r="G52" s="4">
        <v>450</v>
      </c>
      <c r="H52" s="1">
        <v>170</v>
      </c>
      <c r="O52" s="1"/>
      <c r="P52" s="1"/>
      <c r="Q52" s="1"/>
      <c r="R52" s="1"/>
      <c r="S52" s="1"/>
      <c r="T52" s="1"/>
    </row>
    <row r="53" spans="1:20" x14ac:dyDescent="0.25">
      <c r="A53" s="2" t="s">
        <v>2</v>
      </c>
      <c r="B53" s="2" t="s">
        <v>57</v>
      </c>
      <c r="C53" s="8" t="s">
        <v>166</v>
      </c>
      <c r="D53" s="8" t="s">
        <v>167</v>
      </c>
      <c r="E53" s="16" t="s">
        <v>168</v>
      </c>
      <c r="F53" s="2" t="s">
        <v>169</v>
      </c>
      <c r="G53" s="4">
        <v>364</v>
      </c>
      <c r="H53" s="1">
        <v>300</v>
      </c>
      <c r="O53" s="1"/>
      <c r="P53" s="1"/>
      <c r="Q53" s="1"/>
      <c r="R53" s="1"/>
      <c r="S53" s="1"/>
      <c r="T53" s="1"/>
    </row>
    <row r="54" spans="1:20" x14ac:dyDescent="0.25">
      <c r="A54" s="2" t="s">
        <v>2</v>
      </c>
      <c r="B54" s="2" t="s">
        <v>57</v>
      </c>
      <c r="C54" s="8" t="s">
        <v>170</v>
      </c>
      <c r="D54" s="8" t="s">
        <v>171</v>
      </c>
      <c r="E54" s="16" t="s">
        <v>172</v>
      </c>
      <c r="F54" s="2" t="s">
        <v>169</v>
      </c>
      <c r="G54" s="4">
        <v>144</v>
      </c>
      <c r="H54" s="1">
        <v>248</v>
      </c>
      <c r="O54" s="1"/>
      <c r="P54" s="1"/>
      <c r="Q54" s="1"/>
      <c r="R54" s="1"/>
      <c r="S54" s="1"/>
      <c r="T54" s="1"/>
    </row>
    <row r="55" spans="1:20" x14ac:dyDescent="0.25">
      <c r="A55" s="2" t="s">
        <v>2</v>
      </c>
      <c r="B55" s="2" t="s">
        <v>57</v>
      </c>
      <c r="C55" s="8" t="s">
        <v>173</v>
      </c>
      <c r="D55" s="8" t="s">
        <v>174</v>
      </c>
      <c r="E55" s="16" t="s">
        <v>175</v>
      </c>
      <c r="F55" s="2" t="s">
        <v>169</v>
      </c>
      <c r="G55" s="4">
        <v>120</v>
      </c>
      <c r="H55" s="1">
        <v>148</v>
      </c>
      <c r="O55" s="1"/>
      <c r="P55" s="1"/>
      <c r="Q55" s="1"/>
      <c r="R55" s="1"/>
      <c r="S55" s="1"/>
      <c r="T55" s="1"/>
    </row>
    <row r="56" spans="1:20" x14ac:dyDescent="0.25">
      <c r="A56" s="2" t="s">
        <v>2</v>
      </c>
      <c r="B56" s="2" t="s">
        <v>57</v>
      </c>
      <c r="C56" s="2" t="s">
        <v>666</v>
      </c>
      <c r="D56" s="2" t="s">
        <v>171</v>
      </c>
      <c r="E56" s="17"/>
      <c r="F56" s="2" t="s">
        <v>56</v>
      </c>
      <c r="G56" s="4">
        <v>45</v>
      </c>
      <c r="O56" s="1"/>
      <c r="P56" s="1"/>
      <c r="Q56" s="1"/>
      <c r="R56" s="1"/>
      <c r="S56" s="1"/>
      <c r="T56" s="1"/>
    </row>
    <row r="57" spans="1:20" x14ac:dyDescent="0.25">
      <c r="A57" s="2" t="s">
        <v>2</v>
      </c>
      <c r="B57" s="2" t="s">
        <v>57</v>
      </c>
      <c r="C57" s="2" t="s">
        <v>667</v>
      </c>
      <c r="D57" s="8" t="s">
        <v>176</v>
      </c>
      <c r="E57" s="17"/>
      <c r="F57" s="2" t="s">
        <v>169</v>
      </c>
      <c r="G57" s="4">
        <v>40</v>
      </c>
      <c r="O57" s="1"/>
      <c r="P57" s="1"/>
      <c r="Q57" s="1"/>
      <c r="R57" s="1"/>
      <c r="S57" s="1"/>
      <c r="T57" s="1"/>
    </row>
    <row r="58" spans="1:20" x14ac:dyDescent="0.25">
      <c r="A58" s="2" t="s">
        <v>2</v>
      </c>
      <c r="B58" s="2" t="s">
        <v>57</v>
      </c>
      <c r="C58" s="2" t="s">
        <v>177</v>
      </c>
      <c r="D58" s="2" t="s">
        <v>171</v>
      </c>
      <c r="E58" s="17"/>
      <c r="F58" s="2" t="s">
        <v>169</v>
      </c>
      <c r="G58" s="4">
        <v>22.5</v>
      </c>
      <c r="O58" s="1"/>
      <c r="P58" s="1"/>
      <c r="Q58" s="1"/>
      <c r="R58" s="1"/>
      <c r="S58" s="1"/>
      <c r="T58" s="1"/>
    </row>
    <row r="59" spans="1:20" x14ac:dyDescent="0.25">
      <c r="A59" s="2" t="s">
        <v>2</v>
      </c>
      <c r="B59" s="2" t="s">
        <v>57</v>
      </c>
      <c r="C59" s="2" t="s">
        <v>668</v>
      </c>
      <c r="D59" s="8" t="s">
        <v>178</v>
      </c>
      <c r="E59" s="17"/>
      <c r="F59" s="2" t="s">
        <v>179</v>
      </c>
      <c r="G59" s="4">
        <v>19.5</v>
      </c>
      <c r="O59" s="1"/>
      <c r="P59" s="1"/>
      <c r="Q59" s="1"/>
      <c r="R59" s="1"/>
      <c r="S59" s="1"/>
      <c r="T59" s="1"/>
    </row>
    <row r="60" spans="1:20" x14ac:dyDescent="0.25">
      <c r="A60" s="2" t="s">
        <v>2</v>
      </c>
      <c r="B60" s="8" t="s">
        <v>182</v>
      </c>
      <c r="C60" s="2" t="s">
        <v>180</v>
      </c>
      <c r="D60" s="8" t="s">
        <v>181</v>
      </c>
      <c r="E60" s="17"/>
      <c r="F60" s="2" t="s">
        <v>169</v>
      </c>
      <c r="G60" s="4">
        <v>18.899999999999999</v>
      </c>
      <c r="O60" s="1"/>
      <c r="P60" s="1"/>
      <c r="Q60" s="1"/>
      <c r="R60" s="1"/>
      <c r="S60" s="1"/>
      <c r="T60" s="1"/>
    </row>
    <row r="61" spans="1:20" x14ac:dyDescent="0.25">
      <c r="A61" s="2" t="s">
        <v>19</v>
      </c>
      <c r="C61" s="1" t="s">
        <v>183</v>
      </c>
      <c r="D61" s="1" t="s">
        <v>184</v>
      </c>
      <c r="E61" s="18" t="s">
        <v>185</v>
      </c>
      <c r="G61" s="5">
        <v>178</v>
      </c>
      <c r="I61" s="1" t="s">
        <v>72</v>
      </c>
      <c r="J61" s="1">
        <f>SUM($G$48:$G$50)</f>
        <v>328.39</v>
      </c>
      <c r="O61" s="1"/>
      <c r="P61" s="1"/>
      <c r="Q61" s="1"/>
      <c r="R61" s="1"/>
      <c r="S61" s="1"/>
      <c r="T61" s="1"/>
    </row>
    <row r="62" spans="1:20" x14ac:dyDescent="0.25">
      <c r="A62" s="2" t="s">
        <v>19</v>
      </c>
      <c r="C62" s="1" t="s">
        <v>186</v>
      </c>
      <c r="D62" s="1" t="s">
        <v>187</v>
      </c>
      <c r="E62" s="18" t="s">
        <v>188</v>
      </c>
      <c r="G62" s="5">
        <v>154</v>
      </c>
      <c r="I62" s="1" t="s">
        <v>72</v>
      </c>
      <c r="O62" s="1"/>
      <c r="P62" s="1"/>
      <c r="Q62" s="1"/>
      <c r="R62" s="1"/>
      <c r="S62" s="1"/>
      <c r="T62" s="1"/>
    </row>
    <row r="63" spans="1:20" x14ac:dyDescent="0.25">
      <c r="A63" s="2" t="s">
        <v>19</v>
      </c>
      <c r="C63" s="1" t="s">
        <v>189</v>
      </c>
      <c r="D63" s="1" t="s">
        <v>190</v>
      </c>
      <c r="E63" s="18" t="s">
        <v>191</v>
      </c>
      <c r="G63" s="5">
        <v>133</v>
      </c>
      <c r="I63" s="1" t="s">
        <v>72</v>
      </c>
      <c r="O63" s="1"/>
      <c r="P63" s="1"/>
      <c r="Q63" s="1"/>
      <c r="R63" s="1"/>
      <c r="S63" s="1"/>
      <c r="T63" s="1"/>
    </row>
    <row r="64" spans="1:20" x14ac:dyDescent="0.25">
      <c r="A64" s="2" t="s">
        <v>7</v>
      </c>
      <c r="C64" s="1" t="s">
        <v>192</v>
      </c>
      <c r="D64" s="1" t="s">
        <v>193</v>
      </c>
      <c r="G64" s="5">
        <v>1800</v>
      </c>
      <c r="I64" s="1" t="s">
        <v>72</v>
      </c>
      <c r="J64" s="1">
        <f>SUM($G$51:$G$73)</f>
        <v>8136.4</v>
      </c>
      <c r="O64" s="1"/>
      <c r="P64" s="1"/>
      <c r="Q64" s="1"/>
      <c r="R64" s="1"/>
      <c r="S64" s="1"/>
      <c r="T64" s="1"/>
    </row>
    <row r="65" spans="1:20" x14ac:dyDescent="0.25">
      <c r="A65" s="2" t="s">
        <v>7</v>
      </c>
      <c r="C65" s="1" t="s">
        <v>257</v>
      </c>
      <c r="D65" s="1" t="s">
        <v>258</v>
      </c>
      <c r="E65" s="18" t="s">
        <v>259</v>
      </c>
      <c r="G65" s="5">
        <v>800</v>
      </c>
      <c r="I65" s="1" t="s">
        <v>72</v>
      </c>
      <c r="O65" s="1"/>
      <c r="P65" s="1"/>
      <c r="Q65" s="1"/>
      <c r="R65" s="1"/>
      <c r="S65" s="1"/>
      <c r="T65" s="1"/>
    </row>
    <row r="66" spans="1:20" x14ac:dyDescent="0.25">
      <c r="A66" s="2" t="s">
        <v>7</v>
      </c>
      <c r="C66" s="1" t="s">
        <v>233</v>
      </c>
      <c r="D66" s="1" t="s">
        <v>234</v>
      </c>
      <c r="E66" s="18" t="s">
        <v>235</v>
      </c>
      <c r="G66" s="5">
        <v>546</v>
      </c>
      <c r="I66" s="1" t="s">
        <v>72</v>
      </c>
      <c r="O66" s="1"/>
      <c r="P66" s="1"/>
      <c r="Q66" s="1"/>
      <c r="R66" s="1"/>
      <c r="S66" s="1"/>
      <c r="T66" s="1"/>
    </row>
    <row r="67" spans="1:20" x14ac:dyDescent="0.25">
      <c r="A67" s="2" t="s">
        <v>7</v>
      </c>
      <c r="C67" s="1" t="s">
        <v>230</v>
      </c>
      <c r="D67" s="1" t="s">
        <v>231</v>
      </c>
      <c r="E67" s="18" t="s">
        <v>232</v>
      </c>
      <c r="G67" s="5">
        <v>444.5</v>
      </c>
      <c r="I67" s="1" t="s">
        <v>72</v>
      </c>
      <c r="O67" s="1"/>
      <c r="P67" s="1"/>
      <c r="Q67" s="1"/>
      <c r="R67" s="1"/>
      <c r="S67" s="1"/>
      <c r="T67" s="1"/>
    </row>
    <row r="68" spans="1:20" x14ac:dyDescent="0.25">
      <c r="A68" s="2" t="s">
        <v>7</v>
      </c>
      <c r="C68" s="1" t="s">
        <v>245</v>
      </c>
      <c r="D68" s="1" t="s">
        <v>246</v>
      </c>
      <c r="E68" s="18" t="s">
        <v>247</v>
      </c>
      <c r="G68" s="5">
        <v>428</v>
      </c>
      <c r="I68" s="1" t="s">
        <v>72</v>
      </c>
      <c r="O68" s="1"/>
      <c r="P68" s="1"/>
      <c r="Q68" s="1"/>
      <c r="R68" s="1"/>
      <c r="S68" s="1"/>
      <c r="T68" s="1"/>
    </row>
    <row r="69" spans="1:20" x14ac:dyDescent="0.25">
      <c r="A69" s="2" t="s">
        <v>7</v>
      </c>
      <c r="C69" s="1" t="s">
        <v>218</v>
      </c>
      <c r="D69" s="1" t="s">
        <v>219</v>
      </c>
      <c r="E69" s="18" t="s">
        <v>220</v>
      </c>
      <c r="G69" s="5">
        <v>396</v>
      </c>
      <c r="I69" s="1" t="s">
        <v>72</v>
      </c>
      <c r="O69" s="1"/>
      <c r="P69" s="1"/>
      <c r="Q69" s="1"/>
      <c r="R69" s="1"/>
      <c r="S69" s="1"/>
      <c r="T69" s="1"/>
    </row>
    <row r="70" spans="1:20" x14ac:dyDescent="0.25">
      <c r="A70" s="2" t="s">
        <v>7</v>
      </c>
      <c r="C70" s="1" t="s">
        <v>242</v>
      </c>
      <c r="D70" s="1" t="s">
        <v>243</v>
      </c>
      <c r="E70" s="18" t="s">
        <v>244</v>
      </c>
      <c r="G70" s="5">
        <v>380</v>
      </c>
      <c r="I70" s="1" t="s">
        <v>72</v>
      </c>
      <c r="O70" s="1"/>
      <c r="P70" s="1"/>
      <c r="Q70" s="1"/>
      <c r="R70" s="1"/>
      <c r="S70" s="1"/>
      <c r="T70" s="1"/>
    </row>
    <row r="71" spans="1:20" x14ac:dyDescent="0.25">
      <c r="A71" s="2" t="s">
        <v>7</v>
      </c>
      <c r="C71" s="1" t="s">
        <v>227</v>
      </c>
      <c r="D71" s="1" t="s">
        <v>228</v>
      </c>
      <c r="E71" s="18" t="s">
        <v>229</v>
      </c>
      <c r="G71" s="5">
        <v>364</v>
      </c>
      <c r="I71" s="1" t="s">
        <v>72</v>
      </c>
      <c r="O71" s="1"/>
      <c r="P71" s="1"/>
      <c r="Q71" s="1"/>
      <c r="R71" s="1"/>
      <c r="S71" s="1"/>
      <c r="T71" s="1"/>
    </row>
    <row r="72" spans="1:20" x14ac:dyDescent="0.25">
      <c r="A72" s="2" t="s">
        <v>7</v>
      </c>
      <c r="C72" s="1" t="s">
        <v>212</v>
      </c>
      <c r="D72" s="1" t="s">
        <v>213</v>
      </c>
      <c r="E72" s="18" t="s">
        <v>214</v>
      </c>
      <c r="G72" s="5">
        <v>354</v>
      </c>
      <c r="I72" s="1" t="s">
        <v>72</v>
      </c>
      <c r="O72" s="1"/>
      <c r="P72" s="1"/>
      <c r="Q72" s="1"/>
      <c r="R72" s="1"/>
      <c r="S72" s="1"/>
      <c r="T72" s="1"/>
    </row>
    <row r="73" spans="1:20" x14ac:dyDescent="0.25">
      <c r="A73" s="2" t="s">
        <v>7</v>
      </c>
      <c r="C73" s="1" t="s">
        <v>209</v>
      </c>
      <c r="D73" s="1" t="s">
        <v>210</v>
      </c>
      <c r="E73" s="18" t="s">
        <v>211</v>
      </c>
      <c r="G73" s="5">
        <v>285</v>
      </c>
      <c r="I73" s="1" t="s">
        <v>72</v>
      </c>
      <c r="O73" s="1"/>
      <c r="P73" s="1"/>
      <c r="Q73" s="1"/>
      <c r="R73" s="1"/>
      <c r="S73" s="1"/>
      <c r="T73" s="1"/>
    </row>
    <row r="74" spans="1:20" x14ac:dyDescent="0.25">
      <c r="A74" s="2" t="s">
        <v>7</v>
      </c>
      <c r="C74" s="1" t="s">
        <v>206</v>
      </c>
      <c r="D74" s="1" t="s">
        <v>207</v>
      </c>
      <c r="E74" s="18" t="s">
        <v>208</v>
      </c>
      <c r="G74" s="5">
        <v>282</v>
      </c>
      <c r="I74" s="1" t="s">
        <v>72</v>
      </c>
      <c r="O74" s="1"/>
      <c r="P74" s="1"/>
      <c r="Q74" s="1"/>
      <c r="R74" s="1"/>
      <c r="S74" s="1"/>
      <c r="T74" s="1"/>
    </row>
    <row r="75" spans="1:20" x14ac:dyDescent="0.25">
      <c r="A75" s="2" t="s">
        <v>7</v>
      </c>
      <c r="C75" s="1" t="s">
        <v>224</v>
      </c>
      <c r="D75" s="1" t="s">
        <v>225</v>
      </c>
      <c r="E75" s="18" t="s">
        <v>226</v>
      </c>
      <c r="G75" s="5">
        <v>272</v>
      </c>
      <c r="I75" s="1" t="s">
        <v>72</v>
      </c>
      <c r="O75" s="1"/>
      <c r="P75" s="1"/>
      <c r="Q75" s="1"/>
      <c r="R75" s="1"/>
      <c r="S75" s="1"/>
      <c r="T75" s="1"/>
    </row>
    <row r="76" spans="1:20" x14ac:dyDescent="0.25">
      <c r="A76" s="2" t="s">
        <v>7</v>
      </c>
      <c r="C76" s="1" t="s">
        <v>254</v>
      </c>
      <c r="D76" s="1" t="s">
        <v>255</v>
      </c>
      <c r="E76" s="18" t="s">
        <v>256</v>
      </c>
      <c r="G76" s="5">
        <v>262</v>
      </c>
      <c r="I76" s="1" t="s">
        <v>72</v>
      </c>
      <c r="O76" s="1"/>
      <c r="P76" s="1"/>
      <c r="Q76" s="1"/>
      <c r="R76" s="1"/>
      <c r="S76" s="1"/>
      <c r="T76" s="1"/>
    </row>
    <row r="77" spans="1:20" x14ac:dyDescent="0.25">
      <c r="A77" s="2" t="s">
        <v>7</v>
      </c>
      <c r="C77" s="1" t="s">
        <v>197</v>
      </c>
      <c r="D77" s="1" t="s">
        <v>198</v>
      </c>
      <c r="E77" s="18" t="s">
        <v>199</v>
      </c>
      <c r="G77" s="5">
        <v>240</v>
      </c>
      <c r="I77" s="1" t="s">
        <v>72</v>
      </c>
      <c r="O77" s="1"/>
      <c r="P77" s="1"/>
      <c r="Q77" s="1"/>
      <c r="R77" s="1"/>
      <c r="S77" s="1"/>
      <c r="T77" s="1"/>
    </row>
    <row r="78" spans="1:20" x14ac:dyDescent="0.25">
      <c r="A78" s="2" t="s">
        <v>7</v>
      </c>
      <c r="C78" s="1" t="s">
        <v>194</v>
      </c>
      <c r="D78" s="1" t="s">
        <v>195</v>
      </c>
      <c r="E78" s="18" t="s">
        <v>196</v>
      </c>
      <c r="G78" s="5">
        <v>223</v>
      </c>
      <c r="I78" s="1" t="s">
        <v>72</v>
      </c>
      <c r="O78" s="1"/>
      <c r="P78" s="1"/>
      <c r="Q78" s="1"/>
      <c r="R78" s="1"/>
      <c r="S78" s="1"/>
      <c r="T78" s="1"/>
    </row>
    <row r="79" spans="1:20" x14ac:dyDescent="0.25">
      <c r="A79" s="2" t="s">
        <v>7</v>
      </c>
      <c r="C79" s="1" t="s">
        <v>239</v>
      </c>
      <c r="D79" s="1" t="s">
        <v>240</v>
      </c>
      <c r="E79" s="18" t="s">
        <v>241</v>
      </c>
      <c r="G79" s="5">
        <v>211</v>
      </c>
      <c r="I79" s="1" t="s">
        <v>72</v>
      </c>
      <c r="O79" s="1"/>
      <c r="P79" s="1"/>
      <c r="Q79" s="1"/>
      <c r="R79" s="1"/>
      <c r="S79" s="1"/>
      <c r="T79" s="1"/>
    </row>
    <row r="80" spans="1:20" x14ac:dyDescent="0.25">
      <c r="A80" s="2" t="s">
        <v>7</v>
      </c>
      <c r="C80" s="1" t="s">
        <v>248</v>
      </c>
      <c r="D80" s="1" t="s">
        <v>249</v>
      </c>
      <c r="E80" s="18" t="s">
        <v>250</v>
      </c>
      <c r="G80" s="5">
        <v>189</v>
      </c>
      <c r="I80" s="1" t="s">
        <v>72</v>
      </c>
      <c r="O80" s="1"/>
      <c r="P80" s="1"/>
      <c r="Q80" s="1"/>
      <c r="R80" s="1"/>
      <c r="S80" s="1"/>
      <c r="T80" s="1"/>
    </row>
    <row r="81" spans="1:20" x14ac:dyDescent="0.25">
      <c r="A81" s="2" t="s">
        <v>7</v>
      </c>
      <c r="C81" s="1" t="s">
        <v>200</v>
      </c>
      <c r="D81" s="1" t="s">
        <v>201</v>
      </c>
      <c r="E81" s="18" t="s">
        <v>202</v>
      </c>
      <c r="G81" s="5">
        <v>186</v>
      </c>
      <c r="I81" s="1" t="s">
        <v>72</v>
      </c>
      <c r="O81" s="1"/>
      <c r="P81" s="1"/>
      <c r="Q81" s="1"/>
      <c r="R81" s="1"/>
      <c r="S81" s="1"/>
      <c r="T81" s="1"/>
    </row>
    <row r="82" spans="1:20" x14ac:dyDescent="0.25">
      <c r="A82" s="2" t="s">
        <v>7</v>
      </c>
      <c r="C82" s="1" t="s">
        <v>203</v>
      </c>
      <c r="D82" s="1" t="s">
        <v>204</v>
      </c>
      <c r="E82" s="18" t="s">
        <v>205</v>
      </c>
      <c r="G82" s="5">
        <v>156</v>
      </c>
      <c r="I82" s="1" t="s">
        <v>72</v>
      </c>
      <c r="O82" s="1"/>
      <c r="P82" s="1"/>
      <c r="Q82" s="1"/>
      <c r="R82" s="1"/>
      <c r="S82" s="1"/>
      <c r="T82" s="1"/>
    </row>
    <row r="83" spans="1:20" x14ac:dyDescent="0.25">
      <c r="A83" s="2" t="s">
        <v>7</v>
      </c>
      <c r="C83" s="1" t="s">
        <v>236</v>
      </c>
      <c r="D83" s="1" t="s">
        <v>237</v>
      </c>
      <c r="E83" s="18" t="s">
        <v>238</v>
      </c>
      <c r="G83" s="5">
        <v>155</v>
      </c>
      <c r="I83" s="1" t="s">
        <v>72</v>
      </c>
      <c r="O83" s="1"/>
      <c r="P83" s="1"/>
      <c r="Q83" s="1"/>
      <c r="R83" s="1"/>
      <c r="S83" s="1"/>
      <c r="T83" s="1"/>
    </row>
    <row r="84" spans="1:20" x14ac:dyDescent="0.25">
      <c r="A84" s="2" t="s">
        <v>7</v>
      </c>
      <c r="C84" s="1" t="s">
        <v>251</v>
      </c>
      <c r="D84" s="1" t="s">
        <v>252</v>
      </c>
      <c r="E84" s="18" t="s">
        <v>253</v>
      </c>
      <c r="G84" s="5">
        <v>140</v>
      </c>
      <c r="I84" s="1" t="s">
        <v>72</v>
      </c>
      <c r="O84" s="1"/>
      <c r="P84" s="1"/>
      <c r="Q84" s="1"/>
      <c r="R84" s="1"/>
      <c r="S84" s="1"/>
      <c r="T84" s="1"/>
    </row>
    <row r="85" spans="1:20" x14ac:dyDescent="0.25">
      <c r="A85" s="2" t="s">
        <v>7</v>
      </c>
      <c r="C85" s="1" t="s">
        <v>221</v>
      </c>
      <c r="D85" s="1" t="s">
        <v>222</v>
      </c>
      <c r="E85" s="18" t="s">
        <v>223</v>
      </c>
      <c r="G85" s="5">
        <v>133</v>
      </c>
      <c r="I85" s="1" t="s">
        <v>72</v>
      </c>
      <c r="O85" s="1"/>
      <c r="P85" s="1"/>
      <c r="Q85" s="1"/>
      <c r="R85" s="1"/>
      <c r="S85" s="1"/>
      <c r="T85" s="1"/>
    </row>
    <row r="86" spans="1:20" x14ac:dyDescent="0.25">
      <c r="A86" s="2" t="s">
        <v>7</v>
      </c>
      <c r="C86" s="1" t="s">
        <v>215</v>
      </c>
      <c r="D86" s="1" t="s">
        <v>216</v>
      </c>
      <c r="E86" s="18" t="s">
        <v>217</v>
      </c>
      <c r="G86" s="5">
        <v>12</v>
      </c>
      <c r="I86" s="1" t="s">
        <v>72</v>
      </c>
      <c r="O86" s="1"/>
      <c r="P86" s="1"/>
      <c r="Q86" s="1"/>
      <c r="R86" s="1"/>
      <c r="S86" s="1"/>
      <c r="T86" s="1"/>
    </row>
    <row r="87" spans="1:20" x14ac:dyDescent="0.25">
      <c r="A87" s="2" t="s">
        <v>3</v>
      </c>
      <c r="C87" s="8" t="s">
        <v>362</v>
      </c>
      <c r="D87" s="2" t="s">
        <v>363</v>
      </c>
      <c r="E87" s="16" t="s">
        <v>364</v>
      </c>
      <c r="F87" s="1" t="s">
        <v>26</v>
      </c>
      <c r="G87" s="4">
        <v>1060</v>
      </c>
      <c r="I87" s="2" t="s">
        <v>72</v>
      </c>
      <c r="O87" s="1"/>
      <c r="P87" s="1"/>
      <c r="Q87" s="1"/>
      <c r="R87" s="1"/>
      <c r="S87" s="1"/>
      <c r="T87" s="1"/>
    </row>
    <row r="88" spans="1:20" x14ac:dyDescent="0.25">
      <c r="A88" s="2" t="s">
        <v>3</v>
      </c>
      <c r="C88" s="8" t="s">
        <v>386</v>
      </c>
      <c r="D88" s="2" t="s">
        <v>387</v>
      </c>
      <c r="E88" s="16" t="s">
        <v>388</v>
      </c>
      <c r="F88" s="1" t="s">
        <v>26</v>
      </c>
      <c r="G88" s="4">
        <v>1050</v>
      </c>
      <c r="I88" s="2" t="s">
        <v>72</v>
      </c>
      <c r="O88" s="1"/>
      <c r="P88" s="1"/>
      <c r="Q88" s="1"/>
      <c r="R88" s="1"/>
      <c r="S88" s="1"/>
      <c r="T88" s="1"/>
    </row>
    <row r="89" spans="1:20" x14ac:dyDescent="0.25">
      <c r="A89" s="2" t="s">
        <v>3</v>
      </c>
      <c r="C89" s="8" t="s">
        <v>374</v>
      </c>
      <c r="D89" s="2" t="s">
        <v>375</v>
      </c>
      <c r="E89" s="16" t="s">
        <v>376</v>
      </c>
      <c r="F89" s="1" t="s">
        <v>26</v>
      </c>
      <c r="G89" s="4">
        <v>992</v>
      </c>
      <c r="I89" s="2" t="s">
        <v>72</v>
      </c>
      <c r="O89" s="1"/>
      <c r="P89" s="1"/>
      <c r="Q89" s="1"/>
      <c r="R89" s="1"/>
      <c r="S89" s="1"/>
      <c r="T89" s="1"/>
    </row>
    <row r="90" spans="1:20" x14ac:dyDescent="0.25">
      <c r="A90" s="2" t="s">
        <v>3</v>
      </c>
      <c r="C90" s="8" t="s">
        <v>414</v>
      </c>
      <c r="D90" s="2" t="s">
        <v>267</v>
      </c>
      <c r="E90" s="16" t="s">
        <v>415</v>
      </c>
      <c r="F90" s="1" t="s">
        <v>26</v>
      </c>
      <c r="G90" s="4">
        <v>472</v>
      </c>
      <c r="I90" s="2" t="s">
        <v>72</v>
      </c>
      <c r="O90" s="1"/>
      <c r="P90" s="1"/>
      <c r="Q90" s="1"/>
      <c r="R90" s="1"/>
      <c r="S90" s="1"/>
      <c r="T90" s="1"/>
    </row>
    <row r="91" spans="1:20" x14ac:dyDescent="0.25">
      <c r="A91" s="2" t="s">
        <v>3</v>
      </c>
      <c r="C91" s="8" t="s">
        <v>422</v>
      </c>
      <c r="D91" s="2" t="s">
        <v>420</v>
      </c>
      <c r="E91" s="16" t="s">
        <v>423</v>
      </c>
      <c r="F91" s="1" t="s">
        <v>26</v>
      </c>
      <c r="G91" s="4">
        <v>440</v>
      </c>
      <c r="I91" s="2" t="s">
        <v>72</v>
      </c>
      <c r="O91" s="1"/>
      <c r="P91" s="1"/>
      <c r="Q91" s="1"/>
      <c r="R91" s="1"/>
      <c r="S91" s="1"/>
      <c r="T91" s="1"/>
    </row>
    <row r="92" spans="1:20" x14ac:dyDescent="0.25">
      <c r="A92" s="2" t="s">
        <v>3</v>
      </c>
      <c r="C92" s="8" t="s">
        <v>371</v>
      </c>
      <c r="D92" s="2" t="s">
        <v>372</v>
      </c>
      <c r="E92" s="16" t="s">
        <v>373</v>
      </c>
      <c r="F92" s="1" t="s">
        <v>26</v>
      </c>
      <c r="G92" s="4">
        <v>320</v>
      </c>
      <c r="I92" s="2" t="s">
        <v>72</v>
      </c>
      <c r="O92" s="1"/>
      <c r="P92" s="1"/>
      <c r="Q92" s="1"/>
      <c r="R92" s="1"/>
      <c r="S92" s="1"/>
      <c r="T92" s="1"/>
    </row>
    <row r="93" spans="1:20" x14ac:dyDescent="0.25">
      <c r="A93" s="2" t="s">
        <v>3</v>
      </c>
      <c r="C93" s="8" t="s">
        <v>353</v>
      </c>
      <c r="D93" s="2" t="s">
        <v>354</v>
      </c>
      <c r="E93" s="16" t="s">
        <v>355</v>
      </c>
      <c r="F93" s="1" t="s">
        <v>26</v>
      </c>
      <c r="G93" s="4">
        <v>250</v>
      </c>
      <c r="I93" s="2" t="s">
        <v>72</v>
      </c>
      <c r="O93" s="1"/>
      <c r="P93" s="1"/>
      <c r="Q93" s="1"/>
      <c r="R93" s="1"/>
      <c r="S93" s="1"/>
      <c r="T93" s="1"/>
    </row>
    <row r="94" spans="1:20" x14ac:dyDescent="0.25">
      <c r="A94" s="2" t="s">
        <v>3</v>
      </c>
      <c r="C94" s="8" t="s">
        <v>343</v>
      </c>
      <c r="D94" s="2" t="s">
        <v>344</v>
      </c>
      <c r="E94" s="16" t="s">
        <v>345</v>
      </c>
      <c r="F94" s="1" t="s">
        <v>26</v>
      </c>
      <c r="G94" s="4">
        <v>220</v>
      </c>
      <c r="I94" s="2" t="s">
        <v>72</v>
      </c>
      <c r="O94" s="1"/>
      <c r="P94" s="1"/>
      <c r="Q94" s="1"/>
      <c r="R94" s="1"/>
      <c r="S94" s="1"/>
      <c r="T94" s="1"/>
    </row>
    <row r="95" spans="1:20" x14ac:dyDescent="0.25">
      <c r="A95" s="2" t="s">
        <v>3</v>
      </c>
      <c r="C95" s="8" t="s">
        <v>365</v>
      </c>
      <c r="D95" s="2" t="s">
        <v>366</v>
      </c>
      <c r="E95" s="16" t="s">
        <v>367</v>
      </c>
      <c r="F95" s="1" t="s">
        <v>26</v>
      </c>
      <c r="G95" s="4">
        <v>176</v>
      </c>
      <c r="I95" s="2" t="s">
        <v>72</v>
      </c>
      <c r="O95" s="1"/>
      <c r="P95" s="1"/>
      <c r="Q95" s="1"/>
      <c r="R95" s="1"/>
      <c r="S95" s="1"/>
      <c r="T95" s="1"/>
    </row>
    <row r="96" spans="1:20" x14ac:dyDescent="0.25">
      <c r="A96" s="2" t="s">
        <v>3</v>
      </c>
      <c r="C96" s="8" t="s">
        <v>424</v>
      </c>
      <c r="D96" s="2" t="s">
        <v>425</v>
      </c>
      <c r="E96" s="16" t="s">
        <v>426</v>
      </c>
      <c r="F96" s="1" t="s">
        <v>26</v>
      </c>
      <c r="G96" s="4">
        <v>176</v>
      </c>
      <c r="I96" s="2" t="s">
        <v>72</v>
      </c>
      <c r="O96" s="1"/>
      <c r="P96" s="1"/>
      <c r="Q96" s="1"/>
      <c r="R96" s="1"/>
      <c r="S96" s="1"/>
      <c r="T96" s="1"/>
    </row>
    <row r="97" spans="1:20" x14ac:dyDescent="0.25">
      <c r="A97" s="2" t="s">
        <v>3</v>
      </c>
      <c r="C97" s="8" t="s">
        <v>380</v>
      </c>
      <c r="D97" s="2" t="s">
        <v>381</v>
      </c>
      <c r="E97" s="16" t="s">
        <v>382</v>
      </c>
      <c r="F97" s="1" t="s">
        <v>26</v>
      </c>
      <c r="G97" s="4">
        <v>160</v>
      </c>
      <c r="I97" s="2" t="s">
        <v>72</v>
      </c>
      <c r="O97" s="1"/>
      <c r="P97" s="1"/>
      <c r="Q97" s="1"/>
      <c r="R97" s="1"/>
      <c r="S97" s="1"/>
      <c r="T97" s="1"/>
    </row>
    <row r="98" spans="1:20" x14ac:dyDescent="0.25">
      <c r="A98" s="2" t="s">
        <v>3</v>
      </c>
      <c r="C98" s="8" t="s">
        <v>405</v>
      </c>
      <c r="D98" s="2" t="s">
        <v>406</v>
      </c>
      <c r="E98" s="16" t="s">
        <v>407</v>
      </c>
      <c r="F98" s="1" t="s">
        <v>26</v>
      </c>
      <c r="G98" s="4">
        <v>160</v>
      </c>
      <c r="I98" s="2" t="s">
        <v>72</v>
      </c>
      <c r="O98" s="1"/>
      <c r="P98" s="1"/>
      <c r="Q98" s="1"/>
      <c r="R98" s="1"/>
      <c r="S98" s="1"/>
      <c r="T98" s="1"/>
    </row>
    <row r="99" spans="1:20" x14ac:dyDescent="0.25">
      <c r="A99" s="2" t="s">
        <v>3</v>
      </c>
      <c r="C99" s="8" t="s">
        <v>377</v>
      </c>
      <c r="D99" s="2" t="s">
        <v>378</v>
      </c>
      <c r="E99" s="16" t="s">
        <v>379</v>
      </c>
      <c r="F99" s="1" t="s">
        <v>26</v>
      </c>
      <c r="G99" s="4">
        <v>153</v>
      </c>
      <c r="I99" s="2" t="s">
        <v>72</v>
      </c>
      <c r="O99" s="1"/>
      <c r="P99" s="1"/>
      <c r="Q99" s="1"/>
      <c r="R99" s="1"/>
      <c r="S99" s="1"/>
      <c r="T99" s="1"/>
    </row>
    <row r="100" spans="1:20" x14ac:dyDescent="0.25">
      <c r="A100" s="2" t="s">
        <v>3</v>
      </c>
      <c r="C100" s="8" t="s">
        <v>419</v>
      </c>
      <c r="D100" s="2" t="s">
        <v>420</v>
      </c>
      <c r="E100" s="16" t="s">
        <v>421</v>
      </c>
      <c r="F100" s="1" t="s">
        <v>26</v>
      </c>
      <c r="G100" s="4">
        <v>146</v>
      </c>
      <c r="I100" s="2" t="s">
        <v>72</v>
      </c>
      <c r="O100" s="1"/>
      <c r="P100" s="1"/>
      <c r="Q100" s="1"/>
      <c r="R100" s="1"/>
      <c r="S100" s="1"/>
      <c r="T100" s="1"/>
    </row>
    <row r="101" spans="1:20" x14ac:dyDescent="0.25">
      <c r="A101" s="2" t="s">
        <v>3</v>
      </c>
      <c r="C101" s="8" t="s">
        <v>368</v>
      </c>
      <c r="D101" s="2" t="s">
        <v>369</v>
      </c>
      <c r="E101" s="16" t="s">
        <v>370</v>
      </c>
      <c r="F101" s="1" t="s">
        <v>26</v>
      </c>
      <c r="G101" s="4">
        <v>140</v>
      </c>
      <c r="I101" s="2" t="s">
        <v>72</v>
      </c>
      <c r="O101" s="1"/>
      <c r="P101" s="1"/>
      <c r="Q101" s="1"/>
      <c r="R101" s="1"/>
      <c r="S101" s="1"/>
      <c r="T101" s="1"/>
    </row>
    <row r="102" spans="1:20" x14ac:dyDescent="0.25">
      <c r="A102" s="2" t="s">
        <v>3</v>
      </c>
      <c r="C102" s="8" t="s">
        <v>356</v>
      </c>
      <c r="D102" s="2" t="s">
        <v>357</v>
      </c>
      <c r="E102" s="16" t="s">
        <v>358</v>
      </c>
      <c r="F102" s="1" t="s">
        <v>26</v>
      </c>
      <c r="G102" s="4">
        <v>131</v>
      </c>
      <c r="I102" s="2" t="s">
        <v>72</v>
      </c>
      <c r="O102" s="1"/>
      <c r="P102" s="1"/>
      <c r="Q102" s="1"/>
      <c r="R102" s="1"/>
      <c r="S102" s="1"/>
      <c r="T102" s="1"/>
    </row>
    <row r="103" spans="1:20" x14ac:dyDescent="0.25">
      <c r="A103" s="2" t="s">
        <v>3</v>
      </c>
      <c r="C103" s="8" t="s">
        <v>325</v>
      </c>
      <c r="D103" s="2" t="s">
        <v>326</v>
      </c>
      <c r="E103" s="16" t="s">
        <v>327</v>
      </c>
      <c r="F103" s="51" t="s">
        <v>491</v>
      </c>
      <c r="G103" s="4">
        <v>124</v>
      </c>
      <c r="I103" s="2" t="s">
        <v>72</v>
      </c>
      <c r="O103" s="1"/>
      <c r="P103" s="1"/>
      <c r="Q103" s="1"/>
      <c r="R103" s="1"/>
      <c r="S103" s="1"/>
      <c r="T103" s="1"/>
    </row>
    <row r="104" spans="1:20" x14ac:dyDescent="0.25">
      <c r="A104" s="2" t="s">
        <v>3</v>
      </c>
      <c r="C104" s="8" t="s">
        <v>319</v>
      </c>
      <c r="D104" s="2" t="s">
        <v>320</v>
      </c>
      <c r="E104" s="16" t="s">
        <v>321</v>
      </c>
      <c r="F104" s="51" t="s">
        <v>491</v>
      </c>
      <c r="G104" s="4">
        <v>120</v>
      </c>
      <c r="I104" s="2" t="s">
        <v>72</v>
      </c>
      <c r="O104" s="1"/>
      <c r="P104" s="1"/>
      <c r="Q104" s="1"/>
      <c r="R104" s="1"/>
      <c r="S104" s="1"/>
      <c r="T104" s="1"/>
    </row>
    <row r="105" spans="1:20" x14ac:dyDescent="0.25">
      <c r="A105" s="2" t="s">
        <v>3</v>
      </c>
      <c r="C105" s="8" t="s">
        <v>393</v>
      </c>
      <c r="D105" s="2" t="s">
        <v>394</v>
      </c>
      <c r="E105" s="16" t="s">
        <v>395</v>
      </c>
      <c r="F105" s="1" t="s">
        <v>26</v>
      </c>
      <c r="G105" s="4">
        <v>120</v>
      </c>
      <c r="I105" s="2" t="s">
        <v>72</v>
      </c>
      <c r="O105" s="1"/>
      <c r="P105" s="1"/>
      <c r="Q105" s="1"/>
      <c r="R105" s="1"/>
      <c r="S105" s="1"/>
      <c r="T105" s="1"/>
    </row>
    <row r="106" spans="1:20" x14ac:dyDescent="0.25">
      <c r="A106" s="2" t="s">
        <v>3</v>
      </c>
      <c r="C106" s="8" t="s">
        <v>304</v>
      </c>
      <c r="D106" s="2" t="s">
        <v>305</v>
      </c>
      <c r="E106" s="16" t="s">
        <v>306</v>
      </c>
      <c r="F106" s="51" t="s">
        <v>491</v>
      </c>
      <c r="G106" s="4">
        <v>106</v>
      </c>
      <c r="I106" s="2" t="s">
        <v>72</v>
      </c>
      <c r="O106" s="1"/>
      <c r="P106" s="1"/>
      <c r="Q106" s="1"/>
      <c r="R106" s="1"/>
      <c r="S106" s="1"/>
      <c r="T106" s="1"/>
    </row>
    <row r="107" spans="1:20" x14ac:dyDescent="0.25">
      <c r="A107" s="2" t="s">
        <v>3</v>
      </c>
      <c r="C107" s="8" t="s">
        <v>402</v>
      </c>
      <c r="D107" s="2" t="s">
        <v>403</v>
      </c>
      <c r="E107" s="16" t="s">
        <v>404</v>
      </c>
      <c r="F107" s="1" t="s">
        <v>26</v>
      </c>
      <c r="G107" s="4">
        <v>105</v>
      </c>
      <c r="I107" s="2" t="s">
        <v>72</v>
      </c>
      <c r="O107" s="1"/>
      <c r="P107" s="1"/>
      <c r="Q107" s="1"/>
      <c r="R107" s="1"/>
      <c r="S107" s="1"/>
      <c r="T107" s="1"/>
    </row>
    <row r="108" spans="1:20" x14ac:dyDescent="0.25">
      <c r="A108" s="2" t="s">
        <v>3</v>
      </c>
      <c r="C108" s="8" t="s">
        <v>292</v>
      </c>
      <c r="D108" s="2" t="s">
        <v>293</v>
      </c>
      <c r="E108" s="16" t="s">
        <v>294</v>
      </c>
      <c r="F108" s="51" t="s">
        <v>491</v>
      </c>
      <c r="G108" s="4">
        <v>104</v>
      </c>
      <c r="I108" s="2" t="s">
        <v>72</v>
      </c>
      <c r="O108" s="1"/>
      <c r="P108" s="1"/>
      <c r="Q108" s="1"/>
      <c r="R108" s="1"/>
      <c r="S108" s="1"/>
      <c r="T108" s="1"/>
    </row>
    <row r="109" spans="1:20" x14ac:dyDescent="0.25">
      <c r="A109" s="2" t="s">
        <v>3</v>
      </c>
      <c r="C109" s="8" t="s">
        <v>334</v>
      </c>
      <c r="D109" s="2" t="s">
        <v>335</v>
      </c>
      <c r="E109" s="16" t="s">
        <v>336</v>
      </c>
      <c r="F109" s="51" t="s">
        <v>491</v>
      </c>
      <c r="G109" s="4">
        <v>96</v>
      </c>
      <c r="I109" s="2" t="s">
        <v>72</v>
      </c>
      <c r="O109" s="1"/>
      <c r="P109" s="1"/>
      <c r="Q109" s="1"/>
      <c r="R109" s="1"/>
      <c r="S109" s="1"/>
      <c r="T109" s="1"/>
    </row>
    <row r="110" spans="1:20" x14ac:dyDescent="0.25">
      <c r="A110" s="2" t="s">
        <v>3</v>
      </c>
      <c r="C110" s="8" t="s">
        <v>383</v>
      </c>
      <c r="D110" s="2" t="s">
        <v>384</v>
      </c>
      <c r="E110" s="16" t="s">
        <v>385</v>
      </c>
      <c r="F110" s="1" t="s">
        <v>26</v>
      </c>
      <c r="G110" s="4">
        <v>93</v>
      </c>
      <c r="I110" s="2" t="s">
        <v>72</v>
      </c>
      <c r="O110" s="1"/>
      <c r="P110" s="1"/>
      <c r="Q110" s="1"/>
      <c r="R110" s="1"/>
      <c r="S110" s="1"/>
      <c r="T110" s="1"/>
    </row>
    <row r="111" spans="1:20" x14ac:dyDescent="0.25">
      <c r="A111" s="2" t="s">
        <v>3</v>
      </c>
      <c r="C111" s="8" t="s">
        <v>359</v>
      </c>
      <c r="D111" s="2" t="s">
        <v>360</v>
      </c>
      <c r="E111" s="16" t="s">
        <v>361</v>
      </c>
      <c r="F111" s="1" t="s">
        <v>26</v>
      </c>
      <c r="G111" s="4">
        <v>90</v>
      </c>
      <c r="I111" s="2" t="s">
        <v>72</v>
      </c>
      <c r="O111" s="1"/>
      <c r="P111" s="1"/>
      <c r="Q111" s="1"/>
      <c r="R111" s="1"/>
      <c r="S111" s="1"/>
      <c r="T111" s="1"/>
    </row>
    <row r="112" spans="1:20" x14ac:dyDescent="0.25">
      <c r="A112" s="2" t="s">
        <v>3</v>
      </c>
      <c r="C112" s="8" t="s">
        <v>328</v>
      </c>
      <c r="D112" s="2" t="s">
        <v>329</v>
      </c>
      <c r="E112" s="16" t="s">
        <v>330</v>
      </c>
      <c r="F112" s="51" t="s">
        <v>491</v>
      </c>
      <c r="G112" s="4">
        <v>80</v>
      </c>
      <c r="I112" s="2" t="s">
        <v>72</v>
      </c>
      <c r="O112" s="1"/>
      <c r="P112" s="1"/>
      <c r="Q112" s="1"/>
      <c r="R112" s="1"/>
      <c r="S112" s="1"/>
      <c r="T112" s="1"/>
    </row>
    <row r="113" spans="1:20" x14ac:dyDescent="0.25">
      <c r="A113" s="2" t="s">
        <v>3</v>
      </c>
      <c r="C113" s="8" t="s">
        <v>346</v>
      </c>
      <c r="D113" s="2" t="s">
        <v>347</v>
      </c>
      <c r="E113" s="16" t="s">
        <v>348</v>
      </c>
      <c r="F113" s="1" t="s">
        <v>26</v>
      </c>
      <c r="G113" s="4">
        <v>80</v>
      </c>
      <c r="I113" s="2" t="s">
        <v>72</v>
      </c>
      <c r="O113" s="1"/>
      <c r="P113" s="1"/>
      <c r="Q113" s="1"/>
      <c r="R113" s="1"/>
      <c r="S113" s="1"/>
      <c r="T113" s="1"/>
    </row>
    <row r="114" spans="1:20" x14ac:dyDescent="0.25">
      <c r="A114" s="2" t="s">
        <v>3</v>
      </c>
      <c r="C114" s="8" t="s">
        <v>430</v>
      </c>
      <c r="D114" s="2" t="s">
        <v>329</v>
      </c>
      <c r="E114" s="16" t="s">
        <v>431</v>
      </c>
      <c r="F114" s="1" t="s">
        <v>26</v>
      </c>
      <c r="G114" s="4">
        <v>80</v>
      </c>
      <c r="I114" s="2" t="s">
        <v>72</v>
      </c>
      <c r="O114" s="1"/>
      <c r="P114" s="1"/>
      <c r="Q114" s="1"/>
      <c r="R114" s="1"/>
      <c r="S114" s="1"/>
      <c r="T114" s="1"/>
    </row>
    <row r="115" spans="1:20" x14ac:dyDescent="0.25">
      <c r="A115" s="2" t="s">
        <v>3</v>
      </c>
      <c r="C115" s="8" t="s">
        <v>266</v>
      </c>
      <c r="D115" s="2" t="s">
        <v>267</v>
      </c>
      <c r="E115" s="16" t="s">
        <v>268</v>
      </c>
      <c r="F115" s="51" t="s">
        <v>491</v>
      </c>
      <c r="G115" s="4">
        <v>73.599999999999994</v>
      </c>
      <c r="I115" s="2" t="s">
        <v>72</v>
      </c>
      <c r="O115" s="1"/>
      <c r="P115" s="1"/>
      <c r="Q115" s="1"/>
      <c r="R115" s="1"/>
      <c r="S115" s="1"/>
      <c r="T115" s="1"/>
    </row>
    <row r="116" spans="1:20" x14ac:dyDescent="0.25">
      <c r="A116" s="2" t="s">
        <v>3</v>
      </c>
      <c r="C116" s="8" t="s">
        <v>298</v>
      </c>
      <c r="D116" s="2" t="s">
        <v>299</v>
      </c>
      <c r="E116" s="16" t="s">
        <v>300</v>
      </c>
      <c r="F116" s="51" t="s">
        <v>491</v>
      </c>
      <c r="G116" s="4">
        <v>52</v>
      </c>
      <c r="I116" s="2" t="s">
        <v>72</v>
      </c>
      <c r="O116" s="1"/>
      <c r="P116" s="1"/>
      <c r="Q116" s="1"/>
      <c r="R116" s="1"/>
      <c r="S116" s="1"/>
      <c r="T116" s="1"/>
    </row>
    <row r="117" spans="1:20" x14ac:dyDescent="0.25">
      <c r="A117" s="2" t="s">
        <v>3</v>
      </c>
      <c r="C117" s="8" t="s">
        <v>289</v>
      </c>
      <c r="D117" s="2" t="s">
        <v>290</v>
      </c>
      <c r="E117" s="16" t="s">
        <v>291</v>
      </c>
      <c r="F117" s="51" t="s">
        <v>491</v>
      </c>
      <c r="G117" s="4">
        <v>45.5</v>
      </c>
      <c r="I117" s="2" t="s">
        <v>72</v>
      </c>
      <c r="O117" s="1"/>
      <c r="P117" s="1"/>
      <c r="Q117" s="1"/>
      <c r="R117" s="1"/>
      <c r="S117" s="1"/>
      <c r="T117" s="1"/>
    </row>
    <row r="118" spans="1:20" x14ac:dyDescent="0.25">
      <c r="A118" s="2" t="s">
        <v>3</v>
      </c>
      <c r="C118" s="8" t="s">
        <v>408</v>
      </c>
      <c r="D118" s="2" t="s">
        <v>409</v>
      </c>
      <c r="E118" s="16" t="s">
        <v>410</v>
      </c>
      <c r="F118" s="1" t="s">
        <v>26</v>
      </c>
      <c r="G118" s="4">
        <v>44</v>
      </c>
      <c r="I118" s="2" t="s">
        <v>72</v>
      </c>
      <c r="O118" s="1"/>
      <c r="P118" s="1"/>
      <c r="Q118" s="1"/>
      <c r="R118" s="1"/>
      <c r="S118" s="1"/>
      <c r="T118" s="1"/>
    </row>
    <row r="119" spans="1:20" x14ac:dyDescent="0.25">
      <c r="A119" s="2" t="s">
        <v>3</v>
      </c>
      <c r="C119" s="8" t="s">
        <v>411</v>
      </c>
      <c r="D119" s="2" t="s">
        <v>412</v>
      </c>
      <c r="E119" s="16" t="s">
        <v>413</v>
      </c>
      <c r="F119" s="1" t="s">
        <v>26</v>
      </c>
      <c r="G119" s="4">
        <v>44</v>
      </c>
      <c r="I119" s="2" t="s">
        <v>72</v>
      </c>
      <c r="O119" s="1"/>
      <c r="P119" s="1"/>
      <c r="Q119" s="1"/>
      <c r="R119" s="1"/>
      <c r="S119" s="1"/>
      <c r="T119" s="1"/>
    </row>
    <row r="120" spans="1:20" x14ac:dyDescent="0.25">
      <c r="A120" s="2" t="s">
        <v>3</v>
      </c>
      <c r="C120" s="8" t="s">
        <v>263</v>
      </c>
      <c r="D120" s="2" t="s">
        <v>264</v>
      </c>
      <c r="E120" s="16" t="s">
        <v>265</v>
      </c>
      <c r="F120" s="51" t="s">
        <v>491</v>
      </c>
      <c r="G120" s="4">
        <v>40</v>
      </c>
      <c r="I120" s="2" t="s">
        <v>72</v>
      </c>
      <c r="O120" s="1"/>
      <c r="P120" s="1"/>
      <c r="Q120" s="1"/>
      <c r="R120" s="1"/>
      <c r="S120" s="1"/>
      <c r="T120" s="1"/>
    </row>
    <row r="121" spans="1:20" x14ac:dyDescent="0.25">
      <c r="A121" s="2" t="s">
        <v>3</v>
      </c>
      <c r="C121" s="8" t="s">
        <v>331</v>
      </c>
      <c r="D121" s="2" t="s">
        <v>332</v>
      </c>
      <c r="E121" s="16" t="s">
        <v>333</v>
      </c>
      <c r="F121" s="51" t="s">
        <v>491</v>
      </c>
      <c r="G121" s="4">
        <v>38.5</v>
      </c>
      <c r="I121" s="2" t="s">
        <v>72</v>
      </c>
      <c r="O121" s="1"/>
      <c r="P121" s="1"/>
      <c r="Q121" s="1"/>
      <c r="R121" s="1"/>
      <c r="S121" s="1"/>
      <c r="T121" s="1"/>
    </row>
    <row r="122" spans="1:20" x14ac:dyDescent="0.25">
      <c r="A122" s="2" t="s">
        <v>3</v>
      </c>
      <c r="C122" s="8" t="s">
        <v>316</v>
      </c>
      <c r="D122" s="2" t="s">
        <v>317</v>
      </c>
      <c r="E122" s="16" t="s">
        <v>318</v>
      </c>
      <c r="F122" s="51" t="s">
        <v>491</v>
      </c>
      <c r="G122" s="4">
        <v>25.7</v>
      </c>
      <c r="I122" s="2" t="s">
        <v>72</v>
      </c>
      <c r="O122" s="1"/>
      <c r="P122" s="1"/>
      <c r="Q122" s="1"/>
      <c r="R122" s="1"/>
      <c r="S122" s="1"/>
      <c r="T122" s="1"/>
    </row>
    <row r="123" spans="1:20" x14ac:dyDescent="0.25">
      <c r="A123" s="2" t="s">
        <v>3</v>
      </c>
      <c r="C123" s="8" t="s">
        <v>416</v>
      </c>
      <c r="D123" s="2" t="s">
        <v>417</v>
      </c>
      <c r="E123" s="16" t="s">
        <v>418</v>
      </c>
      <c r="F123" s="1" t="s">
        <v>26</v>
      </c>
      <c r="G123" s="4">
        <v>25.2</v>
      </c>
      <c r="I123" s="2" t="s">
        <v>72</v>
      </c>
      <c r="O123" s="1"/>
      <c r="P123" s="1"/>
      <c r="Q123" s="1"/>
      <c r="R123" s="1"/>
      <c r="S123" s="1"/>
      <c r="T123" s="1"/>
    </row>
    <row r="124" spans="1:20" x14ac:dyDescent="0.25">
      <c r="A124" s="2" t="s">
        <v>3</v>
      </c>
      <c r="C124" s="8" t="s">
        <v>269</v>
      </c>
      <c r="D124" s="2" t="s">
        <v>267</v>
      </c>
      <c r="E124" s="16" t="s">
        <v>270</v>
      </c>
      <c r="F124" s="51" t="s">
        <v>491</v>
      </c>
      <c r="G124" s="4">
        <v>23.7</v>
      </c>
      <c r="I124" s="2" t="s">
        <v>72</v>
      </c>
      <c r="O124" s="1"/>
      <c r="P124" s="1"/>
      <c r="Q124" s="1"/>
      <c r="R124" s="1"/>
      <c r="S124" s="1"/>
      <c r="T124" s="1"/>
    </row>
    <row r="125" spans="1:20" x14ac:dyDescent="0.25">
      <c r="A125" s="2" t="s">
        <v>3</v>
      </c>
      <c r="C125" s="8" t="s">
        <v>277</v>
      </c>
      <c r="D125" s="2" t="s">
        <v>278</v>
      </c>
      <c r="E125" s="16" t="s">
        <v>279</v>
      </c>
      <c r="F125" s="51" t="s">
        <v>491</v>
      </c>
      <c r="G125" s="4">
        <v>20.2</v>
      </c>
      <c r="I125" s="2" t="s">
        <v>72</v>
      </c>
      <c r="O125" s="1"/>
      <c r="P125" s="1"/>
      <c r="Q125" s="1"/>
      <c r="R125" s="1"/>
      <c r="S125" s="1"/>
      <c r="T125" s="1"/>
    </row>
    <row r="126" spans="1:20" x14ac:dyDescent="0.25">
      <c r="A126" s="2" t="s">
        <v>3</v>
      </c>
      <c r="C126" s="8" t="s">
        <v>295</v>
      </c>
      <c r="D126" s="2" t="s">
        <v>296</v>
      </c>
      <c r="E126" s="16" t="s">
        <v>297</v>
      </c>
      <c r="F126" s="51" t="s">
        <v>491</v>
      </c>
      <c r="G126" s="4">
        <v>19.8</v>
      </c>
      <c r="I126" s="2" t="s">
        <v>72</v>
      </c>
      <c r="O126" s="1"/>
      <c r="P126" s="1"/>
      <c r="Q126" s="1"/>
      <c r="R126" s="1"/>
      <c r="S126" s="1"/>
      <c r="T126" s="1"/>
    </row>
    <row r="127" spans="1:20" x14ac:dyDescent="0.25">
      <c r="A127" s="2" t="s">
        <v>3</v>
      </c>
      <c r="C127" s="8" t="s">
        <v>271</v>
      </c>
      <c r="D127" s="2" t="s">
        <v>272</v>
      </c>
      <c r="E127" s="16" t="s">
        <v>273</v>
      </c>
      <c r="F127" s="51" t="s">
        <v>491</v>
      </c>
      <c r="G127" s="4">
        <v>18.899999999999999</v>
      </c>
      <c r="I127" s="2" t="s">
        <v>72</v>
      </c>
      <c r="O127" s="1"/>
      <c r="P127" s="1"/>
      <c r="Q127" s="1"/>
      <c r="R127" s="1"/>
      <c r="S127" s="1"/>
      <c r="T127" s="1"/>
    </row>
    <row r="128" spans="1:20" x14ac:dyDescent="0.25">
      <c r="A128" s="2" t="s">
        <v>3</v>
      </c>
      <c r="C128" s="8" t="s">
        <v>286</v>
      </c>
      <c r="D128" s="2" t="s">
        <v>287</v>
      </c>
      <c r="E128" s="16" t="s">
        <v>288</v>
      </c>
      <c r="F128" s="51" t="s">
        <v>491</v>
      </c>
      <c r="G128" s="4">
        <v>16.399999999999999</v>
      </c>
      <c r="I128" s="2" t="s">
        <v>72</v>
      </c>
      <c r="O128" s="1"/>
      <c r="P128" s="1"/>
      <c r="Q128" s="1"/>
      <c r="R128" s="1"/>
      <c r="S128" s="1"/>
      <c r="T128" s="1"/>
    </row>
    <row r="129" spans="1:20" x14ac:dyDescent="0.25">
      <c r="A129" s="2" t="s">
        <v>3</v>
      </c>
      <c r="C129" s="8" t="s">
        <v>301</v>
      </c>
      <c r="D129" s="2" t="s">
        <v>302</v>
      </c>
      <c r="E129" s="16" t="s">
        <v>303</v>
      </c>
      <c r="F129" s="51" t="s">
        <v>491</v>
      </c>
      <c r="G129" s="4">
        <v>16</v>
      </c>
      <c r="I129" s="2" t="s">
        <v>72</v>
      </c>
      <c r="O129" s="1"/>
      <c r="P129" s="1"/>
      <c r="Q129" s="1"/>
      <c r="R129" s="1"/>
      <c r="S129" s="1"/>
      <c r="T129" s="1"/>
    </row>
    <row r="130" spans="1:20" x14ac:dyDescent="0.25">
      <c r="A130" s="2" t="s">
        <v>3</v>
      </c>
      <c r="C130" s="8" t="s">
        <v>322</v>
      </c>
      <c r="D130" s="2" t="s">
        <v>323</v>
      </c>
      <c r="E130" s="16" t="s">
        <v>324</v>
      </c>
      <c r="F130" s="51" t="s">
        <v>491</v>
      </c>
      <c r="G130" s="4">
        <v>12.1</v>
      </c>
      <c r="I130" s="2" t="s">
        <v>72</v>
      </c>
      <c r="O130" s="1"/>
      <c r="P130" s="1"/>
      <c r="Q130" s="1"/>
      <c r="R130" s="1"/>
      <c r="S130" s="1"/>
      <c r="T130" s="1"/>
    </row>
    <row r="131" spans="1:20" x14ac:dyDescent="0.25">
      <c r="A131" s="2" t="s">
        <v>3</v>
      </c>
      <c r="C131" s="8" t="s">
        <v>280</v>
      </c>
      <c r="D131" s="2" t="s">
        <v>281</v>
      </c>
      <c r="E131" s="16" t="s">
        <v>282</v>
      </c>
      <c r="F131" s="51" t="s">
        <v>491</v>
      </c>
      <c r="G131" s="4">
        <v>11</v>
      </c>
      <c r="I131" s="2" t="s">
        <v>72</v>
      </c>
      <c r="O131" s="1"/>
      <c r="P131" s="1"/>
      <c r="Q131" s="1"/>
      <c r="R131" s="1"/>
      <c r="S131" s="1"/>
      <c r="T131" s="1"/>
    </row>
    <row r="132" spans="1:20" ht="21" x14ac:dyDescent="0.25">
      <c r="A132" s="2" t="s">
        <v>3</v>
      </c>
      <c r="C132" s="8" t="s">
        <v>349</v>
      </c>
      <c r="D132" s="2" t="s">
        <v>350</v>
      </c>
      <c r="E132" s="16" t="s">
        <v>351</v>
      </c>
      <c r="F132" s="1" t="s">
        <v>26</v>
      </c>
      <c r="G132" s="4">
        <v>8.1</v>
      </c>
      <c r="I132" s="2" t="s">
        <v>352</v>
      </c>
      <c r="O132" s="1"/>
      <c r="P132" s="1"/>
      <c r="Q132" s="1"/>
      <c r="R132" s="1"/>
      <c r="S132" s="1"/>
      <c r="T132" s="1"/>
    </row>
    <row r="133" spans="1:20" x14ac:dyDescent="0.25">
      <c r="A133" s="2" t="s">
        <v>3</v>
      </c>
      <c r="C133" s="8" t="s">
        <v>307</v>
      </c>
      <c r="D133" s="2" t="s">
        <v>308</v>
      </c>
      <c r="E133" s="16" t="s">
        <v>309</v>
      </c>
      <c r="F133" s="51" t="s">
        <v>491</v>
      </c>
      <c r="G133" s="4">
        <v>7.04</v>
      </c>
      <c r="I133" s="2" t="s">
        <v>72</v>
      </c>
      <c r="O133" s="1"/>
      <c r="P133" s="1"/>
      <c r="Q133" s="1"/>
      <c r="R133" s="1"/>
      <c r="S133" s="1"/>
      <c r="T133" s="1"/>
    </row>
    <row r="134" spans="1:20" x14ac:dyDescent="0.25">
      <c r="A134" s="2" t="s">
        <v>3</v>
      </c>
      <c r="C134" s="8" t="s">
        <v>337</v>
      </c>
      <c r="D134" s="2" t="s">
        <v>338</v>
      </c>
      <c r="E134" s="16" t="s">
        <v>339</v>
      </c>
      <c r="F134" s="51" t="s">
        <v>491</v>
      </c>
      <c r="G134" s="4">
        <v>7</v>
      </c>
      <c r="I134" s="2" t="s">
        <v>72</v>
      </c>
      <c r="O134" s="1"/>
      <c r="P134" s="1"/>
      <c r="Q134" s="1"/>
      <c r="R134" s="1"/>
      <c r="S134" s="1"/>
      <c r="T134" s="1"/>
    </row>
    <row r="135" spans="1:20" x14ac:dyDescent="0.25">
      <c r="A135" s="2" t="s">
        <v>3</v>
      </c>
      <c r="C135" s="8" t="s">
        <v>396</v>
      </c>
      <c r="D135" s="2" t="s">
        <v>397</v>
      </c>
      <c r="E135" s="16" t="s">
        <v>398</v>
      </c>
      <c r="F135" s="1" t="s">
        <v>26</v>
      </c>
      <c r="G135" s="4">
        <v>5.04</v>
      </c>
      <c r="I135" s="2" t="s">
        <v>72</v>
      </c>
      <c r="O135" s="1"/>
      <c r="P135" s="1"/>
      <c r="Q135" s="1"/>
      <c r="R135" s="1"/>
      <c r="S135" s="1"/>
      <c r="T135" s="1"/>
    </row>
    <row r="136" spans="1:20" x14ac:dyDescent="0.25">
      <c r="A136" s="2" t="s">
        <v>3</v>
      </c>
      <c r="C136" s="8" t="s">
        <v>427</v>
      </c>
      <c r="D136" s="2" t="s">
        <v>428</v>
      </c>
      <c r="E136" s="16" t="s">
        <v>429</v>
      </c>
      <c r="F136" s="1" t="s">
        <v>26</v>
      </c>
      <c r="G136" s="4">
        <v>4.72</v>
      </c>
      <c r="I136" s="2" t="s">
        <v>72</v>
      </c>
      <c r="O136" s="1"/>
      <c r="P136" s="1"/>
      <c r="Q136" s="1"/>
      <c r="R136" s="1"/>
      <c r="S136" s="1"/>
      <c r="T136" s="1"/>
    </row>
    <row r="137" spans="1:20" x14ac:dyDescent="0.25">
      <c r="A137" s="2" t="s">
        <v>3</v>
      </c>
      <c r="C137" s="2" t="s">
        <v>260</v>
      </c>
      <c r="D137" s="2" t="s">
        <v>261</v>
      </c>
      <c r="E137" s="16" t="s">
        <v>262</v>
      </c>
      <c r="F137" s="51" t="s">
        <v>491</v>
      </c>
      <c r="G137" s="4">
        <v>3.5</v>
      </c>
      <c r="I137" s="2" t="s">
        <v>72</v>
      </c>
      <c r="J137" s="1">
        <f>SUM($G$74:$G$132)</f>
        <v>10239.700000000003</v>
      </c>
      <c r="O137" s="1"/>
      <c r="P137" s="1"/>
      <c r="Q137" s="1"/>
      <c r="R137" s="1"/>
      <c r="S137" s="1"/>
      <c r="T137" s="1"/>
    </row>
    <row r="138" spans="1:20" x14ac:dyDescent="0.25">
      <c r="A138" s="2" t="s">
        <v>3</v>
      </c>
      <c r="C138" s="8" t="s">
        <v>432</v>
      </c>
      <c r="D138" s="2" t="s">
        <v>433</v>
      </c>
      <c r="E138" s="16" t="s">
        <v>434</v>
      </c>
      <c r="F138" s="1" t="s">
        <v>26</v>
      </c>
      <c r="G138" s="4">
        <v>3.3</v>
      </c>
      <c r="I138" s="2" t="s">
        <v>72</v>
      </c>
      <c r="O138" s="1"/>
      <c r="P138" s="1"/>
      <c r="Q138" s="1"/>
      <c r="R138" s="1"/>
      <c r="S138" s="1"/>
      <c r="T138" s="1"/>
    </row>
    <row r="139" spans="1:20" x14ac:dyDescent="0.25">
      <c r="A139" s="2" t="s">
        <v>3</v>
      </c>
      <c r="C139" s="8" t="s">
        <v>399</v>
      </c>
      <c r="D139" s="2" t="s">
        <v>400</v>
      </c>
      <c r="E139" s="16" t="s">
        <v>401</v>
      </c>
      <c r="F139" s="1" t="s">
        <v>26</v>
      </c>
      <c r="G139" s="4">
        <v>2.2999999999999998</v>
      </c>
      <c r="I139" s="2" t="s">
        <v>72</v>
      </c>
      <c r="O139" s="1"/>
      <c r="P139" s="1"/>
      <c r="Q139" s="1"/>
      <c r="R139" s="1"/>
      <c r="S139" s="1"/>
      <c r="T139" s="1"/>
    </row>
    <row r="140" spans="1:20" x14ac:dyDescent="0.25">
      <c r="A140" s="2" t="s">
        <v>3</v>
      </c>
      <c r="C140" s="8" t="s">
        <v>310</v>
      </c>
      <c r="D140" s="2" t="s">
        <v>311</v>
      </c>
      <c r="E140" s="16" t="s">
        <v>312</v>
      </c>
      <c r="F140" s="51" t="s">
        <v>491</v>
      </c>
      <c r="G140" s="4">
        <v>1.68</v>
      </c>
      <c r="I140" s="2" t="s">
        <v>72</v>
      </c>
      <c r="O140" s="1"/>
      <c r="P140" s="1"/>
      <c r="Q140" s="1"/>
      <c r="R140" s="1"/>
      <c r="S140" s="1"/>
      <c r="T140" s="1"/>
    </row>
    <row r="141" spans="1:20" x14ac:dyDescent="0.25">
      <c r="A141" s="2" t="s">
        <v>3</v>
      </c>
      <c r="C141" s="8" t="s">
        <v>389</v>
      </c>
      <c r="D141" s="2" t="s">
        <v>390</v>
      </c>
      <c r="E141" s="16" t="s">
        <v>391</v>
      </c>
      <c r="F141" s="1" t="s">
        <v>26</v>
      </c>
      <c r="G141" s="4">
        <v>1.65</v>
      </c>
      <c r="I141" s="2" t="s">
        <v>392</v>
      </c>
      <c r="O141" s="1"/>
      <c r="P141" s="1"/>
      <c r="Q141" s="1"/>
      <c r="R141" s="1"/>
      <c r="S141" s="1"/>
      <c r="T141" s="1"/>
    </row>
    <row r="142" spans="1:20" x14ac:dyDescent="0.25">
      <c r="A142" s="2" t="s">
        <v>3</v>
      </c>
      <c r="C142" s="8" t="s">
        <v>340</v>
      </c>
      <c r="D142" s="2" t="s">
        <v>341</v>
      </c>
      <c r="E142" s="16" t="s">
        <v>342</v>
      </c>
      <c r="F142" s="51" t="s">
        <v>491</v>
      </c>
      <c r="G142" s="4">
        <v>1.44</v>
      </c>
      <c r="I142" s="2" t="s">
        <v>72</v>
      </c>
      <c r="O142" s="1"/>
      <c r="P142" s="1"/>
      <c r="Q142" s="1"/>
      <c r="R142" s="1"/>
      <c r="S142" s="1"/>
      <c r="T142" s="1"/>
    </row>
    <row r="143" spans="1:20" x14ac:dyDescent="0.25">
      <c r="A143" s="2" t="s">
        <v>3</v>
      </c>
      <c r="C143" s="8" t="s">
        <v>274</v>
      </c>
      <c r="D143" s="2" t="s">
        <v>275</v>
      </c>
      <c r="E143" s="16" t="s">
        <v>276</v>
      </c>
      <c r="F143" s="51" t="s">
        <v>491</v>
      </c>
      <c r="G143" s="4">
        <v>0.2</v>
      </c>
      <c r="I143" s="2" t="s">
        <v>72</v>
      </c>
      <c r="O143" s="1"/>
      <c r="P143" s="1"/>
      <c r="Q143" s="1"/>
      <c r="R143" s="1"/>
      <c r="S143" s="1"/>
      <c r="T143" s="1"/>
    </row>
    <row r="144" spans="1:20" x14ac:dyDescent="0.25">
      <c r="A144" s="2" t="s">
        <v>3</v>
      </c>
      <c r="C144" s="8" t="s">
        <v>283</v>
      </c>
      <c r="D144" s="2" t="s">
        <v>284</v>
      </c>
      <c r="E144" s="16" t="s">
        <v>285</v>
      </c>
      <c r="F144" s="51" t="s">
        <v>491</v>
      </c>
      <c r="G144" s="4"/>
      <c r="I144" s="2" t="s">
        <v>72</v>
      </c>
      <c r="O144" s="1"/>
      <c r="P144" s="1"/>
      <c r="Q144" s="1"/>
      <c r="R144" s="1"/>
      <c r="S144" s="1"/>
      <c r="T144" s="1"/>
    </row>
    <row r="145" spans="1:20" x14ac:dyDescent="0.25">
      <c r="A145" s="2" t="s">
        <v>3</v>
      </c>
      <c r="C145" s="8" t="s">
        <v>313</v>
      </c>
      <c r="D145" s="2" t="s">
        <v>314</v>
      </c>
      <c r="E145" s="16" t="s">
        <v>315</v>
      </c>
      <c r="F145" s="51" t="s">
        <v>491</v>
      </c>
      <c r="G145" s="4"/>
      <c r="I145" s="2" t="s">
        <v>72</v>
      </c>
      <c r="O145" s="1"/>
      <c r="P145" s="1"/>
      <c r="Q145" s="1"/>
      <c r="R145" s="1"/>
      <c r="S145" s="1"/>
      <c r="T145" s="1"/>
    </row>
    <row r="146" spans="1:20" x14ac:dyDescent="0.25">
      <c r="A146" s="1" t="s">
        <v>5</v>
      </c>
      <c r="C146" s="50" t="s">
        <v>438</v>
      </c>
      <c r="D146" s="51" t="s">
        <v>439</v>
      </c>
      <c r="E146" s="16" t="s">
        <v>440</v>
      </c>
      <c r="G146" s="9">
        <v>437</v>
      </c>
      <c r="I146" s="51" t="s">
        <v>72</v>
      </c>
      <c r="O146" s="1"/>
      <c r="P146" s="1"/>
      <c r="Q146" s="1"/>
      <c r="R146" s="1"/>
      <c r="S146" s="1"/>
      <c r="T146" s="1"/>
    </row>
    <row r="147" spans="1:20" x14ac:dyDescent="0.25">
      <c r="A147" s="1" t="s">
        <v>5</v>
      </c>
      <c r="C147" s="50" t="s">
        <v>450</v>
      </c>
      <c r="D147" s="51" t="s">
        <v>451</v>
      </c>
      <c r="E147" s="16" t="s">
        <v>452</v>
      </c>
      <c r="G147" s="9">
        <v>384</v>
      </c>
      <c r="I147" s="51" t="s">
        <v>72</v>
      </c>
      <c r="O147" s="1"/>
      <c r="P147" s="1"/>
      <c r="Q147" s="1"/>
      <c r="R147" s="1"/>
      <c r="S147" s="1"/>
      <c r="T147" s="1"/>
    </row>
    <row r="148" spans="1:20" x14ac:dyDescent="0.25">
      <c r="A148" s="1" t="s">
        <v>5</v>
      </c>
      <c r="C148" s="50" t="s">
        <v>435</v>
      </c>
      <c r="D148" s="51" t="s">
        <v>436</v>
      </c>
      <c r="E148" s="16" t="s">
        <v>437</v>
      </c>
      <c r="G148" s="9">
        <v>320</v>
      </c>
      <c r="I148" s="51" t="s">
        <v>72</v>
      </c>
      <c r="J148" s="1">
        <f>SUM($G$133:$G$138)</f>
        <v>30.599999999999998</v>
      </c>
      <c r="O148" s="1"/>
      <c r="P148" s="1"/>
      <c r="Q148" s="1"/>
      <c r="R148" s="1"/>
      <c r="S148" s="1"/>
      <c r="T148" s="1"/>
    </row>
    <row r="149" spans="1:20" x14ac:dyDescent="0.25">
      <c r="A149" s="1" t="s">
        <v>5</v>
      </c>
      <c r="C149" s="50" t="s">
        <v>447</v>
      </c>
      <c r="D149" s="51" t="s">
        <v>448</v>
      </c>
      <c r="E149" s="16" t="s">
        <v>449</v>
      </c>
      <c r="G149" s="9">
        <v>150</v>
      </c>
      <c r="I149" s="51" t="s">
        <v>72</v>
      </c>
      <c r="O149" s="1"/>
      <c r="P149" s="1"/>
      <c r="Q149" s="1"/>
      <c r="R149" s="1"/>
      <c r="S149" s="1"/>
      <c r="T149" s="1"/>
    </row>
    <row r="150" spans="1:20" x14ac:dyDescent="0.25">
      <c r="A150" s="1" t="s">
        <v>5</v>
      </c>
      <c r="C150" s="50" t="s">
        <v>444</v>
      </c>
      <c r="D150" s="51" t="s">
        <v>445</v>
      </c>
      <c r="E150" s="16" t="s">
        <v>446</v>
      </c>
      <c r="G150" s="9">
        <v>130</v>
      </c>
      <c r="I150" s="51" t="s">
        <v>72</v>
      </c>
      <c r="O150" s="1"/>
      <c r="P150" s="1"/>
      <c r="Q150" s="1"/>
      <c r="R150" s="1"/>
      <c r="S150" s="1"/>
      <c r="T150" s="1"/>
    </row>
    <row r="151" spans="1:20" x14ac:dyDescent="0.25">
      <c r="A151" s="1" t="s">
        <v>5</v>
      </c>
      <c r="C151" s="50" t="s">
        <v>441</v>
      </c>
      <c r="D151" s="50" t="s">
        <v>442</v>
      </c>
      <c r="E151" s="16" t="s">
        <v>443</v>
      </c>
      <c r="G151" s="9">
        <v>50</v>
      </c>
      <c r="I151" s="51" t="s">
        <v>72</v>
      </c>
      <c r="O151" s="1"/>
      <c r="P151" s="1"/>
      <c r="Q151" s="1"/>
      <c r="R151" s="1"/>
      <c r="S151" s="1"/>
      <c r="T151" s="1"/>
    </row>
    <row r="152" spans="1:20" x14ac:dyDescent="0.25">
      <c r="A152" s="1" t="s">
        <v>4</v>
      </c>
      <c r="C152" s="50" t="s">
        <v>490</v>
      </c>
      <c r="D152" s="50" t="s">
        <v>487</v>
      </c>
      <c r="F152" s="1" t="s">
        <v>26</v>
      </c>
      <c r="G152" s="9">
        <v>292</v>
      </c>
      <c r="I152" s="51" t="s">
        <v>72</v>
      </c>
      <c r="O152" s="1"/>
      <c r="P152" s="1"/>
      <c r="Q152" s="1"/>
      <c r="R152" s="1"/>
      <c r="S152" s="1"/>
      <c r="T152" s="1"/>
    </row>
    <row r="153" spans="1:20" x14ac:dyDescent="0.25">
      <c r="A153" s="1" t="s">
        <v>4</v>
      </c>
      <c r="C153" s="50" t="s">
        <v>457</v>
      </c>
      <c r="D153" s="50" t="s">
        <v>458</v>
      </c>
      <c r="F153" s="51" t="s">
        <v>491</v>
      </c>
      <c r="G153" s="9">
        <v>85.5</v>
      </c>
      <c r="I153" s="51" t="s">
        <v>72</v>
      </c>
      <c r="O153" s="1"/>
      <c r="P153" s="1"/>
      <c r="Q153" s="1"/>
      <c r="R153" s="1"/>
      <c r="S153" s="1"/>
      <c r="T153" s="1"/>
    </row>
    <row r="154" spans="1:20" x14ac:dyDescent="0.25">
      <c r="A154" s="1" t="s">
        <v>4</v>
      </c>
      <c r="C154" s="51" t="s">
        <v>472</v>
      </c>
      <c r="D154" s="50" t="s">
        <v>454</v>
      </c>
      <c r="F154" s="51" t="s">
        <v>491</v>
      </c>
      <c r="G154" s="9">
        <v>45</v>
      </c>
      <c r="I154" s="51" t="s">
        <v>72</v>
      </c>
      <c r="O154" s="1"/>
      <c r="P154" s="1"/>
      <c r="Q154" s="1"/>
      <c r="R154" s="1"/>
      <c r="S154" s="1"/>
      <c r="T154" s="1"/>
    </row>
    <row r="155" spans="1:20" x14ac:dyDescent="0.25">
      <c r="A155" s="1" t="s">
        <v>4</v>
      </c>
      <c r="C155" s="51" t="s">
        <v>486</v>
      </c>
      <c r="D155" s="50" t="s">
        <v>487</v>
      </c>
      <c r="F155" s="51" t="s">
        <v>491</v>
      </c>
      <c r="G155" s="9">
        <v>30</v>
      </c>
      <c r="I155" s="51" t="s">
        <v>72</v>
      </c>
      <c r="O155" s="1"/>
      <c r="P155" s="1"/>
      <c r="Q155" s="1"/>
      <c r="R155" s="1"/>
      <c r="S155" s="1"/>
      <c r="T155" s="1"/>
    </row>
    <row r="156" spans="1:20" x14ac:dyDescent="0.25">
      <c r="A156" s="1" t="s">
        <v>4</v>
      </c>
      <c r="C156" s="50" t="s">
        <v>482</v>
      </c>
      <c r="D156" s="50" t="s">
        <v>468</v>
      </c>
      <c r="F156" s="51" t="s">
        <v>491</v>
      </c>
      <c r="G156" s="9">
        <v>19</v>
      </c>
      <c r="I156" s="51" t="s">
        <v>72</v>
      </c>
      <c r="O156" s="1"/>
      <c r="P156" s="1"/>
      <c r="Q156" s="1"/>
      <c r="R156" s="1"/>
      <c r="S156" s="1"/>
      <c r="T156" s="1"/>
    </row>
    <row r="157" spans="1:20" x14ac:dyDescent="0.25">
      <c r="A157" s="1" t="s">
        <v>4</v>
      </c>
      <c r="C157" s="51" t="s">
        <v>475</v>
      </c>
      <c r="D157" s="50" t="s">
        <v>454</v>
      </c>
      <c r="F157" s="51" t="s">
        <v>491</v>
      </c>
      <c r="G157" s="9">
        <v>10</v>
      </c>
      <c r="I157" s="51" t="s">
        <v>72</v>
      </c>
      <c r="O157" s="1"/>
      <c r="P157" s="1"/>
      <c r="Q157" s="1"/>
      <c r="R157" s="1"/>
      <c r="S157" s="1"/>
      <c r="T157" s="1"/>
    </row>
    <row r="158" spans="1:20" x14ac:dyDescent="0.25">
      <c r="A158" s="1" t="s">
        <v>4</v>
      </c>
      <c r="C158" s="51" t="s">
        <v>467</v>
      </c>
      <c r="D158" s="50" t="s">
        <v>468</v>
      </c>
      <c r="F158" s="51" t="s">
        <v>491</v>
      </c>
      <c r="G158" s="9">
        <v>8</v>
      </c>
      <c r="I158" s="51" t="s">
        <v>72</v>
      </c>
      <c r="O158" s="1"/>
      <c r="P158" s="1"/>
      <c r="Q158" s="1"/>
      <c r="R158" s="1"/>
      <c r="S158" s="1"/>
      <c r="T158" s="1"/>
    </row>
    <row r="159" spans="1:20" x14ac:dyDescent="0.25">
      <c r="A159" s="1" t="s">
        <v>4</v>
      </c>
      <c r="C159" s="51" t="s">
        <v>488</v>
      </c>
      <c r="D159" s="50" t="s">
        <v>487</v>
      </c>
      <c r="F159" s="51" t="s">
        <v>491</v>
      </c>
      <c r="G159" s="9">
        <v>4</v>
      </c>
      <c r="I159" s="51" t="s">
        <v>72</v>
      </c>
      <c r="O159" s="1"/>
      <c r="P159" s="1"/>
      <c r="Q159" s="1"/>
      <c r="R159" s="1"/>
      <c r="S159" s="1"/>
      <c r="T159" s="1"/>
    </row>
    <row r="160" spans="1:20" x14ac:dyDescent="0.25">
      <c r="A160" s="1" t="s">
        <v>4</v>
      </c>
      <c r="C160" s="51" t="s">
        <v>489</v>
      </c>
      <c r="D160" s="50" t="s">
        <v>474</v>
      </c>
      <c r="F160" s="51" t="s">
        <v>491</v>
      </c>
      <c r="G160" s="9">
        <v>4</v>
      </c>
      <c r="I160" s="51" t="s">
        <v>72</v>
      </c>
      <c r="O160" s="1"/>
      <c r="P160" s="1"/>
      <c r="Q160" s="1"/>
      <c r="R160" s="1"/>
      <c r="S160" s="1"/>
      <c r="T160" s="1"/>
    </row>
    <row r="161" spans="1:20" x14ac:dyDescent="0.25">
      <c r="A161" s="1" t="s">
        <v>4</v>
      </c>
      <c r="C161" s="51" t="s">
        <v>459</v>
      </c>
      <c r="D161" s="50" t="s">
        <v>460</v>
      </c>
      <c r="F161" s="51" t="s">
        <v>491</v>
      </c>
      <c r="G161" s="9">
        <v>1.82</v>
      </c>
      <c r="I161" s="51" t="s">
        <v>72</v>
      </c>
      <c r="O161" s="1"/>
      <c r="P161" s="1"/>
      <c r="Q161" s="1"/>
      <c r="R161" s="1"/>
      <c r="S161" s="1"/>
      <c r="T161" s="1"/>
    </row>
    <row r="162" spans="1:20" x14ac:dyDescent="0.25">
      <c r="A162" s="1" t="s">
        <v>4</v>
      </c>
      <c r="C162" s="51" t="s">
        <v>477</v>
      </c>
      <c r="D162" s="50" t="s">
        <v>456</v>
      </c>
      <c r="F162" s="51" t="s">
        <v>491</v>
      </c>
      <c r="G162" s="9">
        <v>1</v>
      </c>
      <c r="I162" s="51" t="s">
        <v>72</v>
      </c>
      <c r="O162" s="1"/>
      <c r="P162" s="1"/>
      <c r="Q162" s="1"/>
      <c r="R162" s="1"/>
      <c r="S162" s="1"/>
      <c r="T162" s="1"/>
    </row>
    <row r="163" spans="1:20" x14ac:dyDescent="0.25">
      <c r="A163" s="1" t="s">
        <v>4</v>
      </c>
      <c r="C163" s="51" t="s">
        <v>453</v>
      </c>
      <c r="D163" s="50" t="s">
        <v>454</v>
      </c>
      <c r="F163" s="51" t="s">
        <v>491</v>
      </c>
      <c r="G163" s="9">
        <v>0.80400000000000005</v>
      </c>
      <c r="I163" s="51" t="s">
        <v>72</v>
      </c>
      <c r="J163" s="1">
        <f>SUM($G$139:$G$163)</f>
        <v>1979.394</v>
      </c>
      <c r="O163" s="1"/>
      <c r="P163" s="1"/>
      <c r="Q163" s="1"/>
      <c r="R163" s="1"/>
      <c r="S163" s="1"/>
      <c r="T163" s="1"/>
    </row>
    <row r="164" spans="1:20" x14ac:dyDescent="0.25">
      <c r="A164" s="1" t="s">
        <v>4</v>
      </c>
      <c r="C164" s="51" t="s">
        <v>485</v>
      </c>
      <c r="D164" s="50" t="s">
        <v>468</v>
      </c>
      <c r="F164" s="51" t="s">
        <v>491</v>
      </c>
      <c r="G164" s="9">
        <v>0.8</v>
      </c>
      <c r="I164" s="51" t="s">
        <v>72</v>
      </c>
      <c r="O164" s="1"/>
      <c r="P164" s="1"/>
      <c r="Q164" s="1"/>
      <c r="R164" s="1"/>
      <c r="S164" s="1"/>
      <c r="T164" s="1"/>
    </row>
    <row r="165" spans="1:20" x14ac:dyDescent="0.25">
      <c r="A165" s="1" t="s">
        <v>4</v>
      </c>
      <c r="C165" s="51" t="s">
        <v>478</v>
      </c>
      <c r="D165" s="50" t="s">
        <v>454</v>
      </c>
      <c r="F165" s="51" t="s">
        <v>491</v>
      </c>
      <c r="G165" s="9">
        <v>0.65</v>
      </c>
      <c r="I165" s="51" t="s">
        <v>72</v>
      </c>
      <c r="O165" s="1"/>
      <c r="P165" s="1"/>
      <c r="Q165" s="1"/>
      <c r="R165" s="1"/>
      <c r="S165" s="1"/>
      <c r="T165" s="1"/>
    </row>
    <row r="166" spans="1:20" x14ac:dyDescent="0.25">
      <c r="A166" s="1" t="s">
        <v>4</v>
      </c>
      <c r="C166" s="51" t="s">
        <v>455</v>
      </c>
      <c r="D166" s="50" t="s">
        <v>456</v>
      </c>
      <c r="F166" s="51" t="s">
        <v>491</v>
      </c>
      <c r="G166" s="9">
        <v>0.6</v>
      </c>
      <c r="I166" s="51" t="s">
        <v>72</v>
      </c>
      <c r="O166" s="1"/>
      <c r="P166" s="1"/>
      <c r="Q166" s="1"/>
      <c r="R166" s="1"/>
      <c r="S166" s="1"/>
      <c r="T166" s="1"/>
    </row>
    <row r="167" spans="1:20" x14ac:dyDescent="0.25">
      <c r="A167" s="1" t="s">
        <v>4</v>
      </c>
      <c r="C167" s="51" t="s">
        <v>476</v>
      </c>
      <c r="D167" s="50" t="s">
        <v>460</v>
      </c>
      <c r="F167" s="51" t="s">
        <v>491</v>
      </c>
      <c r="G167" s="9">
        <v>0.51</v>
      </c>
      <c r="I167" s="51" t="s">
        <v>72</v>
      </c>
      <c r="O167" s="1"/>
      <c r="P167" s="1"/>
      <c r="Q167" s="1"/>
      <c r="R167" s="1"/>
      <c r="S167" s="1"/>
      <c r="T167" s="1"/>
    </row>
    <row r="168" spans="1:20" x14ac:dyDescent="0.25">
      <c r="A168" s="1" t="s">
        <v>4</v>
      </c>
      <c r="C168" s="51" t="s">
        <v>461</v>
      </c>
      <c r="D168" s="50" t="s">
        <v>462</v>
      </c>
      <c r="F168" s="51" t="s">
        <v>491</v>
      </c>
      <c r="G168" s="9">
        <v>0.43</v>
      </c>
      <c r="I168" s="51" t="s">
        <v>72</v>
      </c>
      <c r="O168" s="1"/>
      <c r="P168" s="1"/>
      <c r="Q168" s="1"/>
      <c r="R168" s="1"/>
      <c r="S168" s="1"/>
      <c r="T168" s="1"/>
    </row>
    <row r="169" spans="1:20" x14ac:dyDescent="0.25">
      <c r="A169" s="1" t="s">
        <v>4</v>
      </c>
      <c r="C169" s="51" t="s">
        <v>479</v>
      </c>
      <c r="D169" s="50" t="s">
        <v>468</v>
      </c>
      <c r="F169" s="51" t="s">
        <v>491</v>
      </c>
      <c r="G169" s="9">
        <v>0.36</v>
      </c>
      <c r="I169" s="51" t="s">
        <v>72</v>
      </c>
      <c r="O169" s="1"/>
      <c r="P169" s="1"/>
      <c r="Q169" s="1"/>
      <c r="R169" s="1"/>
      <c r="S169" s="1"/>
      <c r="T169" s="1"/>
    </row>
    <row r="170" spans="1:20" x14ac:dyDescent="0.25">
      <c r="A170" s="1" t="s">
        <v>4</v>
      </c>
      <c r="C170" s="51" t="s">
        <v>483</v>
      </c>
      <c r="D170" s="50" t="s">
        <v>484</v>
      </c>
      <c r="F170" s="51" t="s">
        <v>491</v>
      </c>
      <c r="G170" s="9">
        <v>0.28999999999999998</v>
      </c>
      <c r="I170" s="51" t="s">
        <v>72</v>
      </c>
      <c r="O170" s="1"/>
      <c r="P170" s="1"/>
      <c r="Q170" s="1"/>
      <c r="R170" s="1"/>
      <c r="S170" s="1"/>
      <c r="T170" s="1"/>
    </row>
    <row r="171" spans="1:20" x14ac:dyDescent="0.25">
      <c r="A171" s="1" t="s">
        <v>4</v>
      </c>
      <c r="C171" s="51" t="s">
        <v>480</v>
      </c>
      <c r="D171" s="50" t="s">
        <v>471</v>
      </c>
      <c r="F171" s="51" t="s">
        <v>491</v>
      </c>
      <c r="G171" s="9">
        <v>0.20499999999999999</v>
      </c>
      <c r="I171" s="51" t="s">
        <v>72</v>
      </c>
      <c r="O171" s="1"/>
      <c r="P171" s="1"/>
      <c r="Q171" s="1"/>
      <c r="R171" s="1"/>
      <c r="S171" s="1"/>
      <c r="T171" s="1"/>
    </row>
    <row r="172" spans="1:20" x14ac:dyDescent="0.25">
      <c r="A172" s="1" t="s">
        <v>4</v>
      </c>
      <c r="C172" s="51" t="s">
        <v>465</v>
      </c>
      <c r="D172" s="50" t="s">
        <v>466</v>
      </c>
      <c r="F172" s="51" t="s">
        <v>491</v>
      </c>
      <c r="G172" s="9">
        <v>0.13</v>
      </c>
      <c r="I172" s="51" t="s">
        <v>72</v>
      </c>
      <c r="O172" s="1"/>
      <c r="P172" s="1"/>
      <c r="Q172" s="1"/>
      <c r="R172" s="1"/>
      <c r="S172" s="1"/>
      <c r="T172" s="1"/>
    </row>
    <row r="173" spans="1:20" x14ac:dyDescent="0.25">
      <c r="A173" s="1" t="s">
        <v>4</v>
      </c>
      <c r="C173" s="51" t="s">
        <v>470</v>
      </c>
      <c r="D173" s="50" t="s">
        <v>471</v>
      </c>
      <c r="F173" s="51" t="s">
        <v>491</v>
      </c>
      <c r="G173" s="9">
        <v>0.1</v>
      </c>
      <c r="I173" s="51" t="s">
        <v>72</v>
      </c>
      <c r="O173" s="1"/>
      <c r="P173" s="1"/>
      <c r="Q173" s="1"/>
      <c r="R173" s="1"/>
      <c r="S173" s="1"/>
      <c r="T173" s="1"/>
    </row>
    <row r="174" spans="1:20" x14ac:dyDescent="0.25">
      <c r="A174" s="1" t="s">
        <v>4</v>
      </c>
      <c r="C174" s="51" t="s">
        <v>481</v>
      </c>
      <c r="D174" s="50" t="s">
        <v>464</v>
      </c>
      <c r="F174" s="51" t="s">
        <v>491</v>
      </c>
      <c r="G174" s="9">
        <v>0.1</v>
      </c>
      <c r="I174" s="51" t="s">
        <v>72</v>
      </c>
      <c r="O174" s="1"/>
      <c r="P174" s="1"/>
      <c r="Q174" s="1"/>
      <c r="R174" s="1"/>
      <c r="S174" s="1"/>
      <c r="T174" s="1"/>
    </row>
    <row r="175" spans="1:20" x14ac:dyDescent="0.25">
      <c r="A175" s="1" t="s">
        <v>4</v>
      </c>
      <c r="C175" s="51" t="s">
        <v>463</v>
      </c>
      <c r="D175" s="50" t="s">
        <v>464</v>
      </c>
      <c r="F175" s="51" t="s">
        <v>491</v>
      </c>
      <c r="G175" s="9">
        <v>7.0000000000000007E-2</v>
      </c>
      <c r="I175" s="51" t="s">
        <v>72</v>
      </c>
    </row>
    <row r="176" spans="1:20" x14ac:dyDescent="0.25">
      <c r="A176" s="1" t="s">
        <v>4</v>
      </c>
      <c r="C176" s="51" t="s">
        <v>473</v>
      </c>
      <c r="D176" s="50" t="s">
        <v>474</v>
      </c>
      <c r="F176" s="51" t="s">
        <v>491</v>
      </c>
      <c r="G176" s="9">
        <v>5.5E-2</v>
      </c>
      <c r="I176" s="51" t="s">
        <v>72</v>
      </c>
    </row>
    <row r="177" spans="1:11" x14ac:dyDescent="0.25">
      <c r="A177" s="1" t="s">
        <v>9</v>
      </c>
      <c r="B177" s="50" t="s">
        <v>512</v>
      </c>
      <c r="C177" s="50" t="s">
        <v>526</v>
      </c>
      <c r="D177" s="51" t="s">
        <v>527</v>
      </c>
      <c r="E177" s="16" t="s">
        <v>528</v>
      </c>
      <c r="G177" s="9">
        <v>1318</v>
      </c>
      <c r="K177" s="50"/>
    </row>
    <row r="178" spans="1:11" x14ac:dyDescent="0.25">
      <c r="A178" s="1" t="s">
        <v>9</v>
      </c>
      <c r="B178" s="50" t="s">
        <v>512</v>
      </c>
      <c r="C178" s="50" t="s">
        <v>531</v>
      </c>
      <c r="D178" s="50" t="s">
        <v>532</v>
      </c>
      <c r="E178" s="16" t="s">
        <v>533</v>
      </c>
      <c r="G178" s="9">
        <v>1016</v>
      </c>
      <c r="K178" s="50"/>
    </row>
    <row r="179" spans="1:11" x14ac:dyDescent="0.25">
      <c r="A179" s="1" t="s">
        <v>9</v>
      </c>
      <c r="B179" s="50" t="s">
        <v>512</v>
      </c>
      <c r="C179" s="50" t="s">
        <v>515</v>
      </c>
      <c r="D179" s="51" t="s">
        <v>515</v>
      </c>
      <c r="E179" s="16" t="s">
        <v>516</v>
      </c>
      <c r="G179" s="9">
        <v>1000</v>
      </c>
      <c r="K179" s="50"/>
    </row>
    <row r="180" spans="1:11" x14ac:dyDescent="0.25">
      <c r="A180" s="1" t="s">
        <v>9</v>
      </c>
      <c r="B180" s="50" t="s">
        <v>512</v>
      </c>
      <c r="C180" s="50" t="s">
        <v>517</v>
      </c>
      <c r="D180" s="51" t="s">
        <v>518</v>
      </c>
      <c r="E180" s="16" t="s">
        <v>519</v>
      </c>
      <c r="G180" s="9">
        <v>1000</v>
      </c>
      <c r="K180" s="51"/>
    </row>
    <row r="181" spans="1:11" x14ac:dyDescent="0.25">
      <c r="A181" s="1" t="s">
        <v>9</v>
      </c>
      <c r="B181" s="50" t="s">
        <v>512</v>
      </c>
      <c r="C181" s="51" t="s">
        <v>520</v>
      </c>
      <c r="D181" s="51" t="s">
        <v>521</v>
      </c>
      <c r="E181" s="17"/>
      <c r="G181" s="9">
        <v>568</v>
      </c>
      <c r="K181" s="50"/>
    </row>
    <row r="182" spans="1:11" x14ac:dyDescent="0.25">
      <c r="A182" s="1" t="s">
        <v>9</v>
      </c>
      <c r="B182" s="50" t="s">
        <v>509</v>
      </c>
      <c r="C182" s="51" t="s">
        <v>510</v>
      </c>
      <c r="D182" s="51" t="s">
        <v>511</v>
      </c>
      <c r="E182" s="17"/>
      <c r="G182" s="9">
        <v>530</v>
      </c>
      <c r="K182" s="50"/>
    </row>
    <row r="183" spans="1:11" x14ac:dyDescent="0.25">
      <c r="A183" s="1" t="s">
        <v>9</v>
      </c>
      <c r="B183" s="50" t="s">
        <v>512</v>
      </c>
      <c r="C183" s="51" t="s">
        <v>522</v>
      </c>
      <c r="D183" s="51" t="s">
        <v>523</v>
      </c>
      <c r="E183" s="17"/>
      <c r="G183" s="9">
        <v>448</v>
      </c>
      <c r="K183" s="51"/>
    </row>
    <row r="184" spans="1:11" x14ac:dyDescent="0.25">
      <c r="A184" s="1" t="s">
        <v>9</v>
      </c>
      <c r="B184" s="50" t="s">
        <v>492</v>
      </c>
      <c r="C184" s="51" t="s">
        <v>493</v>
      </c>
      <c r="D184" s="51" t="s">
        <v>493</v>
      </c>
      <c r="G184" s="9">
        <v>428</v>
      </c>
      <c r="H184" s="51"/>
      <c r="J184" s="1">
        <f>SUM($G$164:$G$251)</f>
        <v>10202.299999999999</v>
      </c>
      <c r="K184" s="50"/>
    </row>
    <row r="185" spans="1:11" x14ac:dyDescent="0.25">
      <c r="A185" s="1" t="s">
        <v>9</v>
      </c>
      <c r="B185" s="51" t="s">
        <v>502</v>
      </c>
      <c r="C185" s="51" t="s">
        <v>503</v>
      </c>
      <c r="D185" s="51" t="s">
        <v>503</v>
      </c>
      <c r="G185" s="9">
        <v>377</v>
      </c>
      <c r="K185" s="50"/>
    </row>
    <row r="186" spans="1:11" x14ac:dyDescent="0.25">
      <c r="A186" s="1" t="s">
        <v>9</v>
      </c>
      <c r="B186" s="51" t="s">
        <v>502</v>
      </c>
      <c r="C186" s="51" t="s">
        <v>504</v>
      </c>
      <c r="D186" s="51" t="s">
        <v>505</v>
      </c>
      <c r="G186" s="9">
        <v>309</v>
      </c>
      <c r="K186" s="50"/>
    </row>
    <row r="187" spans="1:11" x14ac:dyDescent="0.25">
      <c r="A187" s="1" t="s">
        <v>9</v>
      </c>
      <c r="B187" s="50" t="s">
        <v>492</v>
      </c>
      <c r="C187" s="51" t="s">
        <v>494</v>
      </c>
      <c r="D187" s="51" t="s">
        <v>495</v>
      </c>
      <c r="G187" s="9">
        <v>226</v>
      </c>
      <c r="H187" s="51"/>
      <c r="K187" s="50"/>
    </row>
    <row r="188" spans="1:11" x14ac:dyDescent="0.25">
      <c r="A188" s="1" t="s">
        <v>9</v>
      </c>
      <c r="B188" s="50" t="s">
        <v>492</v>
      </c>
      <c r="C188" s="51" t="s">
        <v>496</v>
      </c>
      <c r="D188" s="51" t="s">
        <v>497</v>
      </c>
      <c r="G188" s="9">
        <v>191</v>
      </c>
      <c r="H188" s="51"/>
      <c r="K188" s="50"/>
    </row>
    <row r="189" spans="1:11" x14ac:dyDescent="0.25">
      <c r="A189" s="1" t="s">
        <v>9</v>
      </c>
      <c r="B189" s="50" t="s">
        <v>506</v>
      </c>
      <c r="C189" s="51" t="s">
        <v>507</v>
      </c>
      <c r="D189" s="51" t="s">
        <v>508</v>
      </c>
      <c r="E189" s="17"/>
      <c r="G189" s="9">
        <v>146</v>
      </c>
      <c r="K189" s="50"/>
    </row>
    <row r="190" spans="1:11" x14ac:dyDescent="0.25">
      <c r="A190" s="1" t="s">
        <v>9</v>
      </c>
      <c r="B190" s="50" t="s">
        <v>512</v>
      </c>
      <c r="C190" s="51" t="s">
        <v>524</v>
      </c>
      <c r="D190" s="51" t="s">
        <v>525</v>
      </c>
      <c r="E190" s="17"/>
      <c r="G190" s="9">
        <v>141</v>
      </c>
      <c r="K190" s="50"/>
    </row>
    <row r="191" spans="1:11" x14ac:dyDescent="0.25">
      <c r="A191" s="1" t="s">
        <v>9</v>
      </c>
      <c r="B191" s="50" t="s">
        <v>500</v>
      </c>
      <c r="C191" s="51" t="s">
        <v>501</v>
      </c>
      <c r="D191" s="51" t="s">
        <v>501</v>
      </c>
      <c r="G191" s="9">
        <v>130</v>
      </c>
      <c r="K191" s="50"/>
    </row>
    <row r="192" spans="1:11" x14ac:dyDescent="0.25">
      <c r="A192" s="1" t="s">
        <v>9</v>
      </c>
      <c r="B192" s="50" t="s">
        <v>492</v>
      </c>
      <c r="C192" s="51" t="s">
        <v>498</v>
      </c>
      <c r="D192" s="51" t="s">
        <v>499</v>
      </c>
      <c r="G192" s="9">
        <v>129</v>
      </c>
      <c r="K192" s="50"/>
    </row>
    <row r="193" spans="1:11" x14ac:dyDescent="0.25">
      <c r="A193" s="1" t="s">
        <v>9</v>
      </c>
      <c r="B193" s="50" t="s">
        <v>512</v>
      </c>
      <c r="C193" s="51" t="s">
        <v>529</v>
      </c>
      <c r="D193" s="51" t="s">
        <v>530</v>
      </c>
      <c r="E193" s="17"/>
      <c r="G193" s="9">
        <v>110</v>
      </c>
      <c r="K193" s="50"/>
    </row>
    <row r="194" spans="1:11" x14ac:dyDescent="0.25">
      <c r="A194" s="1" t="s">
        <v>9</v>
      </c>
      <c r="B194" s="50" t="s">
        <v>512</v>
      </c>
      <c r="C194" s="51" t="s">
        <v>513</v>
      </c>
      <c r="D194" s="51" t="s">
        <v>514</v>
      </c>
      <c r="E194" s="17"/>
      <c r="G194" s="9">
        <v>101</v>
      </c>
      <c r="K194" s="50"/>
    </row>
    <row r="195" spans="1:11" x14ac:dyDescent="0.25">
      <c r="A195" s="1" t="s">
        <v>9</v>
      </c>
      <c r="B195" s="50" t="s">
        <v>506</v>
      </c>
      <c r="C195" s="51" t="s">
        <v>534</v>
      </c>
      <c r="D195" s="51" t="s">
        <v>534</v>
      </c>
      <c r="F195" s="50"/>
      <c r="G195" s="9">
        <v>73</v>
      </c>
    </row>
    <row r="196" spans="1:11" x14ac:dyDescent="0.25">
      <c r="A196" s="1" t="s">
        <v>9</v>
      </c>
      <c r="B196" s="51" t="s">
        <v>535</v>
      </c>
      <c r="C196" s="51" t="s">
        <v>536</v>
      </c>
      <c r="D196" s="51" t="s">
        <v>537</v>
      </c>
      <c r="F196" s="50"/>
      <c r="G196" s="9">
        <v>70</v>
      </c>
    </row>
    <row r="197" spans="1:11" ht="21" x14ac:dyDescent="0.25">
      <c r="A197" s="1" t="s">
        <v>9</v>
      </c>
      <c r="B197" s="50" t="s">
        <v>512</v>
      </c>
      <c r="C197" s="51" t="s">
        <v>538</v>
      </c>
      <c r="D197" s="51" t="s">
        <v>539</v>
      </c>
      <c r="F197" s="50"/>
      <c r="G197" s="9">
        <v>67</v>
      </c>
    </row>
    <row r="198" spans="1:11" x14ac:dyDescent="0.25">
      <c r="A198" s="1" t="s">
        <v>9</v>
      </c>
      <c r="B198" s="50" t="s">
        <v>512</v>
      </c>
      <c r="C198" s="51" t="s">
        <v>540</v>
      </c>
      <c r="D198" s="51" t="s">
        <v>541</v>
      </c>
      <c r="F198" s="51"/>
      <c r="G198" s="9">
        <v>65</v>
      </c>
    </row>
    <row r="199" spans="1:11" x14ac:dyDescent="0.25">
      <c r="A199" s="1" t="s">
        <v>9</v>
      </c>
      <c r="B199" s="50" t="s">
        <v>506</v>
      </c>
      <c r="C199" s="51" t="s">
        <v>542</v>
      </c>
      <c r="D199" s="51" t="s">
        <v>543</v>
      </c>
      <c r="F199" s="51"/>
      <c r="G199" s="9">
        <v>63</v>
      </c>
    </row>
    <row r="200" spans="1:11" x14ac:dyDescent="0.25">
      <c r="A200" s="1" t="s">
        <v>9</v>
      </c>
      <c r="B200" s="50" t="s">
        <v>512</v>
      </c>
      <c r="C200" s="51" t="s">
        <v>544</v>
      </c>
      <c r="D200" s="51" t="s">
        <v>545</v>
      </c>
      <c r="F200" s="51"/>
      <c r="G200" s="9">
        <v>57</v>
      </c>
    </row>
    <row r="201" spans="1:11" x14ac:dyDescent="0.25">
      <c r="A201" s="1" t="s">
        <v>9</v>
      </c>
      <c r="B201" s="50" t="s">
        <v>512</v>
      </c>
      <c r="C201" s="51" t="s">
        <v>546</v>
      </c>
      <c r="D201" s="51" t="s">
        <v>547</v>
      </c>
      <c r="F201" s="50"/>
      <c r="G201" s="9">
        <v>57</v>
      </c>
    </row>
    <row r="202" spans="1:11" x14ac:dyDescent="0.25">
      <c r="A202" s="1" t="s">
        <v>9</v>
      </c>
      <c r="B202" s="50" t="s">
        <v>512</v>
      </c>
      <c r="C202" s="51" t="s">
        <v>548</v>
      </c>
      <c r="D202" s="51" t="s">
        <v>549</v>
      </c>
      <c r="F202" s="50"/>
      <c r="G202" s="9">
        <v>55</v>
      </c>
    </row>
    <row r="203" spans="1:11" x14ac:dyDescent="0.25">
      <c r="A203" s="1" t="s">
        <v>9</v>
      </c>
      <c r="B203" s="50" t="s">
        <v>512</v>
      </c>
      <c r="C203" s="51" t="s">
        <v>550</v>
      </c>
      <c r="D203" s="51" t="s">
        <v>551</v>
      </c>
      <c r="F203" s="51"/>
      <c r="G203" s="9">
        <v>54</v>
      </c>
    </row>
    <row r="204" spans="1:11" x14ac:dyDescent="0.25">
      <c r="A204" s="1" t="s">
        <v>9</v>
      </c>
      <c r="B204" s="51" t="s">
        <v>535</v>
      </c>
      <c r="C204" s="51" t="s">
        <v>552</v>
      </c>
      <c r="D204" s="51" t="s">
        <v>553</v>
      </c>
      <c r="F204" s="50"/>
      <c r="G204" s="9">
        <v>50</v>
      </c>
    </row>
    <row r="205" spans="1:11" x14ac:dyDescent="0.25">
      <c r="A205" s="1" t="s">
        <v>9</v>
      </c>
      <c r="B205" s="50" t="s">
        <v>512</v>
      </c>
      <c r="C205" s="51" t="s">
        <v>554</v>
      </c>
      <c r="D205" s="51" t="s">
        <v>555</v>
      </c>
      <c r="F205" s="51"/>
      <c r="G205" s="9">
        <v>50</v>
      </c>
    </row>
    <row r="206" spans="1:11" x14ac:dyDescent="0.25">
      <c r="A206" s="1" t="s">
        <v>9</v>
      </c>
      <c r="B206" s="51" t="s">
        <v>492</v>
      </c>
      <c r="C206" s="51" t="s">
        <v>556</v>
      </c>
      <c r="D206" s="51" t="s">
        <v>557</v>
      </c>
      <c r="F206" s="51"/>
      <c r="G206" s="9">
        <v>49</v>
      </c>
    </row>
    <row r="207" spans="1:11" x14ac:dyDescent="0.25">
      <c r="A207" s="1" t="s">
        <v>9</v>
      </c>
      <c r="B207" s="51" t="s">
        <v>492</v>
      </c>
      <c r="C207" s="51" t="s">
        <v>558</v>
      </c>
      <c r="D207" s="51" t="s">
        <v>559</v>
      </c>
      <c r="F207" s="50"/>
      <c r="G207" s="9">
        <v>49</v>
      </c>
    </row>
    <row r="208" spans="1:11" ht="21" x14ac:dyDescent="0.25">
      <c r="A208" s="1" t="s">
        <v>9</v>
      </c>
      <c r="B208" s="51" t="s">
        <v>560</v>
      </c>
      <c r="C208" s="51" t="s">
        <v>561</v>
      </c>
      <c r="D208" s="51" t="s">
        <v>562</v>
      </c>
      <c r="F208" s="51"/>
      <c r="G208" s="9">
        <v>48</v>
      </c>
    </row>
    <row r="209" spans="1:7" x14ac:dyDescent="0.25">
      <c r="A209" s="1" t="s">
        <v>9</v>
      </c>
      <c r="B209" s="50" t="s">
        <v>512</v>
      </c>
      <c r="C209" s="51" t="s">
        <v>563</v>
      </c>
      <c r="D209" s="51" t="s">
        <v>564</v>
      </c>
      <c r="F209" s="51"/>
      <c r="G209" s="9">
        <v>46</v>
      </c>
    </row>
    <row r="210" spans="1:7" x14ac:dyDescent="0.25">
      <c r="A210" s="1" t="s">
        <v>9</v>
      </c>
      <c r="B210" s="50" t="s">
        <v>512</v>
      </c>
      <c r="C210" s="51" t="s">
        <v>565</v>
      </c>
      <c r="D210" s="51" t="s">
        <v>566</v>
      </c>
      <c r="F210" s="50"/>
      <c r="G210" s="9">
        <v>46</v>
      </c>
    </row>
    <row r="211" spans="1:7" x14ac:dyDescent="0.25">
      <c r="A211" s="1" t="s">
        <v>9</v>
      </c>
      <c r="B211" s="51" t="s">
        <v>535</v>
      </c>
      <c r="C211" s="51" t="s">
        <v>567</v>
      </c>
      <c r="D211" s="51" t="s">
        <v>568</v>
      </c>
      <c r="F211" s="50"/>
      <c r="G211" s="9">
        <v>45</v>
      </c>
    </row>
    <row r="212" spans="1:7" x14ac:dyDescent="0.25">
      <c r="A212" s="1" t="s">
        <v>9</v>
      </c>
      <c r="B212" s="50" t="s">
        <v>512</v>
      </c>
      <c r="C212" s="51" t="s">
        <v>569</v>
      </c>
      <c r="D212" s="51" t="s">
        <v>570</v>
      </c>
      <c r="F212" s="50"/>
      <c r="G212" s="9">
        <v>43</v>
      </c>
    </row>
    <row r="213" spans="1:7" x14ac:dyDescent="0.25">
      <c r="A213" s="1" t="s">
        <v>9</v>
      </c>
      <c r="B213" s="51" t="s">
        <v>535</v>
      </c>
      <c r="C213" s="51" t="s">
        <v>571</v>
      </c>
      <c r="D213" s="51" t="s">
        <v>572</v>
      </c>
      <c r="F213" s="50"/>
      <c r="G213" s="9">
        <v>42</v>
      </c>
    </row>
    <row r="214" spans="1:7" x14ac:dyDescent="0.25">
      <c r="A214" s="1" t="s">
        <v>9</v>
      </c>
      <c r="B214" s="50" t="s">
        <v>506</v>
      </c>
      <c r="C214" s="51" t="s">
        <v>573</v>
      </c>
      <c r="D214" s="51" t="s">
        <v>574</v>
      </c>
      <c r="F214" s="50"/>
      <c r="G214" s="9">
        <v>41</v>
      </c>
    </row>
    <row r="215" spans="1:7" x14ac:dyDescent="0.25">
      <c r="A215" s="1" t="s">
        <v>9</v>
      </c>
      <c r="B215" s="51" t="s">
        <v>535</v>
      </c>
      <c r="C215" s="51" t="s">
        <v>575</v>
      </c>
      <c r="D215" s="51" t="s">
        <v>576</v>
      </c>
      <c r="F215" s="50"/>
      <c r="G215" s="9">
        <v>40</v>
      </c>
    </row>
    <row r="216" spans="1:7" x14ac:dyDescent="0.25">
      <c r="A216" s="1" t="s">
        <v>9</v>
      </c>
      <c r="B216" s="50" t="s">
        <v>512</v>
      </c>
      <c r="C216" s="51" t="s">
        <v>577</v>
      </c>
      <c r="D216" s="51" t="s">
        <v>578</v>
      </c>
      <c r="F216" s="50"/>
      <c r="G216" s="9">
        <v>40</v>
      </c>
    </row>
    <row r="217" spans="1:7" x14ac:dyDescent="0.25">
      <c r="A217" s="1" t="s">
        <v>9</v>
      </c>
      <c r="B217" s="51" t="s">
        <v>492</v>
      </c>
      <c r="C217" s="51" t="s">
        <v>579</v>
      </c>
      <c r="D217" s="51" t="s">
        <v>580</v>
      </c>
      <c r="F217" s="50"/>
      <c r="G217" s="9">
        <v>39</v>
      </c>
    </row>
    <row r="218" spans="1:7" x14ac:dyDescent="0.25">
      <c r="A218" s="1" t="s">
        <v>9</v>
      </c>
      <c r="B218" s="51" t="s">
        <v>535</v>
      </c>
      <c r="C218" s="51" t="s">
        <v>581</v>
      </c>
      <c r="D218" s="51" t="s">
        <v>582</v>
      </c>
      <c r="F218" s="50"/>
      <c r="G218" s="9">
        <v>39</v>
      </c>
    </row>
    <row r="219" spans="1:7" x14ac:dyDescent="0.25">
      <c r="A219" s="1" t="s">
        <v>9</v>
      </c>
      <c r="B219" s="50" t="s">
        <v>512</v>
      </c>
      <c r="C219" s="51" t="s">
        <v>583</v>
      </c>
      <c r="D219" s="51" t="s">
        <v>584</v>
      </c>
      <c r="F219" s="50"/>
      <c r="G219" s="9">
        <v>39</v>
      </c>
    </row>
    <row r="220" spans="1:7" x14ac:dyDescent="0.25">
      <c r="A220" s="1" t="s">
        <v>9</v>
      </c>
      <c r="B220" s="51" t="s">
        <v>492</v>
      </c>
      <c r="C220" s="51" t="s">
        <v>585</v>
      </c>
      <c r="D220" s="51" t="s">
        <v>586</v>
      </c>
      <c r="F220" s="50"/>
      <c r="G220" s="9">
        <v>36</v>
      </c>
    </row>
    <row r="221" spans="1:7" x14ac:dyDescent="0.25">
      <c r="A221" s="1" t="s">
        <v>9</v>
      </c>
      <c r="B221" s="50" t="s">
        <v>512</v>
      </c>
      <c r="C221" s="51" t="s">
        <v>587</v>
      </c>
      <c r="D221" s="51" t="s">
        <v>547</v>
      </c>
      <c r="F221" s="50"/>
      <c r="G221" s="9">
        <v>36</v>
      </c>
    </row>
    <row r="222" spans="1:7" x14ac:dyDescent="0.25">
      <c r="A222" s="1" t="s">
        <v>9</v>
      </c>
      <c r="B222" s="50" t="s">
        <v>512</v>
      </c>
      <c r="C222" s="51" t="s">
        <v>588</v>
      </c>
      <c r="D222" s="51" t="s">
        <v>589</v>
      </c>
      <c r="F222" s="51"/>
      <c r="G222" s="9">
        <v>36</v>
      </c>
    </row>
    <row r="223" spans="1:7" x14ac:dyDescent="0.25">
      <c r="A223" s="1" t="s">
        <v>9</v>
      </c>
      <c r="B223" s="50" t="s">
        <v>512</v>
      </c>
      <c r="C223" s="51" t="s">
        <v>590</v>
      </c>
      <c r="D223" s="51" t="s">
        <v>591</v>
      </c>
      <c r="F223" s="50"/>
      <c r="G223" s="9">
        <v>33</v>
      </c>
    </row>
    <row r="224" spans="1:7" x14ac:dyDescent="0.25">
      <c r="A224" s="1" t="s">
        <v>9</v>
      </c>
      <c r="B224" s="51" t="s">
        <v>535</v>
      </c>
      <c r="C224" s="51" t="s">
        <v>592</v>
      </c>
      <c r="D224" s="51" t="s">
        <v>593</v>
      </c>
      <c r="F224" s="50"/>
      <c r="G224" s="9">
        <v>32</v>
      </c>
    </row>
    <row r="225" spans="1:7" ht="21" x14ac:dyDescent="0.25">
      <c r="A225" s="1" t="s">
        <v>9</v>
      </c>
      <c r="B225" s="50" t="s">
        <v>506</v>
      </c>
      <c r="C225" s="51" t="s">
        <v>594</v>
      </c>
      <c r="D225" s="51" t="s">
        <v>595</v>
      </c>
      <c r="F225" s="51"/>
      <c r="G225" s="9">
        <v>31</v>
      </c>
    </row>
    <row r="226" spans="1:7" x14ac:dyDescent="0.25">
      <c r="A226" s="1" t="s">
        <v>9</v>
      </c>
      <c r="B226" s="50" t="s">
        <v>506</v>
      </c>
      <c r="C226" s="51" t="s">
        <v>596</v>
      </c>
      <c r="D226" s="51" t="s">
        <v>597</v>
      </c>
      <c r="F226" s="51"/>
      <c r="G226" s="9">
        <v>31</v>
      </c>
    </row>
    <row r="227" spans="1:7" x14ac:dyDescent="0.25">
      <c r="A227" s="1" t="s">
        <v>9</v>
      </c>
      <c r="B227" s="51" t="s">
        <v>492</v>
      </c>
      <c r="C227" s="51" t="s">
        <v>598</v>
      </c>
      <c r="D227" s="51" t="s">
        <v>599</v>
      </c>
      <c r="F227" s="50"/>
      <c r="G227" s="9">
        <v>30</v>
      </c>
    </row>
    <row r="228" spans="1:7" x14ac:dyDescent="0.25">
      <c r="A228" s="1" t="s">
        <v>9</v>
      </c>
      <c r="B228" s="51" t="s">
        <v>535</v>
      </c>
      <c r="C228" s="51" t="s">
        <v>600</v>
      </c>
      <c r="D228" s="51" t="s">
        <v>601</v>
      </c>
      <c r="F228" s="50"/>
      <c r="G228" s="9">
        <v>29</v>
      </c>
    </row>
    <row r="229" spans="1:7" x14ac:dyDescent="0.25">
      <c r="A229" s="1" t="s">
        <v>9</v>
      </c>
      <c r="B229" s="51" t="s">
        <v>535</v>
      </c>
      <c r="C229" s="51" t="s">
        <v>602</v>
      </c>
      <c r="D229" s="51" t="s">
        <v>603</v>
      </c>
      <c r="F229" s="50"/>
      <c r="G229" s="9">
        <v>29</v>
      </c>
    </row>
    <row r="230" spans="1:7" x14ac:dyDescent="0.25">
      <c r="A230" s="1" t="s">
        <v>9</v>
      </c>
      <c r="B230" s="50" t="s">
        <v>512</v>
      </c>
      <c r="C230" s="51" t="s">
        <v>604</v>
      </c>
      <c r="D230" s="51" t="s">
        <v>605</v>
      </c>
      <c r="F230" s="51"/>
      <c r="G230" s="9">
        <v>28</v>
      </c>
    </row>
    <row r="231" spans="1:7" x14ac:dyDescent="0.25">
      <c r="A231" s="1" t="s">
        <v>9</v>
      </c>
      <c r="B231" s="51" t="s">
        <v>535</v>
      </c>
      <c r="C231" s="51" t="s">
        <v>606</v>
      </c>
      <c r="D231" s="51" t="s">
        <v>601</v>
      </c>
      <c r="F231" s="50"/>
      <c r="G231" s="9">
        <v>27</v>
      </c>
    </row>
    <row r="232" spans="1:7" x14ac:dyDescent="0.25">
      <c r="A232" s="1" t="s">
        <v>9</v>
      </c>
      <c r="B232" s="50" t="s">
        <v>512</v>
      </c>
      <c r="C232" s="51" t="s">
        <v>607</v>
      </c>
      <c r="D232" s="51" t="s">
        <v>608</v>
      </c>
      <c r="F232" s="50"/>
      <c r="G232" s="9">
        <v>26</v>
      </c>
    </row>
    <row r="233" spans="1:7" x14ac:dyDescent="0.25">
      <c r="A233" s="1" t="s">
        <v>9</v>
      </c>
      <c r="B233" s="51" t="s">
        <v>535</v>
      </c>
      <c r="C233" s="51" t="s">
        <v>609</v>
      </c>
      <c r="D233" s="51" t="s">
        <v>610</v>
      </c>
      <c r="F233" s="50"/>
      <c r="G233" s="9">
        <v>23</v>
      </c>
    </row>
    <row r="234" spans="1:7" x14ac:dyDescent="0.25">
      <c r="A234" s="1" t="s">
        <v>9</v>
      </c>
      <c r="B234" s="50" t="s">
        <v>506</v>
      </c>
      <c r="C234" s="51" t="s">
        <v>611</v>
      </c>
      <c r="D234" s="51" t="s">
        <v>612</v>
      </c>
      <c r="F234" s="50"/>
      <c r="G234" s="9">
        <v>23</v>
      </c>
    </row>
    <row r="235" spans="1:7" x14ac:dyDescent="0.25">
      <c r="A235" s="1" t="s">
        <v>9</v>
      </c>
      <c r="B235" s="50" t="s">
        <v>512</v>
      </c>
      <c r="C235" s="51" t="s">
        <v>613</v>
      </c>
      <c r="D235" s="51" t="s">
        <v>614</v>
      </c>
      <c r="F235" s="50"/>
      <c r="G235" s="9">
        <v>23</v>
      </c>
    </row>
    <row r="236" spans="1:7" x14ac:dyDescent="0.25">
      <c r="A236" s="1" t="s">
        <v>9</v>
      </c>
      <c r="B236" s="51" t="s">
        <v>535</v>
      </c>
      <c r="C236" s="51" t="s">
        <v>615</v>
      </c>
      <c r="D236" s="51" t="s">
        <v>616</v>
      </c>
      <c r="F236" s="50"/>
      <c r="G236" s="9">
        <v>22</v>
      </c>
    </row>
    <row r="237" spans="1:7" x14ac:dyDescent="0.25">
      <c r="A237" s="1" t="s">
        <v>9</v>
      </c>
      <c r="B237" s="51" t="s">
        <v>156</v>
      </c>
      <c r="C237" s="51" t="s">
        <v>617</v>
      </c>
      <c r="D237" s="51" t="s">
        <v>584</v>
      </c>
      <c r="F237" s="50"/>
      <c r="G237" s="9">
        <v>21</v>
      </c>
    </row>
    <row r="238" spans="1:7" x14ac:dyDescent="0.25">
      <c r="A238" s="1" t="s">
        <v>9</v>
      </c>
      <c r="B238" s="50" t="s">
        <v>618</v>
      </c>
      <c r="C238" s="51" t="s">
        <v>619</v>
      </c>
      <c r="D238" s="51" t="s">
        <v>620</v>
      </c>
      <c r="F238" s="50"/>
      <c r="G238" s="9">
        <v>21</v>
      </c>
    </row>
    <row r="239" spans="1:7" x14ac:dyDescent="0.25">
      <c r="A239" s="1" t="s">
        <v>9</v>
      </c>
      <c r="B239" s="50" t="s">
        <v>618</v>
      </c>
      <c r="C239" s="51" t="s">
        <v>621</v>
      </c>
      <c r="D239" s="51" t="s">
        <v>622</v>
      </c>
      <c r="F239" s="50"/>
      <c r="G239" s="9">
        <v>21</v>
      </c>
    </row>
    <row r="240" spans="1:7" x14ac:dyDescent="0.25">
      <c r="A240" s="1" t="s">
        <v>9</v>
      </c>
      <c r="B240" s="51" t="s">
        <v>492</v>
      </c>
      <c r="C240" s="51" t="s">
        <v>623</v>
      </c>
      <c r="D240" s="51" t="s">
        <v>624</v>
      </c>
      <c r="F240" s="50"/>
      <c r="G240" s="9">
        <v>20</v>
      </c>
    </row>
    <row r="241" spans="1:7" ht="21" x14ac:dyDescent="0.25">
      <c r="A241" s="1" t="s">
        <v>9</v>
      </c>
      <c r="B241" s="50" t="s">
        <v>512</v>
      </c>
      <c r="C241" s="51" t="s">
        <v>625</v>
      </c>
      <c r="D241" s="51" t="s">
        <v>539</v>
      </c>
      <c r="F241" s="50"/>
      <c r="G241" s="9">
        <v>20</v>
      </c>
    </row>
    <row r="242" spans="1:7" x14ac:dyDescent="0.25">
      <c r="A242" s="1" t="s">
        <v>9</v>
      </c>
      <c r="B242" s="50" t="s">
        <v>512</v>
      </c>
      <c r="C242" s="51" t="s">
        <v>626</v>
      </c>
      <c r="D242" s="51" t="s">
        <v>627</v>
      </c>
      <c r="F242" s="51"/>
      <c r="G242" s="9">
        <v>20</v>
      </c>
    </row>
    <row r="243" spans="1:7" x14ac:dyDescent="0.25">
      <c r="A243" s="1" t="s">
        <v>9</v>
      </c>
      <c r="B243" s="51" t="s">
        <v>492</v>
      </c>
      <c r="C243" s="51" t="s">
        <v>628</v>
      </c>
      <c r="D243" s="51" t="s">
        <v>629</v>
      </c>
      <c r="F243" s="50"/>
      <c r="G243" s="9">
        <v>19</v>
      </c>
    </row>
    <row r="244" spans="1:7" x14ac:dyDescent="0.25">
      <c r="A244" s="1" t="s">
        <v>9</v>
      </c>
      <c r="B244" s="51" t="s">
        <v>535</v>
      </c>
      <c r="C244" s="51" t="s">
        <v>630</v>
      </c>
      <c r="D244" s="51" t="s">
        <v>631</v>
      </c>
      <c r="F244" s="50"/>
      <c r="G244" s="9">
        <v>18</v>
      </c>
    </row>
    <row r="245" spans="1:7" x14ac:dyDescent="0.25">
      <c r="A245" s="1" t="s">
        <v>9</v>
      </c>
      <c r="B245" s="51" t="s">
        <v>535</v>
      </c>
      <c r="C245" s="51" t="s">
        <v>632</v>
      </c>
      <c r="D245" s="51" t="s">
        <v>633</v>
      </c>
      <c r="F245" s="50"/>
      <c r="G245" s="9">
        <v>18</v>
      </c>
    </row>
    <row r="246" spans="1:7" x14ac:dyDescent="0.25">
      <c r="A246" s="1" t="s">
        <v>9</v>
      </c>
      <c r="B246" s="51" t="s">
        <v>492</v>
      </c>
      <c r="C246" s="51" t="s">
        <v>634</v>
      </c>
      <c r="D246" s="51" t="s">
        <v>624</v>
      </c>
      <c r="F246" s="50"/>
      <c r="G246" s="9">
        <v>15</v>
      </c>
    </row>
    <row r="247" spans="1:7" x14ac:dyDescent="0.25">
      <c r="A247" s="1" t="s">
        <v>9</v>
      </c>
      <c r="B247" s="50" t="s">
        <v>512</v>
      </c>
      <c r="C247" s="51" t="s">
        <v>635</v>
      </c>
      <c r="D247" s="51" t="s">
        <v>636</v>
      </c>
      <c r="F247" s="50"/>
      <c r="G247" s="9">
        <v>15</v>
      </c>
    </row>
    <row r="248" spans="1:7" x14ac:dyDescent="0.25">
      <c r="A248" s="1" t="s">
        <v>9</v>
      </c>
      <c r="B248" s="50" t="s">
        <v>512</v>
      </c>
      <c r="C248" s="51" t="s">
        <v>637</v>
      </c>
      <c r="D248" s="51" t="s">
        <v>638</v>
      </c>
      <c r="F248" s="50"/>
      <c r="G248" s="9">
        <v>15</v>
      </c>
    </row>
    <row r="249" spans="1:7" x14ac:dyDescent="0.25">
      <c r="A249" s="1" t="s">
        <v>9</v>
      </c>
      <c r="B249" s="50" t="s">
        <v>512</v>
      </c>
      <c r="C249" s="51" t="s">
        <v>639</v>
      </c>
      <c r="D249" s="51" t="s">
        <v>640</v>
      </c>
      <c r="F249" s="50"/>
      <c r="G249" s="9">
        <v>15</v>
      </c>
    </row>
    <row r="250" spans="1:7" x14ac:dyDescent="0.25">
      <c r="A250" s="1" t="s">
        <v>9</v>
      </c>
      <c r="B250" s="50" t="s">
        <v>512</v>
      </c>
      <c r="C250" s="51" t="s">
        <v>641</v>
      </c>
      <c r="D250" s="51" t="s">
        <v>638</v>
      </c>
      <c r="F250" s="50"/>
      <c r="G250" s="9">
        <v>15</v>
      </c>
    </row>
    <row r="251" spans="1:7" x14ac:dyDescent="0.25">
      <c r="A251" s="1" t="s">
        <v>9</v>
      </c>
      <c r="B251" s="50" t="s">
        <v>642</v>
      </c>
      <c r="C251" s="51" t="s">
        <v>643</v>
      </c>
      <c r="D251" s="51" t="s">
        <v>638</v>
      </c>
      <c r="F251" s="50"/>
      <c r="G251" s="9">
        <v>15</v>
      </c>
    </row>
    <row r="252" spans="1:7" x14ac:dyDescent="0.25">
      <c r="A252" s="1" t="s">
        <v>9</v>
      </c>
      <c r="B252" s="50" t="s">
        <v>512</v>
      </c>
      <c r="C252" s="51" t="s">
        <v>644</v>
      </c>
      <c r="D252" s="51" t="s">
        <v>591</v>
      </c>
      <c r="F252" s="50"/>
      <c r="G252" s="9">
        <v>14</v>
      </c>
    </row>
    <row r="253" spans="1:7" ht="21" x14ac:dyDescent="0.25">
      <c r="A253" s="1" t="s">
        <v>9</v>
      </c>
      <c r="B253" s="50" t="s">
        <v>506</v>
      </c>
      <c r="C253" s="51" t="s">
        <v>645</v>
      </c>
      <c r="D253" s="51" t="s">
        <v>595</v>
      </c>
      <c r="F253" s="51"/>
      <c r="G253" s="9">
        <v>12</v>
      </c>
    </row>
    <row r="254" spans="1:7" x14ac:dyDescent="0.25">
      <c r="A254" s="1" t="s">
        <v>9</v>
      </c>
      <c r="B254" s="50" t="s">
        <v>512</v>
      </c>
      <c r="C254" s="51" t="s">
        <v>646</v>
      </c>
      <c r="D254" s="51" t="s">
        <v>647</v>
      </c>
      <c r="F254" s="51"/>
      <c r="G254" s="9">
        <v>12</v>
      </c>
    </row>
    <row r="255" spans="1:7" x14ac:dyDescent="0.25">
      <c r="A255" s="1" t="s">
        <v>9</v>
      </c>
      <c r="B255" s="50" t="s">
        <v>512</v>
      </c>
      <c r="C255" s="51" t="s">
        <v>648</v>
      </c>
      <c r="D255" s="51" t="s">
        <v>649</v>
      </c>
      <c r="F255" s="50"/>
      <c r="G255" s="9">
        <v>12</v>
      </c>
    </row>
    <row r="256" spans="1:7" x14ac:dyDescent="0.25">
      <c r="A256" s="1" t="s">
        <v>9</v>
      </c>
      <c r="B256" s="51" t="s">
        <v>156</v>
      </c>
      <c r="C256" s="51" t="s">
        <v>583</v>
      </c>
      <c r="D256" s="51" t="s">
        <v>584</v>
      </c>
      <c r="F256" s="50"/>
      <c r="G256" s="9">
        <v>11</v>
      </c>
    </row>
    <row r="257" spans="1:14" x14ac:dyDescent="0.25">
      <c r="A257" s="1" t="s">
        <v>9</v>
      </c>
      <c r="B257" s="51" t="s">
        <v>535</v>
      </c>
      <c r="C257" s="51" t="s">
        <v>650</v>
      </c>
      <c r="D257" s="51" t="s">
        <v>651</v>
      </c>
      <c r="F257" s="50"/>
      <c r="G257" s="9">
        <v>11</v>
      </c>
    </row>
    <row r="258" spans="1:14" x14ac:dyDescent="0.25">
      <c r="A258" s="1" t="s">
        <v>9</v>
      </c>
      <c r="B258" s="51" t="s">
        <v>535</v>
      </c>
      <c r="C258" s="51" t="s">
        <v>652</v>
      </c>
      <c r="D258" s="51" t="s">
        <v>601</v>
      </c>
      <c r="F258" s="50"/>
      <c r="G258" s="9">
        <v>11</v>
      </c>
    </row>
    <row r="259" spans="1:14" x14ac:dyDescent="0.25">
      <c r="A259" s="1" t="s">
        <v>9</v>
      </c>
      <c r="B259" s="51" t="s">
        <v>535</v>
      </c>
      <c r="C259" s="51" t="s">
        <v>653</v>
      </c>
      <c r="D259" s="51" t="s">
        <v>631</v>
      </c>
      <c r="F259" s="50"/>
      <c r="G259" s="9">
        <v>11</v>
      </c>
    </row>
    <row r="260" spans="1:14" x14ac:dyDescent="0.25">
      <c r="A260" s="1" t="s">
        <v>9</v>
      </c>
      <c r="B260" s="50" t="s">
        <v>512</v>
      </c>
      <c r="C260" s="51" t="s">
        <v>654</v>
      </c>
      <c r="D260" s="51" t="s">
        <v>655</v>
      </c>
      <c r="F260" s="51"/>
      <c r="G260" s="9">
        <v>11</v>
      </c>
    </row>
    <row r="261" spans="1:14" x14ac:dyDescent="0.25">
      <c r="A261" s="1" t="s">
        <v>9</v>
      </c>
      <c r="B261" s="50" t="s">
        <v>512</v>
      </c>
      <c r="C261" s="51" t="s">
        <v>656</v>
      </c>
      <c r="D261" s="51" t="s">
        <v>657</v>
      </c>
      <c r="F261" s="50"/>
      <c r="G261" s="9">
        <v>11</v>
      </c>
    </row>
    <row r="262" spans="1:14" x14ac:dyDescent="0.25">
      <c r="A262" s="1" t="s">
        <v>9</v>
      </c>
      <c r="B262" s="51" t="s">
        <v>658</v>
      </c>
      <c r="C262" s="51" t="s">
        <v>659</v>
      </c>
      <c r="D262" s="51" t="s">
        <v>660</v>
      </c>
      <c r="F262" s="50"/>
      <c r="G262" s="9">
        <v>11</v>
      </c>
    </row>
    <row r="263" spans="1:14" x14ac:dyDescent="0.25">
      <c r="A263" s="1" t="s">
        <v>9</v>
      </c>
      <c r="B263" s="50" t="s">
        <v>512</v>
      </c>
      <c r="C263" s="51" t="s">
        <v>661</v>
      </c>
      <c r="D263" s="51" t="s">
        <v>662</v>
      </c>
      <c r="F263" s="51"/>
      <c r="G263" s="9">
        <v>10</v>
      </c>
    </row>
    <row r="264" spans="1:14" x14ac:dyDescent="0.25">
      <c r="A264" s="1" t="s">
        <v>9</v>
      </c>
      <c r="B264" s="51" t="s">
        <v>663</v>
      </c>
      <c r="C264" s="51" t="s">
        <v>664</v>
      </c>
      <c r="D264" s="51" t="s">
        <v>665</v>
      </c>
      <c r="F264" s="51"/>
      <c r="G264" s="9">
        <v>10</v>
      </c>
    </row>
    <row r="265" spans="1:14" x14ac:dyDescent="0.25">
      <c r="A265" s="1" t="s">
        <v>10</v>
      </c>
      <c r="C265" s="50" t="s">
        <v>669</v>
      </c>
      <c r="D265" s="50" t="s">
        <v>670</v>
      </c>
      <c r="E265" s="16" t="s">
        <v>671</v>
      </c>
      <c r="G265" s="9">
        <v>883.5</v>
      </c>
      <c r="H265" s="51"/>
      <c r="I265" s="51" t="s">
        <v>72</v>
      </c>
      <c r="J265" s="1">
        <f>SUM($G$252:$G$255)</f>
        <v>50</v>
      </c>
    </row>
    <row r="266" spans="1:14" x14ac:dyDescent="0.25">
      <c r="A266" s="1" t="s">
        <v>10</v>
      </c>
      <c r="C266" s="50" t="s">
        <v>672</v>
      </c>
      <c r="D266" s="50" t="s">
        <v>673</v>
      </c>
      <c r="E266" s="16" t="s">
        <v>674</v>
      </c>
      <c r="G266" s="9">
        <v>402</v>
      </c>
      <c r="H266" s="51"/>
      <c r="I266" s="51" t="s">
        <v>72</v>
      </c>
    </row>
    <row r="267" spans="1:14" x14ac:dyDescent="0.25">
      <c r="A267" s="1" t="s">
        <v>10</v>
      </c>
      <c r="C267" s="50" t="s">
        <v>675</v>
      </c>
      <c r="D267" s="50" t="s">
        <v>676</v>
      </c>
      <c r="E267" s="16" t="s">
        <v>677</v>
      </c>
      <c r="G267" s="9">
        <v>264.10000000000002</v>
      </c>
      <c r="H267" s="51"/>
      <c r="I267" s="51" t="s">
        <v>72</v>
      </c>
    </row>
    <row r="268" spans="1:14" x14ac:dyDescent="0.25">
      <c r="A268" s="1" t="s">
        <v>10</v>
      </c>
      <c r="C268" s="50" t="s">
        <v>678</v>
      </c>
      <c r="D268" s="51"/>
      <c r="E268" s="17"/>
      <c r="G268" s="9">
        <v>0.8</v>
      </c>
      <c r="H268" s="51"/>
      <c r="I268" s="51" t="s">
        <v>72</v>
      </c>
    </row>
    <row r="269" spans="1:14" ht="21" x14ac:dyDescent="0.25">
      <c r="A269" s="1" t="s">
        <v>1378</v>
      </c>
      <c r="C269" s="50" t="s">
        <v>1393</v>
      </c>
      <c r="D269" s="51" t="s">
        <v>1394</v>
      </c>
      <c r="E269" s="50" t="s">
        <v>1395</v>
      </c>
      <c r="F269" s="51"/>
      <c r="G269" s="51">
        <v>900</v>
      </c>
      <c r="H269" s="51"/>
      <c r="I269" s="51" t="s">
        <v>72</v>
      </c>
      <c r="M269" s="1">
        <v>1992</v>
      </c>
      <c r="N269" s="51" t="s">
        <v>1396</v>
      </c>
    </row>
    <row r="270" spans="1:14" ht="21" x14ac:dyDescent="0.25">
      <c r="A270" s="1" t="s">
        <v>1378</v>
      </c>
      <c r="C270" s="50" t="s">
        <v>1389</v>
      </c>
      <c r="D270" s="51" t="s">
        <v>1390</v>
      </c>
      <c r="E270" s="50" t="s">
        <v>1391</v>
      </c>
      <c r="F270" s="51"/>
      <c r="G270" s="51">
        <v>100</v>
      </c>
      <c r="H270" s="51"/>
      <c r="I270" s="51" t="s">
        <v>72</v>
      </c>
      <c r="M270" s="1">
        <v>1960</v>
      </c>
      <c r="N270" s="50" t="s">
        <v>1392</v>
      </c>
    </row>
    <row r="271" spans="1:14" x14ac:dyDescent="0.25">
      <c r="A271" s="1" t="s">
        <v>11</v>
      </c>
      <c r="B271" s="1" t="s">
        <v>682</v>
      </c>
      <c r="C271" s="1" t="s">
        <v>679</v>
      </c>
      <c r="D271" s="1" t="s">
        <v>679</v>
      </c>
      <c r="E271" s="19" t="s">
        <v>680</v>
      </c>
      <c r="F271" s="1" t="s">
        <v>26</v>
      </c>
      <c r="G271" s="5">
        <v>1296</v>
      </c>
      <c r="I271" s="1" t="s">
        <v>72</v>
      </c>
      <c r="J271" s="1">
        <f>SUM($G$256)</f>
        <v>11</v>
      </c>
    </row>
    <row r="272" spans="1:14" ht="12" x14ac:dyDescent="0.25">
      <c r="A272" s="1" t="s">
        <v>12</v>
      </c>
      <c r="B272" s="50" t="s">
        <v>683</v>
      </c>
      <c r="C272" s="51" t="s">
        <v>1075</v>
      </c>
      <c r="F272" s="51"/>
      <c r="G272" s="9">
        <v>14</v>
      </c>
      <c r="I272" s="1" t="s">
        <v>72</v>
      </c>
      <c r="J272" s="1">
        <f>SUM($G$257:$G$262)</f>
        <v>66</v>
      </c>
    </row>
    <row r="273" spans="1:9" ht="12" x14ac:dyDescent="0.25">
      <c r="A273" s="1" t="s">
        <v>12</v>
      </c>
      <c r="B273" s="50" t="s">
        <v>684</v>
      </c>
      <c r="C273" s="51" t="s">
        <v>1076</v>
      </c>
      <c r="F273" s="51"/>
      <c r="G273" s="9">
        <v>11</v>
      </c>
      <c r="I273" s="1" t="s">
        <v>72</v>
      </c>
    </row>
    <row r="274" spans="1:9" x14ac:dyDescent="0.25">
      <c r="A274" s="1" t="s">
        <v>12</v>
      </c>
      <c r="B274" s="51" t="s">
        <v>683</v>
      </c>
      <c r="C274" s="50" t="s">
        <v>685</v>
      </c>
      <c r="F274" s="51"/>
      <c r="G274" s="9">
        <v>10</v>
      </c>
      <c r="I274" s="1" t="s">
        <v>72</v>
      </c>
    </row>
    <row r="275" spans="1:9" x14ac:dyDescent="0.25">
      <c r="A275" s="1" t="s">
        <v>12</v>
      </c>
      <c r="B275" s="51" t="s">
        <v>683</v>
      </c>
      <c r="C275" s="50" t="s">
        <v>686</v>
      </c>
      <c r="F275" s="51"/>
      <c r="G275" s="10">
        <v>1.8</v>
      </c>
      <c r="I275" s="1" t="s">
        <v>72</v>
      </c>
    </row>
    <row r="276" spans="1:9" ht="12" x14ac:dyDescent="0.25">
      <c r="A276" s="1" t="s">
        <v>12</v>
      </c>
      <c r="B276" s="51" t="s">
        <v>683</v>
      </c>
      <c r="C276" s="51" t="s">
        <v>1077</v>
      </c>
      <c r="F276" s="51"/>
      <c r="G276" s="9">
        <v>0.2</v>
      </c>
      <c r="I276" s="1" t="s">
        <v>72</v>
      </c>
    </row>
    <row r="277" spans="1:9" ht="12" x14ac:dyDescent="0.25">
      <c r="A277" s="1" t="s">
        <v>12</v>
      </c>
      <c r="B277" s="51" t="s">
        <v>684</v>
      </c>
      <c r="C277" s="51" t="s">
        <v>1078</v>
      </c>
      <c r="F277" s="51"/>
      <c r="G277" s="9">
        <v>0.1</v>
      </c>
      <c r="I277" s="1" t="s">
        <v>72</v>
      </c>
    </row>
    <row r="278" spans="1:9" x14ac:dyDescent="0.25">
      <c r="A278" s="1" t="s">
        <v>21</v>
      </c>
      <c r="C278" s="1" t="s">
        <v>719</v>
      </c>
      <c r="D278" s="1" t="s">
        <v>716</v>
      </c>
      <c r="E278" s="18" t="s">
        <v>720</v>
      </c>
      <c r="G278" s="5">
        <v>1240</v>
      </c>
      <c r="I278" s="1" t="s">
        <v>72</v>
      </c>
    </row>
    <row r="279" spans="1:9" x14ac:dyDescent="0.25">
      <c r="A279" s="1" t="s">
        <v>21</v>
      </c>
      <c r="C279" s="1" t="s">
        <v>692</v>
      </c>
      <c r="D279" s="1" t="s">
        <v>693</v>
      </c>
      <c r="G279" s="5">
        <v>1128</v>
      </c>
      <c r="I279" s="1" t="s">
        <v>72</v>
      </c>
    </row>
    <row r="280" spans="1:9" x14ac:dyDescent="0.25">
      <c r="A280" s="1" t="s">
        <v>21</v>
      </c>
      <c r="C280" s="1" t="s">
        <v>746</v>
      </c>
      <c r="D280" s="1" t="s">
        <v>747</v>
      </c>
      <c r="G280" s="5">
        <v>1120</v>
      </c>
      <c r="I280" s="1" t="s">
        <v>72</v>
      </c>
    </row>
    <row r="281" spans="1:9" x14ac:dyDescent="0.25">
      <c r="A281" s="1" t="s">
        <v>21</v>
      </c>
      <c r="C281" s="1" t="s">
        <v>756</v>
      </c>
      <c r="D281" s="1" t="s">
        <v>757</v>
      </c>
      <c r="G281" s="5">
        <v>960</v>
      </c>
      <c r="I281" s="1" t="s">
        <v>72</v>
      </c>
    </row>
    <row r="282" spans="1:9" x14ac:dyDescent="0.25">
      <c r="A282" s="1" t="s">
        <v>21</v>
      </c>
      <c r="C282" s="1" t="s">
        <v>743</v>
      </c>
      <c r="D282" s="1" t="s">
        <v>716</v>
      </c>
      <c r="G282" s="5">
        <v>640</v>
      </c>
      <c r="I282" s="1" t="s">
        <v>72</v>
      </c>
    </row>
    <row r="283" spans="1:9" x14ac:dyDescent="0.25">
      <c r="A283" s="1" t="s">
        <v>21</v>
      </c>
      <c r="C283" s="1" t="s">
        <v>748</v>
      </c>
      <c r="D283" s="1" t="s">
        <v>749</v>
      </c>
      <c r="G283" s="5">
        <v>600</v>
      </c>
      <c r="I283" s="1" t="s">
        <v>72</v>
      </c>
    </row>
    <row r="284" spans="1:9" x14ac:dyDescent="0.25">
      <c r="A284" s="1" t="s">
        <v>21</v>
      </c>
      <c r="C284" s="1" t="s">
        <v>741</v>
      </c>
      <c r="D284" s="1" t="s">
        <v>742</v>
      </c>
      <c r="G284" s="5">
        <v>500</v>
      </c>
      <c r="I284" s="1" t="s">
        <v>72</v>
      </c>
    </row>
    <row r="285" spans="1:9" x14ac:dyDescent="0.25">
      <c r="A285" s="1" t="s">
        <v>21</v>
      </c>
      <c r="C285" s="1" t="s">
        <v>755</v>
      </c>
      <c r="D285" s="1" t="s">
        <v>701</v>
      </c>
      <c r="G285" s="5">
        <v>430</v>
      </c>
      <c r="I285" s="1" t="s">
        <v>72</v>
      </c>
    </row>
    <row r="286" spans="1:9" x14ac:dyDescent="0.25">
      <c r="A286" s="1" t="s">
        <v>21</v>
      </c>
      <c r="C286" s="1" t="s">
        <v>760</v>
      </c>
      <c r="D286" s="1" t="s">
        <v>761</v>
      </c>
      <c r="G286" s="5">
        <v>380</v>
      </c>
      <c r="I286" s="1" t="s">
        <v>72</v>
      </c>
    </row>
    <row r="287" spans="1:9" x14ac:dyDescent="0.25">
      <c r="A287" s="1" t="s">
        <v>21</v>
      </c>
      <c r="C287" s="1" t="s">
        <v>717</v>
      </c>
      <c r="D287" s="1" t="s">
        <v>718</v>
      </c>
      <c r="G287" s="5">
        <v>350</v>
      </c>
      <c r="I287" s="1" t="s">
        <v>72</v>
      </c>
    </row>
    <row r="288" spans="1:9" x14ac:dyDescent="0.25">
      <c r="A288" s="1" t="s">
        <v>21</v>
      </c>
      <c r="C288" s="1" t="s">
        <v>698</v>
      </c>
      <c r="D288" s="1" t="s">
        <v>699</v>
      </c>
      <c r="G288" s="5">
        <v>330</v>
      </c>
      <c r="I288" s="1" t="s">
        <v>72</v>
      </c>
    </row>
    <row r="289" spans="1:9" x14ac:dyDescent="0.25">
      <c r="A289" s="1" t="s">
        <v>21</v>
      </c>
      <c r="C289" s="1" t="s">
        <v>702</v>
      </c>
      <c r="D289" s="1" t="s">
        <v>703</v>
      </c>
      <c r="G289" s="5">
        <v>330</v>
      </c>
      <c r="I289" s="1" t="s">
        <v>72</v>
      </c>
    </row>
    <row r="290" spans="1:9" x14ac:dyDescent="0.25">
      <c r="A290" s="1" t="s">
        <v>21</v>
      </c>
      <c r="C290" s="1" t="s">
        <v>713</v>
      </c>
      <c r="D290" s="1" t="s">
        <v>714</v>
      </c>
      <c r="G290" s="5">
        <v>328</v>
      </c>
      <c r="I290" s="1" t="s">
        <v>72</v>
      </c>
    </row>
    <row r="291" spans="1:9" x14ac:dyDescent="0.25">
      <c r="A291" s="1" t="s">
        <v>21</v>
      </c>
      <c r="C291" s="1" t="s">
        <v>776</v>
      </c>
      <c r="D291" s="1" t="s">
        <v>777</v>
      </c>
      <c r="G291" s="5">
        <v>300</v>
      </c>
      <c r="I291" s="1" t="s">
        <v>72</v>
      </c>
    </row>
    <row r="292" spans="1:9" x14ac:dyDescent="0.25">
      <c r="A292" s="1" t="s">
        <v>21</v>
      </c>
      <c r="C292" s="1" t="s">
        <v>690</v>
      </c>
      <c r="D292" s="1" t="s">
        <v>691</v>
      </c>
      <c r="G292" s="5">
        <v>290</v>
      </c>
      <c r="I292" s="1" t="s">
        <v>72</v>
      </c>
    </row>
    <row r="293" spans="1:9" x14ac:dyDescent="0.25">
      <c r="A293" s="1" t="s">
        <v>21</v>
      </c>
      <c r="C293" s="1" t="s">
        <v>734</v>
      </c>
      <c r="D293" s="1" t="s">
        <v>735</v>
      </c>
      <c r="G293" s="5">
        <v>256</v>
      </c>
      <c r="I293" s="1" t="s">
        <v>72</v>
      </c>
    </row>
    <row r="294" spans="1:9" x14ac:dyDescent="0.25">
      <c r="A294" s="1" t="s">
        <v>21</v>
      </c>
      <c r="C294" s="1" t="s">
        <v>706</v>
      </c>
      <c r="D294" s="1" t="s">
        <v>707</v>
      </c>
      <c r="G294" s="5">
        <v>254</v>
      </c>
      <c r="I294" s="1" t="s">
        <v>72</v>
      </c>
    </row>
    <row r="295" spans="1:9" x14ac:dyDescent="0.25">
      <c r="A295" s="1" t="s">
        <v>21</v>
      </c>
      <c r="C295" s="1" t="s">
        <v>726</v>
      </c>
      <c r="D295" s="1" t="s">
        <v>727</v>
      </c>
      <c r="G295" s="5">
        <v>250</v>
      </c>
      <c r="I295" s="1" t="s">
        <v>72</v>
      </c>
    </row>
    <row r="296" spans="1:9" x14ac:dyDescent="0.25">
      <c r="A296" s="1" t="s">
        <v>21</v>
      </c>
      <c r="C296" s="1" t="s">
        <v>732</v>
      </c>
      <c r="D296" s="1" t="s">
        <v>733</v>
      </c>
      <c r="G296" s="5">
        <v>250</v>
      </c>
      <c r="I296" s="1" t="s">
        <v>72</v>
      </c>
    </row>
    <row r="297" spans="1:9" x14ac:dyDescent="0.25">
      <c r="A297" s="1" t="s">
        <v>21</v>
      </c>
      <c r="C297" s="1" t="s">
        <v>724</v>
      </c>
      <c r="D297" s="1" t="s">
        <v>725</v>
      </c>
      <c r="G297" s="5">
        <v>246</v>
      </c>
      <c r="I297" s="1" t="s">
        <v>72</v>
      </c>
    </row>
    <row r="298" spans="1:9" x14ac:dyDescent="0.25">
      <c r="A298" s="1" t="s">
        <v>21</v>
      </c>
      <c r="C298" s="1" t="s">
        <v>711</v>
      </c>
      <c r="D298" s="1" t="s">
        <v>712</v>
      </c>
      <c r="G298" s="5">
        <v>220</v>
      </c>
      <c r="I298" s="1" t="s">
        <v>72</v>
      </c>
    </row>
    <row r="299" spans="1:9" x14ac:dyDescent="0.25">
      <c r="A299" s="1" t="s">
        <v>21</v>
      </c>
      <c r="C299" s="1" t="s">
        <v>774</v>
      </c>
      <c r="D299" s="1" t="s">
        <v>775</v>
      </c>
      <c r="G299" s="5">
        <v>215</v>
      </c>
      <c r="I299" s="1" t="s">
        <v>72</v>
      </c>
    </row>
    <row r="300" spans="1:9" x14ac:dyDescent="0.25">
      <c r="A300" s="1" t="s">
        <v>21</v>
      </c>
      <c r="C300" s="1" t="s">
        <v>722</v>
      </c>
      <c r="D300" s="1" t="s">
        <v>723</v>
      </c>
      <c r="G300" s="5">
        <v>210</v>
      </c>
      <c r="I300" s="1" t="s">
        <v>72</v>
      </c>
    </row>
    <row r="301" spans="1:9" x14ac:dyDescent="0.25">
      <c r="A301" s="1" t="s">
        <v>21</v>
      </c>
      <c r="C301" s="1" t="s">
        <v>765</v>
      </c>
      <c r="D301" s="1" t="s">
        <v>766</v>
      </c>
      <c r="G301" s="5">
        <v>200</v>
      </c>
      <c r="I301" s="1" t="s">
        <v>72</v>
      </c>
    </row>
    <row r="302" spans="1:9" x14ac:dyDescent="0.25">
      <c r="A302" s="1" t="s">
        <v>21</v>
      </c>
      <c r="C302" s="1" t="s">
        <v>769</v>
      </c>
      <c r="D302" s="1" t="s">
        <v>768</v>
      </c>
      <c r="G302" s="5">
        <v>200</v>
      </c>
      <c r="I302" s="1" t="s">
        <v>72</v>
      </c>
    </row>
    <row r="303" spans="1:9" x14ac:dyDescent="0.25">
      <c r="A303" s="1" t="s">
        <v>21</v>
      </c>
      <c r="C303" s="1" t="s">
        <v>752</v>
      </c>
      <c r="D303" s="1" t="s">
        <v>753</v>
      </c>
      <c r="G303" s="5">
        <v>185</v>
      </c>
      <c r="I303" s="1" t="s">
        <v>72</v>
      </c>
    </row>
    <row r="304" spans="1:9" x14ac:dyDescent="0.25">
      <c r="A304" s="1" t="s">
        <v>21</v>
      </c>
      <c r="C304" s="1" t="s">
        <v>728</v>
      </c>
      <c r="D304" s="1" t="s">
        <v>729</v>
      </c>
      <c r="G304" s="5">
        <v>180</v>
      </c>
      <c r="I304" s="1" t="s">
        <v>72</v>
      </c>
    </row>
    <row r="305" spans="1:10" x14ac:dyDescent="0.25">
      <c r="A305" s="1" t="s">
        <v>21</v>
      </c>
      <c r="C305" s="1" t="s">
        <v>758</v>
      </c>
      <c r="D305" s="1" t="s">
        <v>759</v>
      </c>
      <c r="G305" s="5">
        <v>176</v>
      </c>
      <c r="I305" s="1" t="s">
        <v>72</v>
      </c>
    </row>
    <row r="306" spans="1:10" x14ac:dyDescent="0.25">
      <c r="A306" s="1" t="s">
        <v>21</v>
      </c>
      <c r="C306" s="1" t="s">
        <v>730</v>
      </c>
      <c r="D306" s="1" t="s">
        <v>731</v>
      </c>
      <c r="G306" s="5">
        <v>175</v>
      </c>
      <c r="I306" s="1" t="s">
        <v>72</v>
      </c>
    </row>
    <row r="307" spans="1:10" x14ac:dyDescent="0.25">
      <c r="A307" s="1" t="s">
        <v>21</v>
      </c>
      <c r="C307" s="1" t="s">
        <v>715</v>
      </c>
      <c r="D307" s="1" t="s">
        <v>716</v>
      </c>
      <c r="G307" s="5">
        <v>160</v>
      </c>
      <c r="I307" s="1" t="s">
        <v>72</v>
      </c>
    </row>
    <row r="308" spans="1:10" x14ac:dyDescent="0.25">
      <c r="A308" s="1" t="s">
        <v>21</v>
      </c>
      <c r="C308" s="1" t="s">
        <v>687</v>
      </c>
      <c r="D308" s="1" t="s">
        <v>688</v>
      </c>
      <c r="E308" s="18" t="s">
        <v>689</v>
      </c>
      <c r="G308" s="5">
        <v>150</v>
      </c>
      <c r="I308" s="1" t="s">
        <v>72</v>
      </c>
      <c r="J308" s="3">
        <f>SUM($G$263:$G$312)</f>
        <v>16660.5</v>
      </c>
    </row>
    <row r="309" spans="1:10" x14ac:dyDescent="0.25">
      <c r="A309" s="1" t="s">
        <v>21</v>
      </c>
      <c r="C309" s="1" t="s">
        <v>770</v>
      </c>
      <c r="D309" s="1" t="s">
        <v>771</v>
      </c>
      <c r="G309" s="5">
        <v>150</v>
      </c>
      <c r="I309" s="1" t="s">
        <v>72</v>
      </c>
    </row>
    <row r="310" spans="1:10" x14ac:dyDescent="0.25">
      <c r="A310" s="1" t="s">
        <v>21</v>
      </c>
      <c r="C310" s="1" t="s">
        <v>696</v>
      </c>
      <c r="D310" s="1" t="s">
        <v>697</v>
      </c>
      <c r="G310" s="5">
        <v>124</v>
      </c>
      <c r="I310" s="1" t="s">
        <v>72</v>
      </c>
    </row>
    <row r="311" spans="1:10" x14ac:dyDescent="0.25">
      <c r="A311" s="1" t="s">
        <v>21</v>
      </c>
      <c r="C311" s="1" t="s">
        <v>767</v>
      </c>
      <c r="D311" s="1" t="s">
        <v>768</v>
      </c>
      <c r="G311" s="5">
        <v>120</v>
      </c>
      <c r="I311" s="1" t="s">
        <v>72</v>
      </c>
    </row>
    <row r="312" spans="1:10" x14ac:dyDescent="0.25">
      <c r="A312" s="1" t="s">
        <v>21</v>
      </c>
      <c r="C312" s="1" t="s">
        <v>754</v>
      </c>
      <c r="D312" s="1" t="s">
        <v>723</v>
      </c>
      <c r="G312" s="5">
        <v>110</v>
      </c>
      <c r="I312" s="1" t="s">
        <v>72</v>
      </c>
    </row>
    <row r="313" spans="1:10" x14ac:dyDescent="0.25">
      <c r="A313" s="1" t="s">
        <v>21</v>
      </c>
      <c r="C313" s="1" t="s">
        <v>704</v>
      </c>
      <c r="D313" s="1" t="s">
        <v>705</v>
      </c>
      <c r="G313" s="5">
        <v>108</v>
      </c>
      <c r="I313" s="1" t="s">
        <v>72</v>
      </c>
    </row>
    <row r="314" spans="1:10" x14ac:dyDescent="0.25">
      <c r="A314" s="1" t="s">
        <v>21</v>
      </c>
      <c r="C314" s="1" t="s">
        <v>739</v>
      </c>
      <c r="D314" s="1" t="s">
        <v>740</v>
      </c>
      <c r="G314" s="5">
        <v>105</v>
      </c>
      <c r="I314" s="1" t="s">
        <v>72</v>
      </c>
    </row>
    <row r="315" spans="1:10" x14ac:dyDescent="0.25">
      <c r="A315" s="1" t="s">
        <v>21</v>
      </c>
      <c r="C315" s="1" t="s">
        <v>709</v>
      </c>
      <c r="D315" s="1" t="s">
        <v>710</v>
      </c>
      <c r="G315" s="5">
        <v>104</v>
      </c>
      <c r="I315" s="1" t="s">
        <v>72</v>
      </c>
    </row>
    <row r="316" spans="1:10" x14ac:dyDescent="0.25">
      <c r="A316" s="1" t="s">
        <v>21</v>
      </c>
      <c r="C316" s="1" t="s">
        <v>762</v>
      </c>
      <c r="D316" s="1" t="s">
        <v>763</v>
      </c>
      <c r="G316" s="5">
        <v>100</v>
      </c>
      <c r="I316" s="1" t="s">
        <v>764</v>
      </c>
    </row>
    <row r="317" spans="1:10" x14ac:dyDescent="0.25">
      <c r="A317" s="1" t="s">
        <v>21</v>
      </c>
      <c r="C317" s="1" t="s">
        <v>750</v>
      </c>
      <c r="D317" s="1" t="s">
        <v>751</v>
      </c>
      <c r="G317" s="5">
        <v>92</v>
      </c>
      <c r="I317" s="1" t="s">
        <v>72</v>
      </c>
    </row>
    <row r="318" spans="1:10" x14ac:dyDescent="0.25">
      <c r="A318" s="1" t="s">
        <v>21</v>
      </c>
      <c r="C318" s="1" t="s">
        <v>772</v>
      </c>
      <c r="D318" s="1" t="s">
        <v>768</v>
      </c>
      <c r="G318" s="5">
        <v>80</v>
      </c>
      <c r="I318" s="1" t="s">
        <v>72</v>
      </c>
    </row>
    <row r="319" spans="1:10" x14ac:dyDescent="0.25">
      <c r="A319" s="1" t="s">
        <v>21</v>
      </c>
      <c r="C319" s="1" t="s">
        <v>736</v>
      </c>
      <c r="D319" s="1" t="s">
        <v>737</v>
      </c>
      <c r="E319" s="18" t="s">
        <v>738</v>
      </c>
      <c r="G319" s="5">
        <v>75</v>
      </c>
      <c r="I319" s="1" t="s">
        <v>72</v>
      </c>
    </row>
    <row r="320" spans="1:10" x14ac:dyDescent="0.25">
      <c r="A320" s="1" t="s">
        <v>21</v>
      </c>
      <c r="C320" s="1" t="s">
        <v>744</v>
      </c>
      <c r="D320" s="1" t="s">
        <v>737</v>
      </c>
      <c r="E320" s="18" t="s">
        <v>745</v>
      </c>
      <c r="G320" s="5">
        <v>72</v>
      </c>
      <c r="I320" s="1" t="s">
        <v>72</v>
      </c>
    </row>
    <row r="321" spans="1:11" x14ac:dyDescent="0.25">
      <c r="A321" s="1" t="s">
        <v>21</v>
      </c>
      <c r="C321" s="1" t="s">
        <v>773</v>
      </c>
      <c r="D321" s="1" t="s">
        <v>768</v>
      </c>
      <c r="G321" s="5">
        <v>50</v>
      </c>
      <c r="I321" s="1" t="s">
        <v>72</v>
      </c>
    </row>
    <row r="322" spans="1:11" x14ac:dyDescent="0.25">
      <c r="A322" s="1" t="s">
        <v>21</v>
      </c>
      <c r="C322" s="1" t="s">
        <v>700</v>
      </c>
      <c r="D322" s="1" t="s">
        <v>701</v>
      </c>
      <c r="G322" s="5">
        <v>20</v>
      </c>
      <c r="I322" s="1" t="s">
        <v>72</v>
      </c>
    </row>
    <row r="323" spans="1:11" x14ac:dyDescent="0.25">
      <c r="A323" s="1" t="s">
        <v>21</v>
      </c>
      <c r="C323" s="1" t="s">
        <v>694</v>
      </c>
      <c r="D323" s="1" t="s">
        <v>695</v>
      </c>
      <c r="G323" s="5">
        <v>4.0999999999999996</v>
      </c>
      <c r="I323" s="1" t="s">
        <v>72</v>
      </c>
    </row>
    <row r="324" spans="1:11" x14ac:dyDescent="0.25">
      <c r="A324" s="1" t="s">
        <v>21</v>
      </c>
      <c r="C324" s="1" t="s">
        <v>708</v>
      </c>
      <c r="D324" s="1" t="s">
        <v>695</v>
      </c>
      <c r="G324" s="5">
        <v>1.49</v>
      </c>
      <c r="I324" s="1" t="s">
        <v>72</v>
      </c>
    </row>
    <row r="325" spans="1:11" x14ac:dyDescent="0.25">
      <c r="A325" s="1" t="s">
        <v>21</v>
      </c>
      <c r="C325" s="1" t="s">
        <v>721</v>
      </c>
      <c r="D325" s="1" t="s">
        <v>695</v>
      </c>
      <c r="G325" s="5">
        <v>1.25</v>
      </c>
      <c r="I325" s="1" t="s">
        <v>72</v>
      </c>
    </row>
    <row r="326" spans="1:11" x14ac:dyDescent="0.25">
      <c r="A326" s="1" t="s">
        <v>14</v>
      </c>
      <c r="C326" s="51" t="s">
        <v>789</v>
      </c>
      <c r="D326" s="50" t="s">
        <v>790</v>
      </c>
      <c r="E326" s="17"/>
      <c r="G326" s="51">
        <v>160</v>
      </c>
      <c r="K326" s="50" t="s">
        <v>791</v>
      </c>
    </row>
    <row r="327" spans="1:11" x14ac:dyDescent="0.25">
      <c r="A327" s="1" t="s">
        <v>14</v>
      </c>
      <c r="C327" s="51" t="s">
        <v>784</v>
      </c>
      <c r="D327" s="50" t="s">
        <v>785</v>
      </c>
      <c r="E327" s="17"/>
      <c r="G327" s="51">
        <v>92.75</v>
      </c>
      <c r="K327" s="50" t="s">
        <v>786</v>
      </c>
    </row>
    <row r="328" spans="1:11" x14ac:dyDescent="0.25">
      <c r="A328" s="1" t="s">
        <v>14</v>
      </c>
      <c r="C328" s="51" t="s">
        <v>779</v>
      </c>
      <c r="D328" s="50" t="s">
        <v>780</v>
      </c>
      <c r="E328" s="17"/>
      <c r="G328" s="51">
        <v>90</v>
      </c>
      <c r="J328" s="3">
        <f>SUM($G$313:$G$317)</f>
        <v>509</v>
      </c>
      <c r="K328" s="50" t="s">
        <v>781</v>
      </c>
    </row>
    <row r="329" spans="1:11" x14ac:dyDescent="0.25">
      <c r="A329" s="1" t="s">
        <v>14</v>
      </c>
      <c r="C329" s="51" t="s">
        <v>787</v>
      </c>
      <c r="D329" s="50" t="s">
        <v>785</v>
      </c>
      <c r="E329" s="17"/>
      <c r="G329" s="51">
        <v>50</v>
      </c>
      <c r="K329" s="50" t="s">
        <v>788</v>
      </c>
    </row>
    <row r="330" spans="1:11" x14ac:dyDescent="0.25">
      <c r="A330" s="1" t="s">
        <v>14</v>
      </c>
      <c r="C330" s="51" t="s">
        <v>782</v>
      </c>
      <c r="D330" s="50" t="s">
        <v>780</v>
      </c>
      <c r="E330" s="17"/>
      <c r="G330" s="51">
        <v>2.79</v>
      </c>
      <c r="K330" s="50" t="s">
        <v>783</v>
      </c>
    </row>
    <row r="331" spans="1:11" x14ac:dyDescent="0.25">
      <c r="A331" s="1" t="s">
        <v>15</v>
      </c>
      <c r="C331" s="50" t="s">
        <v>797</v>
      </c>
      <c r="D331" s="50" t="s">
        <v>798</v>
      </c>
      <c r="E331" s="16" t="s">
        <v>799</v>
      </c>
      <c r="F331" s="51" t="s">
        <v>795</v>
      </c>
      <c r="G331" s="51">
        <v>630</v>
      </c>
      <c r="I331" s="51" t="s">
        <v>72</v>
      </c>
    </row>
    <row r="332" spans="1:11" x14ac:dyDescent="0.25">
      <c r="A332" s="1" t="s">
        <v>15</v>
      </c>
      <c r="C332" s="50" t="s">
        <v>800</v>
      </c>
      <c r="D332" s="51" t="s">
        <v>1079</v>
      </c>
      <c r="E332" s="16" t="s">
        <v>801</v>
      </c>
      <c r="F332" s="51" t="s">
        <v>795</v>
      </c>
      <c r="G332" s="51">
        <f>259.2+259.2</f>
        <v>518.4</v>
      </c>
      <c r="I332" s="51" t="s">
        <v>72</v>
      </c>
    </row>
    <row r="333" spans="1:11" x14ac:dyDescent="0.25">
      <c r="A333" s="1" t="s">
        <v>15</v>
      </c>
      <c r="C333" s="50" t="s">
        <v>819</v>
      </c>
      <c r="D333" s="51" t="s">
        <v>803</v>
      </c>
      <c r="E333" s="16" t="s">
        <v>820</v>
      </c>
      <c r="F333" s="51" t="s">
        <v>804</v>
      </c>
      <c r="G333" s="51">
        <f>195+246</f>
        <v>441</v>
      </c>
      <c r="I333" s="51" t="s">
        <v>72</v>
      </c>
    </row>
    <row r="334" spans="1:11" x14ac:dyDescent="0.25">
      <c r="A334" s="1" t="s">
        <v>15</v>
      </c>
      <c r="C334" s="50" t="s">
        <v>802</v>
      </c>
      <c r="D334" s="50" t="s">
        <v>803</v>
      </c>
      <c r="E334" s="16" t="s">
        <v>805</v>
      </c>
      <c r="F334" s="50" t="s">
        <v>804</v>
      </c>
      <c r="G334" s="51">
        <f>240+191</f>
        <v>431</v>
      </c>
      <c r="I334" s="51" t="s">
        <v>72</v>
      </c>
    </row>
    <row r="335" spans="1:11" x14ac:dyDescent="0.25">
      <c r="A335" s="1" t="s">
        <v>15</v>
      </c>
      <c r="C335" s="50" t="s">
        <v>817</v>
      </c>
      <c r="D335" s="51" t="s">
        <v>803</v>
      </c>
      <c r="E335" s="16" t="s">
        <v>818</v>
      </c>
      <c r="F335" s="51" t="s">
        <v>804</v>
      </c>
      <c r="G335" s="51">
        <f>180+189</f>
        <v>369</v>
      </c>
      <c r="I335" s="51" t="s">
        <v>72</v>
      </c>
    </row>
    <row r="336" spans="1:11" x14ac:dyDescent="0.25">
      <c r="A336" s="1" t="s">
        <v>15</v>
      </c>
      <c r="C336" s="50" t="s">
        <v>793</v>
      </c>
      <c r="D336" s="50" t="s">
        <v>794</v>
      </c>
      <c r="E336" s="16" t="s">
        <v>796</v>
      </c>
      <c r="F336" s="50" t="s">
        <v>795</v>
      </c>
      <c r="G336" s="51">
        <v>336</v>
      </c>
      <c r="I336" s="51" t="s">
        <v>72</v>
      </c>
      <c r="J336" s="3">
        <f>SUM($G$318:$G$333)</f>
        <v>2288.7800000000002</v>
      </c>
    </row>
    <row r="337" spans="1:11" x14ac:dyDescent="0.25">
      <c r="A337" s="1" t="s">
        <v>15</v>
      </c>
      <c r="C337" s="50" t="s">
        <v>827</v>
      </c>
      <c r="D337" s="50" t="s">
        <v>828</v>
      </c>
      <c r="E337" s="16" t="s">
        <v>829</v>
      </c>
      <c r="F337" s="51" t="s">
        <v>807</v>
      </c>
      <c r="G337" s="51">
        <v>249</v>
      </c>
      <c r="I337" s="51" t="s">
        <v>72</v>
      </c>
    </row>
    <row r="338" spans="1:11" x14ac:dyDescent="0.25">
      <c r="A338" s="1" t="s">
        <v>15</v>
      </c>
      <c r="C338" s="50" t="s">
        <v>832</v>
      </c>
      <c r="D338" s="51" t="s">
        <v>833</v>
      </c>
      <c r="E338" s="16" t="s">
        <v>834</v>
      </c>
      <c r="F338" s="51" t="s">
        <v>804</v>
      </c>
      <c r="G338" s="51">
        <v>240</v>
      </c>
      <c r="I338" s="51" t="s">
        <v>72</v>
      </c>
    </row>
    <row r="339" spans="1:11" x14ac:dyDescent="0.25">
      <c r="A339" s="1" t="s">
        <v>15</v>
      </c>
      <c r="C339" s="50" t="s">
        <v>809</v>
      </c>
      <c r="D339" s="51" t="s">
        <v>1081</v>
      </c>
      <c r="E339" s="16" t="s">
        <v>810</v>
      </c>
      <c r="F339" s="51" t="s">
        <v>804</v>
      </c>
      <c r="G339" s="51">
        <v>201</v>
      </c>
      <c r="I339" s="51" t="s">
        <v>72</v>
      </c>
    </row>
    <row r="340" spans="1:11" x14ac:dyDescent="0.25">
      <c r="A340" s="1" t="s">
        <v>15</v>
      </c>
      <c r="C340" s="50" t="s">
        <v>821</v>
      </c>
      <c r="D340" s="50" t="s">
        <v>822</v>
      </c>
      <c r="E340" s="16" t="s">
        <v>823</v>
      </c>
      <c r="F340" s="51" t="s">
        <v>804</v>
      </c>
      <c r="G340" s="51">
        <v>186</v>
      </c>
      <c r="I340" s="51" t="s">
        <v>72</v>
      </c>
    </row>
    <row r="341" spans="1:11" x14ac:dyDescent="0.25">
      <c r="A341" s="1" t="s">
        <v>15</v>
      </c>
      <c r="C341" s="50" t="s">
        <v>824</v>
      </c>
      <c r="D341" s="50" t="s">
        <v>825</v>
      </c>
      <c r="E341" s="16" t="s">
        <v>826</v>
      </c>
      <c r="F341" s="51" t="s">
        <v>804</v>
      </c>
      <c r="G341" s="51">
        <v>180</v>
      </c>
      <c r="I341" s="51" t="s">
        <v>72</v>
      </c>
    </row>
    <row r="342" spans="1:11" x14ac:dyDescent="0.25">
      <c r="A342" s="1" t="s">
        <v>15</v>
      </c>
      <c r="C342" s="50" t="s">
        <v>811</v>
      </c>
      <c r="D342" s="50" t="s">
        <v>812</v>
      </c>
      <c r="E342" s="16" t="s">
        <v>813</v>
      </c>
      <c r="F342" s="51" t="s">
        <v>807</v>
      </c>
      <c r="G342" s="51">
        <v>159</v>
      </c>
      <c r="I342" s="51" t="s">
        <v>72</v>
      </c>
    </row>
    <row r="343" spans="1:11" x14ac:dyDescent="0.25">
      <c r="A343" s="1" t="s">
        <v>15</v>
      </c>
      <c r="C343" s="50" t="s">
        <v>835</v>
      </c>
      <c r="D343" s="51" t="s">
        <v>828</v>
      </c>
      <c r="E343" s="16" t="s">
        <v>836</v>
      </c>
      <c r="F343" s="51" t="s">
        <v>807</v>
      </c>
      <c r="G343" s="51">
        <v>125</v>
      </c>
      <c r="I343" s="51" t="s">
        <v>72</v>
      </c>
    </row>
    <row r="344" spans="1:11" x14ac:dyDescent="0.25">
      <c r="A344" s="1" t="s">
        <v>15</v>
      </c>
      <c r="C344" s="50" t="s">
        <v>814</v>
      </c>
      <c r="D344" s="51" t="s">
        <v>815</v>
      </c>
      <c r="E344" s="16" t="s">
        <v>816</v>
      </c>
      <c r="F344" s="51" t="s">
        <v>804</v>
      </c>
      <c r="G344" s="51">
        <v>117</v>
      </c>
      <c r="I344" s="51" t="s">
        <v>72</v>
      </c>
    </row>
    <row r="345" spans="1:11" x14ac:dyDescent="0.25">
      <c r="A345" s="1" t="s">
        <v>15</v>
      </c>
      <c r="C345" s="50" t="s">
        <v>806</v>
      </c>
      <c r="D345" s="51" t="s">
        <v>1080</v>
      </c>
      <c r="E345" s="16" t="s">
        <v>808</v>
      </c>
      <c r="F345" s="51" t="s">
        <v>807</v>
      </c>
      <c r="G345" s="51">
        <v>108</v>
      </c>
      <c r="I345" s="51" t="s">
        <v>72</v>
      </c>
    </row>
    <row r="346" spans="1:11" x14ac:dyDescent="0.25">
      <c r="A346" s="1" t="s">
        <v>15</v>
      </c>
      <c r="C346" s="50" t="s">
        <v>830</v>
      </c>
      <c r="D346" s="51" t="s">
        <v>794</v>
      </c>
      <c r="E346" s="16" t="s">
        <v>831</v>
      </c>
      <c r="F346" s="51" t="s">
        <v>807</v>
      </c>
      <c r="G346" s="51">
        <v>32</v>
      </c>
      <c r="I346" s="51" t="s">
        <v>72</v>
      </c>
    </row>
    <row r="347" spans="1:11" x14ac:dyDescent="0.25">
      <c r="A347" s="1" t="s">
        <v>16</v>
      </c>
      <c r="C347" s="50" t="s">
        <v>849</v>
      </c>
      <c r="D347" s="51" t="s">
        <v>850</v>
      </c>
      <c r="E347" s="16" t="s">
        <v>851</v>
      </c>
      <c r="G347" s="11">
        <v>1166</v>
      </c>
      <c r="K347" s="50" t="s">
        <v>852</v>
      </c>
    </row>
    <row r="348" spans="1:11" x14ac:dyDescent="0.25">
      <c r="A348" s="1" t="s">
        <v>16</v>
      </c>
      <c r="C348" s="50" t="s">
        <v>842</v>
      </c>
      <c r="D348" s="51" t="s">
        <v>843</v>
      </c>
      <c r="E348" s="16" t="s">
        <v>844</v>
      </c>
      <c r="G348" s="51">
        <v>800</v>
      </c>
      <c r="K348" s="51"/>
    </row>
    <row r="349" spans="1:11" x14ac:dyDescent="0.25">
      <c r="A349" s="1" t="s">
        <v>16</v>
      </c>
      <c r="C349" s="50" t="s">
        <v>863</v>
      </c>
      <c r="D349" s="51" t="s">
        <v>864</v>
      </c>
      <c r="E349" s="16" t="s">
        <v>865</v>
      </c>
      <c r="G349" s="51">
        <v>335</v>
      </c>
      <c r="K349" s="51"/>
    </row>
    <row r="350" spans="1:11" x14ac:dyDescent="0.25">
      <c r="A350" s="1" t="s">
        <v>16</v>
      </c>
      <c r="C350" s="50" t="s">
        <v>853</v>
      </c>
      <c r="D350" s="51" t="s">
        <v>854</v>
      </c>
      <c r="E350" s="16" t="s">
        <v>855</v>
      </c>
      <c r="G350" s="51">
        <v>321</v>
      </c>
      <c r="K350" s="51"/>
    </row>
    <row r="351" spans="1:11" x14ac:dyDescent="0.25">
      <c r="A351" s="1" t="s">
        <v>16</v>
      </c>
      <c r="C351" s="50" t="s">
        <v>845</v>
      </c>
      <c r="D351" s="51" t="s">
        <v>846</v>
      </c>
      <c r="E351" s="17"/>
      <c r="G351" s="51">
        <v>221</v>
      </c>
      <c r="K351" s="51"/>
    </row>
    <row r="352" spans="1:11" x14ac:dyDescent="0.25">
      <c r="A352" s="1" t="s">
        <v>16</v>
      </c>
      <c r="C352" s="51" t="s">
        <v>872</v>
      </c>
      <c r="D352" s="51" t="s">
        <v>873</v>
      </c>
      <c r="E352" s="16" t="s">
        <v>874</v>
      </c>
      <c r="G352" s="51">
        <v>220</v>
      </c>
      <c r="K352" s="50" t="s">
        <v>875</v>
      </c>
    </row>
    <row r="353" spans="1:13" x14ac:dyDescent="0.25">
      <c r="A353" s="1" t="s">
        <v>16</v>
      </c>
      <c r="C353" s="50" t="s">
        <v>837</v>
      </c>
      <c r="D353" s="51" t="s">
        <v>838</v>
      </c>
      <c r="E353" s="16" t="s">
        <v>839</v>
      </c>
      <c r="G353" s="51">
        <v>210</v>
      </c>
      <c r="J353" s="1">
        <f>SUM($G$334:$G$346)</f>
        <v>2733</v>
      </c>
      <c r="K353" s="50" t="s">
        <v>469</v>
      </c>
    </row>
    <row r="354" spans="1:13" x14ac:dyDescent="0.25">
      <c r="A354" s="1" t="s">
        <v>16</v>
      </c>
      <c r="C354" s="50" t="s">
        <v>860</v>
      </c>
      <c r="D354" s="51" t="s">
        <v>861</v>
      </c>
      <c r="E354" s="16" t="s">
        <v>862</v>
      </c>
      <c r="G354" s="51">
        <v>153</v>
      </c>
      <c r="K354" s="51"/>
    </row>
    <row r="355" spans="1:13" x14ac:dyDescent="0.25">
      <c r="A355" s="1" t="s">
        <v>16</v>
      </c>
      <c r="C355" s="50" t="s">
        <v>847</v>
      </c>
      <c r="D355" s="51" t="s">
        <v>848</v>
      </c>
      <c r="E355" s="17"/>
      <c r="G355" s="51">
        <v>150</v>
      </c>
      <c r="K355" s="51"/>
    </row>
    <row r="356" spans="1:13" x14ac:dyDescent="0.25">
      <c r="A356" s="1" t="s">
        <v>16</v>
      </c>
      <c r="C356" s="50" t="s">
        <v>866</v>
      </c>
      <c r="D356" s="51" t="s">
        <v>867</v>
      </c>
      <c r="E356" s="16" t="s">
        <v>868</v>
      </c>
      <c r="G356" s="51">
        <v>150</v>
      </c>
      <c r="K356" s="51"/>
    </row>
    <row r="357" spans="1:13" x14ac:dyDescent="0.25">
      <c r="A357" s="1" t="s">
        <v>16</v>
      </c>
      <c r="C357" s="50" t="s">
        <v>840</v>
      </c>
      <c r="D357" s="51" t="s">
        <v>841</v>
      </c>
      <c r="E357" s="17"/>
      <c r="G357" s="51">
        <v>115</v>
      </c>
      <c r="K357" s="51"/>
    </row>
    <row r="358" spans="1:13" x14ac:dyDescent="0.25">
      <c r="A358" s="1" t="s">
        <v>16</v>
      </c>
      <c r="C358" s="50" t="s">
        <v>869</v>
      </c>
      <c r="D358" s="51" t="s">
        <v>870</v>
      </c>
      <c r="E358" s="16" t="s">
        <v>871</v>
      </c>
      <c r="G358" s="51">
        <v>106</v>
      </c>
      <c r="K358" s="51"/>
    </row>
    <row r="359" spans="1:13" x14ac:dyDescent="0.25">
      <c r="A359" s="1" t="s">
        <v>16</v>
      </c>
      <c r="C359" s="50" t="s">
        <v>856</v>
      </c>
      <c r="D359" s="51" t="s">
        <v>857</v>
      </c>
      <c r="E359" s="16" t="s">
        <v>858</v>
      </c>
      <c r="G359" s="51">
        <v>100</v>
      </c>
      <c r="K359" s="50" t="s">
        <v>859</v>
      </c>
    </row>
    <row r="360" spans="1:13" x14ac:dyDescent="0.25">
      <c r="A360" s="1" t="s">
        <v>18</v>
      </c>
      <c r="C360" s="50" t="s">
        <v>876</v>
      </c>
      <c r="D360" s="51" t="s">
        <v>877</v>
      </c>
      <c r="E360" s="16" t="s">
        <v>878</v>
      </c>
      <c r="F360" s="51" t="s">
        <v>26</v>
      </c>
      <c r="G360" s="51">
        <v>735</v>
      </c>
      <c r="J360" s="1">
        <f>SUM(G355:$G$359)</f>
        <v>621</v>
      </c>
    </row>
    <row r="361" spans="1:13" x14ac:dyDescent="0.25">
      <c r="A361" s="1" t="s">
        <v>18</v>
      </c>
      <c r="C361" s="50" t="s">
        <v>882</v>
      </c>
      <c r="D361" s="51" t="s">
        <v>883</v>
      </c>
      <c r="E361" s="16" t="s">
        <v>884</v>
      </c>
      <c r="F361" s="51" t="s">
        <v>491</v>
      </c>
      <c r="G361" s="51">
        <v>720</v>
      </c>
    </row>
    <row r="362" spans="1:13" x14ac:dyDescent="0.25">
      <c r="A362" s="1" t="s">
        <v>18</v>
      </c>
      <c r="C362" s="50" t="s">
        <v>885</v>
      </c>
      <c r="D362" s="51" t="s">
        <v>886</v>
      </c>
      <c r="E362" s="16" t="s">
        <v>887</v>
      </c>
      <c r="F362" s="51" t="s">
        <v>26</v>
      </c>
      <c r="G362" s="51">
        <v>198</v>
      </c>
    </row>
    <row r="363" spans="1:13" x14ac:dyDescent="0.25">
      <c r="A363" s="1" t="s">
        <v>18</v>
      </c>
      <c r="C363" s="50" t="s">
        <v>888</v>
      </c>
      <c r="D363" s="51" t="s">
        <v>889</v>
      </c>
      <c r="E363" s="16" t="s">
        <v>890</v>
      </c>
      <c r="F363" s="51" t="s">
        <v>491</v>
      </c>
      <c r="G363" s="51">
        <v>94</v>
      </c>
    </row>
    <row r="364" spans="1:13" x14ac:dyDescent="0.25">
      <c r="A364" s="1" t="s">
        <v>18</v>
      </c>
      <c r="C364" s="50" t="s">
        <v>891</v>
      </c>
      <c r="D364" s="51" t="s">
        <v>892</v>
      </c>
      <c r="E364" s="16" t="s">
        <v>893</v>
      </c>
      <c r="F364" s="51" t="s">
        <v>491</v>
      </c>
      <c r="G364" s="51">
        <v>68</v>
      </c>
    </row>
    <row r="365" spans="1:13" x14ac:dyDescent="0.25">
      <c r="A365" s="1" t="s">
        <v>18</v>
      </c>
      <c r="C365" s="50" t="s">
        <v>897</v>
      </c>
      <c r="D365" s="51" t="s">
        <v>898</v>
      </c>
      <c r="E365" s="16" t="s">
        <v>899</v>
      </c>
      <c r="F365" s="51" t="s">
        <v>26</v>
      </c>
      <c r="G365" s="51">
        <v>60</v>
      </c>
    </row>
    <row r="366" spans="1:13" x14ac:dyDescent="0.25">
      <c r="A366" s="1" t="s">
        <v>18</v>
      </c>
      <c r="C366" s="50" t="s">
        <v>894</v>
      </c>
      <c r="D366" s="51" t="s">
        <v>895</v>
      </c>
      <c r="E366" s="16" t="s">
        <v>896</v>
      </c>
      <c r="F366" s="51" t="s">
        <v>491</v>
      </c>
      <c r="G366" s="51">
        <v>55</v>
      </c>
    </row>
    <row r="367" spans="1:13" x14ac:dyDescent="0.25">
      <c r="A367" s="1" t="s">
        <v>18</v>
      </c>
      <c r="C367" s="50" t="s">
        <v>879</v>
      </c>
      <c r="D367" s="51" t="s">
        <v>880</v>
      </c>
      <c r="E367" s="16" t="s">
        <v>881</v>
      </c>
      <c r="F367" s="51" t="s">
        <v>26</v>
      </c>
      <c r="G367" s="51">
        <v>24</v>
      </c>
    </row>
    <row r="368" spans="1:13" x14ac:dyDescent="0.25">
      <c r="A368" s="1" t="s">
        <v>17</v>
      </c>
      <c r="C368" s="51" t="s">
        <v>919</v>
      </c>
      <c r="D368" s="50" t="s">
        <v>920</v>
      </c>
      <c r="F368" s="51" t="s">
        <v>26</v>
      </c>
      <c r="G368" s="51">
        <v>185</v>
      </c>
      <c r="J368" s="12"/>
      <c r="K368" s="12"/>
      <c r="L368" s="50" t="s">
        <v>913</v>
      </c>
      <c r="M368" s="51">
        <v>2009</v>
      </c>
    </row>
    <row r="369" spans="1:13" x14ac:dyDescent="0.25">
      <c r="A369" s="1" t="s">
        <v>17</v>
      </c>
      <c r="C369" s="51" t="s">
        <v>907</v>
      </c>
      <c r="D369" s="50" t="s">
        <v>908</v>
      </c>
      <c r="F369" s="51" t="s">
        <v>491</v>
      </c>
      <c r="G369" s="51">
        <v>116</v>
      </c>
      <c r="J369" s="51"/>
      <c r="K369" s="51"/>
      <c r="L369" s="50" t="s">
        <v>901</v>
      </c>
      <c r="M369" s="51">
        <v>1978</v>
      </c>
    </row>
    <row r="370" spans="1:13" x14ac:dyDescent="0.25">
      <c r="A370" s="1" t="s">
        <v>17</v>
      </c>
      <c r="C370" s="51" t="s">
        <v>905</v>
      </c>
      <c r="D370" s="50" t="s">
        <v>906</v>
      </c>
      <c r="F370" s="51" t="s">
        <v>491</v>
      </c>
      <c r="G370" s="51">
        <v>114</v>
      </c>
      <c r="J370" s="51"/>
      <c r="K370" s="51"/>
      <c r="L370" s="50" t="s">
        <v>901</v>
      </c>
      <c r="M370" s="51">
        <v>1969</v>
      </c>
    </row>
    <row r="371" spans="1:13" x14ac:dyDescent="0.25">
      <c r="A371" s="1" t="s">
        <v>17</v>
      </c>
      <c r="C371" s="51" t="s">
        <v>900</v>
      </c>
      <c r="D371" s="50" t="s">
        <v>902</v>
      </c>
      <c r="F371" s="51" t="s">
        <v>491</v>
      </c>
      <c r="G371" s="51">
        <v>58</v>
      </c>
      <c r="J371" s="51">
        <f>SUM($G$355:$G$364)</f>
        <v>2436</v>
      </c>
      <c r="K371" s="51"/>
      <c r="L371" s="50" t="s">
        <v>901</v>
      </c>
      <c r="M371" s="51">
        <v>1918</v>
      </c>
    </row>
    <row r="372" spans="1:13" x14ac:dyDescent="0.25">
      <c r="A372" s="1" t="s">
        <v>17</v>
      </c>
      <c r="C372" s="51" t="s">
        <v>917</v>
      </c>
      <c r="D372" s="50" t="s">
        <v>914</v>
      </c>
      <c r="F372" s="51" t="s">
        <v>491</v>
      </c>
      <c r="G372" s="51">
        <v>40</v>
      </c>
      <c r="J372" s="51"/>
      <c r="K372" s="51"/>
      <c r="L372" s="50" t="s">
        <v>913</v>
      </c>
      <c r="M372" s="51">
        <v>2002</v>
      </c>
    </row>
    <row r="373" spans="1:13" x14ac:dyDescent="0.25">
      <c r="A373" s="1" t="s">
        <v>17</v>
      </c>
      <c r="C373" s="51" t="s">
        <v>912</v>
      </c>
      <c r="D373" s="50" t="s">
        <v>914</v>
      </c>
      <c r="F373" s="51" t="s">
        <v>491</v>
      </c>
      <c r="G373" s="51">
        <v>39</v>
      </c>
      <c r="J373" s="51"/>
      <c r="K373" s="51"/>
      <c r="L373" s="50" t="s">
        <v>913</v>
      </c>
      <c r="M373" s="51">
        <v>1939</v>
      </c>
    </row>
    <row r="374" spans="1:13" x14ac:dyDescent="0.25">
      <c r="A374" s="1" t="s">
        <v>17</v>
      </c>
      <c r="C374" s="51" t="s">
        <v>903</v>
      </c>
      <c r="D374" s="50" t="s">
        <v>904</v>
      </c>
      <c r="F374" s="51" t="s">
        <v>491</v>
      </c>
      <c r="G374" s="51">
        <v>26</v>
      </c>
      <c r="J374" s="51"/>
      <c r="K374" s="51"/>
      <c r="L374" s="50" t="s">
        <v>901</v>
      </c>
      <c r="M374" s="51">
        <v>1944</v>
      </c>
    </row>
    <row r="375" spans="1:13" x14ac:dyDescent="0.25">
      <c r="A375" s="1" t="s">
        <v>17</v>
      </c>
      <c r="C375" s="51" t="s">
        <v>909</v>
      </c>
      <c r="D375" s="50" t="s">
        <v>911</v>
      </c>
      <c r="F375" s="51" t="s">
        <v>491</v>
      </c>
      <c r="G375" s="51">
        <v>25</v>
      </c>
      <c r="J375" s="51"/>
      <c r="K375" s="51"/>
      <c r="L375" s="50" t="s">
        <v>910</v>
      </c>
      <c r="M375" s="51">
        <v>1953</v>
      </c>
    </row>
    <row r="376" spans="1:13" x14ac:dyDescent="0.25">
      <c r="A376" s="1" t="s">
        <v>17</v>
      </c>
      <c r="C376" s="51" t="s">
        <v>918</v>
      </c>
      <c r="D376" s="50" t="s">
        <v>916</v>
      </c>
      <c r="F376" s="51" t="s">
        <v>491</v>
      </c>
      <c r="G376" s="51">
        <v>20</v>
      </c>
      <c r="J376" s="51"/>
      <c r="K376" s="51"/>
      <c r="L376" s="50" t="s">
        <v>913</v>
      </c>
      <c r="M376" s="51">
        <v>2002</v>
      </c>
    </row>
    <row r="377" spans="1:13" x14ac:dyDescent="0.25">
      <c r="A377" s="1" t="s">
        <v>17</v>
      </c>
      <c r="C377" s="51" t="s">
        <v>915</v>
      </c>
      <c r="D377" s="50" t="s">
        <v>916</v>
      </c>
      <c r="F377" s="51" t="s">
        <v>491</v>
      </c>
      <c r="G377" s="51">
        <v>15</v>
      </c>
      <c r="J377" s="51"/>
      <c r="K377" s="51"/>
      <c r="L377" s="50" t="s">
        <v>913</v>
      </c>
      <c r="M377" s="51">
        <v>1940</v>
      </c>
    </row>
    <row r="378" spans="1:13" x14ac:dyDescent="0.25">
      <c r="A378" s="1" t="s">
        <v>6</v>
      </c>
      <c r="C378" s="1" t="s">
        <v>926</v>
      </c>
      <c r="D378" s="1" t="s">
        <v>927</v>
      </c>
      <c r="E378" s="18" t="s">
        <v>928</v>
      </c>
      <c r="G378" s="13">
        <v>1200</v>
      </c>
      <c r="I378" s="5" t="s">
        <v>929</v>
      </c>
    </row>
    <row r="379" spans="1:13" x14ac:dyDescent="0.25">
      <c r="A379" s="1" t="s">
        <v>6</v>
      </c>
      <c r="C379" s="1" t="s">
        <v>923</v>
      </c>
      <c r="D379" s="1" t="s">
        <v>924</v>
      </c>
      <c r="E379" s="18" t="s">
        <v>925</v>
      </c>
      <c r="G379" s="1">
        <v>916</v>
      </c>
      <c r="I379" s="1" t="s">
        <v>72</v>
      </c>
      <c r="J379" s="51">
        <f>SUM($G$365:$G$371)</f>
        <v>612</v>
      </c>
    </row>
    <row r="380" spans="1:13" x14ac:dyDescent="0.25">
      <c r="A380" s="1" t="s">
        <v>6</v>
      </c>
      <c r="C380" s="1" t="s">
        <v>930</v>
      </c>
      <c r="D380" s="1" t="s">
        <v>931</v>
      </c>
      <c r="E380" s="18" t="s">
        <v>932</v>
      </c>
      <c r="G380" s="1">
        <v>857</v>
      </c>
      <c r="I380" s="5" t="s">
        <v>72</v>
      </c>
    </row>
    <row r="381" spans="1:13" x14ac:dyDescent="0.25">
      <c r="A381" s="1" t="s">
        <v>6</v>
      </c>
      <c r="C381" s="1" t="s">
        <v>933</v>
      </c>
      <c r="D381" s="1" t="s">
        <v>934</v>
      </c>
      <c r="E381" s="18" t="s">
        <v>935</v>
      </c>
      <c r="G381" s="1">
        <v>384</v>
      </c>
      <c r="I381" s="5" t="s">
        <v>72</v>
      </c>
    </row>
    <row r="382" spans="1:13" x14ac:dyDescent="0.25">
      <c r="A382" s="1" t="s">
        <v>6</v>
      </c>
      <c r="C382" s="1" t="s">
        <v>938</v>
      </c>
      <c r="D382" s="1" t="s">
        <v>939</v>
      </c>
      <c r="E382" s="18" t="s">
        <v>940</v>
      </c>
      <c r="G382" s="1">
        <v>339</v>
      </c>
      <c r="I382" s="5" t="s">
        <v>929</v>
      </c>
    </row>
    <row r="383" spans="1:13" x14ac:dyDescent="0.25">
      <c r="A383" s="1" t="s">
        <v>6</v>
      </c>
      <c r="C383" s="1" t="s">
        <v>936</v>
      </c>
      <c r="D383" s="1" t="s">
        <v>937</v>
      </c>
      <c r="G383" s="1">
        <v>210</v>
      </c>
      <c r="I383" s="5" t="s">
        <v>929</v>
      </c>
    </row>
    <row r="384" spans="1:13" x14ac:dyDescent="0.25">
      <c r="A384" s="1" t="s">
        <v>6</v>
      </c>
      <c r="C384" s="1" t="s">
        <v>941</v>
      </c>
      <c r="D384" s="1" t="s">
        <v>942</v>
      </c>
      <c r="E384" s="18" t="s">
        <v>943</v>
      </c>
      <c r="G384" s="1">
        <v>30</v>
      </c>
      <c r="I384" s="5" t="s">
        <v>72</v>
      </c>
    </row>
    <row r="385" spans="1:14" ht="21" x14ac:dyDescent="0.25">
      <c r="A385" s="1" t="s">
        <v>20</v>
      </c>
      <c r="C385" s="50" t="s">
        <v>972</v>
      </c>
      <c r="D385" s="51" t="s">
        <v>973</v>
      </c>
      <c r="E385" s="16" t="s">
        <v>974</v>
      </c>
      <c r="G385" s="51">
        <v>977</v>
      </c>
      <c r="I385" s="51" t="s">
        <v>72</v>
      </c>
      <c r="L385" s="51" t="s">
        <v>971</v>
      </c>
      <c r="N385" s="51" t="s">
        <v>975</v>
      </c>
    </row>
    <row r="386" spans="1:14" ht="21" x14ac:dyDescent="0.25">
      <c r="A386" s="1" t="s">
        <v>20</v>
      </c>
      <c r="C386" s="50" t="s">
        <v>976</v>
      </c>
      <c r="D386" s="51" t="s">
        <v>977</v>
      </c>
      <c r="E386" s="16" t="s">
        <v>978</v>
      </c>
      <c r="G386" s="51">
        <v>599</v>
      </c>
      <c r="I386" s="51" t="s">
        <v>72</v>
      </c>
      <c r="L386" s="50" t="s">
        <v>980</v>
      </c>
      <c r="N386" s="51" t="s">
        <v>979</v>
      </c>
    </row>
    <row r="387" spans="1:14" ht="21" x14ac:dyDescent="0.25">
      <c r="A387" s="1" t="s">
        <v>20</v>
      </c>
      <c r="C387" s="50" t="s">
        <v>967</v>
      </c>
      <c r="D387" s="51" t="s">
        <v>968</v>
      </c>
      <c r="E387" s="16" t="s">
        <v>969</v>
      </c>
      <c r="G387" s="51">
        <v>480</v>
      </c>
      <c r="I387" s="51" t="s">
        <v>72</v>
      </c>
      <c r="L387" s="50" t="s">
        <v>971</v>
      </c>
      <c r="N387" s="51" t="s">
        <v>970</v>
      </c>
    </row>
    <row r="388" spans="1:14" x14ac:dyDescent="0.25">
      <c r="A388" s="1" t="s">
        <v>20</v>
      </c>
      <c r="C388" s="50" t="s">
        <v>981</v>
      </c>
      <c r="D388" s="51" t="s">
        <v>981</v>
      </c>
      <c r="E388" s="16" t="s">
        <v>982</v>
      </c>
      <c r="G388" s="51">
        <v>460</v>
      </c>
      <c r="I388" s="51" t="s">
        <v>72</v>
      </c>
      <c r="L388" s="51" t="s">
        <v>971</v>
      </c>
      <c r="N388" s="51" t="s">
        <v>983</v>
      </c>
    </row>
    <row r="389" spans="1:14" ht="31.5" x14ac:dyDescent="0.25">
      <c r="A389" s="1" t="s">
        <v>20</v>
      </c>
      <c r="C389" s="50" t="s">
        <v>984</v>
      </c>
      <c r="D389" s="51" t="s">
        <v>984</v>
      </c>
      <c r="E389" s="17" t="s">
        <v>31</v>
      </c>
      <c r="F389" s="1" t="s">
        <v>29</v>
      </c>
      <c r="G389" s="51">
        <v>456</v>
      </c>
      <c r="I389" s="51" t="s">
        <v>72</v>
      </c>
      <c r="L389" s="50" t="s">
        <v>986</v>
      </c>
      <c r="N389" s="51" t="s">
        <v>985</v>
      </c>
    </row>
    <row r="390" spans="1:14" ht="21" x14ac:dyDescent="0.25">
      <c r="A390" s="1" t="s">
        <v>20</v>
      </c>
      <c r="C390" s="50" t="s">
        <v>987</v>
      </c>
      <c r="D390" s="51" t="s">
        <v>987</v>
      </c>
      <c r="E390" s="16" t="s">
        <v>988</v>
      </c>
      <c r="G390" s="51">
        <v>415</v>
      </c>
      <c r="I390" s="51" t="s">
        <v>72</v>
      </c>
      <c r="L390" s="50" t="s">
        <v>990</v>
      </c>
      <c r="N390" s="51" t="s">
        <v>989</v>
      </c>
    </row>
    <row r="391" spans="1:14" x14ac:dyDescent="0.25">
      <c r="A391" s="1" t="s">
        <v>20</v>
      </c>
      <c r="C391" s="50" t="s">
        <v>954</v>
      </c>
      <c r="D391" s="51" t="s">
        <v>955</v>
      </c>
      <c r="E391" s="16" t="s">
        <v>956</v>
      </c>
      <c r="G391" s="51">
        <v>334</v>
      </c>
      <c r="I391" s="51" t="s">
        <v>72</v>
      </c>
      <c r="L391" s="50" t="s">
        <v>958</v>
      </c>
      <c r="N391" s="51" t="s">
        <v>957</v>
      </c>
    </row>
    <row r="392" spans="1:14" ht="31.5" x14ac:dyDescent="0.25">
      <c r="A392" s="1" t="s">
        <v>20</v>
      </c>
      <c r="C392" s="50" t="s">
        <v>991</v>
      </c>
      <c r="D392" s="51" t="s">
        <v>992</v>
      </c>
      <c r="E392" s="16" t="s">
        <v>993</v>
      </c>
      <c r="G392" s="51">
        <v>330</v>
      </c>
      <c r="I392" s="51" t="s">
        <v>72</v>
      </c>
      <c r="L392" s="51" t="s">
        <v>948</v>
      </c>
      <c r="N392" s="51" t="s">
        <v>994</v>
      </c>
    </row>
    <row r="393" spans="1:14" ht="21" x14ac:dyDescent="0.25">
      <c r="A393" s="1" t="s">
        <v>20</v>
      </c>
      <c r="C393" s="50" t="s">
        <v>949</v>
      </c>
      <c r="D393" s="51" t="s">
        <v>950</v>
      </c>
      <c r="E393" s="16" t="s">
        <v>951</v>
      </c>
      <c r="G393" s="51">
        <v>170</v>
      </c>
      <c r="I393" s="51" t="s">
        <v>72</v>
      </c>
      <c r="L393" s="50" t="s">
        <v>953</v>
      </c>
      <c r="N393" s="50" t="s">
        <v>952</v>
      </c>
    </row>
    <row r="394" spans="1:14" ht="31.5" x14ac:dyDescent="0.25">
      <c r="A394" s="1" t="s">
        <v>20</v>
      </c>
      <c r="C394" s="50" t="s">
        <v>964</v>
      </c>
      <c r="D394" s="51" t="s">
        <v>950</v>
      </c>
      <c r="E394" s="16" t="s">
        <v>965</v>
      </c>
      <c r="G394" s="51">
        <v>130</v>
      </c>
      <c r="I394" s="51" t="s">
        <v>72</v>
      </c>
      <c r="L394" s="51" t="s">
        <v>953</v>
      </c>
      <c r="N394" s="51" t="s">
        <v>966</v>
      </c>
    </row>
    <row r="395" spans="1:14" ht="21" x14ac:dyDescent="0.25">
      <c r="A395" s="1" t="s">
        <v>20</v>
      </c>
      <c r="C395" s="50" t="s">
        <v>944</v>
      </c>
      <c r="D395" s="51" t="s">
        <v>945</v>
      </c>
      <c r="E395" s="16" t="s">
        <v>946</v>
      </c>
      <c r="F395" s="1" t="s">
        <v>29</v>
      </c>
      <c r="G395" s="51">
        <v>126</v>
      </c>
      <c r="I395" s="51" t="s">
        <v>72</v>
      </c>
      <c r="J395" s="1">
        <f>SUM($G$372:$G$383)</f>
        <v>4071</v>
      </c>
      <c r="L395" s="50" t="s">
        <v>948</v>
      </c>
      <c r="N395" s="51" t="s">
        <v>947</v>
      </c>
    </row>
    <row r="396" spans="1:14" x14ac:dyDescent="0.25">
      <c r="A396" s="1" t="s">
        <v>20</v>
      </c>
      <c r="C396" s="51" t="s">
        <v>959</v>
      </c>
      <c r="D396" s="51" t="s">
        <v>960</v>
      </c>
      <c r="E396" s="16" t="s">
        <v>961</v>
      </c>
      <c r="F396" s="51" t="s">
        <v>962</v>
      </c>
      <c r="G396" s="51">
        <v>36</v>
      </c>
      <c r="I396" s="51" t="s">
        <v>72</v>
      </c>
      <c r="L396" s="50" t="s">
        <v>963</v>
      </c>
    </row>
    <row r="397" spans="1:14" ht="12" x14ac:dyDescent="0.25">
      <c r="A397" s="1" t="s">
        <v>22</v>
      </c>
      <c r="C397" s="51" t="s">
        <v>1085</v>
      </c>
      <c r="D397" s="50" t="s">
        <v>1011</v>
      </c>
      <c r="E397" s="16" t="s">
        <v>1012</v>
      </c>
      <c r="G397" s="11">
        <v>1450</v>
      </c>
      <c r="I397" s="51" t="s">
        <v>72</v>
      </c>
    </row>
    <row r="398" spans="1:14" x14ac:dyDescent="0.25">
      <c r="A398" s="1" t="s">
        <v>22</v>
      </c>
      <c r="C398" s="50" t="s">
        <v>998</v>
      </c>
      <c r="D398" s="51" t="s">
        <v>999</v>
      </c>
      <c r="E398" s="16" t="s">
        <v>1000</v>
      </c>
      <c r="G398" s="11">
        <v>1269</v>
      </c>
      <c r="I398" s="51" t="s">
        <v>72</v>
      </c>
    </row>
    <row r="399" spans="1:14" x14ac:dyDescent="0.25">
      <c r="A399" s="1" t="s">
        <v>22</v>
      </c>
      <c r="C399" s="50" t="s">
        <v>1028</v>
      </c>
      <c r="D399" s="51" t="s">
        <v>1029</v>
      </c>
      <c r="E399" s="16" t="s">
        <v>1030</v>
      </c>
      <c r="G399" s="51">
        <v>900</v>
      </c>
      <c r="I399" s="51" t="s">
        <v>154</v>
      </c>
    </row>
    <row r="400" spans="1:14" x14ac:dyDescent="0.25">
      <c r="A400" s="1" t="s">
        <v>22</v>
      </c>
      <c r="C400" s="50" t="s">
        <v>1022</v>
      </c>
      <c r="D400" s="51" t="s">
        <v>1023</v>
      </c>
      <c r="E400" s="16" t="s">
        <v>1024</v>
      </c>
      <c r="G400" s="51">
        <v>479</v>
      </c>
      <c r="I400" s="51" t="s">
        <v>72</v>
      </c>
    </row>
    <row r="401" spans="1:11" x14ac:dyDescent="0.25">
      <c r="A401" s="1" t="s">
        <v>22</v>
      </c>
      <c r="C401" s="50" t="s">
        <v>1031</v>
      </c>
      <c r="D401" s="51"/>
      <c r="E401" s="17"/>
      <c r="G401" s="51">
        <v>390</v>
      </c>
      <c r="I401" s="51" t="s">
        <v>72</v>
      </c>
    </row>
    <row r="402" spans="1:11" x14ac:dyDescent="0.25">
      <c r="A402" s="1" t="s">
        <v>22</v>
      </c>
      <c r="C402" s="50" t="s">
        <v>1025</v>
      </c>
      <c r="D402" s="51" t="s">
        <v>1026</v>
      </c>
      <c r="E402" s="16" t="s">
        <v>1027</v>
      </c>
      <c r="G402" s="51">
        <v>363</v>
      </c>
      <c r="I402" s="51" t="s">
        <v>72</v>
      </c>
    </row>
    <row r="403" spans="1:11" ht="12" x14ac:dyDescent="0.25">
      <c r="A403" s="1" t="s">
        <v>22</v>
      </c>
      <c r="C403" s="50" t="s">
        <v>1013</v>
      </c>
      <c r="D403" s="50" t="s">
        <v>1011</v>
      </c>
      <c r="E403" s="16" t="s">
        <v>1014</v>
      </c>
      <c r="F403" s="1" t="s">
        <v>26</v>
      </c>
      <c r="G403" s="51">
        <v>350</v>
      </c>
      <c r="I403" s="51" t="s">
        <v>72</v>
      </c>
      <c r="K403" s="14" t="s">
        <v>852</v>
      </c>
    </row>
    <row r="404" spans="1:11" x14ac:dyDescent="0.25">
      <c r="A404" s="1" t="s">
        <v>22</v>
      </c>
      <c r="C404" s="50" t="s">
        <v>1006</v>
      </c>
      <c r="D404" s="51"/>
      <c r="E404" s="17"/>
      <c r="G404" s="51">
        <v>290</v>
      </c>
      <c r="I404" s="51" t="s">
        <v>72</v>
      </c>
    </row>
    <row r="405" spans="1:11" x14ac:dyDescent="0.25">
      <c r="A405" s="1" t="s">
        <v>22</v>
      </c>
      <c r="C405" s="50" t="s">
        <v>1018</v>
      </c>
      <c r="D405" s="50" t="s">
        <v>1019</v>
      </c>
      <c r="E405" s="16" t="s">
        <v>1020</v>
      </c>
      <c r="G405" s="51">
        <v>162</v>
      </c>
      <c r="I405" s="51" t="s">
        <v>72</v>
      </c>
    </row>
    <row r="406" spans="1:11" ht="12" x14ac:dyDescent="0.25">
      <c r="A406" s="1" t="s">
        <v>22</v>
      </c>
      <c r="C406" s="51" t="s">
        <v>1084</v>
      </c>
      <c r="D406" s="50" t="s">
        <v>1004</v>
      </c>
      <c r="E406" s="16" t="s">
        <v>1005</v>
      </c>
      <c r="G406" s="51">
        <v>140</v>
      </c>
      <c r="I406" s="51" t="s">
        <v>72</v>
      </c>
    </row>
    <row r="407" spans="1:11" x14ac:dyDescent="0.25">
      <c r="A407" s="1" t="s">
        <v>22</v>
      </c>
      <c r="C407" s="50" t="s">
        <v>1001</v>
      </c>
      <c r="D407" s="51"/>
      <c r="E407" s="17"/>
      <c r="G407" s="51">
        <v>120</v>
      </c>
      <c r="I407" s="51" t="s">
        <v>72</v>
      </c>
    </row>
    <row r="408" spans="1:11" x14ac:dyDescent="0.25">
      <c r="A408" s="1" t="s">
        <v>22</v>
      </c>
      <c r="C408" s="50" t="s">
        <v>1043</v>
      </c>
      <c r="D408" s="51" t="s">
        <v>1044</v>
      </c>
      <c r="E408" s="16" t="s">
        <v>1045</v>
      </c>
      <c r="G408" s="51">
        <v>105</v>
      </c>
      <c r="I408" s="51" t="s">
        <v>72</v>
      </c>
    </row>
    <row r="409" spans="1:11" ht="12" x14ac:dyDescent="0.25">
      <c r="A409" s="1" t="s">
        <v>22</v>
      </c>
      <c r="C409" s="51" t="s">
        <v>1091</v>
      </c>
      <c r="D409" s="50" t="s">
        <v>1046</v>
      </c>
      <c r="E409" s="16" t="s">
        <v>1047</v>
      </c>
      <c r="G409" s="51">
        <v>26</v>
      </c>
      <c r="I409" s="51" t="s">
        <v>72</v>
      </c>
    </row>
    <row r="410" spans="1:11" ht="12" x14ac:dyDescent="0.25">
      <c r="A410" s="1" t="s">
        <v>22</v>
      </c>
      <c r="C410" s="51" t="s">
        <v>1087</v>
      </c>
      <c r="D410" s="50" t="s">
        <v>996</v>
      </c>
      <c r="E410" s="16" t="s">
        <v>1017</v>
      </c>
      <c r="G410" s="51">
        <v>6.8</v>
      </c>
      <c r="I410" s="51" t="s">
        <v>72</v>
      </c>
    </row>
    <row r="411" spans="1:11" ht="12" x14ac:dyDescent="0.25">
      <c r="A411" s="1" t="s">
        <v>22</v>
      </c>
      <c r="C411" s="51" t="s">
        <v>1088</v>
      </c>
      <c r="D411" s="50" t="s">
        <v>1015</v>
      </c>
      <c r="E411" s="16" t="s">
        <v>1021</v>
      </c>
      <c r="G411" s="51">
        <v>4</v>
      </c>
      <c r="I411" s="51" t="s">
        <v>72</v>
      </c>
    </row>
    <row r="412" spans="1:11" ht="12" x14ac:dyDescent="0.25">
      <c r="A412" s="1" t="s">
        <v>22</v>
      </c>
      <c r="C412" s="51" t="s">
        <v>1082</v>
      </c>
      <c r="D412" s="50" t="s">
        <v>996</v>
      </c>
      <c r="E412" s="16" t="s">
        <v>997</v>
      </c>
      <c r="G412" s="51">
        <v>3.9</v>
      </c>
      <c r="I412" s="51" t="s">
        <v>72</v>
      </c>
      <c r="J412" s="1">
        <f>SUM($G$384:$G$406)</f>
        <v>10336</v>
      </c>
    </row>
    <row r="413" spans="1:11" ht="12" x14ac:dyDescent="0.25">
      <c r="A413" s="1" t="s">
        <v>22</v>
      </c>
      <c r="C413" s="51" t="s">
        <v>1083</v>
      </c>
      <c r="D413" s="50" t="s">
        <v>1002</v>
      </c>
      <c r="E413" s="16" t="s">
        <v>1003</v>
      </c>
      <c r="G413" s="51">
        <v>2.6</v>
      </c>
      <c r="I413" s="51" t="s">
        <v>72</v>
      </c>
    </row>
    <row r="414" spans="1:11" ht="12" x14ac:dyDescent="0.25">
      <c r="A414" s="1" t="s">
        <v>22</v>
      </c>
      <c r="C414" s="51" t="s">
        <v>1089</v>
      </c>
      <c r="D414" s="50" t="s">
        <v>1036</v>
      </c>
      <c r="E414" s="16" t="s">
        <v>1037</v>
      </c>
      <c r="G414" s="51">
        <v>2.6</v>
      </c>
      <c r="I414" s="51" t="s">
        <v>72</v>
      </c>
    </row>
    <row r="415" spans="1:11" ht="12" x14ac:dyDescent="0.25">
      <c r="A415" s="1" t="s">
        <v>22</v>
      </c>
      <c r="C415" s="51" t="s">
        <v>1086</v>
      </c>
      <c r="D415" s="50" t="s">
        <v>1015</v>
      </c>
      <c r="E415" s="16" t="s">
        <v>1016</v>
      </c>
      <c r="G415" s="51">
        <v>1</v>
      </c>
      <c r="I415" s="51" t="s">
        <v>72</v>
      </c>
    </row>
    <row r="416" spans="1:11" ht="12" x14ac:dyDescent="0.25">
      <c r="A416" s="1" t="s">
        <v>22</v>
      </c>
      <c r="C416" s="51" t="s">
        <v>1090</v>
      </c>
      <c r="D416" s="50" t="s">
        <v>1042</v>
      </c>
      <c r="E416" s="17"/>
      <c r="G416" s="51">
        <v>1</v>
      </c>
      <c r="I416" s="51" t="s">
        <v>72</v>
      </c>
    </row>
    <row r="417" spans="1:14" ht="31.5" x14ac:dyDescent="0.25">
      <c r="A417" s="1" t="s">
        <v>22</v>
      </c>
      <c r="C417" s="50" t="s">
        <v>1038</v>
      </c>
      <c r="D417" s="50" t="s">
        <v>1039</v>
      </c>
      <c r="E417" s="16" t="s">
        <v>1040</v>
      </c>
      <c r="G417" s="51">
        <v>0.75</v>
      </c>
      <c r="I417" s="51" t="s">
        <v>1041</v>
      </c>
    </row>
    <row r="418" spans="1:14" x14ac:dyDescent="0.25">
      <c r="A418" s="1" t="s">
        <v>22</v>
      </c>
      <c r="C418" s="50" t="s">
        <v>1007</v>
      </c>
      <c r="D418" s="50" t="s">
        <v>1008</v>
      </c>
      <c r="E418" s="16" t="s">
        <v>1009</v>
      </c>
      <c r="G418" s="51"/>
      <c r="I418" s="51" t="s">
        <v>1010</v>
      </c>
    </row>
    <row r="419" spans="1:14" x14ac:dyDescent="0.25">
      <c r="A419" s="1" t="s">
        <v>22</v>
      </c>
      <c r="C419" s="50" t="s">
        <v>1032</v>
      </c>
      <c r="D419" s="50" t="s">
        <v>1033</v>
      </c>
      <c r="E419" s="16" t="s">
        <v>1034</v>
      </c>
      <c r="G419" s="51"/>
      <c r="I419" s="51" t="s">
        <v>1035</v>
      </c>
    </row>
    <row r="420" spans="1:14" ht="21" x14ac:dyDescent="0.25">
      <c r="A420" s="1" t="s">
        <v>1048</v>
      </c>
      <c r="B420" s="1" t="s">
        <v>1051</v>
      </c>
      <c r="C420" s="50" t="s">
        <v>1164</v>
      </c>
      <c r="D420" s="50" t="s">
        <v>1165</v>
      </c>
      <c r="E420" s="16" t="s">
        <v>1166</v>
      </c>
      <c r="F420" s="1" t="s">
        <v>1180</v>
      </c>
      <c r="G420" s="51">
        <v>1728</v>
      </c>
      <c r="I420" s="1" t="s">
        <v>72</v>
      </c>
      <c r="N420" s="51" t="s">
        <v>1167</v>
      </c>
    </row>
    <row r="421" spans="1:14" ht="12" x14ac:dyDescent="0.25">
      <c r="A421" s="1" t="s">
        <v>1048</v>
      </c>
      <c r="B421" s="50" t="s">
        <v>1181</v>
      </c>
      <c r="C421" s="51" t="s">
        <v>1398</v>
      </c>
      <c r="D421" s="50" t="s">
        <v>1182</v>
      </c>
      <c r="E421" s="54" t="s">
        <v>1187</v>
      </c>
      <c r="F421" s="55" t="s">
        <v>26</v>
      </c>
      <c r="G421" s="55">
        <v>440</v>
      </c>
      <c r="M421" s="51">
        <v>1965</v>
      </c>
    </row>
    <row r="422" spans="1:14" x14ac:dyDescent="0.25">
      <c r="A422" s="1" t="s">
        <v>1048</v>
      </c>
      <c r="B422" s="1" t="s">
        <v>1051</v>
      </c>
      <c r="C422" s="1" t="s">
        <v>1053</v>
      </c>
      <c r="D422" s="1" t="s">
        <v>1052</v>
      </c>
      <c r="F422" s="1" t="s">
        <v>1050</v>
      </c>
      <c r="G422" s="5">
        <v>360</v>
      </c>
      <c r="I422" s="1" t="s">
        <v>72</v>
      </c>
      <c r="M422" s="1">
        <v>1961</v>
      </c>
    </row>
    <row r="423" spans="1:14" ht="21" x14ac:dyDescent="0.25">
      <c r="A423" s="1" t="s">
        <v>1048</v>
      </c>
      <c r="C423" s="50" t="s">
        <v>1170</v>
      </c>
      <c r="D423" s="50" t="s">
        <v>1165</v>
      </c>
      <c r="E423" s="16" t="s">
        <v>1171</v>
      </c>
      <c r="F423" s="1" t="s">
        <v>1180</v>
      </c>
      <c r="G423" s="51">
        <v>360</v>
      </c>
      <c r="N423" s="51" t="s">
        <v>1167</v>
      </c>
    </row>
    <row r="424" spans="1:14" x14ac:dyDescent="0.25">
      <c r="A424" s="1" t="s">
        <v>1048</v>
      </c>
      <c r="B424" s="50" t="s">
        <v>1184</v>
      </c>
      <c r="C424" s="50" t="s">
        <v>1183</v>
      </c>
      <c r="D424" s="51" t="s">
        <v>1186</v>
      </c>
      <c r="E424" s="53" t="s">
        <v>1188</v>
      </c>
      <c r="F424" s="1" t="s">
        <v>26</v>
      </c>
      <c r="G424" s="51">
        <v>300</v>
      </c>
      <c r="M424" s="51">
        <v>1974</v>
      </c>
    </row>
    <row r="425" spans="1:14" ht="21" x14ac:dyDescent="0.25">
      <c r="A425" s="1" t="s">
        <v>1048</v>
      </c>
      <c r="B425" s="50" t="s">
        <v>1254</v>
      </c>
      <c r="C425" s="51" t="s">
        <v>1183</v>
      </c>
      <c r="D425" s="51" t="s">
        <v>957</v>
      </c>
      <c r="E425" s="16" t="s">
        <v>1185</v>
      </c>
      <c r="F425" s="1" t="s">
        <v>491</v>
      </c>
      <c r="G425" s="51">
        <v>200</v>
      </c>
      <c r="H425" s="51"/>
      <c r="M425" s="50" t="s">
        <v>1255</v>
      </c>
    </row>
    <row r="426" spans="1:14" x14ac:dyDescent="0.25">
      <c r="A426" s="1" t="s">
        <v>1048</v>
      </c>
      <c r="B426" s="50" t="s">
        <v>1184</v>
      </c>
      <c r="C426" s="50" t="s">
        <v>1341</v>
      </c>
      <c r="D426" s="50" t="s">
        <v>1199</v>
      </c>
      <c r="E426" s="16" t="s">
        <v>1342</v>
      </c>
      <c r="F426" s="1" t="s">
        <v>491</v>
      </c>
      <c r="G426" s="51">
        <v>152.5</v>
      </c>
      <c r="H426" s="51"/>
      <c r="M426" s="51">
        <v>1950</v>
      </c>
    </row>
    <row r="427" spans="1:14" x14ac:dyDescent="0.25">
      <c r="A427" s="1" t="s">
        <v>1048</v>
      </c>
      <c r="B427" s="50" t="s">
        <v>1184</v>
      </c>
      <c r="C427" s="51" t="s">
        <v>1266</v>
      </c>
      <c r="D427" s="50" t="s">
        <v>1266</v>
      </c>
      <c r="E427" s="16" t="s">
        <v>1267</v>
      </c>
      <c r="F427" s="1" t="s">
        <v>491</v>
      </c>
      <c r="G427" s="51">
        <v>100</v>
      </c>
      <c r="H427" s="51"/>
      <c r="M427" s="51">
        <v>2009</v>
      </c>
    </row>
    <row r="428" spans="1:14" x14ac:dyDescent="0.25">
      <c r="A428" s="1" t="s">
        <v>1048</v>
      </c>
      <c r="B428" s="50" t="s">
        <v>1184</v>
      </c>
      <c r="C428" s="50" t="s">
        <v>1248</v>
      </c>
      <c r="D428" s="50" t="s">
        <v>1230</v>
      </c>
      <c r="E428" s="16" t="s">
        <v>1249</v>
      </c>
      <c r="F428" s="1" t="s">
        <v>491</v>
      </c>
      <c r="G428" s="51">
        <v>75</v>
      </c>
      <c r="H428" s="51"/>
      <c r="M428" s="51">
        <v>1955</v>
      </c>
    </row>
    <row r="429" spans="1:14" x14ac:dyDescent="0.25">
      <c r="A429" s="1" t="s">
        <v>1048</v>
      </c>
      <c r="B429" s="50" t="s">
        <v>1184</v>
      </c>
      <c r="C429" s="50" t="s">
        <v>1250</v>
      </c>
      <c r="D429" s="50" t="s">
        <v>1193</v>
      </c>
      <c r="E429" s="16" t="s">
        <v>1251</v>
      </c>
      <c r="F429" s="1" t="s">
        <v>491</v>
      </c>
      <c r="G429" s="51">
        <v>69</v>
      </c>
      <c r="H429" s="51"/>
      <c r="M429" s="51">
        <v>1951</v>
      </c>
    </row>
    <row r="430" spans="1:14" x14ac:dyDescent="0.25">
      <c r="A430" s="1" t="s">
        <v>1048</v>
      </c>
      <c r="B430" s="50" t="s">
        <v>1308</v>
      </c>
      <c r="C430" s="50" t="s">
        <v>1307</v>
      </c>
      <c r="D430" s="50" t="s">
        <v>1309</v>
      </c>
      <c r="E430" s="16" t="s">
        <v>1310</v>
      </c>
      <c r="F430" s="1" t="s">
        <v>491</v>
      </c>
      <c r="G430" s="51">
        <v>65</v>
      </c>
      <c r="H430" s="51"/>
      <c r="M430" s="51">
        <v>1944</v>
      </c>
    </row>
    <row r="431" spans="1:14" x14ac:dyDescent="0.25">
      <c r="A431" s="1" t="s">
        <v>1048</v>
      </c>
      <c r="B431" s="50" t="s">
        <v>1184</v>
      </c>
      <c r="C431" s="50" t="s">
        <v>1229</v>
      </c>
      <c r="D431" s="50" t="s">
        <v>1230</v>
      </c>
      <c r="E431" s="16" t="s">
        <v>1231</v>
      </c>
      <c r="F431" s="1" t="s">
        <v>491</v>
      </c>
      <c r="G431" s="51">
        <v>61</v>
      </c>
      <c r="H431" s="51"/>
      <c r="M431" s="51">
        <v>1955</v>
      </c>
    </row>
    <row r="432" spans="1:14" x14ac:dyDescent="0.25">
      <c r="A432" s="1" t="s">
        <v>1048</v>
      </c>
      <c r="C432" s="50" t="s">
        <v>1172</v>
      </c>
      <c r="D432" s="50" t="s">
        <v>1173</v>
      </c>
      <c r="E432" s="16" t="s">
        <v>1174</v>
      </c>
      <c r="G432" s="51">
        <v>49</v>
      </c>
      <c r="H432" s="51"/>
    </row>
    <row r="433" spans="1:20" x14ac:dyDescent="0.25">
      <c r="A433" s="1" t="s">
        <v>1048</v>
      </c>
      <c r="B433" s="50" t="s">
        <v>1184</v>
      </c>
      <c r="C433" s="50" t="s">
        <v>1311</v>
      </c>
      <c r="D433" s="50" t="s">
        <v>1217</v>
      </c>
      <c r="E433" s="16" t="s">
        <v>1312</v>
      </c>
      <c r="F433" s="1" t="s">
        <v>491</v>
      </c>
      <c r="G433" s="51">
        <v>45</v>
      </c>
      <c r="H433" s="51"/>
      <c r="M433" s="51">
        <v>1958</v>
      </c>
    </row>
    <row r="434" spans="1:20" x14ac:dyDescent="0.25">
      <c r="A434" s="1" t="s">
        <v>1048</v>
      </c>
      <c r="B434" s="50" t="s">
        <v>1184</v>
      </c>
      <c r="C434" s="50" t="s">
        <v>1335</v>
      </c>
      <c r="D434" s="50" t="s">
        <v>1230</v>
      </c>
      <c r="E434" s="16" t="s">
        <v>1336</v>
      </c>
      <c r="F434" s="1" t="s">
        <v>491</v>
      </c>
      <c r="G434" s="51">
        <v>44</v>
      </c>
      <c r="H434" s="51"/>
      <c r="M434" s="51">
        <v>1930</v>
      </c>
    </row>
    <row r="435" spans="1:20" x14ac:dyDescent="0.25">
      <c r="A435" s="1" t="s">
        <v>1048</v>
      </c>
      <c r="B435" s="50" t="s">
        <v>1184</v>
      </c>
      <c r="C435" s="50" t="s">
        <v>1227</v>
      </c>
      <c r="D435" s="50" t="s">
        <v>1199</v>
      </c>
      <c r="E435" s="16" t="s">
        <v>1228</v>
      </c>
      <c r="F435" s="1" t="s">
        <v>491</v>
      </c>
      <c r="G435" s="51">
        <v>40</v>
      </c>
      <c r="H435" s="51"/>
      <c r="M435" s="51" t="s">
        <v>156</v>
      </c>
    </row>
    <row r="436" spans="1:20" x14ac:dyDescent="0.25">
      <c r="A436" s="1" t="s">
        <v>1048</v>
      </c>
      <c r="B436" s="50" t="s">
        <v>1184</v>
      </c>
      <c r="C436" s="50" t="s">
        <v>1240</v>
      </c>
      <c r="D436" s="50" t="s">
        <v>1193</v>
      </c>
      <c r="E436" s="16" t="s">
        <v>1241</v>
      </c>
      <c r="F436" s="1" t="s">
        <v>491</v>
      </c>
      <c r="G436" s="51">
        <v>38</v>
      </c>
      <c r="H436" s="51"/>
      <c r="M436" s="51">
        <v>1963</v>
      </c>
      <c r="O436" s="1"/>
      <c r="P436" s="1"/>
      <c r="Q436" s="1"/>
      <c r="R436" s="1"/>
      <c r="S436" s="1"/>
      <c r="T436" s="1"/>
    </row>
    <row r="437" spans="1:20" x14ac:dyDescent="0.25">
      <c r="A437" s="1" t="s">
        <v>1048</v>
      </c>
      <c r="B437" s="50" t="s">
        <v>1184</v>
      </c>
      <c r="C437" s="50" t="s">
        <v>1270</v>
      </c>
      <c r="D437" s="51" t="s">
        <v>1223</v>
      </c>
      <c r="E437" s="16" t="s">
        <v>1271</v>
      </c>
      <c r="F437" s="1" t="s">
        <v>491</v>
      </c>
      <c r="G437" s="51">
        <v>37</v>
      </c>
      <c r="H437" s="51"/>
      <c r="M437" s="51">
        <v>1957</v>
      </c>
    </row>
    <row r="438" spans="1:20" x14ac:dyDescent="0.25">
      <c r="A438" s="1" t="s">
        <v>1048</v>
      </c>
      <c r="B438" s="1" t="s">
        <v>1054</v>
      </c>
      <c r="C438" s="1" t="s">
        <v>1055</v>
      </c>
      <c r="D438" s="1" t="s">
        <v>1052</v>
      </c>
      <c r="F438" s="1" t="s">
        <v>1056</v>
      </c>
      <c r="G438" s="5">
        <v>35</v>
      </c>
      <c r="I438" s="1" t="s">
        <v>72</v>
      </c>
      <c r="M438" s="1">
        <v>1928</v>
      </c>
    </row>
    <row r="439" spans="1:20" x14ac:dyDescent="0.25">
      <c r="A439" s="1" t="s">
        <v>1048</v>
      </c>
      <c r="B439" s="50" t="s">
        <v>1184</v>
      </c>
      <c r="C439" s="50" t="s">
        <v>1315</v>
      </c>
      <c r="D439" s="51" t="s">
        <v>1190</v>
      </c>
      <c r="E439" s="16" t="s">
        <v>1316</v>
      </c>
      <c r="F439" s="1" t="s">
        <v>491</v>
      </c>
      <c r="G439" s="51">
        <v>34</v>
      </c>
      <c r="H439" s="51"/>
      <c r="M439" s="51">
        <v>1954</v>
      </c>
    </row>
    <row r="440" spans="1:20" x14ac:dyDescent="0.25">
      <c r="A440" s="1" t="s">
        <v>1048</v>
      </c>
      <c r="B440" s="50" t="s">
        <v>1184</v>
      </c>
      <c r="C440" s="50" t="s">
        <v>1361</v>
      </c>
      <c r="D440" s="50" t="s">
        <v>1230</v>
      </c>
      <c r="E440" s="16" t="s">
        <v>1362</v>
      </c>
      <c r="F440" s="1" t="s">
        <v>491</v>
      </c>
      <c r="G440" s="51">
        <v>34</v>
      </c>
      <c r="H440" s="51"/>
      <c r="M440" s="51">
        <v>1935</v>
      </c>
    </row>
    <row r="441" spans="1:20" x14ac:dyDescent="0.25">
      <c r="A441" s="1" t="s">
        <v>1048</v>
      </c>
      <c r="C441" s="50" t="s">
        <v>1168</v>
      </c>
      <c r="D441" s="50" t="s">
        <v>1169</v>
      </c>
      <c r="E441" s="17"/>
      <c r="G441" s="51">
        <v>33</v>
      </c>
      <c r="N441" s="12"/>
    </row>
    <row r="442" spans="1:20" x14ac:dyDescent="0.25">
      <c r="A442" s="1" t="s">
        <v>1048</v>
      </c>
      <c r="B442" s="50" t="s">
        <v>1181</v>
      </c>
      <c r="C442" s="50" t="s">
        <v>1355</v>
      </c>
      <c r="D442" s="50" t="s">
        <v>1214</v>
      </c>
      <c r="E442" s="16" t="s">
        <v>1356</v>
      </c>
      <c r="F442" s="1" t="s">
        <v>491</v>
      </c>
      <c r="G442" s="51">
        <v>33</v>
      </c>
      <c r="H442" s="51"/>
      <c r="M442" s="51">
        <v>1935</v>
      </c>
    </row>
    <row r="443" spans="1:20" x14ac:dyDescent="0.25">
      <c r="A443" s="1" t="s">
        <v>1048</v>
      </c>
      <c r="C443" s="50" t="s">
        <v>1179</v>
      </c>
      <c r="D443" s="50" t="s">
        <v>1165</v>
      </c>
      <c r="E443" s="17"/>
      <c r="G443" s="51">
        <v>30</v>
      </c>
      <c r="H443" s="12"/>
    </row>
    <row r="444" spans="1:20" x14ac:dyDescent="0.25">
      <c r="A444" s="1" t="s">
        <v>1048</v>
      </c>
      <c r="B444" s="50" t="s">
        <v>1293</v>
      </c>
      <c r="C444" s="50" t="s">
        <v>1292</v>
      </c>
      <c r="D444" s="51" t="s">
        <v>957</v>
      </c>
      <c r="E444" s="16" t="s">
        <v>1294</v>
      </c>
      <c r="F444" s="1" t="s">
        <v>491</v>
      </c>
      <c r="G444" s="51">
        <v>30</v>
      </c>
      <c r="H444" s="51"/>
      <c r="M444" s="51">
        <v>1909</v>
      </c>
    </row>
    <row r="445" spans="1:20" x14ac:dyDescent="0.25">
      <c r="A445" s="1" t="s">
        <v>1048</v>
      </c>
      <c r="B445" s="50" t="s">
        <v>1184</v>
      </c>
      <c r="C445" s="50" t="s">
        <v>1274</v>
      </c>
      <c r="D445" s="50" t="s">
        <v>1199</v>
      </c>
      <c r="E445" s="16" t="s">
        <v>1275</v>
      </c>
      <c r="F445" s="1" t="s">
        <v>491</v>
      </c>
      <c r="G445" s="51">
        <v>25</v>
      </c>
      <c r="H445" s="51"/>
      <c r="M445" s="51">
        <v>1963</v>
      </c>
    </row>
    <row r="446" spans="1:20" x14ac:dyDescent="0.25">
      <c r="A446" s="1" t="s">
        <v>1048</v>
      </c>
      <c r="B446" s="50" t="s">
        <v>1181</v>
      </c>
      <c r="C446" s="50" t="s">
        <v>1268</v>
      </c>
      <c r="D446" s="50" t="s">
        <v>1214</v>
      </c>
      <c r="E446" s="16" t="s">
        <v>1269</v>
      </c>
      <c r="F446" s="1" t="s">
        <v>491</v>
      </c>
      <c r="G446" s="51">
        <v>24</v>
      </c>
      <c r="H446" s="51"/>
      <c r="M446" s="51">
        <v>1935</v>
      </c>
    </row>
    <row r="447" spans="1:20" x14ac:dyDescent="0.25">
      <c r="A447" s="1" t="s">
        <v>1048</v>
      </c>
      <c r="B447" s="50" t="s">
        <v>1181</v>
      </c>
      <c r="C447" s="50" t="s">
        <v>1282</v>
      </c>
      <c r="D447" s="50" t="s">
        <v>1214</v>
      </c>
      <c r="E447" s="16" t="s">
        <v>1283</v>
      </c>
      <c r="F447" s="1" t="s">
        <v>491</v>
      </c>
      <c r="G447" s="51">
        <v>24</v>
      </c>
      <c r="H447" s="51"/>
      <c r="M447" s="51">
        <v>1936</v>
      </c>
    </row>
    <row r="448" spans="1:20" x14ac:dyDescent="0.25">
      <c r="A448" s="1" t="s">
        <v>1048</v>
      </c>
      <c r="B448" s="50" t="s">
        <v>1184</v>
      </c>
      <c r="C448" s="50" t="s">
        <v>1192</v>
      </c>
      <c r="D448" s="50" t="s">
        <v>1193</v>
      </c>
      <c r="E448" s="16" t="s">
        <v>1194</v>
      </c>
      <c r="F448" s="1" t="s">
        <v>491</v>
      </c>
      <c r="G448" s="51">
        <v>20</v>
      </c>
      <c r="H448" s="51"/>
      <c r="M448" s="51">
        <v>1962</v>
      </c>
    </row>
    <row r="449" spans="1:13" x14ac:dyDescent="0.25">
      <c r="A449" s="1" t="s">
        <v>1048</v>
      </c>
      <c r="B449" s="50" t="s">
        <v>1184</v>
      </c>
      <c r="C449" s="50" t="s">
        <v>1222</v>
      </c>
      <c r="D449" s="51" t="s">
        <v>1223</v>
      </c>
      <c r="E449" s="16" t="s">
        <v>1224</v>
      </c>
      <c r="F449" s="1" t="s">
        <v>491</v>
      </c>
      <c r="G449" s="51">
        <v>20</v>
      </c>
      <c r="H449" s="51"/>
      <c r="M449" s="51">
        <v>1959</v>
      </c>
    </row>
    <row r="450" spans="1:13" x14ac:dyDescent="0.25">
      <c r="A450" s="1" t="s">
        <v>1048</v>
      </c>
      <c r="B450" s="50" t="s">
        <v>1184</v>
      </c>
      <c r="C450" s="50" t="s">
        <v>1278</v>
      </c>
      <c r="D450" s="51" t="s">
        <v>1223</v>
      </c>
      <c r="E450" s="16" t="s">
        <v>1279</v>
      </c>
      <c r="F450" s="1" t="s">
        <v>491</v>
      </c>
      <c r="G450" s="51">
        <v>20</v>
      </c>
      <c r="H450" s="51"/>
      <c r="M450" s="51">
        <v>1956</v>
      </c>
    </row>
    <row r="451" spans="1:13" x14ac:dyDescent="0.25">
      <c r="A451" s="1" t="s">
        <v>1048</v>
      </c>
      <c r="B451" s="50" t="s">
        <v>1184</v>
      </c>
      <c r="C451" s="50" t="s">
        <v>1288</v>
      </c>
      <c r="D451" s="50" t="s">
        <v>1193</v>
      </c>
      <c r="E451" s="16" t="s">
        <v>1289</v>
      </c>
      <c r="F451" s="1" t="s">
        <v>491</v>
      </c>
      <c r="G451" s="51">
        <v>20</v>
      </c>
      <c r="H451" s="51"/>
      <c r="M451" s="51">
        <v>1962</v>
      </c>
    </row>
    <row r="452" spans="1:13" x14ac:dyDescent="0.25">
      <c r="A452" s="1" t="s">
        <v>1048</v>
      </c>
      <c r="B452" s="50" t="s">
        <v>1184</v>
      </c>
      <c r="C452" s="50" t="s">
        <v>1236</v>
      </c>
      <c r="D452" s="50" t="s">
        <v>1193</v>
      </c>
      <c r="E452" s="16" t="s">
        <v>1237</v>
      </c>
      <c r="F452" s="1" t="s">
        <v>491</v>
      </c>
      <c r="G452" s="51">
        <v>19</v>
      </c>
      <c r="H452" s="51"/>
      <c r="M452" s="51">
        <v>1962</v>
      </c>
    </row>
    <row r="453" spans="1:13" x14ac:dyDescent="0.25">
      <c r="A453" s="1" t="s">
        <v>1048</v>
      </c>
      <c r="B453" s="50" t="s">
        <v>1184</v>
      </c>
      <c r="C453" s="50" t="s">
        <v>1272</v>
      </c>
      <c r="D453" s="51" t="s">
        <v>1190</v>
      </c>
      <c r="E453" s="16" t="s">
        <v>1273</v>
      </c>
      <c r="F453" s="1" t="s">
        <v>491</v>
      </c>
      <c r="G453" s="51">
        <v>18.7</v>
      </c>
      <c r="H453" s="51"/>
      <c r="M453" s="51">
        <v>1950</v>
      </c>
    </row>
    <row r="454" spans="1:13" x14ac:dyDescent="0.25">
      <c r="A454" s="1" t="s">
        <v>1048</v>
      </c>
      <c r="B454" s="50" t="s">
        <v>1184</v>
      </c>
      <c r="C454" s="50" t="s">
        <v>1321</v>
      </c>
      <c r="D454" s="51" t="s">
        <v>1190</v>
      </c>
      <c r="E454" s="16" t="s">
        <v>1322</v>
      </c>
      <c r="F454" s="1" t="s">
        <v>491</v>
      </c>
      <c r="G454" s="51">
        <v>18.600000000000001</v>
      </c>
      <c r="H454" s="51"/>
      <c r="M454" s="51">
        <v>1957</v>
      </c>
    </row>
    <row r="455" spans="1:13" x14ac:dyDescent="0.25">
      <c r="A455" s="1" t="s">
        <v>1048</v>
      </c>
      <c r="B455" s="50" t="s">
        <v>1184</v>
      </c>
      <c r="C455" s="50" t="s">
        <v>1339</v>
      </c>
      <c r="D455" s="51" t="s">
        <v>1220</v>
      </c>
      <c r="E455" s="16" t="s">
        <v>1340</v>
      </c>
      <c r="F455" s="1" t="s">
        <v>491</v>
      </c>
      <c r="G455" s="51">
        <v>18.600000000000001</v>
      </c>
      <c r="H455" s="51"/>
      <c r="M455" s="51">
        <v>1958</v>
      </c>
    </row>
    <row r="456" spans="1:13" x14ac:dyDescent="0.25">
      <c r="A456" s="1" t="s">
        <v>1048</v>
      </c>
      <c r="B456" s="50" t="s">
        <v>1184</v>
      </c>
      <c r="C456" s="50" t="s">
        <v>1329</v>
      </c>
      <c r="D456" s="51" t="s">
        <v>1190</v>
      </c>
      <c r="E456" s="16" t="s">
        <v>1330</v>
      </c>
      <c r="F456" s="1" t="s">
        <v>491</v>
      </c>
      <c r="G456" s="51">
        <v>18</v>
      </c>
      <c r="H456" s="51"/>
      <c r="M456" s="51">
        <v>1959</v>
      </c>
    </row>
    <row r="457" spans="1:13" x14ac:dyDescent="0.25">
      <c r="A457" s="1" t="s">
        <v>1048</v>
      </c>
      <c r="B457" s="50" t="s">
        <v>1184</v>
      </c>
      <c r="C457" s="50" t="s">
        <v>1333</v>
      </c>
      <c r="D457" s="51" t="s">
        <v>1223</v>
      </c>
      <c r="E457" s="16" t="s">
        <v>1334</v>
      </c>
      <c r="F457" s="1" t="s">
        <v>491</v>
      </c>
      <c r="G457" s="51">
        <v>18</v>
      </c>
      <c r="H457" s="51"/>
      <c r="M457" s="51">
        <v>1955</v>
      </c>
    </row>
    <row r="458" spans="1:13" x14ac:dyDescent="0.25">
      <c r="A458" s="1" t="s">
        <v>1048</v>
      </c>
      <c r="B458" s="1" t="s">
        <v>1072</v>
      </c>
      <c r="C458" s="1" t="s">
        <v>1061</v>
      </c>
      <c r="D458" s="1" t="s">
        <v>1052</v>
      </c>
      <c r="F458" s="1" t="s">
        <v>1056</v>
      </c>
      <c r="G458" s="5">
        <v>17</v>
      </c>
      <c r="I458" s="1" t="s">
        <v>72</v>
      </c>
      <c r="M458" s="1">
        <v>2002</v>
      </c>
    </row>
    <row r="459" spans="1:13" x14ac:dyDescent="0.25">
      <c r="A459" s="1" t="s">
        <v>1048</v>
      </c>
      <c r="B459" s="50" t="s">
        <v>1184</v>
      </c>
      <c r="C459" s="50" t="s">
        <v>1345</v>
      </c>
      <c r="D459" s="50" t="s">
        <v>1217</v>
      </c>
      <c r="E459" s="16" t="s">
        <v>1346</v>
      </c>
      <c r="F459" s="1" t="s">
        <v>491</v>
      </c>
      <c r="G459" s="51">
        <v>16.8</v>
      </c>
      <c r="H459" s="51"/>
      <c r="M459" s="51">
        <v>1957</v>
      </c>
    </row>
    <row r="460" spans="1:13" x14ac:dyDescent="0.25">
      <c r="A460" s="1" t="s">
        <v>1048</v>
      </c>
      <c r="B460" s="50" t="s">
        <v>1184</v>
      </c>
      <c r="C460" s="50" t="s">
        <v>1252</v>
      </c>
      <c r="D460" s="50" t="s">
        <v>1217</v>
      </c>
      <c r="E460" s="16" t="s">
        <v>1253</v>
      </c>
      <c r="F460" s="1" t="s">
        <v>491</v>
      </c>
      <c r="G460" s="51">
        <v>16.5</v>
      </c>
      <c r="H460" s="51"/>
      <c r="M460" s="51">
        <v>1955</v>
      </c>
    </row>
    <row r="461" spans="1:13" x14ac:dyDescent="0.25">
      <c r="A461" s="1" t="s">
        <v>1048</v>
      </c>
      <c r="B461" s="1" t="s">
        <v>1072</v>
      </c>
      <c r="C461" s="1" t="s">
        <v>1062</v>
      </c>
      <c r="D461" s="1" t="s">
        <v>1052</v>
      </c>
      <c r="F461" s="1" t="s">
        <v>1056</v>
      </c>
      <c r="G461" s="5">
        <v>15</v>
      </c>
      <c r="I461" s="1" t="s">
        <v>72</v>
      </c>
      <c r="M461" s="1">
        <v>2002</v>
      </c>
    </row>
    <row r="462" spans="1:13" x14ac:dyDescent="0.25">
      <c r="A462" s="1" t="s">
        <v>1048</v>
      </c>
      <c r="B462" s="50" t="s">
        <v>1184</v>
      </c>
      <c r="C462" s="50" t="s">
        <v>1299</v>
      </c>
      <c r="D462" s="51" t="s">
        <v>1223</v>
      </c>
      <c r="E462" s="16" t="s">
        <v>1300</v>
      </c>
      <c r="F462" s="1" t="s">
        <v>491</v>
      </c>
      <c r="G462" s="51">
        <v>15</v>
      </c>
      <c r="H462" s="51"/>
      <c r="M462" s="51">
        <v>1962</v>
      </c>
    </row>
    <row r="463" spans="1:13" x14ac:dyDescent="0.25">
      <c r="A463" s="1" t="s">
        <v>1048</v>
      </c>
      <c r="B463" s="50" t="s">
        <v>1184</v>
      </c>
      <c r="C463" s="50" t="s">
        <v>1325</v>
      </c>
      <c r="D463" s="50" t="s">
        <v>1199</v>
      </c>
      <c r="E463" s="16" t="s">
        <v>1326</v>
      </c>
      <c r="F463" s="1" t="s">
        <v>491</v>
      </c>
      <c r="G463" s="51">
        <v>15</v>
      </c>
      <c r="H463" s="51"/>
      <c r="M463" s="51">
        <v>1963</v>
      </c>
    </row>
    <row r="464" spans="1:13" x14ac:dyDescent="0.25">
      <c r="A464" s="1" t="s">
        <v>1048</v>
      </c>
      <c r="B464" s="50" t="s">
        <v>1184</v>
      </c>
      <c r="C464" s="50" t="s">
        <v>1331</v>
      </c>
      <c r="D464" s="50" t="s">
        <v>1230</v>
      </c>
      <c r="E464" s="16" t="s">
        <v>1332</v>
      </c>
      <c r="F464" s="1" t="s">
        <v>491</v>
      </c>
      <c r="G464" s="51">
        <v>15</v>
      </c>
      <c r="H464" s="51"/>
      <c r="M464" s="51">
        <v>1950</v>
      </c>
    </row>
    <row r="465" spans="1:13" x14ac:dyDescent="0.25">
      <c r="A465" s="1" t="s">
        <v>1048</v>
      </c>
      <c r="B465" s="50" t="s">
        <v>1184</v>
      </c>
      <c r="C465" s="50" t="s">
        <v>1357</v>
      </c>
      <c r="D465" s="51" t="s">
        <v>1190</v>
      </c>
      <c r="E465" s="16" t="s">
        <v>1358</v>
      </c>
      <c r="F465" s="1" t="s">
        <v>491</v>
      </c>
      <c r="G465" s="51">
        <v>15</v>
      </c>
      <c r="H465" s="51"/>
      <c r="M465" s="51">
        <v>1954</v>
      </c>
    </row>
    <row r="466" spans="1:13" x14ac:dyDescent="0.25">
      <c r="A466" s="1" t="s">
        <v>1048</v>
      </c>
      <c r="B466" s="50" t="s">
        <v>1181</v>
      </c>
      <c r="C466" s="50" t="s">
        <v>1246</v>
      </c>
      <c r="D466" s="50" t="s">
        <v>1214</v>
      </c>
      <c r="E466" s="16" t="s">
        <v>1247</v>
      </c>
      <c r="F466" s="1" t="s">
        <v>491</v>
      </c>
      <c r="G466" s="51">
        <v>14</v>
      </c>
      <c r="H466" s="51"/>
      <c r="M466" s="51">
        <v>1936</v>
      </c>
    </row>
    <row r="467" spans="1:13" x14ac:dyDescent="0.25">
      <c r="A467" s="1" t="s">
        <v>1048</v>
      </c>
      <c r="C467" s="50" t="s">
        <v>1155</v>
      </c>
      <c r="D467" s="51" t="s">
        <v>1067</v>
      </c>
      <c r="E467" s="16" t="s">
        <v>1156</v>
      </c>
      <c r="F467" s="51" t="s">
        <v>1120</v>
      </c>
      <c r="G467" s="51">
        <v>12</v>
      </c>
      <c r="H467" s="51"/>
      <c r="K467" s="51"/>
      <c r="L467" s="51"/>
      <c r="M467" s="51">
        <v>1982</v>
      </c>
    </row>
    <row r="468" spans="1:13" x14ac:dyDescent="0.25">
      <c r="A468" s="1" t="s">
        <v>1048</v>
      </c>
      <c r="B468" s="50" t="s">
        <v>1181</v>
      </c>
      <c r="C468" s="50" t="s">
        <v>1213</v>
      </c>
      <c r="D468" s="50" t="s">
        <v>1214</v>
      </c>
      <c r="E468" s="16" t="s">
        <v>1215</v>
      </c>
      <c r="F468" s="1" t="s">
        <v>491</v>
      </c>
      <c r="G468" s="51">
        <v>12</v>
      </c>
      <c r="H468" s="51"/>
      <c r="M468" s="51">
        <v>1936</v>
      </c>
    </row>
    <row r="469" spans="1:13" x14ac:dyDescent="0.25">
      <c r="A469" s="1" t="s">
        <v>1048</v>
      </c>
      <c r="B469" s="50" t="s">
        <v>1181</v>
      </c>
      <c r="C469" s="50" t="s">
        <v>1206</v>
      </c>
      <c r="D469" s="50" t="s">
        <v>1207</v>
      </c>
      <c r="E469" s="16" t="s">
        <v>1208</v>
      </c>
      <c r="F469" s="1" t="s">
        <v>491</v>
      </c>
      <c r="G469" s="51">
        <v>11</v>
      </c>
      <c r="H469" s="51"/>
      <c r="M469" s="51">
        <v>1927</v>
      </c>
    </row>
    <row r="470" spans="1:13" x14ac:dyDescent="0.25">
      <c r="A470" s="1" t="s">
        <v>1048</v>
      </c>
      <c r="B470" s="50" t="s">
        <v>1184</v>
      </c>
      <c r="C470" s="50" t="s">
        <v>1216</v>
      </c>
      <c r="D470" s="50" t="s">
        <v>1217</v>
      </c>
      <c r="E470" s="16" t="s">
        <v>1218</v>
      </c>
      <c r="F470" s="1" t="s">
        <v>491</v>
      </c>
      <c r="G470" s="51">
        <v>11</v>
      </c>
      <c r="H470" s="51"/>
      <c r="M470" s="51">
        <v>1959</v>
      </c>
    </row>
    <row r="471" spans="1:13" x14ac:dyDescent="0.25">
      <c r="A471" s="1" t="s">
        <v>1048</v>
      </c>
      <c r="B471" s="1" t="s">
        <v>1072</v>
      </c>
      <c r="C471" s="1" t="s">
        <v>1060</v>
      </c>
      <c r="D471" s="1" t="s">
        <v>1052</v>
      </c>
      <c r="F471" s="1" t="s">
        <v>1056</v>
      </c>
      <c r="G471" s="5">
        <v>10</v>
      </c>
      <c r="I471" s="1" t="s">
        <v>72</v>
      </c>
      <c r="M471" s="1">
        <v>2002</v>
      </c>
    </row>
    <row r="472" spans="1:13" x14ac:dyDescent="0.25">
      <c r="A472" s="1" t="s">
        <v>1048</v>
      </c>
      <c r="C472" s="50" t="s">
        <v>1178</v>
      </c>
      <c r="D472" s="50" t="s">
        <v>1165</v>
      </c>
      <c r="E472" s="17"/>
      <c r="G472" s="51">
        <v>10</v>
      </c>
      <c r="H472" s="51"/>
    </row>
    <row r="473" spans="1:13" x14ac:dyDescent="0.25">
      <c r="A473" s="1" t="s">
        <v>1048</v>
      </c>
      <c r="B473" s="50" t="s">
        <v>1184</v>
      </c>
      <c r="C473" s="50" t="s">
        <v>1219</v>
      </c>
      <c r="D473" s="51" t="s">
        <v>1220</v>
      </c>
      <c r="E473" s="16" t="s">
        <v>1221</v>
      </c>
      <c r="F473" s="1" t="s">
        <v>491</v>
      </c>
      <c r="G473" s="51">
        <v>10</v>
      </c>
      <c r="H473" s="51"/>
      <c r="M473" s="51" t="s">
        <v>156</v>
      </c>
    </row>
    <row r="474" spans="1:13" x14ac:dyDescent="0.25">
      <c r="A474" s="1" t="s">
        <v>1048</v>
      </c>
      <c r="B474" s="50" t="s">
        <v>1184</v>
      </c>
      <c r="C474" s="50" t="s">
        <v>1353</v>
      </c>
      <c r="D474" s="50" t="s">
        <v>1199</v>
      </c>
      <c r="E474" s="16" t="s">
        <v>1354</v>
      </c>
      <c r="F474" s="1" t="s">
        <v>491</v>
      </c>
      <c r="G474" s="51">
        <v>8</v>
      </c>
      <c r="H474" s="51"/>
      <c r="M474" s="51">
        <v>1951</v>
      </c>
    </row>
    <row r="475" spans="1:13" x14ac:dyDescent="0.25">
      <c r="A475" s="1" t="s">
        <v>1048</v>
      </c>
      <c r="B475" s="50" t="s">
        <v>1184</v>
      </c>
      <c r="C475" s="50" t="s">
        <v>1261</v>
      </c>
      <c r="D475" s="50" t="s">
        <v>1230</v>
      </c>
      <c r="E475" s="16" t="s">
        <v>1262</v>
      </c>
      <c r="F475" s="1" t="s">
        <v>491</v>
      </c>
      <c r="G475" s="51">
        <v>7.5</v>
      </c>
      <c r="H475" s="51"/>
      <c r="M475" s="51">
        <v>1953</v>
      </c>
    </row>
    <row r="476" spans="1:13" x14ac:dyDescent="0.25">
      <c r="A476" s="1" t="s">
        <v>1048</v>
      </c>
      <c r="B476" s="1" t="s">
        <v>1072</v>
      </c>
      <c r="C476" s="1" t="s">
        <v>1067</v>
      </c>
      <c r="D476" s="1" t="s">
        <v>1071</v>
      </c>
      <c r="F476" s="1" t="s">
        <v>1056</v>
      </c>
      <c r="G476" s="5">
        <v>6</v>
      </c>
      <c r="I476" s="1" t="s">
        <v>72</v>
      </c>
      <c r="M476" s="1">
        <v>2006</v>
      </c>
    </row>
    <row r="477" spans="1:13" x14ac:dyDescent="0.25">
      <c r="A477" s="1" t="s">
        <v>1048</v>
      </c>
      <c r="B477" s="50" t="s">
        <v>1184</v>
      </c>
      <c r="C477" s="50" t="s">
        <v>1198</v>
      </c>
      <c r="D477" s="50" t="s">
        <v>1199</v>
      </c>
      <c r="E477" s="16" t="s">
        <v>1200</v>
      </c>
      <c r="F477" s="1" t="s">
        <v>491</v>
      </c>
      <c r="G477" s="51">
        <v>6</v>
      </c>
      <c r="H477" s="51"/>
      <c r="M477" s="51">
        <v>1956</v>
      </c>
    </row>
    <row r="478" spans="1:13" x14ac:dyDescent="0.25">
      <c r="A478" s="1" t="s">
        <v>1048</v>
      </c>
      <c r="B478" s="50" t="s">
        <v>1184</v>
      </c>
      <c r="C478" s="50" t="s">
        <v>1305</v>
      </c>
      <c r="D478" s="50" t="s">
        <v>1199</v>
      </c>
      <c r="E478" s="16" t="s">
        <v>1306</v>
      </c>
      <c r="F478" s="1" t="s">
        <v>491</v>
      </c>
      <c r="G478" s="51">
        <v>6</v>
      </c>
      <c r="H478" s="51"/>
      <c r="M478" s="51">
        <v>1961</v>
      </c>
    </row>
    <row r="479" spans="1:13" x14ac:dyDescent="0.25">
      <c r="A479" s="1" t="s">
        <v>1048</v>
      </c>
      <c r="B479" s="50" t="s">
        <v>1184</v>
      </c>
      <c r="C479" s="50" t="s">
        <v>1256</v>
      </c>
      <c r="D479" s="50" t="s">
        <v>1183</v>
      </c>
      <c r="E479" s="16" t="s">
        <v>1185</v>
      </c>
      <c r="F479" s="1" t="s">
        <v>491</v>
      </c>
      <c r="G479" s="51">
        <v>5</v>
      </c>
      <c r="H479" s="51"/>
      <c r="M479" s="51">
        <v>1974</v>
      </c>
    </row>
    <row r="480" spans="1:13" x14ac:dyDescent="0.25">
      <c r="A480" s="1" t="s">
        <v>1048</v>
      </c>
      <c r="B480" s="50" t="s">
        <v>1184</v>
      </c>
      <c r="C480" s="50" t="s">
        <v>1343</v>
      </c>
      <c r="D480" s="50" t="s">
        <v>1199</v>
      </c>
      <c r="E480" s="16" t="s">
        <v>1344</v>
      </c>
      <c r="F480" s="1" t="s">
        <v>491</v>
      </c>
      <c r="G480" s="51">
        <v>5</v>
      </c>
      <c r="H480" s="51"/>
      <c r="M480" s="51">
        <v>1957</v>
      </c>
    </row>
    <row r="481" spans="1:13" x14ac:dyDescent="0.25">
      <c r="A481" s="1" t="s">
        <v>1048</v>
      </c>
      <c r="B481" s="50" t="s">
        <v>1181</v>
      </c>
      <c r="C481" s="50" t="s">
        <v>1349</v>
      </c>
      <c r="D481" s="50" t="s">
        <v>1207</v>
      </c>
      <c r="E481" s="16" t="s">
        <v>1350</v>
      </c>
      <c r="F481" s="1" t="s">
        <v>491</v>
      </c>
      <c r="G481" s="51">
        <v>5</v>
      </c>
      <c r="H481" s="51"/>
      <c r="M481" s="51">
        <v>1927</v>
      </c>
    </row>
    <row r="482" spans="1:13" x14ac:dyDescent="0.25">
      <c r="A482" s="1" t="s">
        <v>1048</v>
      </c>
      <c r="B482" s="1" t="s">
        <v>1072</v>
      </c>
      <c r="C482" s="1" t="s">
        <v>1057</v>
      </c>
      <c r="D482" s="1" t="s">
        <v>1070</v>
      </c>
      <c r="F482" s="1" t="s">
        <v>1056</v>
      </c>
      <c r="G482" s="5">
        <v>4</v>
      </c>
      <c r="I482" s="1" t="s">
        <v>72</v>
      </c>
      <c r="M482" s="1">
        <v>2012</v>
      </c>
    </row>
    <row r="483" spans="1:13" x14ac:dyDescent="0.25">
      <c r="A483" s="1" t="s">
        <v>1048</v>
      </c>
      <c r="B483" s="1" t="s">
        <v>1072</v>
      </c>
      <c r="C483" s="1" t="s">
        <v>1068</v>
      </c>
      <c r="D483" s="1" t="s">
        <v>1070</v>
      </c>
      <c r="F483" s="1" t="s">
        <v>1056</v>
      </c>
      <c r="G483" s="5">
        <v>4</v>
      </c>
      <c r="I483" s="1" t="s">
        <v>72</v>
      </c>
      <c r="M483" s="1">
        <v>2013</v>
      </c>
    </row>
    <row r="484" spans="1:13" x14ac:dyDescent="0.25">
      <c r="A484" s="1" t="s">
        <v>1048</v>
      </c>
      <c r="B484" s="50" t="s">
        <v>1184</v>
      </c>
      <c r="C484" s="50" t="s">
        <v>1238</v>
      </c>
      <c r="D484" s="50" t="s">
        <v>1217</v>
      </c>
      <c r="E484" s="16" t="s">
        <v>1239</v>
      </c>
      <c r="F484" s="1" t="s">
        <v>491</v>
      </c>
      <c r="G484" s="51">
        <v>4</v>
      </c>
      <c r="H484" s="51"/>
      <c r="M484" s="51">
        <v>1958</v>
      </c>
    </row>
    <row r="485" spans="1:13" x14ac:dyDescent="0.25">
      <c r="A485" s="1" t="s">
        <v>1048</v>
      </c>
      <c r="B485" s="50" t="s">
        <v>1184</v>
      </c>
      <c r="C485" s="50" t="s">
        <v>1313</v>
      </c>
      <c r="D485" s="50" t="s">
        <v>1217</v>
      </c>
      <c r="E485" s="16" t="s">
        <v>1314</v>
      </c>
      <c r="F485" s="1" t="s">
        <v>491</v>
      </c>
      <c r="G485" s="51">
        <v>4</v>
      </c>
      <c r="H485" s="51"/>
      <c r="M485" s="51">
        <v>1958</v>
      </c>
    </row>
    <row r="486" spans="1:13" x14ac:dyDescent="0.25">
      <c r="A486" s="1" t="s">
        <v>1048</v>
      </c>
      <c r="B486" s="50" t="s">
        <v>1184</v>
      </c>
      <c r="C486" s="50" t="s">
        <v>1290</v>
      </c>
      <c r="D486" s="51" t="s">
        <v>957</v>
      </c>
      <c r="E486" s="16" t="s">
        <v>1291</v>
      </c>
      <c r="F486" s="1" t="s">
        <v>491</v>
      </c>
      <c r="G486" s="51">
        <v>3.5</v>
      </c>
      <c r="H486" s="51"/>
      <c r="M486" s="51">
        <v>2005</v>
      </c>
    </row>
    <row r="487" spans="1:13" x14ac:dyDescent="0.25">
      <c r="A487" s="1" t="s">
        <v>1048</v>
      </c>
      <c r="B487" s="50" t="s">
        <v>1184</v>
      </c>
      <c r="C487" s="50" t="s">
        <v>1295</v>
      </c>
      <c r="D487" s="51" t="s">
        <v>1220</v>
      </c>
      <c r="E487" s="16" t="s">
        <v>1296</v>
      </c>
      <c r="F487" s="1" t="s">
        <v>491</v>
      </c>
      <c r="G487" s="51">
        <v>3.5</v>
      </c>
      <c r="H487" s="51"/>
      <c r="M487" s="51">
        <v>1959</v>
      </c>
    </row>
    <row r="488" spans="1:13" x14ac:dyDescent="0.25">
      <c r="A488" s="1" t="s">
        <v>1048</v>
      </c>
      <c r="B488" s="50" t="s">
        <v>1184</v>
      </c>
      <c r="C488" s="50" t="s">
        <v>1234</v>
      </c>
      <c r="D488" s="51" t="s">
        <v>957</v>
      </c>
      <c r="E488" s="16" t="s">
        <v>1235</v>
      </c>
      <c r="F488" s="1" t="s">
        <v>491</v>
      </c>
      <c r="G488" s="51">
        <v>3.2</v>
      </c>
      <c r="H488" s="51"/>
      <c r="M488" s="51">
        <v>2002</v>
      </c>
    </row>
    <row r="489" spans="1:13" x14ac:dyDescent="0.25">
      <c r="A489" s="1" t="s">
        <v>1048</v>
      </c>
      <c r="B489" s="1" t="s">
        <v>1072</v>
      </c>
      <c r="C489" s="1" t="s">
        <v>1063</v>
      </c>
      <c r="D489" s="1" t="s">
        <v>1070</v>
      </c>
      <c r="F489" s="1" t="s">
        <v>1056</v>
      </c>
      <c r="G489" s="5">
        <v>3</v>
      </c>
      <c r="I489" s="1" t="s">
        <v>72</v>
      </c>
      <c r="M489" s="1">
        <v>2008</v>
      </c>
    </row>
    <row r="490" spans="1:13" x14ac:dyDescent="0.25">
      <c r="A490" s="1" t="s">
        <v>1048</v>
      </c>
      <c r="B490" s="1" t="s">
        <v>1072</v>
      </c>
      <c r="C490" s="1" t="s">
        <v>1066</v>
      </c>
      <c r="D490" s="1" t="s">
        <v>1070</v>
      </c>
      <c r="F490" s="1" t="s">
        <v>1056</v>
      </c>
      <c r="G490" s="5">
        <v>3</v>
      </c>
      <c r="I490" s="1" t="s">
        <v>72</v>
      </c>
      <c r="M490" s="1">
        <v>2009</v>
      </c>
    </row>
    <row r="491" spans="1:13" x14ac:dyDescent="0.25">
      <c r="A491" s="1" t="s">
        <v>1048</v>
      </c>
      <c r="B491" s="1" t="s">
        <v>1072</v>
      </c>
      <c r="C491" s="1" t="s">
        <v>1069</v>
      </c>
      <c r="D491" s="1" t="s">
        <v>1070</v>
      </c>
      <c r="F491" s="1" t="s">
        <v>1056</v>
      </c>
      <c r="G491" s="5">
        <v>3</v>
      </c>
      <c r="I491" s="1" t="s">
        <v>72</v>
      </c>
      <c r="M491" s="1">
        <v>2008</v>
      </c>
    </row>
    <row r="492" spans="1:13" x14ac:dyDescent="0.25">
      <c r="A492" s="1" t="s">
        <v>1048</v>
      </c>
      <c r="B492" s="50" t="s">
        <v>1184</v>
      </c>
      <c r="C492" s="50" t="s">
        <v>1189</v>
      </c>
      <c r="D492" s="51" t="s">
        <v>1190</v>
      </c>
      <c r="E492" s="16" t="s">
        <v>1191</v>
      </c>
      <c r="F492" s="1" t="s">
        <v>491</v>
      </c>
      <c r="G492" s="51">
        <v>3</v>
      </c>
      <c r="H492" s="51"/>
      <c r="M492" s="51">
        <v>1956</v>
      </c>
    </row>
    <row r="493" spans="1:13" x14ac:dyDescent="0.25">
      <c r="A493" s="1" t="s">
        <v>1048</v>
      </c>
      <c r="B493" s="50" t="s">
        <v>1202</v>
      </c>
      <c r="C493" s="50" t="s">
        <v>1242</v>
      </c>
      <c r="D493" s="51" t="s">
        <v>957</v>
      </c>
      <c r="E493" s="16" t="s">
        <v>1243</v>
      </c>
      <c r="F493" s="1" t="s">
        <v>491</v>
      </c>
      <c r="G493" s="51">
        <v>3</v>
      </c>
      <c r="H493" s="51"/>
      <c r="M493" s="51">
        <v>2008</v>
      </c>
    </row>
    <row r="494" spans="1:13" x14ac:dyDescent="0.25">
      <c r="A494" s="1" t="s">
        <v>1048</v>
      </c>
      <c r="B494" s="50" t="s">
        <v>1184</v>
      </c>
      <c r="C494" s="50" t="s">
        <v>1297</v>
      </c>
      <c r="D494" s="50" t="s">
        <v>1217</v>
      </c>
      <c r="E494" s="16" t="s">
        <v>1298</v>
      </c>
      <c r="F494" s="1" t="s">
        <v>491</v>
      </c>
      <c r="G494" s="51">
        <v>3</v>
      </c>
      <c r="H494" s="51"/>
      <c r="M494" s="51">
        <v>1961</v>
      </c>
    </row>
    <row r="495" spans="1:13" x14ac:dyDescent="0.25">
      <c r="A495" s="1" t="s">
        <v>1048</v>
      </c>
      <c r="B495" s="50" t="s">
        <v>1202</v>
      </c>
      <c r="C495" s="50" t="s">
        <v>1337</v>
      </c>
      <c r="D495" s="51" t="s">
        <v>957</v>
      </c>
      <c r="E495" s="16" t="s">
        <v>1338</v>
      </c>
      <c r="F495" s="1" t="s">
        <v>491</v>
      </c>
      <c r="G495" s="51">
        <v>3</v>
      </c>
      <c r="H495" s="51"/>
      <c r="M495" s="51">
        <v>2007</v>
      </c>
    </row>
    <row r="496" spans="1:13" x14ac:dyDescent="0.25">
      <c r="A496" s="1" t="s">
        <v>1048</v>
      </c>
      <c r="B496" s="50" t="s">
        <v>1184</v>
      </c>
      <c r="C496" s="50" t="s">
        <v>1232</v>
      </c>
      <c r="D496" s="50" t="s">
        <v>1230</v>
      </c>
      <c r="E496" s="16" t="s">
        <v>1233</v>
      </c>
      <c r="F496" s="1" t="s">
        <v>491</v>
      </c>
      <c r="G496" s="51">
        <v>2.5</v>
      </c>
      <c r="H496" s="51"/>
      <c r="M496" s="51">
        <v>1959</v>
      </c>
    </row>
    <row r="497" spans="1:14" x14ac:dyDescent="0.25">
      <c r="A497" s="1" t="s">
        <v>1048</v>
      </c>
      <c r="B497" s="50" t="s">
        <v>1202</v>
      </c>
      <c r="C497" s="50" t="s">
        <v>1280</v>
      </c>
      <c r="D497" s="51" t="s">
        <v>957</v>
      </c>
      <c r="E497" s="16" t="s">
        <v>1281</v>
      </c>
      <c r="F497" s="1" t="s">
        <v>491</v>
      </c>
      <c r="G497" s="51">
        <v>2.5</v>
      </c>
      <c r="H497" s="51"/>
      <c r="M497" s="51">
        <v>2009</v>
      </c>
    </row>
    <row r="498" spans="1:14" x14ac:dyDescent="0.25">
      <c r="A498" s="1" t="s">
        <v>1048</v>
      </c>
      <c r="B498" s="50" t="s">
        <v>1202</v>
      </c>
      <c r="C498" s="50" t="s">
        <v>1257</v>
      </c>
      <c r="D498" s="51" t="s">
        <v>957</v>
      </c>
      <c r="E498" s="16" t="s">
        <v>1258</v>
      </c>
      <c r="F498" s="1" t="s">
        <v>491</v>
      </c>
      <c r="G498" s="51">
        <v>2.4</v>
      </c>
      <c r="H498" s="51"/>
      <c r="M498" s="51">
        <v>2005</v>
      </c>
    </row>
    <row r="499" spans="1:14" x14ac:dyDescent="0.25">
      <c r="A499" s="1" t="s">
        <v>1048</v>
      </c>
      <c r="B499" s="50" t="s">
        <v>1184</v>
      </c>
      <c r="C499" s="50" t="s">
        <v>1317</v>
      </c>
      <c r="D499" s="50" t="s">
        <v>1199</v>
      </c>
      <c r="E499" s="16" t="s">
        <v>1318</v>
      </c>
      <c r="F499" s="1" t="s">
        <v>491</v>
      </c>
      <c r="G499" s="51">
        <v>2.4</v>
      </c>
      <c r="H499" s="51"/>
      <c r="M499" s="51">
        <v>1952</v>
      </c>
    </row>
    <row r="500" spans="1:14" x14ac:dyDescent="0.25">
      <c r="A500" s="1" t="s">
        <v>1048</v>
      </c>
      <c r="B500" s="50" t="s">
        <v>1184</v>
      </c>
      <c r="C500" s="50" t="s">
        <v>1323</v>
      </c>
      <c r="D500" s="50" t="s">
        <v>1193</v>
      </c>
      <c r="E500" s="16" t="s">
        <v>1324</v>
      </c>
      <c r="F500" s="1" t="s">
        <v>491</v>
      </c>
      <c r="G500" s="51">
        <v>2.4</v>
      </c>
      <c r="H500" s="51"/>
      <c r="M500" s="51">
        <v>1955</v>
      </c>
    </row>
    <row r="501" spans="1:14" x14ac:dyDescent="0.25">
      <c r="A501" s="1" t="s">
        <v>1048</v>
      </c>
      <c r="B501" s="50" t="s">
        <v>1184</v>
      </c>
      <c r="C501" s="50" t="s">
        <v>1351</v>
      </c>
      <c r="D501" s="51" t="s">
        <v>957</v>
      </c>
      <c r="E501" s="16" t="s">
        <v>1352</v>
      </c>
      <c r="F501" s="1" t="s">
        <v>491</v>
      </c>
      <c r="G501" s="51">
        <v>2.4</v>
      </c>
      <c r="H501" s="51"/>
      <c r="M501" s="51">
        <v>1952</v>
      </c>
    </row>
    <row r="502" spans="1:14" x14ac:dyDescent="0.25">
      <c r="A502" s="1" t="s">
        <v>1048</v>
      </c>
      <c r="B502" s="50" t="s">
        <v>1202</v>
      </c>
      <c r="C502" s="50" t="s">
        <v>1209</v>
      </c>
      <c r="D502" s="51" t="s">
        <v>957</v>
      </c>
      <c r="E502" s="16" t="s">
        <v>1210</v>
      </c>
      <c r="F502" s="1" t="s">
        <v>491</v>
      </c>
      <c r="G502" s="51">
        <v>2.2000000000000002</v>
      </c>
      <c r="H502" s="51"/>
      <c r="M502" s="51">
        <v>2006</v>
      </c>
    </row>
    <row r="503" spans="1:14" x14ac:dyDescent="0.25">
      <c r="A503" s="1" t="s">
        <v>1048</v>
      </c>
      <c r="B503" s="50" t="s">
        <v>1184</v>
      </c>
      <c r="C503" s="50" t="s">
        <v>1303</v>
      </c>
      <c r="D503" s="50" t="s">
        <v>1230</v>
      </c>
      <c r="E503" s="16" t="s">
        <v>1304</v>
      </c>
      <c r="F503" s="1" t="s">
        <v>491</v>
      </c>
      <c r="G503" s="51">
        <v>2.2000000000000002</v>
      </c>
      <c r="H503" s="51"/>
      <c r="M503" s="51">
        <v>1962</v>
      </c>
    </row>
    <row r="504" spans="1:14" x14ac:dyDescent="0.25">
      <c r="A504" s="1" t="s">
        <v>1048</v>
      </c>
      <c r="B504" s="1" t="s">
        <v>1072</v>
      </c>
      <c r="C504" s="1" t="s">
        <v>1058</v>
      </c>
      <c r="D504" s="1" t="s">
        <v>1070</v>
      </c>
      <c r="F504" s="1" t="s">
        <v>1056</v>
      </c>
      <c r="G504" s="5">
        <v>2</v>
      </c>
      <c r="I504" s="1" t="s">
        <v>72</v>
      </c>
      <c r="M504" s="1">
        <v>2005</v>
      </c>
    </row>
    <row r="505" spans="1:14" x14ac:dyDescent="0.25">
      <c r="A505" s="1" t="s">
        <v>1048</v>
      </c>
      <c r="B505" s="1" t="s">
        <v>1072</v>
      </c>
      <c r="C505" s="1" t="s">
        <v>1064</v>
      </c>
      <c r="D505" s="1" t="s">
        <v>1070</v>
      </c>
      <c r="F505" s="1" t="s">
        <v>1056</v>
      </c>
      <c r="G505" s="5">
        <v>2</v>
      </c>
      <c r="I505" s="1" t="s">
        <v>72</v>
      </c>
      <c r="M505" s="1">
        <v>2005</v>
      </c>
    </row>
    <row r="506" spans="1:14" x14ac:dyDescent="0.25">
      <c r="A506" s="1" t="s">
        <v>1048</v>
      </c>
      <c r="B506" s="51" t="s">
        <v>1196</v>
      </c>
      <c r="C506" s="50" t="s">
        <v>1195</v>
      </c>
      <c r="D506" s="51" t="s">
        <v>957</v>
      </c>
      <c r="E506" s="16" t="s">
        <v>1197</v>
      </c>
      <c r="F506" s="1" t="s">
        <v>491</v>
      </c>
      <c r="G506" s="51">
        <v>2</v>
      </c>
      <c r="H506" s="51"/>
      <c r="M506" s="51">
        <v>2012</v>
      </c>
    </row>
    <row r="507" spans="1:14" x14ac:dyDescent="0.25">
      <c r="A507" s="1" t="s">
        <v>1048</v>
      </c>
      <c r="B507" s="50" t="s">
        <v>1181</v>
      </c>
      <c r="C507" s="50" t="s">
        <v>1244</v>
      </c>
      <c r="D507" s="50" t="s">
        <v>1214</v>
      </c>
      <c r="E507" s="16" t="s">
        <v>1245</v>
      </c>
      <c r="F507" s="1" t="s">
        <v>491</v>
      </c>
      <c r="G507" s="51">
        <v>2</v>
      </c>
      <c r="H507" s="51"/>
      <c r="M507" s="51">
        <v>1985</v>
      </c>
    </row>
    <row r="508" spans="1:14" x14ac:dyDescent="0.25">
      <c r="A508" s="1" t="s">
        <v>1048</v>
      </c>
      <c r="B508" s="50" t="s">
        <v>1184</v>
      </c>
      <c r="C508" s="50" t="s">
        <v>1286</v>
      </c>
      <c r="D508" s="51" t="s">
        <v>1199</v>
      </c>
      <c r="E508" s="16" t="s">
        <v>1287</v>
      </c>
      <c r="F508" s="1" t="s">
        <v>491</v>
      </c>
      <c r="G508" s="51">
        <v>2</v>
      </c>
      <c r="H508" s="51"/>
      <c r="M508" s="51">
        <v>1956</v>
      </c>
    </row>
    <row r="509" spans="1:14" ht="12" x14ac:dyDescent="0.25">
      <c r="A509" s="1" t="s">
        <v>1048</v>
      </c>
      <c r="C509" s="51" t="s">
        <v>2138</v>
      </c>
      <c r="D509" s="51" t="s">
        <v>1123</v>
      </c>
      <c r="E509" s="16" t="s">
        <v>1122</v>
      </c>
      <c r="F509" s="51" t="s">
        <v>29</v>
      </c>
      <c r="G509" s="51">
        <v>1.66</v>
      </c>
      <c r="H509" s="51"/>
      <c r="K509" s="51"/>
      <c r="L509" s="51"/>
      <c r="M509" s="51">
        <v>2000</v>
      </c>
      <c r="N509" s="12" t="s">
        <v>1124</v>
      </c>
    </row>
    <row r="510" spans="1:14" x14ac:dyDescent="0.25">
      <c r="A510" s="1" t="s">
        <v>1048</v>
      </c>
      <c r="B510" s="50" t="s">
        <v>1202</v>
      </c>
      <c r="C510" s="50" t="s">
        <v>1211</v>
      </c>
      <c r="D510" s="51" t="s">
        <v>957</v>
      </c>
      <c r="E510" s="16" t="s">
        <v>1212</v>
      </c>
      <c r="F510" s="1" t="s">
        <v>491</v>
      </c>
      <c r="G510" s="51">
        <v>1.35</v>
      </c>
      <c r="H510" s="51"/>
      <c r="M510" s="51">
        <v>2006</v>
      </c>
    </row>
    <row r="511" spans="1:14" x14ac:dyDescent="0.25">
      <c r="A511" s="1" t="s">
        <v>1048</v>
      </c>
      <c r="B511" s="50" t="s">
        <v>1293</v>
      </c>
      <c r="C511" s="50" t="s">
        <v>1301</v>
      </c>
      <c r="D511" s="51" t="s">
        <v>957</v>
      </c>
      <c r="E511" s="16" t="s">
        <v>1302</v>
      </c>
      <c r="F511" s="1" t="s">
        <v>491</v>
      </c>
      <c r="G511" s="51">
        <v>1.2</v>
      </c>
      <c r="H511" s="51"/>
      <c r="M511" s="51">
        <v>1948</v>
      </c>
    </row>
    <row r="512" spans="1:14" x14ac:dyDescent="0.25">
      <c r="A512" s="1" t="s">
        <v>1048</v>
      </c>
      <c r="B512" s="1" t="s">
        <v>1072</v>
      </c>
      <c r="C512" s="1" t="s">
        <v>1059</v>
      </c>
      <c r="D512" s="1" t="s">
        <v>1070</v>
      </c>
      <c r="F512" s="1" t="s">
        <v>1056</v>
      </c>
      <c r="G512" s="5">
        <v>1</v>
      </c>
      <c r="I512" s="1" t="s">
        <v>72</v>
      </c>
      <c r="M512" s="1">
        <v>2009</v>
      </c>
    </row>
    <row r="513" spans="1:14" x14ac:dyDescent="0.25">
      <c r="A513" s="1" t="s">
        <v>1048</v>
      </c>
      <c r="B513" s="1" t="s">
        <v>1072</v>
      </c>
      <c r="C513" s="1" t="s">
        <v>1065</v>
      </c>
      <c r="D513" s="1" t="s">
        <v>1070</v>
      </c>
      <c r="F513" s="1" t="s">
        <v>1056</v>
      </c>
      <c r="G513" s="5">
        <v>1</v>
      </c>
      <c r="I513" s="1" t="s">
        <v>72</v>
      </c>
      <c r="M513" s="1">
        <v>2006</v>
      </c>
    </row>
    <row r="514" spans="1:14" x14ac:dyDescent="0.25">
      <c r="A514" s="1" t="s">
        <v>1048</v>
      </c>
      <c r="B514" s="50" t="s">
        <v>1184</v>
      </c>
      <c r="C514" s="50" t="s">
        <v>1225</v>
      </c>
      <c r="D514" s="51" t="s">
        <v>957</v>
      </c>
      <c r="E514" s="16" t="s">
        <v>1226</v>
      </c>
      <c r="F514" s="1" t="s">
        <v>491</v>
      </c>
      <c r="G514" s="51">
        <v>1</v>
      </c>
      <c r="H514" s="51"/>
      <c r="M514" s="51">
        <v>1960</v>
      </c>
    </row>
    <row r="515" spans="1:14" x14ac:dyDescent="0.25">
      <c r="A515" s="1" t="s">
        <v>1048</v>
      </c>
      <c r="B515" s="50" t="s">
        <v>1202</v>
      </c>
      <c r="C515" s="50" t="s">
        <v>1276</v>
      </c>
      <c r="D515" s="51" t="s">
        <v>957</v>
      </c>
      <c r="E515" s="16" t="s">
        <v>1277</v>
      </c>
      <c r="F515" s="1" t="s">
        <v>491</v>
      </c>
      <c r="G515" s="51">
        <v>1</v>
      </c>
      <c r="H515" s="51"/>
      <c r="M515" s="51">
        <v>2005</v>
      </c>
    </row>
    <row r="516" spans="1:14" x14ac:dyDescent="0.25">
      <c r="A516" s="1" t="s">
        <v>1048</v>
      </c>
      <c r="B516" s="50" t="s">
        <v>1184</v>
      </c>
      <c r="C516" s="50" t="s">
        <v>1284</v>
      </c>
      <c r="D516" s="51" t="s">
        <v>957</v>
      </c>
      <c r="E516" s="16" t="s">
        <v>1285</v>
      </c>
      <c r="F516" s="1" t="s">
        <v>491</v>
      </c>
      <c r="G516" s="51">
        <v>1</v>
      </c>
      <c r="H516" s="51"/>
      <c r="M516" s="51">
        <v>1952</v>
      </c>
    </row>
    <row r="517" spans="1:14" x14ac:dyDescent="0.25">
      <c r="A517" s="1" t="s">
        <v>1048</v>
      </c>
      <c r="B517" s="51" t="s">
        <v>156</v>
      </c>
      <c r="C517" s="50" t="s">
        <v>1319</v>
      </c>
      <c r="D517" s="51" t="s">
        <v>957</v>
      </c>
      <c r="E517" s="16" t="s">
        <v>1320</v>
      </c>
      <c r="F517" s="1" t="s">
        <v>491</v>
      </c>
      <c r="G517" s="51">
        <v>1</v>
      </c>
      <c r="H517" s="51"/>
      <c r="M517" s="51">
        <v>1948</v>
      </c>
    </row>
    <row r="518" spans="1:14" x14ac:dyDescent="0.25">
      <c r="A518" s="1" t="s">
        <v>1048</v>
      </c>
      <c r="B518" s="50" t="s">
        <v>1184</v>
      </c>
      <c r="C518" s="50" t="s">
        <v>1327</v>
      </c>
      <c r="D518" s="51" t="s">
        <v>957</v>
      </c>
      <c r="E518" s="16" t="s">
        <v>1328</v>
      </c>
      <c r="F518" s="1" t="s">
        <v>491</v>
      </c>
      <c r="G518" s="51">
        <v>1</v>
      </c>
      <c r="H518" s="51"/>
      <c r="M518" s="51">
        <v>1948</v>
      </c>
    </row>
    <row r="519" spans="1:14" x14ac:dyDescent="0.25">
      <c r="A519" s="1" t="s">
        <v>1048</v>
      </c>
      <c r="B519" s="50" t="s">
        <v>1202</v>
      </c>
      <c r="C519" s="50" t="s">
        <v>1264</v>
      </c>
      <c r="D519" s="51" t="s">
        <v>957</v>
      </c>
      <c r="E519" s="16" t="s">
        <v>1265</v>
      </c>
      <c r="F519" s="1" t="s">
        <v>491</v>
      </c>
      <c r="G519" s="51">
        <v>0.85</v>
      </c>
      <c r="H519" s="51"/>
      <c r="M519" s="51">
        <v>2000</v>
      </c>
    </row>
    <row r="520" spans="1:14" x14ac:dyDescent="0.25">
      <c r="A520" s="1" t="s">
        <v>1048</v>
      </c>
      <c r="B520" s="50" t="s">
        <v>1202</v>
      </c>
      <c r="C520" s="50" t="s">
        <v>1347</v>
      </c>
      <c r="D520" s="51" t="s">
        <v>957</v>
      </c>
      <c r="E520" s="16" t="s">
        <v>1348</v>
      </c>
      <c r="F520" s="1" t="s">
        <v>491</v>
      </c>
      <c r="G520" s="51">
        <v>0.84</v>
      </c>
      <c r="H520" s="51"/>
      <c r="M520" s="51">
        <v>2003</v>
      </c>
    </row>
    <row r="521" spans="1:14" x14ac:dyDescent="0.25">
      <c r="A521" s="1" t="s">
        <v>1048</v>
      </c>
      <c r="B521" s="50" t="s">
        <v>1202</v>
      </c>
      <c r="C521" s="50" t="s">
        <v>1259</v>
      </c>
      <c r="D521" s="51" t="s">
        <v>957</v>
      </c>
      <c r="E521" s="16" t="s">
        <v>1260</v>
      </c>
      <c r="F521" s="1" t="s">
        <v>491</v>
      </c>
      <c r="G521" s="51">
        <v>0.78</v>
      </c>
      <c r="H521" s="51"/>
      <c r="M521" s="51">
        <v>2002</v>
      </c>
    </row>
    <row r="522" spans="1:14" x14ac:dyDescent="0.25">
      <c r="A522" s="1" t="s">
        <v>1048</v>
      </c>
      <c r="B522" s="50" t="s">
        <v>1202</v>
      </c>
      <c r="C522" s="50" t="s">
        <v>1201</v>
      </c>
      <c r="D522" s="51" t="s">
        <v>957</v>
      </c>
      <c r="E522" s="16" t="s">
        <v>1203</v>
      </c>
      <c r="F522" s="1" t="s">
        <v>491</v>
      </c>
      <c r="G522" s="51">
        <v>0.7</v>
      </c>
      <c r="H522" s="51"/>
      <c r="M522" s="51">
        <v>2000</v>
      </c>
    </row>
    <row r="523" spans="1:14" ht="12" x14ac:dyDescent="0.25">
      <c r="A523" s="1" t="s">
        <v>1048</v>
      </c>
      <c r="B523" s="50" t="s">
        <v>1184</v>
      </c>
      <c r="C523" s="51" t="s">
        <v>2139</v>
      </c>
      <c r="D523" s="51" t="s">
        <v>957</v>
      </c>
      <c r="E523" s="16" t="s">
        <v>1263</v>
      </c>
      <c r="F523" s="1" t="s">
        <v>491</v>
      </c>
      <c r="G523" s="51">
        <v>0.7</v>
      </c>
      <c r="H523" s="51"/>
      <c r="M523" s="51" t="s">
        <v>156</v>
      </c>
    </row>
    <row r="524" spans="1:14" x14ac:dyDescent="0.25">
      <c r="A524" s="1" t="s">
        <v>1048</v>
      </c>
      <c r="B524" s="50" t="s">
        <v>1202</v>
      </c>
      <c r="C524" s="50" t="s">
        <v>1204</v>
      </c>
      <c r="D524" s="51" t="s">
        <v>957</v>
      </c>
      <c r="E524" s="16" t="s">
        <v>1205</v>
      </c>
      <c r="F524" s="1" t="s">
        <v>491</v>
      </c>
      <c r="G524" s="51">
        <v>0.57499999999999996</v>
      </c>
      <c r="H524" s="51"/>
      <c r="M524" s="51">
        <v>1995</v>
      </c>
    </row>
    <row r="525" spans="1:14" x14ac:dyDescent="0.25">
      <c r="A525" s="1" t="s">
        <v>1048</v>
      </c>
      <c r="B525" s="50" t="s">
        <v>1184</v>
      </c>
      <c r="C525" s="50" t="s">
        <v>1359</v>
      </c>
      <c r="D525" s="50" t="s">
        <v>1230</v>
      </c>
      <c r="E525" s="16" t="s">
        <v>1360</v>
      </c>
      <c r="F525" s="1" t="s">
        <v>491</v>
      </c>
      <c r="G525" s="51">
        <v>0.5</v>
      </c>
      <c r="H525" s="51"/>
      <c r="M525" s="51" t="s">
        <v>156</v>
      </c>
    </row>
    <row r="526" spans="1:14" ht="12" x14ac:dyDescent="0.25">
      <c r="A526" s="1" t="s">
        <v>1048</v>
      </c>
      <c r="C526" s="51" t="s">
        <v>2140</v>
      </c>
      <c r="D526" s="51" t="s">
        <v>1126</v>
      </c>
      <c r="E526" s="16" t="s">
        <v>1125</v>
      </c>
      <c r="F526" s="51" t="s">
        <v>1120</v>
      </c>
      <c r="G526" s="51">
        <v>0.35</v>
      </c>
      <c r="H526" s="51"/>
      <c r="K526" s="51"/>
      <c r="L526" s="51"/>
      <c r="M526" s="51">
        <v>1998</v>
      </c>
    </row>
    <row r="527" spans="1:14" ht="12" x14ac:dyDescent="0.25">
      <c r="A527" s="1" t="s">
        <v>1048</v>
      </c>
      <c r="C527" s="51" t="s">
        <v>2141</v>
      </c>
      <c r="D527" s="51" t="s">
        <v>1119</v>
      </c>
      <c r="E527" s="16" t="s">
        <v>1118</v>
      </c>
      <c r="F527" s="51" t="s">
        <v>1120</v>
      </c>
      <c r="G527" s="51">
        <v>0.32500000000000001</v>
      </c>
      <c r="H527" s="51"/>
      <c r="K527" s="51"/>
      <c r="L527" s="51"/>
      <c r="M527" s="51">
        <v>2000</v>
      </c>
      <c r="N527" s="12" t="s">
        <v>1121</v>
      </c>
    </row>
    <row r="528" spans="1:14" ht="12" x14ac:dyDescent="0.25">
      <c r="A528" s="1" t="s">
        <v>1048</v>
      </c>
      <c r="C528" s="51" t="s">
        <v>2142</v>
      </c>
      <c r="D528" s="51" t="s">
        <v>1139</v>
      </c>
      <c r="E528" s="17"/>
      <c r="F528" s="51" t="s">
        <v>1120</v>
      </c>
      <c r="G528" s="51">
        <v>0.3</v>
      </c>
      <c r="H528" s="51"/>
      <c r="K528" s="51"/>
      <c r="L528" s="51"/>
      <c r="M528" s="51">
        <v>2002</v>
      </c>
    </row>
    <row r="529" spans="1:13" x14ac:dyDescent="0.25">
      <c r="A529" s="1" t="s">
        <v>1048</v>
      </c>
      <c r="C529" s="50" t="s">
        <v>1142</v>
      </c>
      <c r="D529" s="51" t="s">
        <v>1143</v>
      </c>
      <c r="E529" s="17"/>
      <c r="F529" s="51" t="s">
        <v>1120</v>
      </c>
      <c r="G529" s="51">
        <v>0.3</v>
      </c>
      <c r="H529" s="51"/>
      <c r="K529" s="51"/>
      <c r="L529" s="51"/>
      <c r="M529" s="51">
        <v>1989</v>
      </c>
    </row>
    <row r="530" spans="1:13" x14ac:dyDescent="0.25">
      <c r="A530" s="1" t="s">
        <v>1048</v>
      </c>
      <c r="C530" s="50" t="s">
        <v>1147</v>
      </c>
      <c r="D530" s="51" t="s">
        <v>1148</v>
      </c>
      <c r="E530" s="17"/>
      <c r="F530" s="51" t="s">
        <v>1120</v>
      </c>
      <c r="G530" s="51">
        <v>0.3</v>
      </c>
      <c r="H530" s="51"/>
      <c r="K530" s="51"/>
      <c r="L530" s="51"/>
      <c r="M530" s="51"/>
    </row>
    <row r="531" spans="1:13" ht="12" x14ac:dyDescent="0.25">
      <c r="A531" s="1" t="s">
        <v>1048</v>
      </c>
      <c r="C531" s="51" t="s">
        <v>2143</v>
      </c>
      <c r="D531" s="51" t="s">
        <v>1158</v>
      </c>
      <c r="E531" s="16" t="s">
        <v>1157</v>
      </c>
      <c r="F531" s="51" t="s">
        <v>1120</v>
      </c>
      <c r="G531" s="51">
        <v>0.26</v>
      </c>
      <c r="H531" s="51"/>
      <c r="K531" s="51"/>
      <c r="L531" s="51"/>
      <c r="M531" s="51">
        <v>1994</v>
      </c>
    </row>
    <row r="532" spans="1:13" ht="12" x14ac:dyDescent="0.25">
      <c r="A532" s="1" t="s">
        <v>1048</v>
      </c>
      <c r="C532" s="51" t="s">
        <v>2144</v>
      </c>
      <c r="D532" s="51" t="s">
        <v>1130</v>
      </c>
      <c r="E532" s="16" t="s">
        <v>1129</v>
      </c>
      <c r="F532" s="51" t="s">
        <v>1120</v>
      </c>
      <c r="G532" s="51">
        <v>0.17899999999999999</v>
      </c>
      <c r="H532" s="51"/>
      <c r="K532" s="51"/>
      <c r="L532" s="51"/>
      <c r="M532" s="51">
        <v>1995</v>
      </c>
    </row>
    <row r="533" spans="1:13" x14ac:dyDescent="0.25">
      <c r="A533" s="1" t="s">
        <v>1048</v>
      </c>
      <c r="C533" s="50" t="s">
        <v>1140</v>
      </c>
      <c r="D533" s="51" t="s">
        <v>1141</v>
      </c>
      <c r="E533" s="17"/>
      <c r="F533" s="51" t="s">
        <v>1120</v>
      </c>
      <c r="G533" s="51">
        <v>9.7000000000000003E-2</v>
      </c>
      <c r="H533" s="51"/>
      <c r="K533" s="51"/>
      <c r="L533" s="51"/>
      <c r="M533" s="51">
        <v>1957</v>
      </c>
    </row>
    <row r="534" spans="1:13" x14ac:dyDescent="0.25">
      <c r="A534" s="1" t="s">
        <v>1048</v>
      </c>
      <c r="C534" s="50" t="s">
        <v>1159</v>
      </c>
      <c r="D534" s="51" t="s">
        <v>1161</v>
      </c>
      <c r="E534" s="16" t="s">
        <v>1160</v>
      </c>
      <c r="F534" s="51" t="s">
        <v>1120</v>
      </c>
      <c r="G534" s="51">
        <v>7.4999999999999997E-2</v>
      </c>
      <c r="H534" s="51"/>
      <c r="K534" s="51"/>
      <c r="L534" s="51"/>
      <c r="M534" s="51">
        <v>2007</v>
      </c>
    </row>
    <row r="535" spans="1:13" x14ac:dyDescent="0.25">
      <c r="A535" s="1" t="s">
        <v>1048</v>
      </c>
      <c r="C535" s="50" t="s">
        <v>1133</v>
      </c>
      <c r="D535" s="51" t="s">
        <v>1134</v>
      </c>
      <c r="E535" s="17"/>
      <c r="F535" s="51" t="s">
        <v>1120</v>
      </c>
      <c r="G535" s="51">
        <v>7.0000000000000007E-2</v>
      </c>
      <c r="H535" s="51"/>
      <c r="K535" s="51"/>
      <c r="L535" s="51"/>
      <c r="M535" s="51">
        <v>1998</v>
      </c>
    </row>
    <row r="536" spans="1:13" x14ac:dyDescent="0.25">
      <c r="A536" s="1" t="s">
        <v>1048</v>
      </c>
      <c r="C536" s="50" t="s">
        <v>1149</v>
      </c>
      <c r="D536" s="51" t="s">
        <v>1150</v>
      </c>
      <c r="E536" s="17"/>
      <c r="F536" s="51" t="s">
        <v>1120</v>
      </c>
      <c r="G536" s="51">
        <v>0.04</v>
      </c>
      <c r="H536" s="51"/>
      <c r="K536" s="51"/>
      <c r="L536" s="51"/>
      <c r="M536" s="51">
        <v>2005</v>
      </c>
    </row>
    <row r="537" spans="1:13" ht="12" x14ac:dyDescent="0.25">
      <c r="A537" s="1" t="s">
        <v>1048</v>
      </c>
      <c r="C537" s="51" t="s">
        <v>2145</v>
      </c>
      <c r="D537" s="51" t="s">
        <v>1163</v>
      </c>
      <c r="E537" s="16" t="s">
        <v>1162</v>
      </c>
      <c r="F537" s="51" t="s">
        <v>1120</v>
      </c>
      <c r="G537" s="51">
        <v>3.5000000000000003E-2</v>
      </c>
      <c r="H537" s="51"/>
      <c r="K537" s="51"/>
      <c r="L537" s="51"/>
      <c r="M537" s="51">
        <v>2006</v>
      </c>
    </row>
    <row r="538" spans="1:13" ht="12" x14ac:dyDescent="0.25">
      <c r="A538" s="1" t="s">
        <v>1048</v>
      </c>
      <c r="C538" s="51" t="s">
        <v>2146</v>
      </c>
      <c r="D538" s="51" t="s">
        <v>1136</v>
      </c>
      <c r="E538" s="16" t="s">
        <v>1135</v>
      </c>
      <c r="F538" s="51" t="s">
        <v>1120</v>
      </c>
      <c r="G538" s="51">
        <v>1.4999999999999999E-2</v>
      </c>
      <c r="H538" s="51"/>
      <c r="K538" s="51"/>
      <c r="L538" s="51"/>
      <c r="M538" s="51">
        <v>2006</v>
      </c>
    </row>
    <row r="539" spans="1:13" x14ac:dyDescent="0.25">
      <c r="A539" s="1" t="s">
        <v>1048</v>
      </c>
      <c r="C539" s="50" t="s">
        <v>1144</v>
      </c>
      <c r="D539" s="51" t="s">
        <v>1146</v>
      </c>
      <c r="E539" s="16" t="s">
        <v>1145</v>
      </c>
      <c r="F539" s="51" t="s">
        <v>1120</v>
      </c>
      <c r="G539" s="51">
        <v>1.2E-2</v>
      </c>
      <c r="H539" s="51"/>
      <c r="K539" s="51"/>
      <c r="L539" s="51"/>
      <c r="M539" s="51">
        <v>2004</v>
      </c>
    </row>
    <row r="540" spans="1:13" x14ac:dyDescent="0.25">
      <c r="A540" s="1" t="s">
        <v>1048</v>
      </c>
      <c r="C540" s="50" t="s">
        <v>1153</v>
      </c>
      <c r="D540" s="51" t="s">
        <v>1154</v>
      </c>
      <c r="E540" s="17"/>
      <c r="F540" s="51" t="s">
        <v>1120</v>
      </c>
      <c r="G540" s="51">
        <v>1.2E-2</v>
      </c>
      <c r="H540" s="51"/>
      <c r="K540" s="51"/>
      <c r="L540" s="51"/>
      <c r="M540" s="51">
        <v>1999</v>
      </c>
    </row>
    <row r="541" spans="1:13" ht="12" x14ac:dyDescent="0.25">
      <c r="A541" s="1" t="s">
        <v>1048</v>
      </c>
      <c r="C541" s="51" t="s">
        <v>2147</v>
      </c>
      <c r="D541" s="51" t="s">
        <v>1138</v>
      </c>
      <c r="E541" s="16" t="s">
        <v>1137</v>
      </c>
      <c r="F541" s="51" t="s">
        <v>1120</v>
      </c>
      <c r="G541" s="51">
        <v>8.0000000000000002E-3</v>
      </c>
      <c r="H541" s="51"/>
      <c r="K541" s="51"/>
      <c r="L541" s="51"/>
      <c r="M541" s="51">
        <v>2006</v>
      </c>
    </row>
    <row r="542" spans="1:13" x14ac:dyDescent="0.25">
      <c r="A542" s="1" t="s">
        <v>1048</v>
      </c>
      <c r="C542" s="50" t="s">
        <v>1151</v>
      </c>
      <c r="D542" s="51" t="s">
        <v>1152</v>
      </c>
      <c r="E542" s="17"/>
      <c r="F542" s="51" t="s">
        <v>1120</v>
      </c>
      <c r="G542" s="51">
        <v>7.0000000000000001E-3</v>
      </c>
      <c r="H542" s="51"/>
      <c r="K542" s="51"/>
      <c r="L542" s="51"/>
      <c r="M542" s="51">
        <v>2006</v>
      </c>
    </row>
    <row r="543" spans="1:13" ht="12" x14ac:dyDescent="0.25">
      <c r="A543" s="1" t="s">
        <v>1048</v>
      </c>
      <c r="C543" s="51" t="s">
        <v>2148</v>
      </c>
      <c r="D543" s="51" t="s">
        <v>1132</v>
      </c>
      <c r="E543" s="16" t="s">
        <v>1131</v>
      </c>
      <c r="F543" s="51" t="s">
        <v>1120</v>
      </c>
      <c r="G543" s="51">
        <v>3.0000000000000001E-3</v>
      </c>
      <c r="H543" s="51"/>
      <c r="K543" s="51"/>
      <c r="L543" s="51"/>
      <c r="M543" s="51"/>
    </row>
    <row r="544" spans="1:13" x14ac:dyDescent="0.25">
      <c r="A544" s="1" t="s">
        <v>1048</v>
      </c>
      <c r="C544" s="50" t="s">
        <v>1127</v>
      </c>
      <c r="D544" s="51" t="s">
        <v>1128</v>
      </c>
      <c r="E544" s="17"/>
      <c r="F544" s="51" t="s">
        <v>1120</v>
      </c>
      <c r="G544" s="51">
        <v>0</v>
      </c>
      <c r="H544" s="51"/>
      <c r="K544" s="51"/>
      <c r="L544" s="51"/>
      <c r="M544" s="51"/>
    </row>
    <row r="545" spans="1:14" x14ac:dyDescent="0.25">
      <c r="A545" s="1" t="s">
        <v>1048</v>
      </c>
      <c r="C545" s="50" t="s">
        <v>1175</v>
      </c>
      <c r="D545" s="50" t="s">
        <v>1176</v>
      </c>
      <c r="E545" s="16" t="s">
        <v>1177</v>
      </c>
      <c r="G545" s="51"/>
      <c r="H545" s="51"/>
    </row>
    <row r="547" spans="1:14" x14ac:dyDescent="0.25">
      <c r="A547" s="6"/>
      <c r="B547" s="7"/>
      <c r="C547" s="7"/>
      <c r="D547" s="7"/>
      <c r="E547" s="15"/>
      <c r="F547" s="7"/>
      <c r="G547" s="52"/>
      <c r="H547" s="7"/>
      <c r="I547" s="7"/>
      <c r="J547" s="7"/>
      <c r="K547" s="6"/>
      <c r="L547" s="6"/>
      <c r="M547" s="6"/>
      <c r="N547" s="6"/>
    </row>
    <row r="548" spans="1:14" x14ac:dyDescent="0.25">
      <c r="C548" s="12"/>
      <c r="F548" s="12"/>
      <c r="G548" s="12"/>
      <c r="H548" s="12"/>
      <c r="I548" s="12"/>
      <c r="J548" s="12"/>
      <c r="K548" s="12"/>
      <c r="L548" s="12"/>
      <c r="M548" s="12"/>
    </row>
  </sheetData>
  <sortState ref="A2:V549">
    <sortCondition ref="A2:A549"/>
    <sortCondition descending="1" ref="G2:G549"/>
  </sortState>
  <hyperlinks>
    <hyperlink ref="C15" r:id="rId1" tooltip="Coo-Trois-Ponts Hydroelectric Power Station" display="https://en.wikipedia.org/wiki/Coo-Trois-Ponts_Hydroelectric_Power_Station" xr:uid="{00000000-0004-0000-0000-000000000000}"/>
    <hyperlink ref="D15" r:id="rId2" tooltip="Stavelot" display="https://en.wikipedia.org/wiki/Stavelot" xr:uid="{00000000-0004-0000-0000-000001000000}"/>
    <hyperlink ref="E15" r:id="rId3" display="https://tools.wmflabs.org/geohack/geohack.php?pagename=List_of_power_stations_in_Belgium&amp;params=50.3867143_N_5.8572578_E_type:landmark&amp;title=Coo-trois-Ponts%2C+Electrabel%2C+Pumped+storage" xr:uid="{00000000-0004-0000-0000-000002000000}"/>
    <hyperlink ref="D16" r:id="rId4" tooltip="Lake Eau d'Heure" display="https://en.wikipedia.org/wiki/Lake_Eau_d%27Heure" xr:uid="{00000000-0004-0000-0000-000003000000}"/>
    <hyperlink ref="E16" r:id="rId5" display="https://tools.wmflabs.org/geohack/geohack.php?pagename=List_of_power_stations_in_Belgium&amp;params=50.188651_N_4.386258_E_type:landmark&amp;title=Plate+Taille%2C+Electrabel%2C+pumped+storage" xr:uid="{00000000-0004-0000-0000-000004000000}"/>
    <hyperlink ref="D21" r:id="rId6" tooltip="Malmedy" display="https://en.wikipedia.org/wiki/Malmedy" xr:uid="{00000000-0004-0000-0000-000005000000}"/>
    <hyperlink ref="E21" r:id="rId7" display="https://tools.wmflabs.org/geohack/geohack.php?pagename=List_of_power_stations_in_Belgium&amp;params=50.438796_N_6.038930_E_type:landmark&amp;title=B%C3%A9verc%C3%A9%2C+Electrabel%2C+hydroelectric" xr:uid="{00000000-0004-0000-0000-000006000000}"/>
    <hyperlink ref="D26" r:id="rId8" tooltip="Bütgenbach" display="https://en.wikipedia.org/wiki/B%C3%BCtgenbach" xr:uid="{00000000-0004-0000-0000-000007000000}"/>
    <hyperlink ref="E26" r:id="rId9" display="https://tools.wmflabs.org/geohack/geohack.php?pagename=List_of_power_stations_in_Belgium&amp;params=50.436191_N_6.210401_E_type:landmark&amp;title=B%C3%BCtgenbach%2C+Electrabel%2C+hydroelectric" xr:uid="{00000000-0004-0000-0000-000008000000}"/>
    <hyperlink ref="D23" r:id="rId10" tooltip="Aywaille" display="https://en.wikipedia.org/wiki/Aywaille" xr:uid="{00000000-0004-0000-0000-000009000000}"/>
    <hyperlink ref="E23" r:id="rId11" display="https://tools.wmflabs.org/geohack/geohack.php?pagename=List_of_power_stations_in_Belgium&amp;params=50.456188_N_5.717836_E_type:landmark&amp;title=Heid-de-Goreux%2C+Electrabel%2C+hydroelectric" xr:uid="{00000000-0004-0000-0000-00000A000000}"/>
    <hyperlink ref="D25" r:id="rId12" tooltip="Chiny" display="https://en.wikipedia.org/wiki/Chiny" xr:uid="{00000000-0004-0000-0000-00000B000000}"/>
    <hyperlink ref="E25" r:id="rId13" display="https://tools.wmflabs.org/geohack/geohack.php?pagename=List_of_power_stations_in_Belgium&amp;params=49.732938_N_5.376884_E_type:landmark&amp;title=La-Vierre%2C+Electrabel%2C+hydroelectric" xr:uid="{00000000-0004-0000-0000-00000C000000}"/>
    <hyperlink ref="D19" r:id="rId14" tooltip="Amay" display="https://en.wikipedia.org/wiki/Amay" xr:uid="{00000000-0004-0000-0000-00000D000000}"/>
    <hyperlink ref="E19" r:id="rId15" display="https://tools.wmflabs.org/geohack/geohack.php?pagename=List_of_power_stations_in_Belgium&amp;params=50.534154_N_5.296673_E_type:landmark&amp;title=Ampsin-Neuville%2C+EDF+Luminus%2C+hydroelectric" xr:uid="{00000000-0004-0000-0000-00000E000000}"/>
    <hyperlink ref="D20" r:id="rId16" tooltip="Liège" display="https://en.wikipedia.org/wiki/Li%C3%A8ge" xr:uid="{00000000-0004-0000-0000-00000F000000}"/>
    <hyperlink ref="E20" r:id="rId17" display="https://tools.wmflabs.org/geohack/geohack.php?pagename=List_of_power_stations_in_Belgium&amp;params=50.593184_N_5.461270_E_type:landmark&amp;title=Ivoz-Ramet%2C+EDF+Luminus%2C+hydroelectric" xr:uid="{00000000-0004-0000-0000-000010000000}"/>
    <hyperlink ref="D22" r:id="rId18" tooltip="Andenne" display="https://en.wikipedia.org/wiki/Andenne" xr:uid="{00000000-0004-0000-0000-000011000000}"/>
    <hyperlink ref="E22" r:id="rId19" display="https://tools.wmflabs.org/geohack/geohack.php?pagename=List_of_power_stations_in_Belgium&amp;params=50.491974_N_5.069906_E_type:landmark&amp;title=Andenne%2C+EDF+Luminus%2C+hydroelectric" xr:uid="{00000000-0004-0000-0000-000012000000}"/>
    <hyperlink ref="D18" r:id="rId20" tooltip="Liège" display="https://en.wikipedia.org/wiki/Li%C3%A8ge" xr:uid="{00000000-0004-0000-0000-000013000000}"/>
    <hyperlink ref="E18" r:id="rId21" display="https://tools.wmflabs.org/geohack/geohack.php?pagename=List_of_power_stations_in_Belgium&amp;params=50.653180_N_5.631349_E_type:landmark&amp;title=Monsin%2C+EDF+Luminus%2C+hydroelectric" xr:uid="{00000000-0004-0000-0000-000014000000}"/>
    <hyperlink ref="D17" r:id="rId22" tooltip="Visé" display="https://en.wikipedia.org/wiki/Vis%C3%A9" xr:uid="{00000000-0004-0000-0000-000015000000}"/>
    <hyperlink ref="E17" r:id="rId23" display="https://tools.wmflabs.org/geohack/geohack.php?pagename=List_of_power_stations_in_Belgium&amp;params=50.751765_N_5.687777_E_type:landmark&amp;title=Lixhe%2C+EDF+Luminus%2C+hydroelectric" xr:uid="{00000000-0004-0000-0000-000016000000}"/>
    <hyperlink ref="D27" r:id="rId24" tooltip="Namur (city)" display="https://en.wikipedia.org/wiki/Namur_(city)" xr:uid="{00000000-0004-0000-0000-000017000000}"/>
    <hyperlink ref="E27" r:id="rId25" display="https://tools.wmflabs.org/geohack/geohack.php?pagename=List_of_power_stations_in_Belgium&amp;params=50.446742_N_4.77364_E_type:landmark&amp;title=Floriffoux%2C+EDF+Luminus%2C+hydroelectric" xr:uid="{00000000-0004-0000-0000-000018000000}"/>
    <hyperlink ref="D24" r:id="rId26" tooltip="Namur (city)" display="https://en.wikipedia.org/wiki/Namur_(city)" xr:uid="{00000000-0004-0000-0000-000019000000}"/>
    <hyperlink ref="E24" r:id="rId27" display="https://tools.wmflabs.org/geohack/geohack.php?pagename=List_of_power_stations_in_Belgium&amp;params=50.465968_N_4.899369_E_type:landmark&amp;title=Grands-Malades%2C+EDF+Luminus%2C+hydroelectric" xr:uid="{00000000-0004-0000-0000-00001A000000}"/>
    <hyperlink ref="C41" r:id="rId28" tooltip="Aleko Hydro Power Plant" display="https://en.wikipedia.org/wiki/Aleko_Hydro_Power_Plant" xr:uid="{00000000-0004-0000-0000-00001B000000}"/>
    <hyperlink ref="D41" r:id="rId29" tooltip="Aleko Konstantinovo (page does not exist)" display="https://en.wikipedia.org/w/index.php?title=Aleko_Konstantinovo&amp;action=edit&amp;redlink=1" xr:uid="{00000000-0004-0000-0000-00001C000000}"/>
    <hyperlink ref="E41" r:id="rId30" display="https://tools.wmflabs.org/geohack/geohack.php?pagename=List_of_power_stations_in_Bulgaria&amp;params=42.1194263_N_24.2889798_E_&amp;title=Aleko+Hydro+Power+Plant" xr:uid="{00000000-0004-0000-0000-00001D000000}"/>
    <hyperlink ref="C43" r:id="rId31" tooltip="Batak Hydro Power Plant (page does not exist)" display="https://en.wikipedia.org/w/index.php?title=Batak_Hydro_Power_Plant&amp;action=edit&amp;redlink=1" xr:uid="{00000000-0004-0000-0000-00001E000000}"/>
    <hyperlink ref="E43" r:id="rId32" display="https://tools.wmflabs.org/geohack/geohack.php?pagename=List_of_power_stations_in_Bulgaria&amp;params=42.020685_N_24.201529_E_&amp;title=Batak+Hydro+Power+Plant" xr:uid="{00000000-0004-0000-0000-00001F000000}"/>
    <hyperlink ref="C29" r:id="rId33" tooltip="Belmeken Hydro Power Plant" display="https://en.wikipedia.org/wiki/Belmeken_Hydro_Power_Plant" xr:uid="{00000000-0004-0000-0000-000020000000}"/>
    <hyperlink ref="D29" r:id="rId34" tooltip="Sestrimo (page does not exist)" display="https://en.wikipedia.org/w/index.php?title=Sestrimo&amp;action=edit&amp;redlink=1" xr:uid="{00000000-0004-0000-0000-000021000000}"/>
    <hyperlink ref="E29" r:id="rId35" display="https://tools.wmflabs.org/geohack/geohack.php?pagename=List_of_power_stations_in_Bulgaria&amp;params=42.1995137_N_23.8579917_E_&amp;title=Belmeken+Hydro+Power+Plant" xr:uid="{00000000-0004-0000-0000-000022000000}"/>
    <hyperlink ref="C28" r:id="rId36" tooltip="Chaira Hydro Power Plant" display="https://en.wikipedia.org/wiki/Chaira_Hydro_Power_Plant" xr:uid="{00000000-0004-0000-0000-000023000000}"/>
    <hyperlink ref="D28" r:id="rId37" tooltip="Sestrimo (page does not exist)" display="https://en.wikipedia.org/w/index.php?title=Sestrimo&amp;action=edit&amp;redlink=1" xr:uid="{00000000-0004-0000-0000-000024000000}"/>
    <hyperlink ref="E28" r:id="rId38" display="https://tools.wmflabs.org/geohack/geohack.php?pagename=List_of_power_stations_in_Bulgaria&amp;params=42.1589498_N_23.8708448_E_&amp;title=Chaira+Hydro+Power+Plant" xr:uid="{00000000-0004-0000-0000-000025000000}"/>
    <hyperlink ref="C38" r:id="rId39" tooltip="Devin Hydro Power Plant" display="https://en.wikipedia.org/wiki/Devin_Hydro_Power_Plant" xr:uid="{00000000-0004-0000-0000-000026000000}"/>
    <hyperlink ref="D38" r:id="rId40" tooltip="Devin, Bulgaria" display="https://en.wikipedia.org/wiki/Devin,_Bulgaria" xr:uid="{00000000-0004-0000-0000-000027000000}"/>
    <hyperlink ref="E38" r:id="rId41" display="https://tools.wmflabs.org/geohack/geohack.php?pagename=List_of_power_stations_in_Bulgaria&amp;params=41.7201526_N_24.424957_E_&amp;title=Devin+Hydro+Power+Plant" xr:uid="{00000000-0004-0000-0000-000028000000}"/>
    <hyperlink ref="C31" r:id="rId42" tooltip="Gorna Arda Hydro Power Plant" display="https://en.wikipedia.org/wiki/Gorna_Arda_Hydro_Power_Plant" xr:uid="{00000000-0004-0000-0000-000029000000}"/>
    <hyperlink ref="C37" r:id="rId43" tooltip="Ivailovgrad Hydroelectric Power Station" display="https://en.wikipedia.org/wiki/Ivailovgrad_Hydroelectric_Power_Station" xr:uid="{00000000-0004-0000-0000-00002A000000}"/>
    <hyperlink ref="E37" r:id="rId44" display="https://tools.wmflabs.org/geohack/geohack.php?pagename=List_of_power_stations_in_Bulgaria&amp;params=41.5837352_N_26.1074424_E_&amp;title=Ivailovgrad+Hydroelectric+Power+Station" xr:uid="{00000000-0004-0000-0000-00002B000000}"/>
    <hyperlink ref="C36" r:id="rId45" tooltip="Kardzhali Hydroelectric Power Station" display="https://en.wikipedia.org/wiki/Kardzhali_Hydroelectric_Power_Station" xr:uid="{00000000-0004-0000-0000-00002C000000}"/>
    <hyperlink ref="E36" r:id="rId46" display="https://tools.wmflabs.org/geohack/geohack.php?pagename=List_of_power_stations_in_Bulgaria&amp;params=41.6334391_N_25.339998_E_&amp;title=Kardzhali+Hydroelectric+Power+Station" xr:uid="{00000000-0004-0000-0000-00002D000000}"/>
    <hyperlink ref="C39" r:id="rId47" tooltip="Krichim Hydro Power Plant" display="https://en.wikipedia.org/wiki/Krichim_Hydro_Power_Plant" xr:uid="{00000000-0004-0000-0000-00002E000000}"/>
    <hyperlink ref="D39" r:id="rId48" tooltip="Krichim" display="https://en.wikipedia.org/wiki/Krichim" xr:uid="{00000000-0004-0000-0000-00002F000000}"/>
    <hyperlink ref="E39" r:id="rId49" display="https://tools.wmflabs.org/geohack/geohack.php?pagename=List_of_power_stations_in_Bulgaria&amp;params=41.9917775_N_24.4680333_E_&amp;title=Krichim+Hydro+Power+Plant" xr:uid="{00000000-0004-0000-0000-000030000000}"/>
    <hyperlink ref="C35" r:id="rId50" tooltip="Momina Klisura Hydroelectric Power Station" display="https://en.wikipedia.org/wiki/Momina_Klisura_Hydroelectric_Power_Station" xr:uid="{00000000-0004-0000-0000-000031000000}"/>
    <hyperlink ref="E35" r:id="rId51" display="https://tools.wmflabs.org/geohack/geohack.php?pagename=List_of_power_stations_in_Bulgaria&amp;params=42.231944_N_23.949444_E_&amp;title=Momina+Klisura+Hydroelectric+Power+Station" xr:uid="{00000000-0004-0000-0000-000032000000}"/>
    <hyperlink ref="C33" r:id="rId52" tooltip="Orphey Hydroelectric Power Station" display="https://en.wikipedia.org/wiki/Orphey_Hydroelectric_Power_Station" xr:uid="{00000000-0004-0000-0000-000033000000}"/>
    <hyperlink ref="E33" r:id="rId53" display="https://tools.wmflabs.org/geohack/geohack.php?pagename=List_of_power_stations_in_Bulgaria&amp;params=41.9403077_N_24.4467902_E_&amp;title=Orphey+Hydroelectric+Power+Station" xr:uid="{00000000-0004-0000-0000-000034000000}"/>
    <hyperlink ref="C34" r:id="rId54" tooltip="Peshtera Hydroelectric Power Station" display="https://en.wikipedia.org/wiki/Peshtera_Hydroelectric_Power_Station" xr:uid="{00000000-0004-0000-0000-000035000000}"/>
    <hyperlink ref="E34" r:id="rId55" display="https://tools.wmflabs.org/geohack/geohack.php?pagename=List_of_power_stations_in_Bulgaria&amp;params=42.016325_N_24.2617822_E_&amp;title=Peshtera+Hydroelectric+Power+Station" xr:uid="{00000000-0004-0000-0000-000036000000}"/>
    <hyperlink ref="C32" r:id="rId56" tooltip="Studen Kladenets Hydroelectric Power Station (page does not exist)" display="https://en.wikipedia.org/w/index.php?title=Studen_Kladenets_Hydroelectric_Power_Station&amp;action=edit&amp;redlink=1" xr:uid="{00000000-0004-0000-0000-000037000000}"/>
    <hyperlink ref="E32" r:id="rId57" display="https://tools.wmflabs.org/geohack/geohack.php?pagename=List_of_power_stations_in_Bulgaria&amp;params=41.6194768_N_25.6414569_E_&amp;title=Studen+Kladenets+Hydroelectric+Power+Station" xr:uid="{00000000-0004-0000-0000-000038000000}"/>
    <hyperlink ref="C30" r:id="rId58" tooltip="Sestrimo Hydro Power Plant" display="https://en.wikipedia.org/wiki/Sestrimo_Hydro_Power_Plant" xr:uid="{00000000-0004-0000-0000-000039000000}"/>
    <hyperlink ref="E30" r:id="rId59" display="https://tools.wmflabs.org/geohack/geohack.php?pagename=List_of_power_stations_in_Bulgaria&amp;params=42.2083672_N_23.9158201_E_&amp;title=Sestrimo+Hydro+Power+Plant" xr:uid="{00000000-0004-0000-0000-00003A000000}"/>
    <hyperlink ref="C42" r:id="rId60" tooltip="Teshel Hydro Power Plant" display="https://en.wikipedia.org/wiki/Teshel_Hydro_Power_Plant" xr:uid="{00000000-0004-0000-0000-00003B000000}"/>
    <hyperlink ref="E42" r:id="rId61" display="https://tools.wmflabs.org/geohack/geohack.php?pagename=List_of_power_stations_in_Bulgaria&amp;params=41.6637673_N_24.3409181_E_&amp;title=Teshel+Hydro+Power+Plant" xr:uid="{00000000-0004-0000-0000-00003C000000}"/>
    <hyperlink ref="C40" r:id="rId62" tooltip="Tsankov Kamak Hydro Power Plant" display="https://en.wikipedia.org/wiki/Tsankov_Kamak_Hydro_Power_Plant" xr:uid="{00000000-0004-0000-0000-00003D000000}"/>
    <hyperlink ref="E40" r:id="rId63" display="https://tools.wmflabs.org/geohack/geohack.php?pagename=List_of_power_stations_in_Bulgaria&amp;params=41.8221821_N_24.4420481_E_&amp;title=Tsankov+Kamak+Hydro+Power+Plant" xr:uid="{00000000-0004-0000-0000-00003E000000}"/>
    <hyperlink ref="C44" r:id="rId64" tooltip="Vacha Hydro Power Plant (page does not exist)" display="https://en.wikipedia.org/w/index.php?title=Vacha_Hydro_Power_Plant&amp;action=edit&amp;redlink=1" xr:uid="{00000000-0004-0000-0000-00003F000000}"/>
    <hyperlink ref="C47" r:id="rId65" tooltip="Dubrovnik Hydroelectric Power Plant" display="https://en.wikipedia.org/wiki/Dubrovnik_Hydroelectric_Power_Plant" xr:uid="{00000000-0004-0000-0000-000040000000}"/>
    <hyperlink ref="C48" r:id="rId66" tooltip="Senj Hydroelectric Power Plant" display="https://en.wikipedia.org/wiki/Senj_Hydroelectric_Power_Plant" xr:uid="{00000000-0004-0000-0000-000041000000}"/>
    <hyperlink ref="C49" r:id="rId67" tooltip="Vinodol Hydroelectric Power Plant" display="https://en.wikipedia.org/wiki/Vinodol_Hydroelectric_Power_Plant" xr:uid="{00000000-0004-0000-0000-000042000000}"/>
    <hyperlink ref="C45" r:id="rId68" tooltip="Zakučac Hydroelectric Power Plant" display="https://en.wikipedia.org/wiki/Zaku%C4%8Dac_Hydroelectric_Power_Plant" xr:uid="{00000000-0004-0000-0000-000043000000}"/>
    <hyperlink ref="C51" r:id="rId69" tooltip="Dlouhé Stráně Hydro Power Plant" display="https://en.wikipedia.org/wiki/Dlouh%C3%A9_Str%C3%A1n%C4%9B_Hydro_Power_Plant" xr:uid="{00000000-0004-0000-0000-000044000000}"/>
    <hyperlink ref="D51" r:id="rId70" tooltip="Loučná nad Desnou" display="https://en.wikipedia.org/wiki/Lou%C4%8Dn%C3%A1_nad_Desnou" xr:uid="{00000000-0004-0000-0000-000045000000}"/>
    <hyperlink ref="E51" r:id="rId71" display="https://tools.wmflabs.org/geohack/geohack.php?pagename=List_of_power_stations_in_the_Czech_Republic&amp;params=50.084298_N_17.1810293_E_type:landmark&amp;title=Dlouh%C3%A9+Str%C3%A1n%C4%9B+Hydro+Power+Plant" xr:uid="{00000000-0004-0000-0000-000046000000}"/>
    <hyperlink ref="B51" r:id="rId72" tooltip="ČEZ" display="https://en.wikipedia.org/wiki/%C4%8CEZ" xr:uid="{00000000-0004-0000-0000-000047000000}"/>
    <hyperlink ref="C52" r:id="rId73" tooltip="Dalešice Hydro Power Plant" display="https://en.wikipedia.org/wiki/Dale%C5%A1ice_Hydro_Power_Plant" xr:uid="{00000000-0004-0000-0000-000048000000}"/>
    <hyperlink ref="D52" r:id="rId74" tooltip="Kramolín (Třebíč District)" display="https://en.wikipedia.org/wiki/Kramol%C3%ADn_(T%C5%99eb%C3%AD%C4%8D_District)" xr:uid="{00000000-0004-0000-0000-000049000000}"/>
    <hyperlink ref="E52" r:id="rId75" display="https://tools.wmflabs.org/geohack/geohack.php?pagename=List_of_power_stations_in_the_Czech_Republic&amp;params=49.1242473_N_16.1243677_E_type:landmark&amp;title=Dale%C5%A1ice+Hydro+Power+Plant" xr:uid="{00000000-0004-0000-0000-00004A000000}"/>
    <hyperlink ref="C53" r:id="rId76" tooltip="Orlík Hydro Power Plant" display="https://en.wikipedia.org/wiki/Orl%C3%ADk_Hydro_Power_Plant" xr:uid="{00000000-0004-0000-0000-00004B000000}"/>
    <hyperlink ref="D53" r:id="rId77" tooltip="Solenice" display="https://en.wikipedia.org/wiki/Solenice" xr:uid="{00000000-0004-0000-0000-00004C000000}"/>
    <hyperlink ref="E53" r:id="rId78" display="https://tools.wmflabs.org/geohack/geohack.php?pagename=List_of_power_stations_in_the_Czech_Republic&amp;params=49.6068444_N_14.1812253_E_type:landmark&amp;title=Orl%C3%ADk+Hydro+Power+Plant" xr:uid="{00000000-0004-0000-0000-00004D000000}"/>
    <hyperlink ref="C54" r:id="rId79" tooltip="Slapy Hydro Power Plant" display="https://en.wikipedia.org/wiki/Slapy_Hydro_Power_Plant" xr:uid="{00000000-0004-0000-0000-00004E000000}"/>
    <hyperlink ref="D54" r:id="rId80" tooltip="Štěchovice" display="https://en.wikipedia.org/wiki/%C5%A0t%C4%9Bchovice" xr:uid="{00000000-0004-0000-0000-00004F000000}"/>
    <hyperlink ref="E54" r:id="rId81" display="https://tools.wmflabs.org/geohack/geohack.php?pagename=List_of_power_stations_in_the_Czech_Republic&amp;params=49.8235461_N_14.4345009_E_type:landmark&amp;title=Slapy+Hydro+Power+Plant" xr:uid="{00000000-0004-0000-0000-000050000000}"/>
    <hyperlink ref="C55" r:id="rId82" tooltip="Lipno Hydro Power Plant" display="https://en.wikipedia.org/wiki/Lipno_Hydro_Power_Plant" xr:uid="{00000000-0004-0000-0000-000051000000}"/>
    <hyperlink ref="D55" r:id="rId83" tooltip="Lipno nad Vltavou" display="https://en.wikipedia.org/wiki/Lipno_nad_Vltavou" xr:uid="{00000000-0004-0000-0000-000052000000}"/>
    <hyperlink ref="E55" r:id="rId84" display="https://tools.wmflabs.org/geohack/geohack.php?pagename=List_of_power_stations_in_the_Czech_Republic&amp;params=48.6329937_N_14.2399335_E_type:landmark&amp;title=Lipno+Hydro+Power+Plant" xr:uid="{00000000-0004-0000-0000-000053000000}"/>
    <hyperlink ref="D57" r:id="rId85" tooltip="Kamýk nad Vltavou" display="https://en.wikipedia.org/wiki/Kam%C3%BDk_nad_Vltavou" xr:uid="{00000000-0004-0000-0000-000054000000}"/>
    <hyperlink ref="D59" r:id="rId86" tooltip="Ústí nad Labem" display="https://en.wikipedia.org/wiki/%C3%9Ast%C3%AD_nad_Labem" xr:uid="{00000000-0004-0000-0000-000055000000}"/>
    <hyperlink ref="D60" r:id="rId87" tooltip="Vranov nad Dyjí" display="https://en.wikipedia.org/wiki/Vranov_nad_Dyj%C3%AD" xr:uid="{00000000-0004-0000-0000-000056000000}"/>
    <hyperlink ref="B60" r:id="rId88" tooltip="E.ON" display="https://en.wikipedia.org/wiki/E.ON" xr:uid="{00000000-0004-0000-0000-000057000000}"/>
    <hyperlink ref="E137" r:id="rId89" display="https://tools.wmflabs.org/geohack/geohack.php?pagename=List_of_power_stations_in_Germany&amp;params=48.94638809_N_12.01305556_E_&amp;title=Bad+Abbach+Power+Station" xr:uid="{00000000-0004-0000-0000-000058000000}"/>
    <hyperlink ref="C120" r:id="rId90" tooltip="Aufkirchen Power Station (page does not exist)" display="https://en.wikipedia.org/w/index.php?title=Aufkirchen_Power_Station&amp;action=edit&amp;redlink=1" xr:uid="{00000000-0004-0000-0000-000059000000}"/>
    <hyperlink ref="E120" r:id="rId91" display="https://tools.wmflabs.org/geohack/geohack.php?pagename=List_of_power_stations_in_Germany&amp;params=48.3052492_N_11.8577135_E_&amp;title=Aufkirchen+Power+Station" xr:uid="{00000000-0004-0000-0000-00005A000000}"/>
    <hyperlink ref="C115" r:id="rId92" tooltip="Bad Säckingen Power Station (page does not exist)" display="https://en.wikipedia.org/w/index.php?title=Bad_S%C3%A4ckingen_Power_Station&amp;action=edit&amp;redlink=1" xr:uid="{00000000-0004-0000-0000-00005B000000}"/>
    <hyperlink ref="E115" r:id="rId93" display="https://tools.wmflabs.org/geohack/geohack.php?pagename=List_of_power_stations_in_Germany&amp;params=47.5577658_N_7.956714_E_&amp;title=Bad+S%C3%A4ckingen+Power+Station" xr:uid="{00000000-0004-0000-0000-00005C000000}"/>
    <hyperlink ref="C124" r:id="rId94" tooltip="Bergheim Power Station (page does not exist)" display="https://en.wikipedia.org/w/index.php?title=Bergheim_Power_Station&amp;action=edit&amp;redlink=1" xr:uid="{00000000-0004-0000-0000-00005D000000}"/>
    <hyperlink ref="E124" r:id="rId95" display="https://tools.wmflabs.org/geohack/geohack.php?pagename=List_of_power_stations_in_Germany&amp;params=48.7507492_N_11.2729812_E_&amp;title=Bergheim+Power+Station" xr:uid="{00000000-0004-0000-0000-00005E000000}"/>
    <hyperlink ref="C127" r:id="rId96" tooltip="Bertoldsheim Power Station (page does not exist)" display="https://en.wikipedia.org/w/index.php?title=Bertoldsheim_Power_Station&amp;action=edit&amp;redlink=1" xr:uid="{00000000-0004-0000-0000-00005F000000}"/>
    <hyperlink ref="E127" r:id="rId97" display="https://tools.wmflabs.org/geohack/geohack.php?pagename=List_of_power_stations_in_Germany&amp;params=48.735722_N_11.0208321_E_&amp;title=Bertoldsheim+Power+Station" xr:uid="{00000000-0004-0000-0000-000060000000}"/>
    <hyperlink ref="C143" r:id="rId98" tooltip="Bettenberg Power Station (page does not exist)" display="https://en.wikipedia.org/w/index.php?title=Bettenberg_Power_Station&amp;action=edit&amp;redlink=1" xr:uid="{00000000-0004-0000-0000-000061000000}"/>
    <hyperlink ref="E143" r:id="rId99" display="https://tools.wmflabs.org/geohack/geohack.php?pagename=List_of_power_stations_in_Germany&amp;params=48.600881_N_8.73715_E_&amp;title=Bettenberg+Power+Station" xr:uid="{00000000-0004-0000-0000-000062000000}"/>
    <hyperlink ref="C125" r:id="rId100" tooltip="Bittenbrunn Power Station (page does not exist)" display="https://en.wikipedia.org/w/index.php?title=Bittenbrunn_Power_Station&amp;action=edit&amp;redlink=1" xr:uid="{00000000-0004-0000-0000-000063000000}"/>
    <hyperlink ref="E125" r:id="rId101" display="https://tools.wmflabs.org/geohack/geohack.php?pagename=List_of_power_stations_in_Germany&amp;params=48.7344448_N_11.1436504_E_&amp;title=Bittenbrunn+Power+Station" xr:uid="{00000000-0004-0000-0000-000064000000}"/>
    <hyperlink ref="C131" r:id="rId102" tooltip="Dettingen Power Station (page does not exist)" display="https://en.wikipedia.org/w/index.php?title=Dettingen_Power_Station&amp;action=edit&amp;redlink=1" xr:uid="{00000000-0004-0000-0000-000065000000}"/>
    <hyperlink ref="E131" r:id="rId103" display="https://tools.wmflabs.org/geohack/geohack.php?pagename=List_of_power_stations_in_Germany&amp;params=48.112167_N_10.133225_E_&amp;title=Dettingen+Power+Station" xr:uid="{00000000-0004-0000-0000-000066000000}"/>
    <hyperlink ref="C144" r:id="rId104" tooltip="Eitting Power Station (page does not exist)" display="https://en.wikipedia.org/w/index.php?title=Eitting_Power_Station&amp;action=edit&amp;redlink=1" xr:uid="{00000000-0004-0000-0000-000067000000}"/>
    <hyperlink ref="E144" r:id="rId105" display="https://tools.wmflabs.org/geohack/geohack.php?pagename=List_of_power_stations_in_Germany&amp;params=48.3589581_N_11.8827975_E_&amp;title=Eitting+Power+Station" xr:uid="{00000000-0004-0000-0000-000068000000}"/>
    <hyperlink ref="C128" r:id="rId106" tooltip="Fankel Power Station (page does not exist)" display="https://en.wikipedia.org/w/index.php?title=Fankel_Power_Station&amp;action=edit&amp;redlink=1" xr:uid="{00000000-0004-0000-0000-000069000000}"/>
    <hyperlink ref="E128" r:id="rId107" display="https://tools.wmflabs.org/geohack/geohack.php?pagename=List_of_power_stations_in_Germany&amp;params=50.124044_N_7.227222_E_&amp;title=Eitting+Power+Station" xr:uid="{00000000-0004-0000-0000-00006A000000}"/>
    <hyperlink ref="C117" r:id="rId108" tooltip="Forggensee Dam (page does not exist)" display="https://en.wikipedia.org/w/index.php?title=Forggensee_Dam&amp;action=edit&amp;redlink=1" xr:uid="{00000000-0004-0000-0000-00006B000000}"/>
    <hyperlink ref="E117" r:id="rId109" display="https://tools.wmflabs.org/geohack/geohack.php?pagename=List_of_power_stations_in_Germany&amp;params=47.6542518_N_10.7497251_E_&amp;title=Forggensee+Dam" xr:uid="{00000000-0004-0000-0000-00006C000000}"/>
    <hyperlink ref="C108" r:id="rId110" tooltip="Iffezheim Power Station (page does not exist)" display="https://en.wikipedia.org/w/index.php?title=Iffezheim_Power_Station&amp;action=edit&amp;redlink=1" xr:uid="{00000000-0004-0000-0000-00006D000000}"/>
    <hyperlink ref="E108" r:id="rId111" display="https://tools.wmflabs.org/geohack/geohack.php?pagename=List_of_power_stations_in_Germany&amp;params=48.8327607_N_8.1104851_E_&amp;title=Iffezheim+Power+Station" xr:uid="{00000000-0004-0000-0000-00006E000000}"/>
    <hyperlink ref="C126" r:id="rId112" tooltip="Ingolstadt Hydroelectric Power Station (page does not exist)" display="https://en.wikipedia.org/w/index.php?title=Ingolstadt_Hydroelectric_Power_Station&amp;action=edit&amp;redlink=1" xr:uid="{00000000-0004-0000-0000-00006F000000}"/>
    <hyperlink ref="E126" r:id="rId113" display="https://tools.wmflabs.org/geohack/geohack.php?pagename=List_of_power_stations_in_Germany&amp;params=48.7503672_N_11.4119518_E_&amp;title=Ingolstadt+Hydroelectric+Power+Station" xr:uid="{00000000-0004-0000-0000-000070000000}"/>
    <hyperlink ref="C116" r:id="rId114" tooltip="Kachlet Power Station (page does not exist)" display="https://en.wikipedia.org/w/index.php?title=Kachlet_Power_Station&amp;action=edit&amp;redlink=1" xr:uid="{00000000-0004-0000-0000-000071000000}"/>
    <hyperlink ref="E116" r:id="rId115" display="https://tools.wmflabs.org/geohack/geohack.php?pagename=List_of_power_stations_in_Germany&amp;params=48.5791554_N_13.4073865_E_&amp;title=Kachlet+Power+Station" xr:uid="{00000000-0004-0000-0000-000072000000}"/>
    <hyperlink ref="C129" r:id="rId116" tooltip="Koblenz Power Station (page does not exist)" display="https://en.wikipedia.org/w/index.php?title=Koblenz_Power_Station&amp;action=edit&amp;redlink=1" xr:uid="{00000000-0004-0000-0000-000073000000}"/>
    <hyperlink ref="E129" r:id="rId117" display="https://tools.wmflabs.org/geohack/geohack.php?pagename=List_of_power_stations_in_Germany&amp;params=50.365783_N_7.581553_E_&amp;title=Koblenz+Power+Station" xr:uid="{00000000-0004-0000-0000-000074000000}"/>
    <hyperlink ref="C106" r:id="rId118" tooltip="Laufenburg Power Station (page does not exist)" display="https://en.wikipedia.org/w/index.php?title=Laufenburg_Power_Station&amp;action=edit&amp;redlink=1" xr:uid="{00000000-0004-0000-0000-000075000000}"/>
    <hyperlink ref="E106" r:id="rId119" display="https://tools.wmflabs.org/geohack/geohack.php?pagename=List_of_power_stations_in_Germany&amp;params=47.5566146_N_8.0480593_E_&amp;title=Laufenburg+Power+Station" xr:uid="{00000000-0004-0000-0000-000076000000}"/>
    <hyperlink ref="C133" r:id="rId120" tooltip="Möhne Reservoir" display="https://en.wikipedia.org/wiki/M%C3%B6hne_Reservoir" xr:uid="{00000000-0004-0000-0000-000077000000}"/>
    <hyperlink ref="E133" r:id="rId121" display="https://tools.wmflabs.org/geohack/geohack.php?pagename=List_of_power_stations_in_Germany&amp;params=51.4896339_N_8.0589706_E_&amp;title=M%C3%B6hne+Dam" xr:uid="{00000000-0004-0000-0000-000078000000}"/>
    <hyperlink ref="C140" r:id="rId122" tooltip="Mühlhausen Power Station (page does not exist)" display="https://en.wikipedia.org/w/index.php?title=M%C3%BChlhausen_Power_Station&amp;action=edit&amp;redlink=1" xr:uid="{00000000-0004-0000-0000-000079000000}"/>
    <hyperlink ref="E140" r:id="rId123" display="https://tools.wmflabs.org/geohack/geohack.php?pagename=List_of_power_stations_in_Germany&amp;params=48.933664_N_8.90195_E_&amp;title=M%C3%BChlhausen+Power+Station" xr:uid="{00000000-0004-0000-0000-00007A000000}"/>
    <hyperlink ref="C145" r:id="rId124" tooltip="Pfrombach Power Station (page does not exist)" display="https://en.wikipedia.org/w/index.php?title=Pfrombach_Power_Station&amp;action=edit&amp;redlink=1" xr:uid="{00000000-0004-0000-0000-00007B000000}"/>
    <hyperlink ref="E145" r:id="rId125" display="https://tools.wmflabs.org/geohack/geohack.php?pagename=List_of_power_stations_in_Germany&amp;params=48.4413727_N_11.9928968_E_&amp;title=Pfrombach+Power+Station" xr:uid="{00000000-0004-0000-0000-00007C000000}"/>
    <hyperlink ref="C122" r:id="rId126" tooltip="Rheinfelden Power Station (page does not exist)" display="https://en.wikipedia.org/w/index.php?title=Rheinfelden_Power_Station&amp;action=edit&amp;redlink=1" xr:uid="{00000000-0004-0000-0000-00007D000000}"/>
    <hyperlink ref="E122" r:id="rId127" display="https://tools.wmflabs.org/geohack/geohack.php?pagename=List_of_power_stations_in_Germany&amp;params=47.5700403_N_7.8126848_E_&amp;title=Rheinfelden+Power+Station" xr:uid="{00000000-0004-0000-0000-00007E000000}"/>
    <hyperlink ref="C104" r:id="rId128" tooltip="Ryburg-Schwörstadt Power Station (page does not exist)" display="https://en.wikipedia.org/w/index.php?title=Ryburg-Schw%C3%B6rstadt_Power_Station&amp;action=edit&amp;redlink=1" xr:uid="{00000000-0004-0000-0000-00007F000000}"/>
    <hyperlink ref="E104" r:id="rId129" display="https://tools.wmflabs.org/geohack/geohack.php?pagename=List_of_power_stations_in_Germany&amp;params=47.5868403_N_7.8338555_E_&amp;title=Ryburg-Schw%C3%B6rstadt+Power+Station" xr:uid="{00000000-0004-0000-0000-000080000000}"/>
    <hyperlink ref="C130" r:id="rId130" tooltip="Serrig Power Station (page does not exist)" display="https://en.wikipedia.org/w/index.php?title=Serrig_Power_Station&amp;action=edit&amp;redlink=1" xr:uid="{00000000-0004-0000-0000-000081000000}"/>
    <hyperlink ref="E130" r:id="rId131" display="https://tools.wmflabs.org/geohack/geohack.php?pagename=List_of_power_stations_in_Germany&amp;params=49.566669_N_6.592558_E_&amp;title=Serrig+Power+Station" xr:uid="{00000000-0004-0000-0000-000082000000}"/>
    <hyperlink ref="C103" r:id="rId132" tooltip="Walchensee Hydroelectric Power Station" display="https://en.wikipedia.org/wiki/Walchensee_Hydroelectric_Power_Station" xr:uid="{00000000-0004-0000-0000-000083000000}"/>
    <hyperlink ref="E103" r:id="rId133" display="https://tools.wmflabs.org/geohack/geohack.php?pagename=List_of_power_stations_in_Germany&amp;params=47.6298189_N_11.3374454_E_&amp;title=Walchensee+Hydroelectric+Power+Station" xr:uid="{00000000-0004-0000-0000-000084000000}"/>
    <hyperlink ref="C112" r:id="rId134" tooltip="Wendefurth Power Station" display="https://en.wikipedia.org/wiki/Wendefurth_Power_Station" xr:uid="{00000000-0004-0000-0000-000085000000}"/>
    <hyperlink ref="E112" r:id="rId135" display="https://tools.wmflabs.org/geohack/geohack.php?pagename=List_of_power_stations_in_Germany&amp;params=51.7390417_N_10.9071493_E_&amp;title=Wendefurth+Power+Station" xr:uid="{00000000-0004-0000-0000-000086000000}"/>
    <hyperlink ref="C121" r:id="rId136" tooltip="Wyhlen Dam (page does not exist)" display="https://en.wikipedia.org/w/index.php?title=Wyhlen_Dam&amp;action=edit&amp;redlink=1" xr:uid="{00000000-0004-0000-0000-000087000000}"/>
    <hyperlink ref="E121" r:id="rId137" display="https://tools.wmflabs.org/geohack/geohack.php?pagename=List_of_power_stations_in_Germany&amp;params=47.5389195_N_7.7076817_E_&amp;title=Wyhlen+Dam" xr:uid="{00000000-0004-0000-0000-000088000000}"/>
    <hyperlink ref="C109" r:id="rId138" tooltip="Schärding-Neuhaus Power Station (page does not exist)" display="https://en.wikipedia.org/w/index.php?title=Sch%C3%A4rding-Neuhaus_Power_Station&amp;action=edit&amp;redlink=1" xr:uid="{00000000-0004-0000-0000-000089000000}"/>
    <hyperlink ref="E109" r:id="rId139" display="https://tools.wmflabs.org/geohack/geohack.php?pagename=List_of_power_stations_in_Germany&amp;params=48.4354009_N_13.4388113_E_&amp;title=Sch%C3%A4rding-Neuhaus+Power+Station" xr:uid="{00000000-0004-0000-0000-00008A000000}"/>
    <hyperlink ref="C134" r:id="rId140" tooltip="Sylvenstein Dam" display="https://en.wikipedia.org/wiki/Sylvenstein_Dam" xr:uid="{00000000-0004-0000-0000-00008B000000}"/>
    <hyperlink ref="E134" r:id="rId141" display="https://tools.wmflabs.org/geohack/geohack.php?pagename=List_of_power_stations_in_Germany&amp;params=47.5863428_N_11.549651_E_&amp;title=Sylvenstein+Dam" xr:uid="{00000000-0004-0000-0000-00008C000000}"/>
    <hyperlink ref="C142" r:id="rId142" tooltip="Söse Dam" display="https://en.wikipedia.org/wiki/S%C3%B6se_Dam" xr:uid="{00000000-0004-0000-0000-00008D000000}"/>
    <hyperlink ref="E142" r:id="rId143" display="https://tools.wmflabs.org/geohack/geohack.php?pagename=List_of_power_stations_in_Germany&amp;params=51.7386962_N_10.310626_E_&amp;title=S%C3%B6se+Dam" xr:uid="{00000000-0004-0000-0000-00008E000000}"/>
    <hyperlink ref="C94" r:id="rId144" tooltip="Albbecken Pumped Storage Station (page does not exist)" display="https://en.wikipedia.org/w/index.php?title=Albbecken_Pumped_Storage_Station&amp;action=edit&amp;redlink=1" xr:uid="{00000000-0004-0000-0000-00008F000000}"/>
    <hyperlink ref="E94" r:id="rId145" display="https://tools.wmflabs.org/geohack/geohack.php?pagename=List_of_power_stations_in_Germany&amp;params=47.6878681_N_8.2514513_E_&amp;title=Albbecken+Pumped+Storage+Station" xr:uid="{00000000-0004-0000-0000-000090000000}"/>
    <hyperlink ref="C113" r:id="rId146" tooltip="Bleiloch Pumped Storage Station (page does not exist)" display="https://en.wikipedia.org/w/index.php?title=Bleiloch_Pumped_Storage_Station&amp;action=edit&amp;redlink=1" xr:uid="{00000000-0004-0000-0000-000091000000}"/>
    <hyperlink ref="E113" r:id="rId147" display="https://tools.wmflabs.org/geohack/geohack.php?pagename=List_of_power_stations_in_Germany&amp;params=50.5252824_N_11.7150521_E_&amp;title=Bleiloch+Pumped+Storage+Station" xr:uid="{00000000-0004-0000-0000-000092000000}"/>
    <hyperlink ref="C132" r:id="rId148" tooltip="Dhron Valley Dam (page does not exist)" display="https://en.wikipedia.org/w/index.php?title=Dhron_Valley_Dam&amp;action=edit&amp;redlink=1" xr:uid="{00000000-0004-0000-0000-000093000000}"/>
    <hyperlink ref="E132" r:id="rId149" display="https://tools.wmflabs.org/geohack/geohack.php?pagename=List_of_power_stations_in_Germany&amp;params=49.796274_N_6.8985558_E_&amp;title=Dhron+Valley+Dam" xr:uid="{00000000-0004-0000-0000-000094000000}"/>
    <hyperlink ref="C93" r:id="rId150" tooltip="Erzhausen Pumped Storage Station (page does not exist)" display="https://en.wikipedia.org/w/index.php?title=Erzhausen_Pumped_Storage_Station&amp;action=edit&amp;redlink=1" xr:uid="{00000000-0004-0000-0000-000095000000}"/>
    <hyperlink ref="E93" r:id="rId151" display="https://tools.wmflabs.org/geohack/geohack.php?pagename=List_of_power_stations_in_Germany&amp;params=51.8986677_N_9.9248707_E_&amp;title=Erzhausen+Pumped+Storage+Station" xr:uid="{00000000-0004-0000-0000-000096000000}"/>
    <hyperlink ref="C102" r:id="rId152" tooltip="Geesthacht Pumped Storage Station (page does not exist)" display="https://en.wikipedia.org/w/index.php?title=Geesthacht_Pumped_Storage_Station&amp;action=edit&amp;redlink=1" xr:uid="{00000000-0004-0000-0000-000097000000}"/>
    <hyperlink ref="E102" r:id="rId153" display="https://tools.wmflabs.org/geohack/geohack.php?pagename=List_of_power_stations_in_Germany&amp;params=53.4191238_N_10.3936458_E_&amp;title=Geesthacht+Pumped+Storage+Station" xr:uid="{00000000-0004-0000-0000-000098000000}"/>
    <hyperlink ref="C111" r:id="rId154" tooltip="Glems Pumped Storage Station (page does not exist)" display="https://en.wikipedia.org/w/index.php?title=Glems_Pumped_Storage_Station&amp;action=edit&amp;redlink=1" xr:uid="{00000000-0004-0000-0000-000099000000}"/>
    <hyperlink ref="E111" r:id="rId155" display="https://tools.wmflabs.org/geohack/geohack.php?pagename=List_of_power_stations_in_Germany&amp;params=48.5051789_N_9.2872453_E_&amp;title=Glems+Pumped+Storage+Station" xr:uid="{00000000-0004-0000-0000-00009A000000}"/>
    <hyperlink ref="C87" r:id="rId156" tooltip="Goldisthal Pumped Storage Station" display="https://en.wikipedia.org/wiki/Goldisthal_Pumped_Storage_Station" xr:uid="{00000000-0004-0000-0000-00009B000000}"/>
    <hyperlink ref="E87" r:id="rId157" display="https://tools.wmflabs.org/geohack/geohack.php?pagename=List_of_power_stations_in_Germany&amp;params=50.5080843_N_11.0044706_E_&amp;title=Goldisthal+Pumped+Storage+Station" xr:uid="{00000000-0004-0000-0000-00009C000000}"/>
    <hyperlink ref="C95" r:id="rId158" tooltip="Happurg Pumped Storage Station (page does not exist)" display="https://en.wikipedia.org/w/index.php?title=Happurg_Pumped_Storage_Station&amp;action=edit&amp;redlink=1" xr:uid="{00000000-0004-0000-0000-00009D000000}"/>
    <hyperlink ref="E95" r:id="rId159" display="https://tools.wmflabs.org/geohack/geohack.php?pagename=List_of_power_stations_in_Germany&amp;params=49.4870295_N_11.4747262_E_&amp;title=Happurg+Pumped+Storage+Station" xr:uid="{00000000-0004-0000-0000-00009E000000}"/>
    <hyperlink ref="C101" r:id="rId160" tooltip="Häusern Pumped Storage Station (page does not exist)" display="https://en.wikipedia.org/w/index.php?title=H%C3%A4usern_Pumped_Storage_Station&amp;action=edit&amp;redlink=1" xr:uid="{00000000-0004-0000-0000-00009F000000}"/>
    <hyperlink ref="E101" r:id="rId161" display="https://tools.wmflabs.org/geohack/geohack.php?pagename=List_of_power_stations_in_Germany&amp;params=47.7553855_N_8.1883067_E_&amp;title=H%C3%A4usern+Pumped+Storage+Station" xr:uid="{00000000-0004-0000-0000-0000A0000000}"/>
    <hyperlink ref="C92" r:id="rId162" tooltip="Hohenwarte II Pumped Storage Station (page does not exist)" display="https://en.wikipedia.org/w/index.php?title=Hohenwarte_II_Pumped_Storage_Station&amp;action=edit&amp;redlink=1" xr:uid="{00000000-0004-0000-0000-0000A1000000}"/>
    <hyperlink ref="E92" r:id="rId163" display="https://tools.wmflabs.org/geohack/geohack.php?pagename=List_of_power_stations_in_Germany&amp;params=50.6040914_N_11.4749408_E_&amp;title=Hohenwarte+II+Pumped+Storage+Station" xr:uid="{00000000-0004-0000-0000-0000A2000000}"/>
    <hyperlink ref="C89" r:id="rId164" tooltip="Hotzenwald Pumped Storage Station (page does not exist)" display="https://en.wikipedia.org/w/index.php?title=Hotzenwald_Pumped_Storage_Station&amp;action=edit&amp;redlink=1" xr:uid="{00000000-0004-0000-0000-0000A3000000}"/>
    <hyperlink ref="E89" r:id="rId165" display="https://tools.wmflabs.org/geohack/geohack.php?pagename=List_of_power_stations_in_Germany&amp;params=47.6523655_N_7.9256701_E_&amp;title=Hotzenwald+Pumped+Storage+Station" xr:uid="{00000000-0004-0000-0000-0000A4000000}"/>
    <hyperlink ref="C99" r:id="rId166" tooltip="Koepchenwerk Pumped Storage Station (page does not exist)" display="https://en.wikipedia.org/w/index.php?title=Koepchenwerk_Pumped_Storage_Station&amp;action=edit&amp;redlink=1" xr:uid="{00000000-0004-0000-0000-0000A5000000}"/>
    <hyperlink ref="E99" r:id="rId167" display="https://tools.wmflabs.org/geohack/geohack.php?pagename=List_of_power_stations_in_Germany&amp;params=51.411363_N_7.4541378_E_&amp;title=Koepchenwerk+Pumped+Storage+Station" xr:uid="{00000000-0004-0000-0000-0000A6000000}"/>
    <hyperlink ref="C97" r:id="rId168" tooltip="Langenprozelten Pumped Storage Station" display="https://en.wikipedia.org/wiki/Langenprozelten_Pumped_Storage_Station" xr:uid="{00000000-0004-0000-0000-0000A7000000}"/>
    <hyperlink ref="E97" r:id="rId169" display="https://tools.wmflabs.org/geohack/geohack.php?pagename=List_of_power_stations_in_Germany&amp;params=50.0531314_N_9.5813522_E_&amp;title=Langenprozelten+Pumped+Storage+Station" xr:uid="{00000000-0004-0000-0000-0000A8000000}"/>
    <hyperlink ref="C110" r:id="rId170" tooltip="Leitzach Pumped Storage Station (page does not exist)" display="https://en.wikipedia.org/w/index.php?title=Leitzach_Pumped_Storage_Station&amp;action=edit&amp;redlink=1" xr:uid="{00000000-0004-0000-0000-0000A9000000}"/>
    <hyperlink ref="E110" r:id="rId171" display="https://tools.wmflabs.org/geohack/geohack.php?pagename=List_of_power_stations_in_Germany&amp;params=47.8740619_N_11.8701214_E_&amp;title=Leitzach+Pumped+Storage+Station" xr:uid="{00000000-0004-0000-0000-0000AA000000}"/>
    <hyperlink ref="C88" r:id="rId172" tooltip="Markersbach Pumped Storage Station (page does not exist)" display="https://en.wikipedia.org/w/index.php?title=Markersbach_Pumped_Storage_Station&amp;action=edit&amp;redlink=1" xr:uid="{00000000-0004-0000-0000-0000AB000000}"/>
    <hyperlink ref="E88" r:id="rId173" display="https://tools.wmflabs.org/geohack/geohack.php?pagename=List_of_power_stations_in_Germany&amp;params=50.5175266_N_12.8806436_E_&amp;title=Markersbach+Pumped+Storage+Station" xr:uid="{00000000-0004-0000-0000-0000AC000000}"/>
    <hyperlink ref="C141" r:id="rId174" tooltip="Mittweida Pumped Storage Station (page does not exist)" display="https://en.wikipedia.org/w/index.php?title=Mittweida_Pumped_Storage_Station&amp;action=edit&amp;redlink=1" xr:uid="{00000000-0004-0000-0000-0000AD000000}"/>
    <hyperlink ref="E141" r:id="rId175" display="https://tools.wmflabs.org/geohack/geohack.php?pagename=List_of_power_stations_in_Germany&amp;params=50.9895028_N_13.0066431_E_&amp;title=Mittweida+Pumped+Storage+Station" xr:uid="{00000000-0004-0000-0000-0000AE000000}"/>
    <hyperlink ref="C105" r:id="rId176" tooltip="Niederwartha Pumped Storage Station (page does not exist)" display="https://en.wikipedia.org/w/index.php?title=Niederwartha_Pumped_Storage_Station&amp;action=edit&amp;redlink=1" xr:uid="{00000000-0004-0000-0000-0000AF000000}"/>
    <hyperlink ref="E105" r:id="rId177" display="https://tools.wmflabs.org/geohack/geohack.php?pagename=List_of_power_stations_in_Germany&amp;params=51.0913301_N_13.6100435_E_&amp;title=Niederwartha+Pumped+Storage+Station" xr:uid="{00000000-0004-0000-0000-0000B0000000}"/>
    <hyperlink ref="C135" r:id="rId178" tooltip="Oder Valley Dam (page does not exist)" display="https://en.wikipedia.org/w/index.php?title=Oder_Valley_Dam&amp;action=edit&amp;redlink=1" xr:uid="{00000000-0004-0000-0000-0000B1000000}"/>
    <hyperlink ref="E135" r:id="rId179" display="https://tools.wmflabs.org/geohack/geohack.php?pagename=List_of_power_stations_in_Germany&amp;params=51.6460663_N_10.5031013_E_&amp;title=Oder+Valley+Dam" xr:uid="{00000000-0004-0000-0000-0000B2000000}"/>
    <hyperlink ref="C139" r:id="rId180" tooltip="Ortenberg-Lissberg Pumped Storage Station (page does not exist)" display="https://en.wikipedia.org/w/index.php?title=Ortenberg-Lissberg_Pumped_Storage_Station&amp;action=edit&amp;redlink=1" xr:uid="{00000000-0004-0000-0000-0000B3000000}"/>
    <hyperlink ref="E139" r:id="rId181" display="https://tools.wmflabs.org/geohack/geohack.php?pagename=List_of_power_stations_in_Germany&amp;params=50.3763118_N_9.092592_E_&amp;title=Ortenberg-Lissberg+Pumped+Storage+Station" xr:uid="{00000000-0004-0000-0000-0000B4000000}"/>
    <hyperlink ref="C107" r:id="rId182" tooltip="Reisach Pumped Storage Station (page does not exist)" display="https://en.wikipedia.org/w/index.php?title=Reisach_Pumped_Storage_Station&amp;action=edit&amp;redlink=1" xr:uid="{00000000-0004-0000-0000-0000B5000000}"/>
    <hyperlink ref="E107" r:id="rId183" display="https://tools.wmflabs.org/geohack/geohack.php?pagename=List_of_power_stations_in_Germany&amp;params=49.530104_N_12.2845924_E_&amp;title=Reisach+Pumped+Storage+Station" xr:uid="{00000000-0004-0000-0000-0000B6000000}"/>
    <hyperlink ref="C98" r:id="rId184" tooltip="Rönkhausen Pumped Storage Station (page does not exist)" display="https://en.wikipedia.org/w/index.php?title=R%C3%B6nkhausen_Pumped_Storage_Station&amp;action=edit&amp;redlink=1" xr:uid="{00000000-0004-0000-0000-0000B7000000}"/>
    <hyperlink ref="E98" r:id="rId185" display="https://tools.wmflabs.org/geohack/geohack.php?pagename=List_of_power_stations_in_Germany&amp;params=51.2247664_N_7.9933155_E_&amp;title=R%C3%B6nkhausen+Pumped+Storage+Station" xr:uid="{00000000-0004-0000-0000-0000B8000000}"/>
    <hyperlink ref="C118" r:id="rId186" tooltip="Rudolf-Fettweis-Power Plant (page does not exist)" display="https://en.wikipedia.org/w/index.php?title=Rudolf-Fettweis-Power_Plant&amp;action=edit&amp;redlink=1" xr:uid="{00000000-0004-0000-0000-0000B9000000}"/>
    <hyperlink ref="E118" r:id="rId187" display="https://tools.wmflabs.org/geohack/geohack.php?pagename=List_of_power_stations_in_Germany&amp;params=48.6685328_N_8.3530855_E_&amp;title=Rudolf-Fettweis-Power+Plant" xr:uid="{00000000-0004-0000-0000-0000BA000000}"/>
    <hyperlink ref="C119" r:id="rId188" tooltip="Rusel Power Plant (page does not exist)" display="https://en.wikipedia.org/w/index.php?title=Rusel_Power_Plant&amp;action=edit&amp;redlink=1" xr:uid="{00000000-0004-0000-0000-0000BB000000}"/>
    <hyperlink ref="E119" r:id="rId189" display="https://tools.wmflabs.org/geohack/geohack.php?pagename=List_of_power_stations_in_Germany&amp;params=48.8592093_N_13.0070293_E_&amp;title=Rusel+Power+Plant" xr:uid="{00000000-0004-0000-0000-0000BC000000}"/>
    <hyperlink ref="C90" r:id="rId190" tooltip="Säckingen Pumped Storage Station (page does not exist)" display="https://en.wikipedia.org/w/index.php?title=S%C3%A4ckingen_Pumped_Storage_Station&amp;action=edit&amp;redlink=1" xr:uid="{00000000-0004-0000-0000-0000BD000000}"/>
    <hyperlink ref="E90" r:id="rId191" display="https://tools.wmflabs.org/geohack/geohack.php?pagename=List_of_power_stations_in_Germany&amp;params=47.5656065_N_7.9536295_E_&amp;title=S%C3%A4ckingen+Pumped+Storage+Station" xr:uid="{00000000-0004-0000-0000-0000BE000000}"/>
    <hyperlink ref="C123" r:id="rId192" tooltip="Tanzmühle Pumped Storage Station (page does not exist)" display="https://en.wikipedia.org/w/index.php?title=Tanzm%C3%BChle_Pumped_Storage_Station&amp;action=edit&amp;redlink=1" xr:uid="{00000000-0004-0000-0000-0000BF000000}"/>
    <hyperlink ref="E123" r:id="rId193" display="https://tools.wmflabs.org/geohack/geohack.php?pagename=List_of_power_stations_in_Germany&amp;params=49.5521595_N_12.281127_E_&amp;title=Tanzm%C3%BChle+Pumped+Storage+Station" xr:uid="{00000000-0004-0000-0000-0000C0000000}"/>
    <hyperlink ref="C100" r:id="rId194" location="Waldeck_I" tooltip="Waldeck Pumped Storage Station" display="https://en.wikipedia.org/wiki/Waldeck_Pumped_Storage_Station - Waldeck_I" xr:uid="{00000000-0004-0000-0000-0000C1000000}"/>
    <hyperlink ref="E100" r:id="rId195" display="https://tools.wmflabs.org/geohack/geohack.php?pagename=List_of_power_stations_in_Germany&amp;params=51.1661452_N_9.0463078_E_&amp;title=Waldeck+I+Pumped+Storage+Station" xr:uid="{00000000-0004-0000-0000-0000C2000000}"/>
    <hyperlink ref="C91" r:id="rId196" location="Waldeck_II" tooltip="Waldeck Pumped Storage Station" display="https://en.wikipedia.org/wiki/Waldeck_Pumped_Storage_Station - Waldeck_II" xr:uid="{00000000-0004-0000-0000-0000C3000000}"/>
    <hyperlink ref="E91" r:id="rId197" display="https://tools.wmflabs.org/geohack/geohack.php?pagename=List_of_power_stations_in_Germany&amp;params=51.1665488_N_9.0465868_E_&amp;title=Waldeck+II+Pumped+Storage+Station" xr:uid="{00000000-0004-0000-0000-0000C4000000}"/>
    <hyperlink ref="C96" r:id="rId198" tooltip="Waldshut Pumped Storage Station (page does not exist)" display="https://en.wikipedia.org/w/index.php?title=Waldshut_Pumped_Storage_Station&amp;action=edit&amp;redlink=1" xr:uid="{00000000-0004-0000-0000-0000C5000000}"/>
    <hyperlink ref="E96" r:id="rId199" display="https://tools.wmflabs.org/geohack/geohack.php?pagename=List_of_power_stations_in_Germany&amp;params=47.6176199_N_8.192625_E_&amp;title=Waldshut+Pumped+Storage+Station" xr:uid="{00000000-0004-0000-0000-0000C6000000}"/>
    <hyperlink ref="C136" r:id="rId200" tooltip="Warmutsgund Pumped Storage Station (page does not exist)" display="https://en.wikipedia.org/w/index.php?title=Warmutsgund_Pumped_Storage_Station&amp;action=edit&amp;redlink=1" xr:uid="{00000000-0004-0000-0000-0000C7000000}"/>
    <hyperlink ref="E136" r:id="rId201" display="https://tools.wmflabs.org/geohack/geohack.php?pagename=List_of_power_stations_in_Germany&amp;params=47.3495674_N_10.2657473_E_&amp;title=Warmutsgund+Pumped+Storage+Station" xr:uid="{00000000-0004-0000-0000-0000C8000000}"/>
    <hyperlink ref="C114" r:id="rId202" tooltip="Wendefurth Pumped Storage Station (page does not exist)" display="https://en.wikipedia.org/w/index.php?title=Wendefurth_Pumped_Storage_Station&amp;action=edit&amp;redlink=1" xr:uid="{00000000-0004-0000-0000-0000C9000000}"/>
    <hyperlink ref="E114" r:id="rId203" display="https://tools.wmflabs.org/geohack/geohack.php?pagename=List_of_power_stations_in_Germany&amp;params=51.7390151_N_10.9072566_E_&amp;title=Wendefurth+Pumped+Storage+Station" xr:uid="{00000000-0004-0000-0000-0000CA000000}"/>
    <hyperlink ref="C138" r:id="rId204" tooltip="Wisenta Pumped Storage Station (page does not exist)" display="https://en.wikipedia.org/w/index.php?title=Wisenta_Pumped_Storage_Station&amp;action=edit&amp;redlink=1" xr:uid="{00000000-0004-0000-0000-0000CB000000}"/>
    <hyperlink ref="E138" r:id="rId205" display="https://tools.wmflabs.org/geohack/geohack.php?pagename=List_of_power_stations_in_Germany&amp;params=50.5763182_N_11.7171872_E_&amp;title=Wisenta+Pumped+Storage+Station" xr:uid="{00000000-0004-0000-0000-0000CC000000}"/>
    <hyperlink ref="C148" r:id="rId206" tooltip="Kastraki Dam" display="https://en.wikipedia.org/wiki/Kastraki_Dam" xr:uid="{00000000-0004-0000-0000-0000CD000000}"/>
    <hyperlink ref="E148" r:id="rId207" display="https://tools.wmflabs.org/geohack/geohack.php?pagename=List_of_power_stations_in_Greece&amp;params=38_44_30.69_N_21_21_51.05_E_&amp;title=Kastraki+Hydroelectric+Dam" xr:uid="{00000000-0004-0000-0000-0000CE000000}"/>
    <hyperlink ref="C146" r:id="rId208" tooltip="Kremasta Dam" display="https://en.wikipedia.org/wiki/Kremasta_Dam" xr:uid="{00000000-0004-0000-0000-0000CF000000}"/>
    <hyperlink ref="E146" r:id="rId209" display="https://tools.wmflabs.org/geohack/geohack.php?pagename=List_of_power_stations_in_Greece&amp;params=38.8839511_N_21.4937961_E_&amp;title=Kremasta+Hydroelectric+Dam" xr:uid="{00000000-0004-0000-0000-0000D0000000}"/>
    <hyperlink ref="C151" r:id="rId210" tooltip="Ladon Lake" display="https://en.wikipedia.org/wiki/Ladon_Lake" xr:uid="{00000000-0004-0000-0000-0000D1000000}"/>
    <hyperlink ref="D151" r:id="rId211" tooltip="Arcadia" display="https://en.wikipedia.org/wiki/Arcadia" xr:uid="{00000000-0004-0000-0000-0000D2000000}"/>
    <hyperlink ref="E151" r:id="rId212" display="https://tools.wmflabs.org/geohack/geohack.php?pagename=List_of_power_stations_in_Greece&amp;params=37.7577_N_21.9716_E_&amp;title=Ladon+Hydroelectric+Dam" xr:uid="{00000000-0004-0000-0000-0000D3000000}"/>
    <hyperlink ref="C150" r:id="rId213" tooltip="Plastiras Dam" display="https://en.wikipedia.org/wiki/Plastiras_Dam" xr:uid="{00000000-0004-0000-0000-0000D4000000}"/>
    <hyperlink ref="E150" r:id="rId214" display="https://tools.wmflabs.org/geohack/geohack.php?pagename=List_of_power_stations_in_Greece&amp;params=39.235556_N_21.746389_E_&amp;title=Plastiras+Hydroelectric+Dam" xr:uid="{00000000-0004-0000-0000-0000D5000000}"/>
    <hyperlink ref="C149" r:id="rId215" tooltip="Stratos Dam" display="https://en.wikipedia.org/wiki/Stratos_Dam" xr:uid="{00000000-0004-0000-0000-0000D6000000}"/>
    <hyperlink ref="E149" r:id="rId216" display="https://tools.wmflabs.org/geohack/geohack.php?pagename=List_of_power_stations_in_Greece&amp;params=38.6758027_N_21.3258898_E_&amp;title=Stratos+Hydroelectric+Dam" xr:uid="{00000000-0004-0000-0000-0000D7000000}"/>
    <hyperlink ref="C147" r:id="rId217" tooltip="Thisavros Dam" display="https://en.wikipedia.org/wiki/Thisavros_Dam" xr:uid="{00000000-0004-0000-0000-0000D8000000}"/>
    <hyperlink ref="E147" r:id="rId218" display="https://tools.wmflabs.org/geohack/geohack.php?pagename=List_of_power_stations_in_Greece&amp;params=41.354444_N_24.366944_E_&amp;title=Thisavros++Hydroelectric+Dam" xr:uid="{00000000-0004-0000-0000-0000D9000000}"/>
    <hyperlink ref="D163" r:id="rId219" tooltip="County Donegal" display="https://en.wikipedia.org/wiki/County_Donegal" xr:uid="{00000000-0004-0000-0000-0000DA000000}"/>
    <hyperlink ref="D166" r:id="rId220" tooltip="County Kerry" display="https://en.wikipedia.org/wiki/County_Kerry" xr:uid="{00000000-0004-0000-0000-0000DB000000}"/>
    <hyperlink ref="C153" r:id="rId221" tooltip="Ardnacrusha power plant" display="https://en.wikipedia.org/wiki/Ardnacrusha_power_plant" xr:uid="{00000000-0004-0000-0000-0000DC000000}"/>
    <hyperlink ref="D153" r:id="rId222" tooltip="County Clare" display="https://en.wikipedia.org/wiki/County_Clare" xr:uid="{00000000-0004-0000-0000-0000DD000000}"/>
    <hyperlink ref="D161" r:id="rId223" tooltip="County Sligo" display="https://en.wikipedia.org/wiki/County_Sligo" xr:uid="{00000000-0004-0000-0000-0000DE000000}"/>
    <hyperlink ref="D168" r:id="rId224" tooltip="County Offaly" display="https://en.wikipedia.org/wiki/County_Offaly" xr:uid="{00000000-0004-0000-0000-0000DF000000}"/>
    <hyperlink ref="D175" r:id="rId225" tooltip="County Kilkenny" display="https://en.wikipedia.org/wiki/County_Kilkenny" xr:uid="{00000000-0004-0000-0000-0000E0000000}"/>
    <hyperlink ref="D172" r:id="rId226" tooltip="County Roscommon" display="https://en.wikipedia.org/wiki/County_Roscommon" xr:uid="{00000000-0004-0000-0000-0000E1000000}"/>
    <hyperlink ref="D158" r:id="rId227" tooltip="County Cork" display="https://en.wikipedia.org/wiki/County_Cork" xr:uid="{00000000-0004-0000-0000-0000E2000000}"/>
    <hyperlink ref="D173" r:id="rId228" tooltip="County Tipperary" display="https://en.wikipedia.org/wiki/County_Tipperary" xr:uid="{00000000-0004-0000-0000-0000E3000000}"/>
    <hyperlink ref="D154" r:id="rId229" tooltip="County Donegal" display="https://en.wikipedia.org/wiki/County_Donegal" xr:uid="{00000000-0004-0000-0000-0000E4000000}"/>
    <hyperlink ref="D176" r:id="rId230" tooltip="County Kildare" display="https://en.wikipedia.org/wiki/County_Kildare" xr:uid="{00000000-0004-0000-0000-0000E5000000}"/>
    <hyperlink ref="D157" r:id="rId231" tooltip="County Donegal" display="https://en.wikipedia.org/wiki/County_Donegal" xr:uid="{00000000-0004-0000-0000-0000E6000000}"/>
    <hyperlink ref="D167" r:id="rId232" tooltip="County Sligo" display="https://en.wikipedia.org/wiki/County_Sligo" xr:uid="{00000000-0004-0000-0000-0000E7000000}"/>
    <hyperlink ref="D162" r:id="rId233" tooltip="County Kerry" display="https://en.wikipedia.org/wiki/County_Kerry" xr:uid="{00000000-0004-0000-0000-0000E8000000}"/>
    <hyperlink ref="D165" r:id="rId234" tooltip="County Donegal" display="https://en.wikipedia.org/wiki/County_Donegal" xr:uid="{00000000-0004-0000-0000-0000E9000000}"/>
    <hyperlink ref="D169" r:id="rId235" tooltip="County Cork" display="https://en.wikipedia.org/wiki/County_Cork" xr:uid="{00000000-0004-0000-0000-0000EA000000}"/>
    <hyperlink ref="D171" r:id="rId236" tooltip="County Tipperary" display="https://en.wikipedia.org/wiki/County_Tipperary" xr:uid="{00000000-0004-0000-0000-0000EB000000}"/>
    <hyperlink ref="D174" r:id="rId237" tooltip="County Kilkenny" display="https://en.wikipedia.org/wiki/County_Kilkenny" xr:uid="{00000000-0004-0000-0000-0000EC000000}"/>
    <hyperlink ref="C156" r:id="rId238" tooltip="Inniscarra Dam" display="https://en.wikipedia.org/wiki/Inniscarra_Dam" xr:uid="{00000000-0004-0000-0000-0000ED000000}"/>
    <hyperlink ref="D156" r:id="rId239" tooltip="County Cork" display="https://en.wikipedia.org/wiki/County_Cork" xr:uid="{00000000-0004-0000-0000-0000EE000000}"/>
    <hyperlink ref="D170" r:id="rId240" tooltip="County Carlow" display="https://en.wikipedia.org/wiki/County_Carlow" xr:uid="{00000000-0004-0000-0000-0000EF000000}"/>
    <hyperlink ref="D164" r:id="rId241" tooltip="County Cork" display="https://en.wikipedia.org/wiki/County_Cork" xr:uid="{00000000-0004-0000-0000-0000F0000000}"/>
    <hyperlink ref="D155" r:id="rId242" tooltip="County Wicklow" display="https://en.wikipedia.org/wiki/County_Wicklow" xr:uid="{00000000-0004-0000-0000-0000F1000000}"/>
    <hyperlink ref="D159" r:id="rId243" tooltip="County Wicklow" display="https://en.wikipedia.org/wiki/County_Wicklow" xr:uid="{00000000-0004-0000-0000-0000F2000000}"/>
    <hyperlink ref="D160" r:id="rId244" tooltip="County Kildare" display="https://en.wikipedia.org/wiki/County_Kildare" xr:uid="{00000000-0004-0000-0000-0000F3000000}"/>
    <hyperlink ref="C152" r:id="rId245" tooltip="Turlough Hill" display="https://en.wikipedia.org/wiki/Turlough_Hill" xr:uid="{00000000-0004-0000-0000-0000F4000000}"/>
    <hyperlink ref="D152" r:id="rId246" tooltip="County Wicklow" display="https://en.wikipedia.org/wiki/County_Wicklow" xr:uid="{00000000-0004-0000-0000-0000F5000000}"/>
    <hyperlink ref="B184" r:id="rId247" tooltip="A2A" display="https://en.wikipedia.org/wiki/A2A" xr:uid="{00000000-0004-0000-0000-0000F6000000}"/>
    <hyperlink ref="B187" r:id="rId248" tooltip="A2A" display="https://en.wikipedia.org/wiki/A2A" xr:uid="{00000000-0004-0000-0000-0000F7000000}"/>
    <hyperlink ref="B188" r:id="rId249" tooltip="A2A" display="https://en.wikipedia.org/wiki/A2A" xr:uid="{00000000-0004-0000-0000-0000F8000000}"/>
    <hyperlink ref="B192" r:id="rId250" tooltip="A2A" display="https://en.wikipedia.org/wiki/A2A" xr:uid="{00000000-0004-0000-0000-0000F9000000}"/>
    <hyperlink ref="B191" r:id="rId251" location="cite_note-1" display="https://en.wikipedia.org/wiki/List_of_power_stations_in_Italy - cite_note-1" xr:uid="{00000000-0004-0000-0000-0000FA000000}"/>
    <hyperlink ref="B189" r:id="rId252" tooltip="Edison (company)" display="https://en.wikipedia.org/wiki/Edison_(company)" xr:uid="{00000000-0004-0000-0000-0000FB000000}"/>
    <hyperlink ref="B182" r:id="rId253" tooltip="Endesa (Spain)" display="https://en.wikipedia.org/wiki/Endesa_(Spain)" xr:uid="{00000000-0004-0000-0000-0000FC000000}"/>
    <hyperlink ref="B194" r:id="rId254" tooltip="Enel" display="https://en.wikipedia.org/wiki/Enel" xr:uid="{00000000-0004-0000-0000-0000FD000000}"/>
    <hyperlink ref="B179" r:id="rId255" tooltip="Enel" display="https://en.wikipedia.org/wiki/Enel" xr:uid="{00000000-0004-0000-0000-0000FE000000}"/>
    <hyperlink ref="C179" r:id="rId256" tooltip="Edolo Pumped Storage Plant" display="https://en.wikipedia.org/wiki/Edolo_Pumped_Storage_Plant" xr:uid="{00000000-0004-0000-0000-0000FF000000}"/>
    <hyperlink ref="E179" r:id="rId257" display="https://tools.wmflabs.org/geohack/geohack.php?pagename=List_of_power_stations_in_Italy&amp;params=46_10_15_N_10_20_52_E_&amp;title=Edolo+Pumped+Storage+Plant" xr:uid="{00000000-0004-0000-0000-000000010000}"/>
    <hyperlink ref="B180" r:id="rId258" tooltip="Enel" display="https://en.wikipedia.org/wiki/Enel" xr:uid="{00000000-0004-0000-0000-000001010000}"/>
    <hyperlink ref="C180" r:id="rId259" tooltip="Presenzano Hydroelectric Plant" display="https://en.wikipedia.org/wiki/Presenzano_Hydroelectric_Plant" xr:uid="{00000000-0004-0000-0000-000002010000}"/>
    <hyperlink ref="E180" r:id="rId260" display="https://tools.wmflabs.org/geohack/geohack.php?pagename=List_of_power_stations_in_Italy&amp;params=41_22_53_N_14_5_25_E_&amp;title=Presenzano+Hydroelectric+Plant" xr:uid="{00000000-0004-0000-0000-000003010000}"/>
    <hyperlink ref="B181" r:id="rId261" tooltip="Enel" display="https://en.wikipedia.org/wiki/Enel" xr:uid="{00000000-0004-0000-0000-000004010000}"/>
    <hyperlink ref="B183" r:id="rId262" tooltip="Enel" display="https://en.wikipedia.org/wiki/Enel" xr:uid="{00000000-0004-0000-0000-000005010000}"/>
    <hyperlink ref="B190" r:id="rId263" tooltip="Enel" display="https://en.wikipedia.org/wiki/Enel" xr:uid="{00000000-0004-0000-0000-000006010000}"/>
    <hyperlink ref="B177" r:id="rId264" tooltip="Enel" display="https://en.wikipedia.org/wiki/Enel" xr:uid="{00000000-0004-0000-0000-000007010000}"/>
    <hyperlink ref="C177" r:id="rId265" tooltip="Entracque Power Plant" display="https://en.wikipedia.org/wiki/Entracque_Power_Plant" xr:uid="{00000000-0004-0000-0000-000008010000}"/>
    <hyperlink ref="E177" r:id="rId266" display="https://tools.wmflabs.org/geohack/geohack.php?pagename=List_of_power_stations_in_Italy&amp;params=44_13_29_N_07_23_10_E_&amp;title=Entracque+Power+Plant" xr:uid="{00000000-0004-0000-0000-000009010000}"/>
    <hyperlink ref="B193" r:id="rId267" tooltip="Enel" display="https://en.wikipedia.org/wiki/Enel" xr:uid="{00000000-0004-0000-0000-00000A010000}"/>
    <hyperlink ref="B178" r:id="rId268" tooltip="Enel" display="https://en.wikipedia.org/wiki/Enel" xr:uid="{00000000-0004-0000-0000-00000B010000}"/>
    <hyperlink ref="C178" r:id="rId269" tooltip="Roncovalgrande Hydroelectric Plant" display="https://en.wikipedia.org/wiki/Roncovalgrande_Hydroelectric_Plant" xr:uid="{00000000-0004-0000-0000-00000C010000}"/>
    <hyperlink ref="D178" r:id="rId270" tooltip="Maccagno" display="https://en.wikipedia.org/wiki/Maccagno" xr:uid="{00000000-0004-0000-0000-00000D010000}"/>
    <hyperlink ref="E178" r:id="rId271" display="https://tools.wmflabs.org/geohack/geohack.php?pagename=List_of_power_stations_in_Italy&amp;params=46_04_10_N_8_43_55_E_&amp;title=Roncovalgrande+Hydroelectric+Power+Plant" xr:uid="{00000000-0004-0000-0000-00000E010000}"/>
    <hyperlink ref="B195" r:id="rId272" tooltip="Edison (company)" display="https://en.wikipedia.org/wiki/Edison_(company)" xr:uid="{00000000-0004-0000-0000-00000F010000}"/>
    <hyperlink ref="B197" r:id="rId273" tooltip="Enel" display="https://en.wikipedia.org/wiki/Enel" xr:uid="{00000000-0004-0000-0000-000010010000}"/>
    <hyperlink ref="B198" r:id="rId274" tooltip="Enel" display="https://en.wikipedia.org/wiki/Enel" xr:uid="{00000000-0004-0000-0000-000011010000}"/>
    <hyperlink ref="B199" r:id="rId275" tooltip="Edison (company)" display="https://en.wikipedia.org/wiki/Edison_(company)" xr:uid="{00000000-0004-0000-0000-000012010000}"/>
    <hyperlink ref="B200" r:id="rId276" tooltip="Enel" display="https://en.wikipedia.org/wiki/Enel" xr:uid="{00000000-0004-0000-0000-000013010000}"/>
    <hyperlink ref="B201" r:id="rId277" tooltip="Enel" display="https://en.wikipedia.org/wiki/Enel" xr:uid="{00000000-0004-0000-0000-000014010000}"/>
    <hyperlink ref="B202" r:id="rId278" tooltip="Enel" display="https://en.wikipedia.org/wiki/Enel" xr:uid="{00000000-0004-0000-0000-000015010000}"/>
    <hyperlink ref="B203" r:id="rId279" tooltip="Enel" display="https://en.wikipedia.org/wiki/Enel" xr:uid="{00000000-0004-0000-0000-000016010000}"/>
    <hyperlink ref="B205" r:id="rId280" tooltip="Enel" display="https://en.wikipedia.org/wiki/Enel" xr:uid="{00000000-0004-0000-0000-000017010000}"/>
    <hyperlink ref="B209" r:id="rId281" tooltip="Enel" display="https://en.wikipedia.org/wiki/Enel" xr:uid="{00000000-0004-0000-0000-000018010000}"/>
    <hyperlink ref="B210" r:id="rId282" tooltip="Enel" display="https://en.wikipedia.org/wiki/Enel" xr:uid="{00000000-0004-0000-0000-000019010000}"/>
    <hyperlink ref="B212" r:id="rId283" tooltip="Enel" display="https://en.wikipedia.org/wiki/Enel" xr:uid="{00000000-0004-0000-0000-00001A010000}"/>
    <hyperlink ref="B214" r:id="rId284" tooltip="Edison (company)" display="https://en.wikipedia.org/wiki/Edison_(company)" xr:uid="{00000000-0004-0000-0000-00001B010000}"/>
    <hyperlink ref="B216" r:id="rId285" tooltip="Enel" display="https://en.wikipedia.org/wiki/Enel" xr:uid="{00000000-0004-0000-0000-00001C010000}"/>
    <hyperlink ref="B219" r:id="rId286" tooltip="Enel" display="https://en.wikipedia.org/wiki/Enel" xr:uid="{00000000-0004-0000-0000-00001D010000}"/>
    <hyperlink ref="B221" r:id="rId287" tooltip="Enel" display="https://en.wikipedia.org/wiki/Enel" xr:uid="{00000000-0004-0000-0000-00001E010000}"/>
    <hyperlink ref="B222" r:id="rId288" tooltip="Enel" display="https://en.wikipedia.org/wiki/Enel" xr:uid="{00000000-0004-0000-0000-00001F010000}"/>
    <hyperlink ref="B223" r:id="rId289" tooltip="Enel" display="https://en.wikipedia.org/wiki/Enel" xr:uid="{00000000-0004-0000-0000-000020010000}"/>
    <hyperlink ref="B225" r:id="rId290" tooltip="Edison (company)" display="https://en.wikipedia.org/wiki/Edison_(company)" xr:uid="{00000000-0004-0000-0000-000021010000}"/>
    <hyperlink ref="B226" r:id="rId291" tooltip="Edison (company)" display="https://en.wikipedia.org/wiki/Edison_(company)" xr:uid="{00000000-0004-0000-0000-000022010000}"/>
    <hyperlink ref="B230" r:id="rId292" tooltip="Enel" display="https://en.wikipedia.org/wiki/Enel" xr:uid="{00000000-0004-0000-0000-000023010000}"/>
    <hyperlink ref="B232" r:id="rId293" tooltip="Enel" display="https://en.wikipedia.org/wiki/Enel" xr:uid="{00000000-0004-0000-0000-000024010000}"/>
    <hyperlink ref="B234" r:id="rId294" tooltip="Edison (company)" display="https://en.wikipedia.org/wiki/Edison_(company)" xr:uid="{00000000-0004-0000-0000-000025010000}"/>
    <hyperlink ref="B235" r:id="rId295" tooltip="Enel" display="https://en.wikipedia.org/wiki/Enel" xr:uid="{00000000-0004-0000-0000-000026010000}"/>
    <hyperlink ref="B238" r:id="rId296" tooltip="Edison (company)" display="https://en.wikipedia.org/wiki/Edison_(company)" xr:uid="{00000000-0004-0000-0000-000027010000}"/>
    <hyperlink ref="B239" r:id="rId297" tooltip="Edison (company)" display="https://en.wikipedia.org/wiki/Edison_(company)" xr:uid="{00000000-0004-0000-0000-000028010000}"/>
    <hyperlink ref="B241" r:id="rId298" tooltip="Enel" display="https://en.wikipedia.org/wiki/Enel" xr:uid="{00000000-0004-0000-0000-000029010000}"/>
    <hyperlink ref="B242" r:id="rId299" tooltip="Enel" display="https://en.wikipedia.org/wiki/Enel" xr:uid="{00000000-0004-0000-0000-00002A010000}"/>
    <hyperlink ref="B247" r:id="rId300" tooltip="Enel" display="https://en.wikipedia.org/wiki/Enel" xr:uid="{00000000-0004-0000-0000-00002B010000}"/>
    <hyperlink ref="B248" r:id="rId301" tooltip="Enel" display="https://en.wikipedia.org/wiki/Enel" xr:uid="{00000000-0004-0000-0000-00002C010000}"/>
    <hyperlink ref="B249" r:id="rId302" tooltip="Enel" display="https://en.wikipedia.org/wiki/Enel" xr:uid="{00000000-0004-0000-0000-00002D010000}"/>
    <hyperlink ref="B250" r:id="rId303" tooltip="Enel" display="https://en.wikipedia.org/wiki/Enel" xr:uid="{00000000-0004-0000-0000-00002E010000}"/>
    <hyperlink ref="B251" r:id="rId304" tooltip="Enel" display="https://en.wikipedia.org/wiki/Enel" xr:uid="{00000000-0004-0000-0000-00002F010000}"/>
    <hyperlink ref="B252" r:id="rId305" tooltip="Enel" display="https://en.wikipedia.org/wiki/Enel" xr:uid="{00000000-0004-0000-0000-000030010000}"/>
    <hyperlink ref="B253" r:id="rId306" tooltip="Edison (company)" display="https://en.wikipedia.org/wiki/Edison_(company)" xr:uid="{00000000-0004-0000-0000-000031010000}"/>
    <hyperlink ref="B254" r:id="rId307" tooltip="Enel" display="https://en.wikipedia.org/wiki/Enel" xr:uid="{00000000-0004-0000-0000-000032010000}"/>
    <hyperlink ref="B255" r:id="rId308" tooltip="Enel" display="https://en.wikipedia.org/wiki/Enel" xr:uid="{00000000-0004-0000-0000-000033010000}"/>
    <hyperlink ref="B260" r:id="rId309" tooltip="Enel" display="https://en.wikipedia.org/wiki/Enel" xr:uid="{00000000-0004-0000-0000-000034010000}"/>
    <hyperlink ref="B261" r:id="rId310" tooltip="Enel" display="https://en.wikipedia.org/wiki/Enel" xr:uid="{00000000-0004-0000-0000-000035010000}"/>
    <hyperlink ref="B263" r:id="rId311" tooltip="Enel" display="https://en.wikipedia.org/wiki/Enel" xr:uid="{00000000-0004-0000-0000-000036010000}"/>
    <hyperlink ref="C265" r:id="rId312" tooltip="Pļaviņas Hydroelectric Power Station" display="https://en.wikipedia.org/wiki/P%C4%BCavi%C5%86as_Hydroelectric_Power_Station" xr:uid="{00000000-0004-0000-0000-000037010000}"/>
    <hyperlink ref="D265" r:id="rId313" tooltip="Aizkraukle" display="https://en.wikipedia.org/wiki/Aizkraukle" xr:uid="{00000000-0004-0000-0000-000038010000}"/>
    <hyperlink ref="E265" r:id="rId314" display="https://tools.wmflabs.org/geohack/geohack.php?pagename=List_of_power_stations_in_Latvia&amp;params=56.5822027_N_25.2373123_E_&amp;title=P%C4%BCavi%C5%86as+Hydroelectric+Power+Station" xr:uid="{00000000-0004-0000-0000-000039010000}"/>
    <hyperlink ref="C266" r:id="rId315" tooltip="Riga Hydroelectric Power Plant" display="https://en.wikipedia.org/wiki/Riga_Hydroelectric_Power_Plant" xr:uid="{00000000-0004-0000-0000-00003A010000}"/>
    <hyperlink ref="D266" r:id="rId316" tooltip="Salaspils" display="https://en.wikipedia.org/wiki/Salaspils" xr:uid="{00000000-0004-0000-0000-00003B010000}"/>
    <hyperlink ref="E266" r:id="rId317" display="https://tools.wmflabs.org/geohack/geohack.php?pagename=List_of_power_stations_in_Latvia&amp;params=56.8513187_N_24.2720389_E_&amp;title=Riga+Hydroelectric+Power+Plant" xr:uid="{00000000-0004-0000-0000-00003C010000}"/>
    <hyperlink ref="C267" r:id="rId318" tooltip="Ķegums Hydroelectric Power Station" display="https://en.wikipedia.org/wiki/%C4%B6egums_Hydroelectric_Power_Station" xr:uid="{00000000-0004-0000-0000-00003D010000}"/>
    <hyperlink ref="D267" r:id="rId319" tooltip="Ķegums" display="https://en.wikipedia.org/wiki/%C4%B6egums" xr:uid="{00000000-0004-0000-0000-00003E010000}"/>
    <hyperlink ref="E267" r:id="rId320" display="https://tools.wmflabs.org/geohack/geohack.php?pagename=List_of_power_stations_in_Latvia&amp;params=56.7406744_N_24.710784_E_&amp;title=Kegums+Hydroelectric+Power+Station" xr:uid="{00000000-0004-0000-0000-00003F010000}"/>
    <hyperlink ref="C268" r:id="rId321" tooltip="Aiviekste Hydroelectric Power Station" display="https://en.wikipedia.org/wiki/Aiviekste_Hydroelectric_Power_Station" xr:uid="{00000000-0004-0000-0000-000040010000}"/>
    <hyperlink ref="E271" r:id="rId322" display="https://tools.wmflabs.org/geohack/geohack.php?pagename=Vianden_Pumped_Storage_Plant&amp;params=49_57_08_N_6_10_38_E_type:landmark" xr:uid="{00000000-0004-0000-0000-000041010000}"/>
    <hyperlink ref="B272" r:id="rId323" tooltip="NV. Nuon" display="https://en.wikipedia.org/wiki/NV._Nuon" xr:uid="{00000000-0004-0000-0000-000042010000}"/>
    <hyperlink ref="B273" r:id="rId324" tooltip="Essent" display="https://en.wikipedia.org/wiki/Essent" xr:uid="{00000000-0004-0000-0000-000043010000}"/>
    <hyperlink ref="C274" r:id="rId325" tooltip="Amerongen" display="https://en.wikipedia.org/wiki/Amerongen" xr:uid="{00000000-0004-0000-0000-000044010000}"/>
    <hyperlink ref="C275" r:id="rId326" tooltip="Hagestein" display="https://en.wikipedia.org/wiki/Hagestein" xr:uid="{00000000-0004-0000-0000-000045010000}"/>
    <hyperlink ref="D328" r:id="rId327" tooltip="Lubuskie" display="https://en.wikipedia.org/wiki/Lubuskie" xr:uid="{00000000-0004-0000-0000-000046010000}"/>
    <hyperlink ref="K328" r:id="rId328" location="cite_note-37" display="https://en.wikipedia.org/wiki/List_of_power_stations_in_Poland - cite_note-37" xr:uid="{00000000-0004-0000-0000-000047010000}"/>
    <hyperlink ref="D330" r:id="rId329" tooltip="Lubuskie" display="https://en.wikipedia.org/wiki/Lubuskie" xr:uid="{00000000-0004-0000-0000-000048010000}"/>
    <hyperlink ref="K330" r:id="rId330" location="cite_note-38" display="https://en.wikipedia.org/wiki/List_of_power_stations_in_Poland - cite_note-38" xr:uid="{00000000-0004-0000-0000-000049010000}"/>
    <hyperlink ref="D327" r:id="rId331" tooltip="Malopolskie" display="https://en.wikipedia.org/wiki/Malopolskie" xr:uid="{00000000-0004-0000-0000-00004A010000}"/>
    <hyperlink ref="K327" r:id="rId332" location="cite_note-39" display="https://en.wikipedia.org/wiki/List_of_power_stations_in_Poland - cite_note-39" xr:uid="{00000000-0004-0000-0000-00004B010000}"/>
    <hyperlink ref="D329" r:id="rId333" tooltip="Malopolskie" display="https://en.wikipedia.org/wiki/Malopolskie" xr:uid="{00000000-0004-0000-0000-00004C010000}"/>
    <hyperlink ref="K329" r:id="rId334" location="cite_note-40" display="https://en.wikipedia.org/wiki/List_of_power_stations_in_Poland - cite_note-40" xr:uid="{00000000-0004-0000-0000-00004D010000}"/>
    <hyperlink ref="D326" r:id="rId335" tooltip="Kujawsko-Pomorskie" display="https://en.wikipedia.org/wiki/Kujawsko-Pomorskie" xr:uid="{00000000-0004-0000-0000-00004E010000}"/>
    <hyperlink ref="K326" r:id="rId336" location="cite_note-41" display="https://en.wikipedia.org/wiki/List_of_power_stations_in_Poland - cite_note-41" xr:uid="{00000000-0004-0000-0000-00004F010000}"/>
    <hyperlink ref="C336" r:id="rId337" tooltip="Aguieira Dam" display="https://en.wikipedia.org/wiki/Aguieira_Dam" xr:uid="{00000000-0004-0000-0000-000050010000}"/>
    <hyperlink ref="D336" r:id="rId338" tooltip="Coimbra District" display="https://en.wikipedia.org/wiki/Coimbra_District" xr:uid="{00000000-0004-0000-0000-000051010000}"/>
    <hyperlink ref="E336" r:id="rId339" display="https://tools.wmflabs.org/geohack/geohack.php?pagename=List_of_power_stations_in_Portugal&amp;params=40.340200_N_8.197000_W_type:landmark&amp;title=Aguieira+Dam" xr:uid="{00000000-0004-0000-0000-000052010000}"/>
    <hyperlink ref="C331" r:id="rId340" tooltip="Alto Lindoso Dam" display="https://en.wikipedia.org/wiki/Alto_Lindoso_Dam" xr:uid="{00000000-0004-0000-0000-000053010000}"/>
    <hyperlink ref="D331" r:id="rId341" tooltip="Viana do Castelo District" display="https://en.wikipedia.org/wiki/Viana_do_Castelo_District" xr:uid="{00000000-0004-0000-0000-000054010000}"/>
    <hyperlink ref="E331" r:id="rId342" display="https://tools.wmflabs.org/geohack/geohack.php?pagename=List_of_power_stations_in_Portugal&amp;params=41.872835_N_8.204075_W_type:landmark&amp;title=Alto+Lindoso+Dam" xr:uid="{00000000-0004-0000-0000-000055010000}"/>
    <hyperlink ref="C334" r:id="rId343" tooltip="Bemposta Dam" display="https://en.wikipedia.org/wiki/Bemposta_Dam" xr:uid="{00000000-0004-0000-0000-000056010000}"/>
    <hyperlink ref="D334" r:id="rId344" tooltip="Bragança District" display="https://en.wikipedia.org/wiki/Bragan%C3%A7a_District" xr:uid="{00000000-0004-0000-0000-000057010000}"/>
    <hyperlink ref="E334" r:id="rId345" display="https://tools.wmflabs.org/geohack/geohack.php?pagename=List_of_power_stations_in_Portugal&amp;params=41.300991_N_6.470025_W_type:landmark&amp;title=Bemposta+Dam" xr:uid="{00000000-0004-0000-0000-000058010000}"/>
    <hyperlink ref="C345" r:id="rId346" tooltip="Cabril Dam" display="https://en.wikipedia.org/wiki/Cabril_Dam" xr:uid="{00000000-0004-0000-0000-000059010000}"/>
    <hyperlink ref="E345" r:id="rId347" display="https://tools.wmflabs.org/geohack/geohack.php?pagename=List_of_power_stations_in_Portugal&amp;params=39.917270_N_8.132440_W_type:landmark&amp;title=Cabril+Dam" xr:uid="{00000000-0004-0000-0000-00005A010000}"/>
    <hyperlink ref="C339" r:id="rId348" tooltip="Carrapatelo Dam" display="https://en.wikipedia.org/wiki/Carrapatelo_Dam" xr:uid="{00000000-0004-0000-0000-00005B010000}"/>
    <hyperlink ref="E339" r:id="rId349" display="https://tools.wmflabs.org/geohack/geohack.php?pagename=List_of_power_stations_in_Portugal&amp;params=41.084871_N_8.130218_W_type:landmark&amp;title=Carrapatelo+Dam" xr:uid="{00000000-0004-0000-0000-00005C010000}"/>
    <hyperlink ref="C342" r:id="rId350" tooltip="Castelo de Bode Dam" display="https://en.wikipedia.org/wiki/Castelo_de_Bode_Dam" xr:uid="{00000000-0004-0000-0000-00005D010000}"/>
    <hyperlink ref="D342" r:id="rId351" tooltip="Santarém District" display="https://en.wikipedia.org/wiki/Santar%C3%A9m_District" xr:uid="{00000000-0004-0000-0000-00005E010000}"/>
    <hyperlink ref="E342" r:id="rId352" display="https://tools.wmflabs.org/geohack/geohack.php?pagename=List_of_power_stations_in_Portugal&amp;params=39.543772_N_8.319936_W_type:landmark&amp;title=Castelo+de+Bode+Dam" xr:uid="{00000000-0004-0000-0000-00005F010000}"/>
    <hyperlink ref="C344" r:id="rId353" tooltip="Crestuma-Lever Dam" display="https://en.wikipedia.org/wiki/Crestuma-Lever_Dam" xr:uid="{00000000-0004-0000-0000-000060010000}"/>
    <hyperlink ref="E344" r:id="rId354" display="https://tools.wmflabs.org/geohack/geohack.php?pagename=List_of_power_stations_in_Portugal&amp;params=41.070882_N_8.485744_W_type:landmark&amp;title=Crestuma+-+Lever+Dam" xr:uid="{00000000-0004-0000-0000-000061010000}"/>
    <hyperlink ref="C335" r:id="rId355" tooltip="Miranda Dam" display="https://en.wikipedia.org/wiki/Miranda_Dam" xr:uid="{00000000-0004-0000-0000-000062010000}"/>
    <hyperlink ref="E335" r:id="rId356" display="https://tools.wmflabs.org/geohack/geohack.php?pagename=List_of_power_stations_in_Portugal&amp;params=41.488600_N_6.265600_W_type:landmark&amp;title=Miranda+Dam" xr:uid="{00000000-0004-0000-0000-000063010000}"/>
    <hyperlink ref="C333" r:id="rId357" tooltip="Picote Dam" display="https://en.wikipedia.org/wiki/Picote_Dam" xr:uid="{00000000-0004-0000-0000-000064010000}"/>
    <hyperlink ref="E333" r:id="rId358" display="https://tools.wmflabs.org/geohack/geohack.php?pagename=List_of_power_stations_in_Portugal&amp;params=41.378302_N_6.351589_W_type:landmark&amp;title=Bemposta+Dam" xr:uid="{00000000-0004-0000-0000-000065010000}"/>
    <hyperlink ref="C340" r:id="rId359" tooltip="Pocinho Dam" display="https://en.wikipedia.org/wiki/Pocinho_Dam" xr:uid="{00000000-0004-0000-0000-000066010000}"/>
    <hyperlink ref="D340" r:id="rId360" tooltip="Guarda District" display="https://en.wikipedia.org/wiki/Guarda_District" xr:uid="{00000000-0004-0000-0000-000067010000}"/>
    <hyperlink ref="E340" r:id="rId361" display="https://tools.wmflabs.org/geohack/geohack.php?pagename=List_of_power_stations_in_Portugal&amp;params=41.134103_N_7.114131_W_type:landmark&amp;title=Pocinho+Dam" xr:uid="{00000000-0004-0000-0000-000068010000}"/>
    <hyperlink ref="C341" r:id="rId362" tooltip="Régua Dam" display="https://en.wikipedia.org/wiki/R%C3%A9gua_Dam" xr:uid="{00000000-0004-0000-0000-000069010000}"/>
    <hyperlink ref="D341" r:id="rId363" tooltip="Vila Real District" display="https://en.wikipedia.org/wiki/Vila_Real_District" xr:uid="{00000000-0004-0000-0000-00006A010000}"/>
    <hyperlink ref="E341" r:id="rId364" display="https://tools.wmflabs.org/geohack/geohack.php?pagename=List_of_power_stations_in_Portugal&amp;params=41.147998_N_7.739552_W_type:landmark&amp;title=R%C3%A9gua+Dam" xr:uid="{00000000-0004-0000-0000-00006B010000}"/>
    <hyperlink ref="C337" r:id="rId365" tooltip="Salamonde Dam" display="https://en.wikipedia.org/wiki/Salamonde_Dam" xr:uid="{00000000-0004-0000-0000-00006C010000}"/>
    <hyperlink ref="D337" r:id="rId366" tooltip="Braga District" display="https://en.wikipedia.org/wiki/Braga_District" xr:uid="{00000000-0004-0000-0000-00006D010000}"/>
    <hyperlink ref="E337" r:id="rId367" display="https://tools.wmflabs.org/geohack/geohack.php?pagename=List_of_power_stations_in_Portugal&amp;params=41.690886_N_8.091744_W_type:landmark&amp;title=Salamonde+Dam" xr:uid="{00000000-0004-0000-0000-00006E010000}"/>
    <hyperlink ref="C346" r:id="rId368" tooltip="Santa Luzia Dam" display="https://en.wikipedia.org/wiki/Santa_Luzia_Dam" xr:uid="{00000000-0004-0000-0000-00006F010000}"/>
    <hyperlink ref="E346" r:id="rId369" display="https://tools.wmflabs.org/geohack/geohack.php?pagename=List_of_power_stations_in_Portugal&amp;params=40.089233_N_7.857365_W_type:landmark&amp;title=Santa+Luzia+Dam" xr:uid="{00000000-0004-0000-0000-000070010000}"/>
    <hyperlink ref="C338" r:id="rId370" tooltip="Valeira Dam" display="https://en.wikipedia.org/wiki/Valeira_Dam" xr:uid="{00000000-0004-0000-0000-000071010000}"/>
    <hyperlink ref="E338" r:id="rId371" display="https://tools.wmflabs.org/geohack/geohack.php?pagename=List_of_power_stations_in_Portugal&amp;params=41.160763_N_7.377368_W_type:landmark&amp;title=Valeira+Dam" xr:uid="{00000000-0004-0000-0000-000072010000}"/>
    <hyperlink ref="C343" r:id="rId372" tooltip="Vilarinho das Furnas Dam (page does not exist)" display="https://en.wikipedia.org/w/index.php?title=Vilarinho_das_Furnas_Dam&amp;action=edit&amp;redlink=1" xr:uid="{00000000-0004-0000-0000-000073010000}"/>
    <hyperlink ref="E343" r:id="rId373" display="https://tools.wmflabs.org/geohack/geohack.php?pagename=List_of_power_stations_in_Portugal&amp;params=41.762177_N_8.208314_W_type:landmark&amp;title=Vilarinho+das+Furnas+Dam" xr:uid="{00000000-0004-0000-0000-000074010000}"/>
    <hyperlink ref="C353" r:id="rId374" tooltip="Bicaz-Stejaru Hydroelectric Power Station" display="https://en.wikipedia.org/wiki/Bicaz-Stejaru_Hydroelectric_Power_Station" xr:uid="{00000000-0004-0000-0000-000075010000}"/>
    <hyperlink ref="E353" r:id="rId375" display="https://tools.wmflabs.org/geohack/geohack.php?pagename=List_of_power_stations_in_Romania&amp;params=46.9386307_N_26.1028719_E_&amp;title=Bicaz-Stejaru+Hydroelectric+Power+Station" xr:uid="{00000000-0004-0000-0000-000076010000}"/>
    <hyperlink ref="K353" r:id="rId376" location="cite_note-4" display="https://en.wikipedia.org/wiki/List_of_power_stations_in_Romania - cite_note-4" xr:uid="{00000000-0004-0000-0000-000077010000}"/>
    <hyperlink ref="C357" r:id="rId377" tooltip="Brădişor Dam" display="https://en.wikipedia.org/wiki/Br%C4%83di%C5%9For_Dam" xr:uid="{00000000-0004-0000-0000-000078010000}"/>
    <hyperlink ref="C348" r:id="rId378" tooltip="Lotru-Ciunget Hydroelectric Power Station" display="https://en.wikipedia.org/wiki/Lotru-Ciunget_Hydroelectric_Power_Station" xr:uid="{00000000-0004-0000-0000-000079010000}"/>
    <hyperlink ref="E348" r:id="rId379" display="https://tools.wmflabs.org/geohack/geohack.php?pagename=List_of_power_stations_in_Romania&amp;params=45.4470051_N_23.7681913_E_&amp;title=Lotru-Ciunget+Hydroelectric+Power+Station" xr:uid="{00000000-0004-0000-0000-00007A010000}"/>
    <hyperlink ref="C351" r:id="rId380" tooltip="Mărişelu Hydroelectric Power Station" display="https://en.wikipedia.org/wiki/M%C4%83ri%C5%9Felu_Hydroelectric_Power_Station" xr:uid="{00000000-0004-0000-0000-00007B010000}"/>
    <hyperlink ref="C355" r:id="rId381" tooltip="Oaşa Dam" display="https://en.wikipedia.org/wiki/Oa%C5%9Fa_Dam" xr:uid="{00000000-0004-0000-0000-00007C010000}"/>
    <hyperlink ref="C347" r:id="rId382" tooltip="Iron Gate I Hydroelectric Power Station" display="https://en.wikipedia.org/wiki/Iron_Gate_I_Hydroelectric_Power_Station" xr:uid="{00000000-0004-0000-0000-00007D010000}"/>
    <hyperlink ref="E347" r:id="rId383" display="https://tools.wmflabs.org/geohack/geohack.php?pagename=List_of_power_stations_in_Romania&amp;params=44.6732766_N_22.5320363_E_&amp;title=Iron+Gate+I+Hydroelectric+Power+Station" xr:uid="{00000000-0004-0000-0000-00007E010000}"/>
    <hyperlink ref="K347" r:id="rId384" location="cite_note-5" display="https://en.wikipedia.org/wiki/List_of_power_stations_in_Romania - cite_note-5" xr:uid="{00000000-0004-0000-0000-00007F010000}"/>
    <hyperlink ref="C350" r:id="rId385" tooltip="Iron Gate II Hydroelectric Power Station" display="https://en.wikipedia.org/wiki/Iron_Gate_II_Hydroelectric_Power_Station" xr:uid="{00000000-0004-0000-0000-000080010000}"/>
    <hyperlink ref="E350" r:id="rId386" display="https://tools.wmflabs.org/geohack/geohack.php?pagename=List_of_power_stations_in_Romania&amp;params=46.7889_N_22.5671625_E_&amp;title=Iron+Gate+II+Hydroelectric+Power+Station" xr:uid="{00000000-0004-0000-0000-000081010000}"/>
    <hyperlink ref="C359" r:id="rId387" tooltip="Remeţi Hydroelectric Power Station" display="https://en.wikipedia.org/wiki/Reme%C5%A3i_Hydroelectric_Power_Station" xr:uid="{00000000-0004-0000-0000-000082010000}"/>
    <hyperlink ref="E359" r:id="rId388" display="https://tools.wmflabs.org/geohack/geohack.php?pagename=List_of_power_stations_in_Romania&amp;params=44.6732766_N_22.7156_E_&amp;title=Reme%C5%A3i+Hydroelectric+Power+Station" xr:uid="{00000000-0004-0000-0000-000083010000}"/>
    <hyperlink ref="K359" r:id="rId389" location="cite_note-6" display="https://en.wikipedia.org/wiki/List_of_power_stations_in_Romania - cite_note-6" xr:uid="{00000000-0004-0000-0000-000084010000}"/>
    <hyperlink ref="C354" r:id="rId390" tooltip="Ruieni Hydroelectric Power Station" display="https://en.wikipedia.org/wiki/Ruieni_Hydroelectric_Power_Station" xr:uid="{00000000-0004-0000-0000-000085010000}"/>
    <hyperlink ref="E354" r:id="rId391" display="https://tools.wmflabs.org/geohack/geohack.php?pagename=List_of_power_stations_in_Romania&amp;params=45.4260459_N_22.475667_E_&amp;title=Ruieni+Hydroelectric+Power+Station" xr:uid="{00000000-0004-0000-0000-000086010000}"/>
    <hyperlink ref="C349" r:id="rId392" tooltip="Râul Mare Hydroelectric Power Station" display="https://en.wikipedia.org/wiki/R%C3%A2ul_Mare_Hydroelectric_Power_Station" xr:uid="{00000000-0004-0000-0000-000087010000}"/>
    <hyperlink ref="E349" r:id="rId393" display="https://tools.wmflabs.org/geohack/geohack.php?pagename=List_of_power_stations_in_Romania&amp;params=45.3376069_N_22.7201986_E_&amp;title=R%C3%A2ul+Mare+Hydroelectric+Power+Station" xr:uid="{00000000-0004-0000-0000-000088010000}"/>
    <hyperlink ref="C356" r:id="rId394" tooltip="Şugag Dam" display="https://en.wikipedia.org/wiki/%C5%9Eugag_Dam" xr:uid="{00000000-0004-0000-0000-000089010000}"/>
    <hyperlink ref="E356" r:id="rId395" display="https://tools.wmflabs.org/geohack/geohack.php?pagename=List_of_power_stations_in_Romania&amp;params=45.689244_N_23.6093831_E_&amp;title=%C5%9Eugag+Dam" xr:uid="{00000000-0004-0000-0000-00008A010000}"/>
    <hyperlink ref="C358" r:id="rId396" tooltip="Tismana Hydroelectric Power Station" display="https://en.wikipedia.org/wiki/Tismana_Hydroelectric_Power_Station" xr:uid="{00000000-0004-0000-0000-00008B010000}"/>
    <hyperlink ref="E358" r:id="rId397" display="https://tools.wmflabs.org/geohack/geohack.php?pagename=List_of_power_stations_in_Romania&amp;params=45.0444035_N_22.9472423_E_&amp;title=Tismana+Hydroelectric+Power+Station" xr:uid="{00000000-0004-0000-0000-00008C010000}"/>
    <hyperlink ref="E352" r:id="rId398" display="https://tools.wmflabs.org/geohack/geohack.php?pagename=List_of_power_stations_in_Romania&amp;params=45.3667_N_24.6307_E_&amp;title=Vidraru+Hydroelectric+Power+Station" xr:uid="{00000000-0004-0000-0000-00008D010000}"/>
    <hyperlink ref="K352" r:id="rId399" location="cite_note-7" display="https://en.wikipedia.org/wiki/List_of_power_stations_in_Romania - cite_note-7" xr:uid="{00000000-0004-0000-0000-00008E010000}"/>
    <hyperlink ref="C360" r:id="rId400" tooltip="Čierny Váh Hydro Power Plant (page does not exist)" display="https://en.wikipedia.org/w/index.php?title=%C4%8Cierny_V%C3%A1h_Hydro_Power_Plant&amp;action=edit&amp;redlink=1" xr:uid="{00000000-0004-0000-0000-00008F010000}"/>
    <hyperlink ref="E360" r:id="rId401" display="https://tools.wmflabs.org/geohack/geohack.php?pagename=List_of_power_stations_in_Slovakia&amp;params=49.0087904_N_19.9122369_E_type:landmark&amp;title=%C4%8Cierny+V%C3%A1h+Hydro+Power+Plant" xr:uid="{00000000-0004-0000-0000-000090010000}"/>
    <hyperlink ref="C367" r:id="rId402" location="cite_note-1" display="https://en.wikipedia.org/wiki/List_of_power_stations_in_Slovakia - cite_note-1" xr:uid="{00000000-0004-0000-0000-000091010000}"/>
    <hyperlink ref="E367" r:id="rId403" display="https://tools.wmflabs.org/geohack/geohack.php?pagename=List_of_power_stations_in_Slovakia&amp;params=48.855574_N_20.3838444_E_type:landmark&amp;title=Dob%C5%A1in%C3%A1" xr:uid="{00000000-0004-0000-0000-000092010000}"/>
    <hyperlink ref="C361" r:id="rId404" tooltip="Gabčíkovo – Nagymaros Dams" display="https://en.wikipedia.org/wiki/Gab%C4%8D%C3%ADkovo_%E2%80%93_Nagymaros_Dams" xr:uid="{00000000-0004-0000-0000-000093010000}"/>
    <hyperlink ref="E361" r:id="rId405" display="https://tools.wmflabs.org/geohack/geohack.php?pagename=List_of_power_stations_in_Slovakia&amp;params=47.8800886_N_17.5385141_E_type:landmark&amp;title=Nagymaros+Dams" xr:uid="{00000000-0004-0000-0000-000094010000}"/>
    <hyperlink ref="C362" r:id="rId406" tooltip="Liptovská Mara" display="https://en.wikipedia.org/wiki/Liptovsk%C3%A1_Mara" xr:uid="{00000000-0004-0000-0000-000095010000}"/>
    <hyperlink ref="E362" r:id="rId407" display="https://tools.wmflabs.org/geohack/geohack.php?pagename=List_of_power_stations_in_Slovakia&amp;params=49.0981217_N_19.484725_E_type:landmark&amp;title=Liptovsk%C3%A1+Mara" xr:uid="{00000000-0004-0000-0000-000096010000}"/>
    <hyperlink ref="C363" r:id="rId408" tooltip="Mikšová Hydro Power Plant (page does not exist)" display="https://en.wikipedia.org/w/index.php?title=Mik%C5%A1ov%C3%A1_Hydro_Power_Plant&amp;action=edit&amp;redlink=1" xr:uid="{00000000-0004-0000-0000-000097010000}"/>
    <hyperlink ref="E363" r:id="rId409" display="https://tools.wmflabs.org/geohack/geohack.php?pagename=List_of_power_stations_in_Slovakia&amp;params=49.1929_N_18.5083_E_type:landmark&amp;title=Mik%C5%A1ov%C3%A1" xr:uid="{00000000-0004-0000-0000-000098010000}"/>
    <hyperlink ref="C364" r:id="rId410" tooltip="Nosice Hydro Power Plant (page does not exist)" display="https://en.wikipedia.org/w/index.php?title=Nosice_Hydro_Power_Plant&amp;action=edit&amp;redlink=1" xr:uid="{00000000-0004-0000-0000-000099010000}"/>
    <hyperlink ref="E364" r:id="rId411" display="https://tools.wmflabs.org/geohack/geohack.php?pagename=List_of_power_stations_in_Slovakia&amp;params=49.1274594_N_18.3642483_E_type:landmark&amp;title=Nosice+Hydro+Power+Plant" xr:uid="{00000000-0004-0000-0000-00009A010000}"/>
    <hyperlink ref="C366" r:id="rId412" tooltip="Považská Bystrica Hydro Power Plant (page does not exist)" display="https://en.wikipedia.org/w/index.php?title=Pova%C5%BEsk%C3%A1_Bystrica_Hydro_Power_Plant&amp;action=edit&amp;redlink=1" xr:uid="{00000000-0004-0000-0000-00009B010000}"/>
    <hyperlink ref="E366" r:id="rId413" display="https://tools.wmflabs.org/geohack/geohack.php?pagename=List_of_power_stations_in_Slovakia&amp;params=49.1331494_N_18.4537697_E_type:landmark&amp;title=Pova%C5%BEsk%C3%A1+Bystrica+Hydro+Power+Plant" xr:uid="{00000000-0004-0000-0000-00009C010000}"/>
    <hyperlink ref="C365" r:id="rId414" tooltip="Ružín Hydro Power Plant (page does not exist)" display="https://en.wikipedia.org/w/index.php?title=Ru%C5%BE%C3%ADn_Hydro_Power_Plant&amp;action=edit&amp;redlink=1" xr:uid="{00000000-0004-0000-0000-00009D010000}"/>
    <hyperlink ref="E365" r:id="rId415" display="https://tools.wmflabs.org/geohack/geohack.php?pagename=List_of_power_stations_in_Slovakia&amp;params=48.8612704_N_21.090821_E_type:landmark&amp;title=Ru%C5%BE%C3%ADn+Hydro+Power+Plant" xr:uid="{00000000-0004-0000-0000-00009E010000}"/>
    <hyperlink ref="L371" r:id="rId416" tooltip="Drava" display="https://en.wikipedia.org/wiki/Drava" xr:uid="{00000000-0004-0000-0000-00009F010000}"/>
    <hyperlink ref="D371" r:id="rId417" tooltip="Fala, Ruše" display="https://en.wikipedia.org/wiki/Fala,_Ru%C5%A1e" xr:uid="{00000000-0004-0000-0000-0000A0010000}"/>
    <hyperlink ref="L374" r:id="rId418" tooltip="Drava" display="https://en.wikipedia.org/wiki/Drava" xr:uid="{00000000-0004-0000-0000-0000A1010000}"/>
    <hyperlink ref="D374" r:id="rId419" tooltip="Dravograd" display="https://en.wikipedia.org/wiki/Dravograd" xr:uid="{00000000-0004-0000-0000-0000A2010000}"/>
    <hyperlink ref="L370" r:id="rId420" tooltip="Drava" display="https://en.wikipedia.org/wiki/Drava" xr:uid="{00000000-0004-0000-0000-0000A3010000}"/>
    <hyperlink ref="D370" r:id="rId421" tooltip="Zlatoličje" display="https://en.wikipedia.org/wiki/Zlatoli%C4%8Dje" xr:uid="{00000000-0004-0000-0000-0000A4010000}"/>
    <hyperlink ref="L369" r:id="rId422" tooltip="Drava" display="https://en.wikipedia.org/wiki/Drava" xr:uid="{00000000-0004-0000-0000-0000A5010000}"/>
    <hyperlink ref="D369" r:id="rId423" tooltip="Markovci" display="https://en.wikipedia.org/wiki/Markovci" xr:uid="{00000000-0004-0000-0000-0000A6010000}"/>
    <hyperlink ref="L375" r:id="rId424" tooltip="Sava" display="https://en.wikipedia.org/wiki/Sava" xr:uid="{00000000-0004-0000-0000-0000A7010000}"/>
    <hyperlink ref="D375" r:id="rId425" tooltip="Medvode" display="https://en.wikipedia.org/wiki/Medvode" xr:uid="{00000000-0004-0000-0000-0000A8010000}"/>
    <hyperlink ref="L373" r:id="rId426" tooltip="Soča" display="https://en.wikipedia.org/wiki/So%C4%8Da" xr:uid="{00000000-0004-0000-0000-0000A9010000}"/>
    <hyperlink ref="D373" r:id="rId427" tooltip="Doblar" display="https://en.wikipedia.org/wiki/Doblar" xr:uid="{00000000-0004-0000-0000-0000AA010000}"/>
    <hyperlink ref="L377" r:id="rId428" tooltip="Soča" display="https://en.wikipedia.org/wiki/So%C4%8Da" xr:uid="{00000000-0004-0000-0000-0000AB010000}"/>
    <hyperlink ref="D377" r:id="rId429" tooltip="Plave" display="https://en.wikipedia.org/wiki/Plave" xr:uid="{00000000-0004-0000-0000-0000AC010000}"/>
    <hyperlink ref="L372" r:id="rId430" tooltip="Soča" display="https://en.wikipedia.org/wiki/So%C4%8Da" xr:uid="{00000000-0004-0000-0000-0000AD010000}"/>
    <hyperlink ref="D372" r:id="rId431" tooltip="Doblar" display="https://en.wikipedia.org/wiki/Doblar" xr:uid="{00000000-0004-0000-0000-0000AE010000}"/>
    <hyperlink ref="L376" r:id="rId432" tooltip="Soča" display="https://en.wikipedia.org/wiki/So%C4%8Da" xr:uid="{00000000-0004-0000-0000-0000AF010000}"/>
    <hyperlink ref="D376" r:id="rId433" tooltip="Plave" display="https://en.wikipedia.org/wiki/Plave" xr:uid="{00000000-0004-0000-0000-0000B0010000}"/>
    <hyperlink ref="L368" r:id="rId434" tooltip="Soča" display="https://en.wikipedia.org/wiki/So%C4%8Da" xr:uid="{00000000-0004-0000-0000-0000B1010000}"/>
    <hyperlink ref="D368" r:id="rId435" tooltip="Avče" display="https://en.wikipedia.org/wiki/Av%C4%8De" xr:uid="{00000000-0004-0000-0000-0000B2010000}"/>
    <hyperlink ref="C395" r:id="rId436" tooltip="Älvkarleby Hydroelectric Power Station" display="https://en.wikipedia.org/wiki/%C3%84lvkarleby_Hydroelectric_Power_Station" xr:uid="{00000000-0004-0000-0000-0000B3010000}"/>
    <hyperlink ref="E395" r:id="rId437" display="https://tools.wmflabs.org/geohack/geohack.php?pagename=List_of_power_stations_in_Sweden&amp;params=60.5638178_N_17.442137_E_region:SE_type:landmark&amp;title=%C3%84lvkarleby+Hydroelectric+Power+Station" xr:uid="{00000000-0004-0000-0000-0000B4010000}"/>
    <hyperlink ref="L395" r:id="rId438" tooltip="Dal River" display="https://en.wikipedia.org/wiki/Dal_River" xr:uid="{00000000-0004-0000-0000-0000B5010000}"/>
    <hyperlink ref="C393" r:id="rId439" tooltip="Hojum Hydroelectric Power Station" display="https://en.wikipedia.org/wiki/Hojum_Hydroelectric_Power_Station" xr:uid="{00000000-0004-0000-0000-0000B6010000}"/>
    <hyperlink ref="E393" r:id="rId440" display="https://tools.wmflabs.org/geohack/geohack.php?pagename=List_of_power_stations_in_Sweden&amp;params=58.2803547_N_12.2787452_E_region:SE_type:landmark&amp;title=Hojum+Hydroelectric+Power+Station" xr:uid="{00000000-0004-0000-0000-0000B7010000}"/>
    <hyperlink ref="N393" r:id="rId441" tooltip="Götaland" display="https://en.wikipedia.org/wiki/G%C3%B6taland" xr:uid="{00000000-0004-0000-0000-0000B8010000}"/>
    <hyperlink ref="L393" r:id="rId442" tooltip="Göta älv" display="https://en.wikipedia.org/wiki/G%C3%B6ta_%C3%A4lv" xr:uid="{00000000-0004-0000-0000-0000B9010000}"/>
    <hyperlink ref="C391" r:id="rId443" location="cite_note-1" display="https://en.wikipedia.org/wiki/List_of_power_stations_in_Sweden - cite_note-1" xr:uid="{00000000-0004-0000-0000-0000BA010000}"/>
    <hyperlink ref="E391" r:id="rId444" display="https://tools.wmflabs.org/geohack/geohack.php?pagename=List_of_power_stations_in_Sweden&amp;params=64.9601851_N_17.5798416_E_region:SE_type:landmark&amp;title=Juktan+Pumped-Storage+Hydroelectric+Power+Station" xr:uid="{00000000-0004-0000-0000-0000BB010000}"/>
    <hyperlink ref="L391" r:id="rId445" tooltip="Juktån (page does not exist)" display="https://en.wikipedia.org/w/index.php?title=Jukt%C3%A5n&amp;action=edit&amp;redlink=1" xr:uid="{00000000-0004-0000-0000-0000BC010000}"/>
    <hyperlink ref="E396" r:id="rId446" display="https://tools.wmflabs.org/geohack/geohack.php?pagename=List_of_power_stations_in_Sweden&amp;params=60.71065_N_12.67385_E_region:SE_type:landmark&amp;title=Letten+Pumped-Storage+Hydroelectric+Power+Station" xr:uid="{00000000-0004-0000-0000-0000BD010000}"/>
    <hyperlink ref="L396" r:id="rId447" tooltip="Letten (page does not exist)" display="https://en.wikipedia.org/w/index.php?title=Letten&amp;action=edit&amp;redlink=1" xr:uid="{00000000-0004-0000-0000-0000BE010000}"/>
    <hyperlink ref="C394" r:id="rId448" tooltip="Olidan Hydroelectric Power Station" display="https://en.wikipedia.org/wiki/Olidan_Hydroelectric_Power_Station" xr:uid="{00000000-0004-0000-0000-0000BF010000}"/>
    <hyperlink ref="E394" r:id="rId449" display="https://tools.wmflabs.org/geohack/geohack.php?pagename=List_of_power_stations_in_Sweden&amp;params=58.2750011_N_12.2725332_E_region:SE_type:landmark&amp;title=Olidan+Hydroelectric+Power+Station" xr:uid="{00000000-0004-0000-0000-0000C0010000}"/>
    <hyperlink ref="C387" r:id="rId450" tooltip="Porjus Hydroelectric Power Station" display="https://en.wikipedia.org/wiki/Porjus_Hydroelectric_Power_Station" xr:uid="{00000000-0004-0000-0000-0000C1010000}"/>
    <hyperlink ref="E387" r:id="rId451" display="https://tools.wmflabs.org/geohack/geohack.php?pagename=List_of_power_stations_in_Sweden&amp;params=66.9542809_N_19.7960758_E_region:SE_type:landmark&amp;title=Porjus+Hydroelectric+Power+Station" xr:uid="{00000000-0004-0000-0000-0000C2010000}"/>
    <hyperlink ref="L387" r:id="rId452" tooltip="Lule River" display="https://en.wikipedia.org/wiki/Lule_River" xr:uid="{00000000-0004-0000-0000-0000C3010000}"/>
    <hyperlink ref="C385" r:id="rId453" tooltip="Harsprånget Hydroelectric power station" display="https://en.wikipedia.org/wiki/Harspr%C3%A5nget_Hydroelectric_power_station" xr:uid="{00000000-0004-0000-0000-0000C4010000}"/>
    <hyperlink ref="E385" r:id="rId454" display="https://tools.wmflabs.org/geohack/geohack.php?pagename=List_of_power_stations_in_Sweden&amp;params=66.885_N_19.8148_E_region:SE_type:landmark&amp;title=Harspr%C3%A5nget+Hydroelectric+power+station" xr:uid="{00000000-0004-0000-0000-0000C5010000}"/>
    <hyperlink ref="C386" r:id="rId455" tooltip="Stornorrfors Hydroelectric power station (page does not exist)" display="https://en.wikipedia.org/w/index.php?title=Stornorrfors_Hydroelectric_power_station&amp;action=edit&amp;redlink=1" xr:uid="{00000000-0004-0000-0000-0000C6010000}"/>
    <hyperlink ref="E386" r:id="rId456" display="https://tools.wmflabs.org/geohack/geohack.php?pagename=List_of_power_stations_in_Sweden&amp;params=63.519_N_20.36_E_region:SE_type:landmark&amp;title=Stornorrfors+Hydroelectric+power+station" xr:uid="{00000000-0004-0000-0000-0000C7010000}"/>
    <hyperlink ref="L386" r:id="rId457" tooltip="Ume River" display="https://en.wikipedia.org/wiki/Ume_River" xr:uid="{00000000-0004-0000-0000-0000C8010000}"/>
    <hyperlink ref="C388" r:id="rId458" tooltip="Messaure (page does not exist)" display="https://en.wikipedia.org/w/index.php?title=Messaure&amp;action=edit&amp;redlink=1" xr:uid="{00000000-0004-0000-0000-0000C9010000}"/>
    <hyperlink ref="E388" r:id="rId459" display="https://tools.wmflabs.org/geohack/geohack.php?pagename=List_of_power_stations_in_Sweden&amp;params=66.410_N_20.20_E_region:SE_type:landmark&amp;title=Messaure" xr:uid="{00000000-0004-0000-0000-0000CA010000}"/>
    <hyperlink ref="C389" r:id="rId460" tooltip="Letsi (page does not exist)" display="https://en.wikipedia.org/w/index.php?title=Letsi&amp;action=edit&amp;redlink=1" xr:uid="{00000000-0004-0000-0000-0000CB010000}"/>
    <hyperlink ref="L389" r:id="rId461" tooltip="Lesser Lule River" display="https://en.wikipedia.org/wiki/Lesser_Lule_River" xr:uid="{00000000-0004-0000-0000-0000CC010000}"/>
    <hyperlink ref="C390" r:id="rId462" tooltip="Kilforsen (page does not exist)" display="https://en.wikipedia.org/w/index.php?title=Kilforsen&amp;action=edit&amp;redlink=1" xr:uid="{00000000-0004-0000-0000-0000CD010000}"/>
    <hyperlink ref="E390" r:id="rId463" display="https://tools.wmflabs.org/geohack/geohack.php?pagename=List_of_power_stations_in_Sweden&amp;params=63.3244_N_16.4542_E_region:SE_type:landmark&amp;title=Kilforsen" xr:uid="{00000000-0004-0000-0000-0000CE010000}"/>
    <hyperlink ref="L390" r:id="rId464" tooltip="Fjällsjö River (page does not exist)" display="https://en.wikipedia.org/w/index.php?title=Fj%C3%A4llsj%C3%B6_River&amp;action=edit&amp;redlink=1" xr:uid="{00000000-0004-0000-0000-0000CF010000}"/>
    <hyperlink ref="C392" r:id="rId465" tooltip="Trängslet Dam" display="https://en.wikipedia.org/wiki/Tr%C3%A4ngslet_Dam" xr:uid="{00000000-0004-0000-0000-0000D0010000}"/>
    <hyperlink ref="E392" r:id="rId466" display="https://tools.wmflabs.org/geohack/geohack.php?pagename=List_of_power_stations_in_Sweden&amp;params=61.3800_N_13.7300_E_region:SE_type:landmark&amp;title=Tr%C3%A4ngslet" xr:uid="{00000000-0004-0000-0000-0000D1010000}"/>
    <hyperlink ref="D412" r:id="rId467" tooltip="Baden, Switzerland" display="https://en.wikipedia.org/wiki/Baden,_Switzerland" xr:uid="{00000000-0004-0000-0000-0000D2010000}"/>
    <hyperlink ref="E412" r:id="rId468" display="https://tools.wmflabs.org/geohack/geohack.php?pagename=List_of_power_stations_in_Switzerland&amp;params=47.47034_N_8.31098_E_type:landmark_region:CH&amp;title=Aue+Power+Station" xr:uid="{00000000-0004-0000-0000-0000D3010000}"/>
    <hyperlink ref="C398" r:id="rId469" tooltip="Bieudron Hydroelectric Power Station" display="https://en.wikipedia.org/wiki/Bieudron_Hydroelectric_Power_Station" xr:uid="{00000000-0004-0000-0000-0000D4010000}"/>
    <hyperlink ref="E398" r:id="rId470" display="https://tools.wmflabs.org/geohack/geohack.php?pagename=List_of_power_stations_in_Switzerland&amp;params=46.185297_N_7.249561_E_type:landmark_region:CH&amp;title=Grande+Dixence+Dam" xr:uid="{00000000-0004-0000-0000-0000D5010000}"/>
    <hyperlink ref="C407" r:id="rId471" tooltip="Chandoline Power Station" display="https://en.wikipedia.org/wiki/Chandoline_Power_Station" xr:uid="{00000000-0004-0000-0000-0000D6010000}"/>
    <hyperlink ref="D413" r:id="rId472" tooltip="Dietikon" display="https://en.wikipedia.org/wiki/Dietikon" xr:uid="{00000000-0004-0000-0000-0000D7010000}"/>
    <hyperlink ref="E413" r:id="rId473" display="https://tools.wmflabs.org/geohack/geohack.php?pagename=List_of_power_stations_in_Switzerland&amp;params=47.410137_N_8.408344_E_type:landmark_region:CH&amp;title=Dietikon+Power+Station" xr:uid="{00000000-0004-0000-0000-0000D8010000}"/>
    <hyperlink ref="D406" r:id="rId474" tooltip="Altendorf, Schwyz" display="https://en.wikipedia.org/wiki/Altendorf,_Schwyz" xr:uid="{00000000-0004-0000-0000-0000D9010000}"/>
    <hyperlink ref="E406" r:id="rId475" display="https://tools.wmflabs.org/geohack/geohack.php?pagename=List_of_power_stations_in_Switzerland&amp;params=47.194347_N_8.811166_E_type:landmark_region:CH&amp;title=Etzelwerk+Power+Station" xr:uid="{00000000-0004-0000-0000-0000DA010000}"/>
    <hyperlink ref="C404" r:id="rId476" tooltip="Fionnay Power Station" display="https://en.wikipedia.org/wiki/Fionnay_Power_Station" xr:uid="{00000000-0004-0000-0000-0000DB010000}"/>
    <hyperlink ref="C418" r:id="rId477" tooltip="Gletsch Small Hydro (page does not exist)" display="https://en.wikipedia.org/w/index.php?title=Gletsch_Small_Hydro&amp;action=edit&amp;redlink=1" xr:uid="{00000000-0004-0000-0000-0000DC010000}"/>
    <hyperlink ref="D418" r:id="rId478" tooltip="Gletsch" display="https://en.wikipedia.org/wiki/Gletsch" xr:uid="{00000000-0004-0000-0000-0000DD010000}"/>
    <hyperlink ref="E418" r:id="rId479" display="https://tools.wmflabs.org/geohack/geohack.php?pagename=List_of_power_stations_in_Switzerland&amp;params=46.563604_N_8.362504_E_type:landmark_region:CH&amp;title=Gletsch+Small+Hydro" xr:uid="{00000000-0004-0000-0000-0000DE010000}"/>
    <hyperlink ref="D397" r:id="rId480" tooltip="Guttannen" display="https://en.wikipedia.org/wiki/Guttannen" xr:uid="{00000000-0004-0000-0000-0000DF010000}"/>
    <hyperlink ref="E397" r:id="rId481" display="https://tools.wmflabs.org/geohack/geohack.php?pagename=List_of_power_stations_in_Switzerland&amp;params=46.5721746_N_8.3296108_E_type:landmark_region:CH&amp;title=Grimsel+1" xr:uid="{00000000-0004-0000-0000-0000E0010000}"/>
    <hyperlink ref="C403" r:id="rId482" tooltip="Grimsel 2 Hydroelectric Power Station (page does not exist)" display="https://en.wikipedia.org/w/index.php?title=Grimsel_2_Hydroelectric_Power_Station&amp;action=edit&amp;redlink=1" xr:uid="{00000000-0004-0000-0000-0000E1010000}"/>
    <hyperlink ref="D403" r:id="rId483" tooltip="Guttannen" display="https://en.wikipedia.org/wiki/Guttannen" xr:uid="{00000000-0004-0000-0000-0000E2010000}"/>
    <hyperlink ref="E403" r:id="rId484" display="https://tools.wmflabs.org/geohack/geohack.php?pagename=List_of_power_stations_in_Switzerland&amp;params=46.5731887_N_8.3378989_E_type:landmark_region:CH&amp;title=Grimsel+2" xr:uid="{00000000-0004-0000-0000-0000E3010000}"/>
    <hyperlink ref="D415" r:id="rId485" tooltip="Zurich" display="https://en.wikipedia.org/wiki/Zurich" xr:uid="{00000000-0004-0000-0000-0000E4010000}"/>
    <hyperlink ref="E415" r:id="rId486" display="https://tools.wmflabs.org/geohack/geohack.php?pagename=List_of_power_stations_in_Switzerland&amp;params=47.401835_N_8.487035_E_type:landmark_region:CH&amp;title=H%C3%B6ngg+Power+Station" xr:uid="{00000000-0004-0000-0000-0000E5010000}"/>
    <hyperlink ref="D410" r:id="rId487" tooltip="Baden, Switzerland" display="https://en.wikipedia.org/wiki/Baden,_Switzerland" xr:uid="{00000000-0004-0000-0000-0000E6010000}"/>
    <hyperlink ref="E410" r:id="rId488" display="https://tools.wmflabs.org/geohack/geohack.php?pagename=List_of_power_stations_in_Switzerland&amp;params=47.484469_N_8.292945_E_type:landmark_region:CH&amp;title=Kappelerhof+Power+Station" xr:uid="{00000000-0004-0000-0000-0000E7010000}"/>
    <hyperlink ref="C405" r:id="rId489" tooltip="La Bâtiaz Power Station" display="https://en.wikipedia.org/wiki/La_B%C3%A2tiaz_Power_Station" xr:uid="{00000000-0004-0000-0000-0000E8010000}"/>
    <hyperlink ref="D405" r:id="rId490" tooltip="Martigny" display="https://en.wikipedia.org/wiki/Martigny" xr:uid="{00000000-0004-0000-0000-0000E9010000}"/>
    <hyperlink ref="E405" r:id="rId491" display="https://tools.wmflabs.org/geohack/geohack.php?pagename=List_of_power_stations_in_Switzerland&amp;params=46.0676332_N_6.9321907_E_type:landmark_region:CH&amp;title=La+B%C3%A2tiaz+Power+Station" xr:uid="{00000000-0004-0000-0000-0000EA010000}"/>
    <hyperlink ref="D411" r:id="rId492" tooltip="Zurich" display="https://en.wikipedia.org/wiki/Zurich" xr:uid="{00000000-0004-0000-0000-0000EB010000}"/>
    <hyperlink ref="E411" r:id="rId493" display="https://tools.wmflabs.org/geohack/geohack.php?pagename=List_of_power_stations_in_Switzerland&amp;params=47.387396_N_8.532321_E_type:landmark_region:CH&amp;title=Letten+Power+Station" xr:uid="{00000000-0004-0000-0000-0000EC010000}"/>
    <hyperlink ref="C400" r:id="rId494" tooltip="Linth–Limmern Power Stations" display="https://en.wikipedia.org/wiki/Linth%E2%80%93Limmern_Power_Stations" xr:uid="{00000000-0004-0000-0000-0000ED010000}"/>
    <hyperlink ref="E400" r:id="rId495" display="https://tools.wmflabs.org/geohack/geohack.php?pagename=List_of_power_stations_in_Switzerland&amp;params=46_51_00_N_9_0_03_E_type:landmark_region:CH&amp;title=Linth%E2%80%93Limmern+Power+Stations" xr:uid="{00000000-0004-0000-0000-0000EE010000}"/>
    <hyperlink ref="C402" r:id="rId496" tooltip="Mauvoisin Dam" display="https://en.wikipedia.org/wiki/Mauvoisin_Dam" xr:uid="{00000000-0004-0000-0000-0000EF010000}"/>
    <hyperlink ref="E402" r:id="rId497" display="https://tools.wmflabs.org/geohack/geohack.php?pagename=List_of_power_stations_in_Switzerland&amp;params=45.997997_N_7.348658_E_type:landmark_region:CH&amp;title=Lac+de+Mauvoisin+Dam" xr:uid="{00000000-0004-0000-0000-0000F0010000}"/>
    <hyperlink ref="C399" r:id="rId498" tooltip="Nant de Drance Hydropower Plant" display="https://en.wikipedia.org/wiki/Nant_de_Drance_Hydropower_Plant" xr:uid="{00000000-0004-0000-0000-0000F1010000}"/>
    <hyperlink ref="E399" r:id="rId499" display="https://tools.wmflabs.org/geohack/geohack.php?pagename=List_of_power_stations_in_Switzerland&amp;params=46.063661_N_6.911036_E_type:landmark_region:CH&amp;title=Nant+de+Drance" xr:uid="{00000000-0004-0000-0000-0000F2010000}"/>
    <hyperlink ref="C401" r:id="rId500" tooltip="Nendaz Power Station" display="https://en.wikipedia.org/wiki/Nendaz_Power_Station" xr:uid="{00000000-0004-0000-0000-0000F3010000}"/>
    <hyperlink ref="C419" r:id="rId501" tooltip="Ottenbach Small Hydro (page does not exist)" display="https://en.wikipedia.org/w/index.php?title=Ottenbach_Small_Hydro&amp;action=edit&amp;redlink=1" xr:uid="{00000000-0004-0000-0000-0000F4010000}"/>
    <hyperlink ref="D419" r:id="rId502" tooltip="Ottenbach, Switzerland" display="https://en.wikipedia.org/wiki/Ottenbach,_Switzerland" xr:uid="{00000000-0004-0000-0000-0000F5010000}"/>
    <hyperlink ref="E419" r:id="rId503" display="https://tools.wmflabs.org/geohack/geohack.php?pagename=List_of_power_stations_in_Switzerland&amp;params=47.27985_N_8.39741_E_type:landmark_region:CH&amp;title=Ottenbach+Small+Hydro" xr:uid="{00000000-0004-0000-0000-0000F6010000}"/>
    <hyperlink ref="D414" r:id="rId504" tooltip="Untersiggenthal" display="https://en.wikipedia.org/wiki/Untersiggenthal" xr:uid="{00000000-0004-0000-0000-0000F7010000}"/>
    <hyperlink ref="E414" r:id="rId505" display="https://tools.wmflabs.org/geohack/geohack.php?pagename=List_of_power_stations_in_Switzerland&amp;params=47.488687_N_8.264937_E_type:landmark_region:CH&amp;title=Schiffm%C3%BChle+Power+Station" xr:uid="{00000000-0004-0000-0000-0000F8010000}"/>
    <hyperlink ref="C417" r:id="rId506" tooltip="Thorenberg Power Station (page does not exist)" display="https://en.wikipedia.org/w/index.php?title=Thorenberg_Power_Station&amp;action=edit&amp;redlink=1" xr:uid="{00000000-0004-0000-0000-0000F9010000}"/>
    <hyperlink ref="D417" r:id="rId507" tooltip="Littau, Switzerland" display="https://en.wikipedia.org/wiki/Littau,_Switzerland" xr:uid="{00000000-0004-0000-0000-0000FA010000}"/>
    <hyperlink ref="E417" r:id="rId508" display="https://tools.wmflabs.org/geohack/geohack.php?pagename=List_of_power_stations_in_Switzerland&amp;params=47.052696_N_8.248102_E_type:landmark_region:CH&amp;title=Schiffm%C3%BChle+Power+Station" xr:uid="{00000000-0004-0000-0000-0000FB010000}"/>
    <hyperlink ref="D416" r:id="rId509" tooltip="Turgi" display="https://en.wikipedia.org/wiki/Turgi" xr:uid="{00000000-0004-0000-0000-0000FC010000}"/>
    <hyperlink ref="C408" r:id="rId510" tooltip="Verzasca Hydroelectric Power Station" display="https://en.wikipedia.org/wiki/Verzasca_Hydroelectric_Power_Station" xr:uid="{00000000-0004-0000-0000-0000FD010000}"/>
    <hyperlink ref="E408" r:id="rId511" display="https://tools.wmflabs.org/geohack/geohack.php?pagename=List_of_power_stations_in_Switzerland&amp;params=46.196681_N_8.848097_E_type:landmark_region:CH&amp;title=Verzasca+Dam" xr:uid="{00000000-0004-0000-0000-0000FE010000}"/>
    <hyperlink ref="D409" r:id="rId512" tooltip="Wettingen" display="https://en.wikipedia.org/wiki/Wettingen" xr:uid="{00000000-0004-0000-0000-0000FF010000}"/>
    <hyperlink ref="E409" r:id="rId513" display="https://tools.wmflabs.org/geohack/geohack.php?pagename=List_of_power_stations_in_Switzerland&amp;params=47.456554_N_8.320631_E_type:landmark_region:CH&amp;title=Wettingen+Power+Station" xr:uid="{00000000-0004-0000-0000-000000020000}"/>
    <hyperlink ref="C6" r:id="rId514" tooltip="Zillergründl Dam" display="https://en.wikipedia.org/wiki/Zillergr%C3%BCndl_Dam" xr:uid="{00000000-0004-0000-0000-000001020000}"/>
    <hyperlink ref="D6" r:id="rId515" tooltip="Mayrhofen" display="https://en.wikipedia.org/wiki/Mayrhofen" xr:uid="{00000000-0004-0000-0000-000002020000}"/>
    <hyperlink ref="E6" r:id="rId516" display="https://tools.wmflabs.org/geohack/geohack.php?pagename=List_of_power_stations_in_Austria&amp;params=47_08_46_N_11_58_02_E_&amp;title=H%C3%A4usling+Power+Plant" xr:uid="{00000000-0004-0000-0000-000003020000}"/>
    <hyperlink ref="E4" r:id="rId517" display="https://tools.wmflabs.org/geohack/geohack.php?pagename=List_of_power_stations_in_Austria&amp;params=46.975278_N_10.044722_E_type:landmark_region:UA&amp;title=Kops+II+Pumped-Storage+Hydroelectric+Power+Station" xr:uid="{00000000-0004-0000-0000-000004020000}"/>
    <hyperlink ref="K4" r:id="rId518" location="cite_note-IndustCardsPS-5" display="https://en.wikipedia.org/wiki/List_of_power_stations_in_Austria - cite_note-IndustCardsPS-5" xr:uid="{00000000-0004-0000-0000-000005020000}"/>
    <hyperlink ref="K8" r:id="rId519" location="cite_note-IndustCardsPS-5" display="https://en.wikipedia.org/wiki/List_of_power_stations_in_Austria - cite_note-IndustCardsPS-5" xr:uid="{00000000-0004-0000-0000-000006020000}"/>
    <hyperlink ref="C2" r:id="rId520" tooltip="Malta-Reisseck Power Plant Group" display="https://en.wikipedia.org/wiki/Malta-Reisseck_Power_Plant_Group" xr:uid="{00000000-0004-0000-0000-000007020000}"/>
    <hyperlink ref="D2" r:id="rId521" tooltip="Carinthia (state)" display="https://en.wikipedia.org/wiki/Carinthia_(state)" xr:uid="{00000000-0004-0000-0000-000008020000}"/>
    <hyperlink ref="C7" r:id="rId522" tooltip="Pumped-storage" display="https://en.wikipedia.org/wiki/Pumped-storage" xr:uid="{00000000-0004-0000-0000-000009020000}"/>
    <hyperlink ref="E7" r:id="rId523" display="https://tools.wmflabs.org/geohack/geohack.php?pagename=List_of_power_stations_in_Austria&amp;params=47.0845776_N_9.8746437_E_type:landmark_region:UA&amp;title=Rodundwerk+II+Pumped-Storage+Hydroelectric+Power+Station" xr:uid="{00000000-0004-0000-0000-00000A020000}"/>
    <hyperlink ref="K7" r:id="rId524" location="cite_note-IndustCardsPS-5" display="https://en.wikipedia.org/wiki/List_of_power_stations_in_Austria - cite_note-IndustCardsPS-5" xr:uid="{00000000-0004-0000-0000-00000B020000}"/>
    <hyperlink ref="D5" r:id="rId525" tooltip="Kaunertal" display="https://en.wikipedia.org/wiki/Kaunertal" xr:uid="{00000000-0004-0000-0000-00000C020000}"/>
    <hyperlink ref="C10" r:id="rId526" tooltip="Run-of-the-river" display="https://en.wikipedia.org/wiki/Run-of-the-river" xr:uid="{00000000-0004-0000-0000-00000D020000}"/>
    <hyperlink ref="D10" r:id="rId527" tooltip="Imst" display="https://en.wikipedia.org/wiki/Imst" xr:uid="{00000000-0004-0000-0000-00000E020000}"/>
    <hyperlink ref="D3" r:id="rId528" tooltip="Kühtai" display="https://en.wikipedia.org/wiki/K%C3%BChtai" xr:uid="{00000000-0004-0000-0000-00000F020000}"/>
    <hyperlink ref="D11" r:id="rId529" tooltip="Jenbach" display="https://en.wikipedia.org/wiki/Jenbach" xr:uid="{00000000-0004-0000-0000-000010020000}"/>
    <hyperlink ref="C14" r:id="rId530" tooltip="Run-of-the-river" display="https://en.wikipedia.org/wiki/Run-of-the-river" xr:uid="{00000000-0004-0000-0000-000011020000}"/>
    <hyperlink ref="D14" r:id="rId531" tooltip="Kirchbichl" display="https://en.wikipedia.org/wiki/Kirchbichl" xr:uid="{00000000-0004-0000-0000-000012020000}"/>
    <hyperlink ref="C13" r:id="rId532" tooltip="Run-of-the-river" display="https://en.wikipedia.org/wiki/Run-of-the-river" xr:uid="{00000000-0004-0000-0000-000013020000}"/>
    <hyperlink ref="D13" r:id="rId533" tooltip="Langkampfen" display="https://en.wikipedia.org/wiki/Langkampfen" xr:uid="{00000000-0004-0000-0000-000014020000}"/>
    <hyperlink ref="D12" r:id="rId534" tooltip="Amlach" display="https://en.wikipedia.org/wiki/Amlach" xr:uid="{00000000-0004-0000-0000-000015020000}"/>
    <hyperlink ref="K9" r:id="rId535" location="cite_note-6" display="https://en.wikipedia.org/wiki/List_of_power_stations_in_Austria - cite_note-6" xr:uid="{00000000-0004-0000-0000-000016020000}"/>
    <hyperlink ref="E332" r:id="rId536" display="https://tools.wmflabs.org/geohack/geohack.php?pagename=List_of_power_stations_in_Portugal&amp;params=38.195562_N_7.497708_W_type:landmark&amp;title=Alqueva+Dam" xr:uid="{00000000-0004-0000-0000-000017020000}"/>
    <hyperlink ref="C332" r:id="rId537" tooltip="Alqueva Dam" display="https://en.wikipedia.org/wiki/Alqueva_Dam" xr:uid="{00000000-0004-0000-0000-000018020000}"/>
    <hyperlink ref="E527" r:id="rId538" display="https://tools.wmflabs.org/geohack/geohack.php?pagename=List_of_power_stations_in_England&amp;params=54_15_15.857_N_2_59_25.389_W_&amp;title=%22Backbarrow%22" xr:uid="{00000000-0004-0000-0000-000019020000}"/>
    <hyperlink ref="E509" r:id="rId539" display="https://tools.wmflabs.org/geohack/geohack.php?pagename=List_of_power_stations_in_England&amp;params=52_55_8.043_N_1_13_41.043_W_&amp;title=%22Beeston%22" xr:uid="{00000000-0004-0000-0000-00001A020000}"/>
    <hyperlink ref="E526" r:id="rId540" display="https://tools.wmflabs.org/geohack/geohack.php?pagename=List_of_power_stations_in_England&amp;params=53_1_41.579_N_1_29_12.841_W_&amp;title=%22Belper+North+Mill%22" xr:uid="{00000000-0004-0000-0000-00001B020000}"/>
    <hyperlink ref="C544" r:id="rId541" tooltip="Bippulph Park (page does not exist)" display="https://en.wikipedia.org/w/index.php?title=Bippulph_Park&amp;action=edit&amp;redlink=1" xr:uid="{00000000-0004-0000-0000-00001C020000}"/>
    <hyperlink ref="E532" r:id="rId542" display="https://tools.wmflabs.org/geohack/geohack.php?pagename=List_of_power_stations_in_England&amp;params=52_54_0.055_N_1_22_0.031_W_&amp;title=%22Borrowash+Mill%22" xr:uid="{00000000-0004-0000-0000-00001D020000}"/>
    <hyperlink ref="E543" r:id="rId543" display="https://tools.wmflabs.org/geohack/geohack.php?pagename=List_of_power_stations_in_England&amp;params=54_30_20.95_N_1_53_54.011_W_&amp;title=%22Brignall+Mill%22" xr:uid="{00000000-0004-0000-0000-00001E020000}"/>
    <hyperlink ref="C535" r:id="rId544" tooltip="Burton Mill" display="https://en.wikipedia.org/wiki/Burton_Mill" xr:uid="{00000000-0004-0000-0000-00001F020000}"/>
    <hyperlink ref="E538" r:id="rId545" display="https://tools.wmflabs.org/geohack/geohack.php?pagename=List_of_power_stations_in_England&amp;params=52_3_27.216_N_0_42_31.916_W_&amp;title=%22Cotton+Valley+Sewage+Works+2%22" xr:uid="{00000000-0004-0000-0000-000020020000}"/>
    <hyperlink ref="E541" r:id="rId546" display="https://tools.wmflabs.org/geohack/geohack.php?pagename=List_of_power_stations_in_England&amp;params=53_14_6.031_N_1_9_14.024_W_&amp;title=%22Cuckney+School%22" xr:uid="{00000000-0004-0000-0000-000021020000}"/>
    <hyperlink ref="C533" r:id="rId547" tooltip="Derwent Reservoir (North East England)" display="https://en.wikipedia.org/wiki/Derwent_Reservoir_(North_East_England)" xr:uid="{00000000-0004-0000-0000-000022020000}"/>
    <hyperlink ref="C529" r:id="rId548" tooltip="Earth Balance (page does not exist)" display="https://en.wikipedia.org/w/index.php?title=Earth_Balance&amp;action=edit&amp;redlink=1" xr:uid="{00000000-0004-0000-0000-000023020000}"/>
    <hyperlink ref="C539" r:id="rId549" tooltip="Gants Mill" display="https://en.wikipedia.org/wiki/Gants_Mill" xr:uid="{00000000-0004-0000-0000-000024020000}"/>
    <hyperlink ref="E539" r:id="rId550" display="https://tools.wmflabs.org/geohack/geohack.php?pagename=List_of_power_stations_in_England&amp;params=51_6_23.2_N_2_28_0.91_W_&amp;title=%22Gants+Mill%22" xr:uid="{00000000-0004-0000-0000-000025020000}"/>
    <hyperlink ref="C530" r:id="rId551" tooltip="Glen Lyn Gorge (page does not exist)" display="https://en.wikipedia.org/w/index.php?title=Glen_Lyn_Gorge&amp;action=edit&amp;redlink=1" xr:uid="{00000000-0004-0000-0000-000026020000}"/>
    <hyperlink ref="C536" r:id="rId552" tooltip="Guildford Mill (page does not exist)" display="https://en.wikipedia.org/w/index.php?title=Guildford_Mill&amp;action=edit&amp;redlink=1" xr:uid="{00000000-0004-0000-0000-000027020000}"/>
    <hyperlink ref="C542" r:id="rId553" tooltip="Hamlyn Mill (page does not exist)" display="https://en.wikipedia.org/w/index.php?title=Hamlyn_Mill&amp;action=edit&amp;redlink=1" xr:uid="{00000000-0004-0000-0000-000028020000}"/>
    <hyperlink ref="C540" r:id="rId554" tooltip="Houghton Mill" display="https://en.wikipedia.org/wiki/Houghton_Mill" xr:uid="{00000000-0004-0000-0000-000029020000}"/>
    <hyperlink ref="C467" r:id="rId555" tooltip="Kielder Water" display="https://en.wikipedia.org/wiki/Kielder_Water" xr:uid="{00000000-0004-0000-0000-00002A020000}"/>
    <hyperlink ref="E467" r:id="rId556" display="https://tools.wmflabs.org/geohack/geohack.php?pagename=List_of_power_stations_in_England&amp;params=55_10_59.91_N_2_30_0.003_W_&amp;title=%22Kielder+Water%22" xr:uid="{00000000-0004-0000-0000-00002B020000}"/>
    <hyperlink ref="E531" r:id="rId557" display="https://tools.wmflabs.org/geohack/geohack.php?pagename=List_of_power_stations_in_England&amp;params=53_6_46.038_N_1_33_42.004_W_&amp;title=%22Masson+Mill%22" xr:uid="{00000000-0004-0000-0000-00002C020000}"/>
    <hyperlink ref="C534" r:id="rId558" tooltip="Mendip Power Group" display="https://en.wikipedia.org/wiki/Mendip_Power_Group" xr:uid="{00000000-0004-0000-0000-00002D020000}"/>
    <hyperlink ref="E534" r:id="rId559" display="https://tools.wmflabs.org/geohack/geohack.php?pagename=List_of_power_stations_in_England&amp;params=51_17_54.06_N_2_16_51.86_W_&amp;title=%22Tellisford+Mill%22" xr:uid="{00000000-0004-0000-0000-00002E020000}"/>
    <hyperlink ref="E537" r:id="rId560" display="https://tools.wmflabs.org/geohack/geohack.php?pagename=List_of_power_stations_in_England&amp;params=51_10_48.202_N_0_45_0.034_W_&amp;title=%22River+Wey%22" xr:uid="{00000000-0004-0000-0000-00002F020000}"/>
    <hyperlink ref="C420" r:id="rId561" tooltip="Dinorwig Power Station" display="https://en.wikipedia.org/wiki/Dinorwig_Power_Station" xr:uid="{00000000-0004-0000-0000-000030020000}"/>
    <hyperlink ref="D420" r:id="rId562" tooltip="Gwynedd" display="https://en.wikipedia.org/wiki/Gwynedd" xr:uid="{00000000-0004-0000-0000-000031020000}"/>
    <hyperlink ref="E420" r:id="rId563" display="https://tools.wmflabs.org/geohack/geohack.php?pagename=List_of_power_stations_in_Wales&amp;params=53_7_7_N_4_6_50_W_&amp;title=Dinorwig+Power+Station" xr:uid="{00000000-0004-0000-0000-000032020000}"/>
    <hyperlink ref="C441" r:id="rId564" tooltip="Dolgarrog Hydro Power Station (page does not exist)" display="https://en.wikipedia.org/w/index.php?title=Dolgarrog_Hydro_Power_Station&amp;action=edit&amp;redlink=1" xr:uid="{00000000-0004-0000-0000-000033020000}"/>
    <hyperlink ref="D441" r:id="rId565" tooltip="Conwy (county borough)" display="https://en.wikipedia.org/wiki/Conwy_(county_borough)" xr:uid="{00000000-0004-0000-0000-000034020000}"/>
    <hyperlink ref="C423" r:id="rId566" tooltip="Ffestiniog Power Station" display="https://en.wikipedia.org/wiki/Ffestiniog_Power_Station" xr:uid="{00000000-0004-0000-0000-000035020000}"/>
    <hyperlink ref="D423" r:id="rId567" tooltip="Gwynedd" display="https://en.wikipedia.org/wiki/Gwynedd" xr:uid="{00000000-0004-0000-0000-000036020000}"/>
    <hyperlink ref="E423" r:id="rId568" display="https://tools.wmflabs.org/geohack/geohack.php?pagename=List_of_power_stations_in_Wales&amp;params=52_58_51_N_3_58_8_W_&amp;title=Ffestiniog+Power+Station" xr:uid="{00000000-0004-0000-0000-000037020000}"/>
    <hyperlink ref="C432" r:id="rId569" tooltip="Rheidol Power Station" display="https://en.wikipedia.org/wiki/Rheidol_Power_Station" xr:uid="{00000000-0004-0000-0000-000038020000}"/>
    <hyperlink ref="D432" r:id="rId570" tooltip="Ceredigion" display="https://en.wikipedia.org/wiki/Ceredigion" xr:uid="{00000000-0004-0000-0000-000039020000}"/>
    <hyperlink ref="E432" r:id="rId571" display="https://tools.wmflabs.org/geohack/geohack.php?pagename=List_of_power_stations_in_Wales&amp;params=52_23_46_N_3_54_00_W_&amp;title=Rheidol+Power+Station" xr:uid="{00000000-0004-0000-0000-00003A020000}"/>
    <hyperlink ref="C545" r:id="rId572" tooltip="Swansea Bay barrage" display="https://en.wikipedia.org/wiki/Swansea_Bay_barrage" xr:uid="{00000000-0004-0000-0000-00003B020000}"/>
    <hyperlink ref="D545" r:id="rId573" tooltip="Swansea" display="https://en.wikipedia.org/wiki/Swansea" xr:uid="{00000000-0004-0000-0000-00003C020000}"/>
    <hyperlink ref="E545" r:id="rId574" display="https://tools.wmflabs.org/geohack/geohack.php?pagename=List_of_power_stations_in_Wales&amp;params=51_36_58_N_3_55_44_W_&amp;title=Swansea+Bay+barrage" xr:uid="{00000000-0004-0000-0000-00003D020000}"/>
    <hyperlink ref="C472" r:id="rId575" tooltip="Cwm Dyli Hydro Power Station (page does not exist)" display="https://en.wikipedia.org/w/index.php?title=Cwm_Dyli_Hydro_Power_Station&amp;action=edit&amp;redlink=1" xr:uid="{00000000-0004-0000-0000-00003E020000}"/>
    <hyperlink ref="D472" r:id="rId576" tooltip="Gwynedd" display="https://en.wikipedia.org/wiki/Gwynedd" xr:uid="{00000000-0004-0000-0000-00003F020000}"/>
    <hyperlink ref="C443" r:id="rId577" tooltip="Maentwrog Hydro Power Station (page does not exist)" display="https://en.wikipedia.org/w/index.php?title=Maentwrog_Hydro_Power_Station&amp;action=edit&amp;redlink=1" xr:uid="{00000000-0004-0000-0000-000040020000}"/>
    <hyperlink ref="D443" r:id="rId578" tooltip="Gwynedd" display="https://en.wikipedia.org/wiki/Gwynedd" xr:uid="{00000000-0004-0000-0000-000041020000}"/>
    <hyperlink ref="B421" r:id="rId579" tooltip="Scottish Power" display="https://en.wikipedia.org/wiki/Scottish_Power" xr:uid="{00000000-0004-0000-0000-000042020000}"/>
    <hyperlink ref="D421" r:id="rId580" tooltip="Argyll and Bute" display="https://en.wikipedia.org/wiki/Argyll_and_Bute" xr:uid="{00000000-0004-0000-0000-000043020000}"/>
    <hyperlink ref="C424" r:id="rId581" tooltip="Falls of Foyers" display="https://en.wikipedia.org/wiki/Falls_of_Foyers" xr:uid="{00000000-0004-0000-0000-000044020000}"/>
    <hyperlink ref="B424" r:id="rId582" tooltip="Scottish and Southern Energy" display="https://en.wikipedia.org/wiki/Scottish_and_Southern_Energy" xr:uid="{00000000-0004-0000-0000-000045020000}"/>
    <hyperlink ref="C492" r:id="rId583" location="cite_note-Conon-11" display="https://en.wikipedia.org/wiki/List_of_power_stations_in_Scotland - cite_note-Conon-11" xr:uid="{00000000-0004-0000-0000-000046020000}"/>
    <hyperlink ref="B492" r:id="rId584" tooltip="Scottish and Southern Energy" display="https://en.wikipedia.org/wiki/Scottish_and_Southern_Energy" xr:uid="{00000000-0004-0000-0000-000047020000}"/>
    <hyperlink ref="E492" r:id="rId585" display="https://tools.wmflabs.org/os/coor_g/?pagename=List_of_power_stations_in_Scotland&amp;params=NH308619_region%3AGB_scale%3A25000" xr:uid="{00000000-0004-0000-0000-000048020000}"/>
    <hyperlink ref="C448" r:id="rId586" location="cite_note-Affric-12" display="https://en.wikipedia.org/wiki/List_of_power_stations_in_Scotland - cite_note-Affric-12" xr:uid="{00000000-0004-0000-0000-000049020000}"/>
    <hyperlink ref="B448" r:id="rId587" tooltip="Scottish and Southern Energy" display="https://en.wikipedia.org/wiki/Scottish_and_Southern_Energy" xr:uid="{00000000-0004-0000-0000-00004A020000}"/>
    <hyperlink ref="D448" r:id="rId588" tooltip="Affric-Beauly hydro-electric power scheme" display="https://en.wikipedia.org/wiki/Affric-Beauly_hydro-electric_power_scheme" xr:uid="{00000000-0004-0000-0000-00004B020000}"/>
    <hyperlink ref="E448" r:id="rId589" display="https://tools.wmflabs.org/os/coor_g/?pagename=List_of_power_stations_in_Scotland&amp;params=NH474436_region%3AGB_scale%3A25000" xr:uid="{00000000-0004-0000-0000-00004C020000}"/>
    <hyperlink ref="C506" r:id="rId590" location="cite_note-13" display="https://en.wikipedia.org/wiki/List_of_power_stations_in_Scotland - cite_note-13" xr:uid="{00000000-0004-0000-0000-00004D020000}"/>
    <hyperlink ref="E506" r:id="rId591" display="https://tools.wmflabs.org/os/coor_g/?pagename=List_of_power_stations_in_Scotland&amp;params=NN331209_region%3AGB_scale%3A25000" xr:uid="{00000000-0004-0000-0000-00004E020000}"/>
    <hyperlink ref="C477" r:id="rId592" location="cite_note-Sloy-14" display="https://en.wikipedia.org/wiki/List_of_power_stations_in_Scotland - cite_note-Sloy-14" xr:uid="{00000000-0004-0000-0000-00004F020000}"/>
    <hyperlink ref="B477" r:id="rId593" tooltip="Scottish and Southern Energy" display="https://en.wikipedia.org/wiki/Scottish_and_Southern_Energy" xr:uid="{00000000-0004-0000-0000-000050020000}"/>
    <hyperlink ref="D477" r:id="rId594" tooltip="Loch Sloy Hydro-Electric Scheme" display="https://en.wikipedia.org/wiki/Loch_Sloy_Hydro-Electric_Scheme" xr:uid="{00000000-0004-0000-0000-000051020000}"/>
    <hyperlink ref="E477" r:id="rId595" display="https://tools.wmflabs.org/os/coor_g/?pagename=List_of_power_stations_in_Scotland&amp;params=NN231136_region%3AGB_scale%3A25000" xr:uid="{00000000-0004-0000-0000-000052020000}"/>
    <hyperlink ref="C522" r:id="rId596" location="cite_note-15" display="https://en.wikipedia.org/wiki/List_of_power_stations_in_Scotland - cite_note-15" xr:uid="{00000000-0004-0000-0000-000053020000}"/>
    <hyperlink ref="B522" r:id="rId597" tooltip="RWE npower Renewables" display="https://en.wikipedia.org/wiki/RWE_npower_Renewables" xr:uid="{00000000-0004-0000-0000-000054020000}"/>
    <hyperlink ref="E522" r:id="rId598" display="https://tools.wmflabs.org/os/coor_g/?pagename=List_of_power_stations_in_Scotland&amp;params=NN353290_region%3AGB_scale%3A25000" xr:uid="{00000000-0004-0000-0000-000055020000}"/>
    <hyperlink ref="C524" r:id="rId599" location="cite_note-16" display="https://en.wikipedia.org/wiki/List_of_power_stations_in_Scotland - cite_note-16" xr:uid="{00000000-0004-0000-0000-000056020000}"/>
    <hyperlink ref="B524" r:id="rId600" tooltip="RWE npower Renewables" display="https://en.wikipedia.org/wiki/RWE_npower_Renewables" xr:uid="{00000000-0004-0000-0000-000057020000}"/>
    <hyperlink ref="E524" r:id="rId601" display="https://tools.wmflabs.org/os/coor_g/?pagename=List_of_power_stations_in_Scotland&amp;params=NS695583_region%3AGB_scale%3A25000" xr:uid="{00000000-0004-0000-0000-000058020000}"/>
    <hyperlink ref="C469" r:id="rId602" location="cite_note-Clyde-17" display="https://en.wikipedia.org/wiki/List_of_power_stations_in_Scotland - cite_note-Clyde-17" xr:uid="{00000000-0004-0000-0000-000059020000}"/>
    <hyperlink ref="B469" r:id="rId603" tooltip="Scottish Power" display="https://en.wikipedia.org/wiki/Scottish_Power" xr:uid="{00000000-0004-0000-0000-00005A020000}"/>
    <hyperlink ref="D469" r:id="rId604" tooltip="Lanark Hydro Electric Scheme" display="https://en.wikipedia.org/wiki/Lanark_Hydro_Electric_Scheme" xr:uid="{00000000-0004-0000-0000-00005B020000}"/>
    <hyperlink ref="E469" r:id="rId605" display="https://tools.wmflabs.org/os/coor_g/?pagename=List_of_power_stations_in_Scotland&amp;params=NS884416_region%3AGB_scale%3A25000" xr:uid="{00000000-0004-0000-0000-00005C020000}"/>
    <hyperlink ref="C502" r:id="rId606" location="cite_note-18" display="https://en.wikipedia.org/wiki/List_of_power_stations_in_Scotland - cite_note-18" xr:uid="{00000000-0004-0000-0000-00005D020000}"/>
    <hyperlink ref="B502" r:id="rId607" tooltip="RWE npower Renewables" display="https://en.wikipedia.org/wiki/RWE_npower_Renewables" xr:uid="{00000000-0004-0000-0000-00005E020000}"/>
    <hyperlink ref="E502" r:id="rId608" display="https://tools.wmflabs.org/os/coor_g/?pagename=List_of_power_stations_in_Scotland&amp;params=NM958073_region%3AGB_scale%3A25000" xr:uid="{00000000-0004-0000-0000-00005F020000}"/>
    <hyperlink ref="C510" r:id="rId609" location="cite_note-19" display="https://en.wikipedia.org/wiki/List_of_power_stations_in_Scotland - cite_note-19" xr:uid="{00000000-0004-0000-0000-000060020000}"/>
    <hyperlink ref="B510" r:id="rId610" tooltip="RWE npower Renewables" display="https://en.wikipedia.org/wiki/RWE_npower_Renewables" xr:uid="{00000000-0004-0000-0000-000061020000}"/>
    <hyperlink ref="E510" r:id="rId611" display="https://tools.wmflabs.org/os/coor_g/?pagename=List_of_power_stations_in_Scotland&amp;params=NM847606_region%3AGB_scale%3A25000" xr:uid="{00000000-0004-0000-0000-000062020000}"/>
    <hyperlink ref="C468" r:id="rId612" location="cite_note-DTI2005-20" display="https://en.wikipedia.org/wiki/List_of_power_stations_in_Scotland - cite_note-DTI2005-20" xr:uid="{00000000-0004-0000-0000-000063020000}"/>
    <hyperlink ref="B468" r:id="rId613" tooltip="Scottish Power" display="https://en.wikipedia.org/wiki/Scottish_Power" xr:uid="{00000000-0004-0000-0000-000064020000}"/>
    <hyperlink ref="D468" r:id="rId614" tooltip="Galloway hydro-electric power scheme" display="https://en.wikipedia.org/wiki/Galloway_hydro-electric_power_scheme" xr:uid="{00000000-0004-0000-0000-000065020000}"/>
    <hyperlink ref="E468" r:id="rId615" display="https://tools.wmflabs.org/os/coor_g/?pagename=List_of_power_stations_in_Scotland&amp;params=NX604854_region%3AGB_scale%3A25000" xr:uid="{00000000-0004-0000-0000-000066020000}"/>
    <hyperlink ref="C470" r:id="rId616" location="cite_note-Breadalbane-21" display="https://en.wikipedia.org/wiki/List_of_power_stations_in_Scotland - cite_note-Breadalbane-21" xr:uid="{00000000-0004-0000-0000-000067020000}"/>
    <hyperlink ref="B470" r:id="rId617" tooltip="Scottish and Southern Energy" display="https://en.wikipedia.org/wiki/Scottish_and_Southern_Energy" xr:uid="{00000000-0004-0000-0000-000068020000}"/>
    <hyperlink ref="D470" r:id="rId618" tooltip="Breadalbane hydro-electric power scheme" display="https://en.wikipedia.org/wiki/Breadalbane_hydro-electric_power_scheme" xr:uid="{00000000-0004-0000-0000-000069020000}"/>
    <hyperlink ref="E470" r:id="rId619" display="https://tools.wmflabs.org/os/coor_g/?pagename=List_of_power_stations_in_Scotland&amp;params=NN507419_region%3AGB_scale%3A25000" xr:uid="{00000000-0004-0000-0000-00006A020000}"/>
    <hyperlink ref="C473" r:id="rId620" location="cite_note-Shin-22" display="https://en.wikipedia.org/wiki/List_of_power_stations_in_Scotland - cite_note-Shin-22" xr:uid="{00000000-0004-0000-0000-00006B020000}"/>
    <hyperlink ref="B473" r:id="rId621" tooltip="Scottish and Southern Energy" display="https://en.wikipedia.org/wiki/Scottish_and_Southern_Energy" xr:uid="{00000000-0004-0000-0000-00006C020000}"/>
    <hyperlink ref="E473" r:id="rId622" display="https://tools.wmflabs.org/os/coor_g/?pagename=List_of_power_stations_in_Scotland&amp;params=NC396232_region%3AGB_scale%3A25000" xr:uid="{00000000-0004-0000-0000-00006D020000}"/>
    <hyperlink ref="C449" r:id="rId623" location="cite_note-GreatGlen-23" display="https://en.wikipedia.org/wiki/List_of_power_stations_in_Scotland - cite_note-GreatGlen-23" xr:uid="{00000000-0004-0000-0000-00006E020000}"/>
    <hyperlink ref="B449" r:id="rId624" tooltip="Scottish and Southern Energy" display="https://en.wikipedia.org/wiki/Scottish_and_Southern_Energy" xr:uid="{00000000-0004-0000-0000-00006F020000}"/>
    <hyperlink ref="E449" r:id="rId625" display="https://tools.wmflabs.org/os/coor_g/?pagename=List_of_power_stations_in_Scotland&amp;params=NH223108_region%3AGB_scale%3A25000" xr:uid="{00000000-0004-0000-0000-000070020000}"/>
    <hyperlink ref="C514" r:id="rId626" location="cite_note-24" display="https://en.wikipedia.org/wiki/List_of_power_stations_in_Scotland - cite_note-24" xr:uid="{00000000-0004-0000-0000-000071020000}"/>
    <hyperlink ref="B514" r:id="rId627" tooltip="Scottish and Southern Energy" display="https://en.wikipedia.org/wiki/Scottish_and_Southern_Energy" xr:uid="{00000000-0004-0000-0000-000072020000}"/>
    <hyperlink ref="E514" r:id="rId628" display="https://tools.wmflabs.org/os/coor_g/?pagename=List_of_power_stations_in_Scotland&amp;params=NB059091_region%3AGB_scale%3A25000" xr:uid="{00000000-0004-0000-0000-000073020000}"/>
    <hyperlink ref="C435" r:id="rId629" location="cite_note-Sloy-14" display="https://en.wikipedia.org/wiki/List_of_power_stations_in_Scotland - cite_note-Sloy-14" xr:uid="{00000000-0004-0000-0000-000074020000}"/>
    <hyperlink ref="B435" r:id="rId630" tooltip="Scottish and Southern Energy" display="https://en.wikipedia.org/wiki/Scottish_and_Southern_Energy" xr:uid="{00000000-0004-0000-0000-000075020000}"/>
    <hyperlink ref="D435" r:id="rId631" tooltip="Loch Sloy Hydro-Electric Scheme" display="https://en.wikipedia.org/wiki/Loch_Sloy_Hydro-Electric_Scheme" xr:uid="{00000000-0004-0000-0000-000076020000}"/>
    <hyperlink ref="E435" r:id="rId632" display="https://tools.wmflabs.org/os/coor_g/?pagename=List_of_power_stations_in_Scotland&amp;params=NN191133_region%3AGB_scale%3A25000" xr:uid="{00000000-0004-0000-0000-000077020000}"/>
    <hyperlink ref="C431" r:id="rId633" location="cite_note-Tummel-25" display="https://en.wikipedia.org/wiki/List_of_power_stations_in_Scotland - cite_note-Tummel-25" xr:uid="{00000000-0004-0000-0000-000078020000}"/>
    <hyperlink ref="B431" r:id="rId634" tooltip="Scottish and Southern Energy" display="https://en.wikipedia.org/wiki/Scottish_and_Southern_Energy" xr:uid="{00000000-0004-0000-0000-000079020000}"/>
    <hyperlink ref="D431" r:id="rId635" tooltip="Tummel hydro-electric power scheme" display="https://en.wikipedia.org/wiki/Tummel_hydro-electric_power_scheme" xr:uid="{00000000-0004-0000-0000-00007A020000}"/>
    <hyperlink ref="E431" r:id="rId636" display="https://tools.wmflabs.org/os/coor_g/?pagename=List_of_power_stations_in_Scotland&amp;params=NN912597_region%3AGB_scale%3A25000" xr:uid="{00000000-0004-0000-0000-00007B020000}"/>
    <hyperlink ref="C496" r:id="rId637" location="cite_note-Tummel-25" display="https://en.wikipedia.org/wiki/List_of_power_stations_in_Scotland - cite_note-Tummel-25" xr:uid="{00000000-0004-0000-0000-00007C020000}"/>
    <hyperlink ref="B496" r:id="rId638" tooltip="Scottish and Southern Energy" display="https://en.wikipedia.org/wiki/Scottish_and_Southern_Energy" xr:uid="{00000000-0004-0000-0000-00007D020000}"/>
    <hyperlink ref="D496" r:id="rId639" tooltip="Tummel hydro-electric power scheme" display="https://en.wikipedia.org/wiki/Tummel_hydro-electric_power_scheme" xr:uid="{00000000-0004-0000-0000-00007E020000}"/>
    <hyperlink ref="E496" r:id="rId640" display="https://tools.wmflabs.org/os/coor_g/?pagename=List_of_power_stations_in_Scotland&amp;params=NN674876_region%3AGB_scale%3A25000" xr:uid="{00000000-0004-0000-0000-00007F020000}"/>
    <hyperlink ref="C488" r:id="rId641" location="cite_note-DTI2005-20" display="https://en.wikipedia.org/wiki/List_of_power_stations_in_Scotland - cite_note-DTI2005-20" xr:uid="{00000000-0004-0000-0000-000080020000}"/>
    <hyperlink ref="B488" r:id="rId642" tooltip="Scottish and Southern Energy" display="https://en.wikipedia.org/wiki/Scottish_and_Southern_Energy" xr:uid="{00000000-0004-0000-0000-000081020000}"/>
    <hyperlink ref="E488" r:id="rId643" display="https://tools.wmflabs.org/os/coor_g/?pagename=List_of_power_stations_in_Scotland&amp;params=NH179767_region%3AGB_scale%3A25000" xr:uid="{00000000-0004-0000-0000-000082020000}"/>
    <hyperlink ref="C452" r:id="rId644" location="cite_note-Affric-12" display="https://en.wikipedia.org/wiki/List_of_power_stations_in_Scotland - cite_note-Affric-12" xr:uid="{00000000-0004-0000-0000-000083020000}"/>
    <hyperlink ref="B452" r:id="rId645" tooltip="Scottish and Southern Energy" display="https://en.wikipedia.org/wiki/Scottish_and_Southern_Energy" xr:uid="{00000000-0004-0000-0000-000084020000}"/>
    <hyperlink ref="D452" r:id="rId646" tooltip="Affric-Beauly hydro-electric power scheme" display="https://en.wikipedia.org/wiki/Affric-Beauly_hydro-electric_power_scheme" xr:uid="{00000000-0004-0000-0000-000085020000}"/>
    <hyperlink ref="E452" r:id="rId647" display="https://tools.wmflabs.org/os/coor_g/?pagename=List_of_power_stations_in_Scotland&amp;params=NH377404_region%3AGB_scale%3A25000" xr:uid="{00000000-0004-0000-0000-000086020000}"/>
    <hyperlink ref="C484" r:id="rId648" location="cite_note-Breadalbane-21" display="https://en.wikipedia.org/wiki/List_of_power_stations_in_Scotland - cite_note-Breadalbane-21" xr:uid="{00000000-0004-0000-0000-000087020000}"/>
    <hyperlink ref="B484" r:id="rId649" tooltip="Scottish and Southern Energy" display="https://en.wikipedia.org/wiki/Scottish_and_Southern_Energy" xr:uid="{00000000-0004-0000-0000-000088020000}"/>
    <hyperlink ref="D484" r:id="rId650" tooltip="Breadalbane hydro-electric power scheme" display="https://en.wikipedia.org/wiki/Breadalbane_hydro-electric_power_scheme" xr:uid="{00000000-0004-0000-0000-000089020000}"/>
    <hyperlink ref="E484" r:id="rId651" display="https://tools.wmflabs.org/os/coor_g/?pagename=List_of_power_stations_in_Scotland&amp;params=NN740219_region%3AGB_scale%3A25000" xr:uid="{00000000-0004-0000-0000-00008A020000}"/>
    <hyperlink ref="C436" r:id="rId652" location="cite_note-Affric-12" display="https://en.wikipedia.org/wiki/List_of_power_stations_in_Scotland - cite_note-Affric-12" xr:uid="{00000000-0004-0000-0000-00008B020000}"/>
    <hyperlink ref="B436" r:id="rId653" tooltip="Scottish and Southern Energy" display="https://en.wikipedia.org/wiki/Scottish_and_Southern_Energy" xr:uid="{00000000-0004-0000-0000-00008C020000}"/>
    <hyperlink ref="D436" r:id="rId654" tooltip="Affric-Beauly hydro-electric power scheme" display="https://en.wikipedia.org/wiki/Affric-Beauly_hydro-electric_power_scheme" xr:uid="{00000000-0004-0000-0000-00008D020000}"/>
    <hyperlink ref="E436" r:id="rId655" display="https://tools.wmflabs.org/os/coor_g/?pagename=List_of_power_stations_in_Scotland&amp;params=NH291387_region%3AGB_scale%3A25000" xr:uid="{00000000-0004-0000-0000-00008E020000}"/>
    <hyperlink ref="C493" r:id="rId656" location="cite_note-26" display="https://en.wikipedia.org/wiki/List_of_power_stations_in_Scotland - cite_note-26" xr:uid="{00000000-0004-0000-0000-00008F020000}"/>
    <hyperlink ref="B493" r:id="rId657" tooltip="RWE npower Renewables" display="https://en.wikipedia.org/wiki/RWE_npower_Renewables" xr:uid="{00000000-0004-0000-0000-000090020000}"/>
    <hyperlink ref="E493" r:id="rId658" display="https://tools.wmflabs.org/os/coor_g/?pagename=List_of_power_stations_in_Scotland&amp;params=NN054054_region%3AGB_scale%3A25000" xr:uid="{00000000-0004-0000-0000-000091020000}"/>
    <hyperlink ref="C507" r:id="rId659" location="cite_note-DTI2005-20" display="https://en.wikipedia.org/wiki/List_of_power_stations_in_Scotland - cite_note-DTI2005-20" xr:uid="{00000000-0004-0000-0000-000092020000}"/>
    <hyperlink ref="B507" r:id="rId660" tooltip="Scottish Power" display="https://en.wikipedia.org/wiki/Scottish_Power" xr:uid="{00000000-0004-0000-0000-000093020000}"/>
    <hyperlink ref="D507" r:id="rId661" tooltip="Galloway hydro-electric power scheme" display="https://en.wikipedia.org/wiki/Galloway_hydro-electric_power_scheme" xr:uid="{00000000-0004-0000-0000-000094020000}"/>
    <hyperlink ref="E507" r:id="rId662" display="https://tools.wmflabs.org/os/coor_g/?pagename=List_of_power_stations_in_Scotland&amp;params=NX521973_region%3AGB_scale%3A25000" xr:uid="{00000000-0004-0000-0000-000095020000}"/>
    <hyperlink ref="C466" r:id="rId663" location="cite_note-DTI2005-20" display="https://en.wikipedia.org/wiki/List_of_power_stations_in_Scotland - cite_note-DTI2005-20" xr:uid="{00000000-0004-0000-0000-000096020000}"/>
    <hyperlink ref="B466" r:id="rId664" tooltip="Scottish Power" display="https://en.wikipedia.org/wiki/Scottish_Power" xr:uid="{00000000-0004-0000-0000-000097020000}"/>
    <hyperlink ref="D466" r:id="rId665" tooltip="Galloway hydro-electric power scheme" display="https://en.wikipedia.org/wiki/Galloway_hydro-electric_power_scheme" xr:uid="{00000000-0004-0000-0000-000098020000}"/>
    <hyperlink ref="E466" r:id="rId666" display="https://tools.wmflabs.org/os/coor_g/?pagename=List_of_power_stations_in_Scotland&amp;params=NX614818_region%3AGB_scale%3A25000" xr:uid="{00000000-0004-0000-0000-000099020000}"/>
    <hyperlink ref="C428" r:id="rId667" location="cite_note-Tummel-25" display="https://en.wikipedia.org/wiki/List_of_power_stations_in_Scotland - cite_note-Tummel-25" xr:uid="{00000000-0004-0000-0000-00009A020000}"/>
    <hyperlink ref="B428" r:id="rId668" tooltip="Scottish and Southern Energy" display="https://en.wikipedia.org/wiki/Scottish_and_Southern_Energy" xr:uid="{00000000-0004-0000-0000-00009B020000}"/>
    <hyperlink ref="D428" r:id="rId669" tooltip="Tummel hydro-electric power scheme" display="https://en.wikipedia.org/wiki/Tummel_hydro-electric_power_scheme" xr:uid="{00000000-0004-0000-0000-00009C020000}"/>
    <hyperlink ref="E428" r:id="rId670" display="https://tools.wmflabs.org/os/coor_g/?pagename=List_of_power_stations_in_Scotland&amp;params=NN772593_region%3AGB_scale%3A25000" xr:uid="{00000000-0004-0000-0000-00009D020000}"/>
    <hyperlink ref="C429" r:id="rId671" location="cite_note-Affric-12" display="https://en.wikipedia.org/wiki/List_of_power_stations_in_Scotland - cite_note-Affric-12" xr:uid="{00000000-0004-0000-0000-00009E020000}"/>
    <hyperlink ref="B429" r:id="rId672" tooltip="Scottish and Southern Energy" display="https://en.wikipedia.org/wiki/Scottish_and_Southern_Energy" xr:uid="{00000000-0004-0000-0000-00009F020000}"/>
    <hyperlink ref="D429" r:id="rId673" tooltip="Affric-Beauly hydro-electric power scheme" display="https://en.wikipedia.org/wiki/Affric-Beauly_hydro-electric_power_scheme" xr:uid="{00000000-0004-0000-0000-0000A0020000}"/>
    <hyperlink ref="E429" r:id="rId674" display="https://tools.wmflabs.org/os/coor_g/?pagename=List_of_power_stations_in_Scotland&amp;params=NH318295_region%3AGB_scale%3A25000" xr:uid="{00000000-0004-0000-0000-0000A1020000}"/>
    <hyperlink ref="C460" r:id="rId675" location="cite_note-Breadalbane-21" display="https://en.wikipedia.org/wiki/List_of_power_stations_in_Scotland - cite_note-Breadalbane-21" xr:uid="{00000000-0004-0000-0000-0000A2020000}"/>
    <hyperlink ref="B460" r:id="rId676" tooltip="Scottish and Southern Energy" display="https://en.wikipedia.org/wiki/Scottish_and_Southern_Energy" xr:uid="{00000000-0004-0000-0000-0000A3020000}"/>
    <hyperlink ref="D460" r:id="rId677" tooltip="Breadalbane hydro-electric power scheme" display="https://en.wikipedia.org/wiki/Breadalbane_hydro-electric_power_scheme" xr:uid="{00000000-0004-0000-0000-0000A4020000}"/>
    <hyperlink ref="E460" r:id="rId678" display="https://tools.wmflabs.org/os/coor_g/?pagename=List_of_power_stations_in_Scotland&amp;params=NN585345_region%3AGB_scale%3A25000" xr:uid="{00000000-0004-0000-0000-0000A5020000}"/>
    <hyperlink ref="B425" r:id="rId679" tooltip="British Aluminium Company" display="https://en.wikipedia.org/wiki/British_Aluminium_Company" xr:uid="{00000000-0004-0000-0000-0000A6020000}"/>
    <hyperlink ref="E425" r:id="rId680" display="https://tools.wmflabs.org/os/coor_g/?pagename=List_of_power_stations_in_Scotland&amp;params=NH503217_region%3AGB_scale%3A25000" xr:uid="{00000000-0004-0000-0000-0000A7020000}"/>
    <hyperlink ref="C479" r:id="rId681" location="cite_note-28" display="https://en.wikipedia.org/wiki/List_of_power_stations_in_Scotland - cite_note-28" xr:uid="{00000000-0004-0000-0000-0000A8020000}"/>
    <hyperlink ref="B479" r:id="rId682" tooltip="Scottish and Southern Energy" display="https://en.wikipedia.org/wiki/Scottish_and_Southern_Energy" xr:uid="{00000000-0004-0000-0000-0000A9020000}"/>
    <hyperlink ref="D479" r:id="rId683" tooltip="Falls of Foyers" display="https://en.wikipedia.org/wiki/Falls_of_Foyers" xr:uid="{00000000-0004-0000-0000-0000AA020000}"/>
    <hyperlink ref="E479" r:id="rId684" display="https://tools.wmflabs.org/os/coor_g/?pagename=List_of_power_stations_in_Scotland&amp;params=NH503217_region%3AGB_scale%3A25000" xr:uid="{00000000-0004-0000-0000-0000AB020000}"/>
    <hyperlink ref="C498" r:id="rId685" location="cite_note-29" display="https://en.wikipedia.org/wiki/List_of_power_stations_in_Scotland - cite_note-29" xr:uid="{00000000-0004-0000-0000-0000AC020000}"/>
    <hyperlink ref="B498" r:id="rId686" tooltip="RWE npower Renewables" display="https://en.wikipedia.org/wiki/RWE_npower_Renewables" xr:uid="{00000000-0004-0000-0000-0000AD020000}"/>
    <hyperlink ref="E498" r:id="rId687" display="https://tools.wmflabs.org/os/coor_g/?pagename=List_of_power_stations_in_Scotland&amp;params=NH500132_region%3AGB_scale%3A25000" xr:uid="{00000000-0004-0000-0000-0000AE020000}"/>
    <hyperlink ref="C521" r:id="rId688" location="cite_note-30" display="https://en.wikipedia.org/wiki/List_of_power_stations_in_Scotland - cite_note-30" xr:uid="{00000000-0004-0000-0000-0000AF020000}"/>
    <hyperlink ref="B521" r:id="rId689" tooltip="RWE npower Renewables" display="https://en.wikipedia.org/wiki/RWE_npower_Renewables" xr:uid="{00000000-0004-0000-0000-0000B0020000}"/>
    <hyperlink ref="E521" r:id="rId690" display="https://tools.wmflabs.org/os/coor_g/?pagename=List_of_power_stations_in_Scotland&amp;params=NH170004_region%3AGB_scale%3A25000" xr:uid="{00000000-0004-0000-0000-0000B1020000}"/>
    <hyperlink ref="C475" r:id="rId691" location="cite_note-Tummel-25" display="https://en.wikipedia.org/wiki/List_of_power_stations_in_Scotland - cite_note-Tummel-25" xr:uid="{00000000-0004-0000-0000-0000B2020000}"/>
    <hyperlink ref="B475" r:id="rId692" tooltip="Scottish and Southern Energy" display="https://en.wikipedia.org/wiki/Scottish_and_Southern_Energy" xr:uid="{00000000-0004-0000-0000-0000B3020000}"/>
    <hyperlink ref="D475" r:id="rId693" tooltip="Tummel hydro-electric power scheme" display="https://en.wikipedia.org/wiki/Tummel_hydro-electric_power_scheme" xr:uid="{00000000-0004-0000-0000-0000B4020000}"/>
    <hyperlink ref="E475" r:id="rId694" display="https://tools.wmflabs.org/os/coor_g/?pagename=List_of_power_stations_in_Scotland&amp;params=NN464569_region%3AGB_scale%3A25000" xr:uid="{00000000-0004-0000-0000-0000B5020000}"/>
    <hyperlink ref="B523" r:id="rId695" tooltip="Scottish and Southern Energy" display="https://en.wikipedia.org/wiki/Scottish_and_Southern_Energy" xr:uid="{00000000-0004-0000-0000-0000B6020000}"/>
    <hyperlink ref="E523" r:id="rId696" display="https://tools.wmflabs.org/os/coor_g/?pagename=List_of_power_stations_in_Scotland&amp;params=NB128257_region%3AGB_scale%3A25000" xr:uid="{00000000-0004-0000-0000-0000B7020000}"/>
    <hyperlink ref="C519" r:id="rId697" location="cite_note-33" display="https://en.wikipedia.org/wiki/List_of_power_stations_in_Scotland - cite_note-33" xr:uid="{00000000-0004-0000-0000-0000B8020000}"/>
    <hyperlink ref="B519" r:id="rId698" tooltip="RWE npower Renewables" display="https://en.wikipedia.org/wiki/RWE_npower_Renewables" xr:uid="{00000000-0004-0000-0000-0000B9020000}"/>
    <hyperlink ref="E519" r:id="rId699" display="https://tools.wmflabs.org/os/coor_g/?pagename=List_of_power_stations_in_Scotland&amp;params=NM865605_region%3AGB_scale%3A25000" xr:uid="{00000000-0004-0000-0000-0000BA020000}"/>
    <hyperlink ref="B427" r:id="rId700" tooltip="Scottish and Southern Energy" display="https://en.wikipedia.org/wiki/Scottish_and_Southern_Energy" xr:uid="{00000000-0004-0000-0000-0000BB020000}"/>
    <hyperlink ref="D427" r:id="rId701" tooltip="Glendoe Hydro Scheme" display="https://en.wikipedia.org/wiki/Glendoe_Hydro_Scheme" xr:uid="{00000000-0004-0000-0000-0000BC020000}"/>
    <hyperlink ref="E427" r:id="rId702" display="https://tools.wmflabs.org/os/coor_g/?pagename=List_of_power_stations_in_Scotland&amp;params=NH451031_region%3AGB_scale%3A25000" xr:uid="{00000000-0004-0000-0000-0000BD020000}"/>
    <hyperlink ref="C446" r:id="rId703" location="cite_note-DTI2005-20" display="https://en.wikipedia.org/wiki/List_of_power_stations_in_Scotland - cite_note-DTI2005-20" xr:uid="{00000000-0004-0000-0000-0000BE020000}"/>
    <hyperlink ref="B446" r:id="rId704" tooltip="Scottish Power" display="https://en.wikipedia.org/wiki/Scottish_Power" xr:uid="{00000000-0004-0000-0000-0000BF020000}"/>
    <hyperlink ref="D446" r:id="rId705" tooltip="Galloway hydro-electric power scheme" display="https://en.wikipedia.org/wiki/Galloway_hydro-electric_power_scheme" xr:uid="{00000000-0004-0000-0000-0000C0020000}"/>
    <hyperlink ref="E446" r:id="rId706" display="https://tools.wmflabs.org/os/coor_g/?pagename=List_of_power_stations_in_Scotland&amp;params=NX606805_region%3AGB_scale%3A25000" xr:uid="{00000000-0004-0000-0000-0000C1020000}"/>
    <hyperlink ref="C437" r:id="rId707" location="cite_note-GreatGlen-23" display="https://en.wikipedia.org/wiki/List_of_power_stations_in_Scotland - cite_note-GreatGlen-23" xr:uid="{00000000-0004-0000-0000-0000C2020000}"/>
    <hyperlink ref="B437" r:id="rId708" tooltip="Scottish and Southern Energy" display="https://en.wikipedia.org/wiki/Scottish_and_Southern_Energy" xr:uid="{00000000-0004-0000-0000-0000C3020000}"/>
    <hyperlink ref="E437" r:id="rId709" display="https://tools.wmflabs.org/os/coor_g/?pagename=List_of_power_stations_in_Scotland&amp;params=NH364156_region%3AGB_scale%3A25000" xr:uid="{00000000-0004-0000-0000-0000C4020000}"/>
    <hyperlink ref="C453" r:id="rId710" location="cite_note-Conon-11" display="https://en.wikipedia.org/wiki/List_of_power_stations_in_Scotland - cite_note-Conon-11" xr:uid="{00000000-0004-0000-0000-0000C5020000}"/>
    <hyperlink ref="B453" r:id="rId711" tooltip="Scottish and Southern Energy" display="https://en.wikipedia.org/wiki/Scottish_and_Southern_Energy" xr:uid="{00000000-0004-0000-0000-0000C6020000}"/>
    <hyperlink ref="E453" r:id="rId712" display="https://tools.wmflabs.org/os/coor_g/?pagename=List_of_power_stations_in_Scotland&amp;params=NH320623_region%3AGB_scale%3A25000" xr:uid="{00000000-0004-0000-0000-0000C7020000}"/>
    <hyperlink ref="C445" r:id="rId713" location="cite_note-Sloy-14" display="https://en.wikipedia.org/wiki/List_of_power_stations_in_Scotland - cite_note-Sloy-14" xr:uid="{00000000-0004-0000-0000-0000C8020000}"/>
    <hyperlink ref="B445" r:id="rId714" tooltip="Scottish and Southern Energy" display="https://en.wikipedia.org/wiki/Scottish_and_Southern_Energy" xr:uid="{00000000-0004-0000-0000-0000C9020000}"/>
    <hyperlink ref="D445" r:id="rId715" tooltip="Loch Sloy Hydro-Electric Scheme" display="https://en.wikipedia.org/wiki/Loch_Sloy_Hydro-Electric_Scheme" xr:uid="{00000000-0004-0000-0000-0000CA020000}"/>
    <hyperlink ref="E445" r:id="rId716" display="https://tools.wmflabs.org/os/coor_g/?pagename=List_of_power_stations_in_Scotland&amp;params=NN016321_region%3AGB_scale%3A25000" xr:uid="{00000000-0004-0000-0000-0000CB020000}"/>
    <hyperlink ref="C515" r:id="rId717" location="cite_note-34" display="https://en.wikipedia.org/wiki/List_of_power_stations_in_Scotland - cite_note-34" xr:uid="{00000000-0004-0000-0000-0000CC020000}"/>
    <hyperlink ref="B515" r:id="rId718" tooltip="RWE npower Renewables" display="https://en.wikipedia.org/wiki/RWE_npower_Renewables" xr:uid="{00000000-0004-0000-0000-0000CD020000}"/>
    <hyperlink ref="E515" r:id="rId719" display="https://tools.wmflabs.org/os/coor_g/?pagename=List_of_power_stations_in_Scotland&amp;params=NG786549_region%3AGB_scale%3A25000" xr:uid="{00000000-0004-0000-0000-0000CE020000}"/>
    <hyperlink ref="C450" r:id="rId720" location="cite_note-GreatGlen-23" display="https://en.wikipedia.org/wiki/List_of_power_stations_in_Scotland - cite_note-GreatGlen-23" xr:uid="{00000000-0004-0000-0000-0000CF020000}"/>
    <hyperlink ref="B450" r:id="rId721" tooltip="Scottish and Southern Energy" display="https://en.wikipedia.org/wiki/Scottish_and_Southern_Energy" xr:uid="{00000000-0004-0000-0000-0000D0020000}"/>
    <hyperlink ref="E450" r:id="rId722" display="https://tools.wmflabs.org/os/coor_g/?pagename=List_of_power_stations_in_Scotland&amp;params=NH319013_region%3AGB_scale%3A25000" xr:uid="{00000000-0004-0000-0000-0000D1020000}"/>
    <hyperlink ref="C497" r:id="rId723" location="cite_note-35" display="https://en.wikipedia.org/wiki/List_of_power_stations_in_Scotland - cite_note-35" xr:uid="{00000000-0004-0000-0000-0000D2020000}"/>
    <hyperlink ref="B497" r:id="rId724" tooltip="RWE npower Renewables" display="https://en.wikipedia.org/wiki/RWE_npower_Renewables" xr:uid="{00000000-0004-0000-0000-0000D3020000}"/>
    <hyperlink ref="E497" r:id="rId725" display="https://tools.wmflabs.org/os/coor_g/?pagename=List_of_power_stations_in_Scotland&amp;params=NH189854_region%3AGB_scale%3A25000" xr:uid="{00000000-0004-0000-0000-0000D4020000}"/>
    <hyperlink ref="C447" r:id="rId726" location="cite_note-DTI2005-20" display="https://en.wikipedia.org/wiki/List_of_power_stations_in_Scotland - cite_note-DTI2005-20" xr:uid="{00000000-0004-0000-0000-0000D5020000}"/>
    <hyperlink ref="B447" r:id="rId727" tooltip="Scottish Power" display="https://en.wikipedia.org/wiki/Scottish_Power" xr:uid="{00000000-0004-0000-0000-0000D6020000}"/>
    <hyperlink ref="D447" r:id="rId728" tooltip="Galloway hydro-electric power scheme" display="https://en.wikipedia.org/wiki/Galloway_hydro-electric_power_scheme" xr:uid="{00000000-0004-0000-0000-0000D7020000}"/>
    <hyperlink ref="E447" r:id="rId729" display="https://tools.wmflabs.org/os/coor_g/?pagename=List_of_power_stations_in_Scotland&amp;params=NX604876_region%3AGB_scale%3A25000" xr:uid="{00000000-0004-0000-0000-0000D8020000}"/>
    <hyperlink ref="C516" r:id="rId730" location="cite_note-36" display="https://en.wikipedia.org/wiki/List_of_power_stations_in_Scotland - cite_note-36" xr:uid="{00000000-0004-0000-0000-0000D9020000}"/>
    <hyperlink ref="B516" r:id="rId731" tooltip="Scottish and Southern Energy" display="https://en.wikipedia.org/wiki/Scottish_and_Southern_Energy" xr:uid="{00000000-0004-0000-0000-0000DA020000}"/>
    <hyperlink ref="E516" r:id="rId732" display="https://tools.wmflabs.org/os/coor_g/?pagename=List_of_power_stations_in_Scotland&amp;params=NG829719_region%3AGB_scale%3A25000" xr:uid="{00000000-0004-0000-0000-0000DB020000}"/>
    <hyperlink ref="C508" r:id="rId733" location="cite_note-Sloy-14" display="https://en.wikipedia.org/wiki/List_of_power_stations_in_Scotland - cite_note-Sloy-14" xr:uid="{00000000-0004-0000-0000-0000DC020000}"/>
    <hyperlink ref="B508" r:id="rId734" tooltip="Scottish and Southern Energy" display="https://en.wikipedia.org/wiki/Scottish_and_Southern_Energy" xr:uid="{00000000-0004-0000-0000-0000DD020000}"/>
    <hyperlink ref="E508" r:id="rId735" display="https://tools.wmflabs.org/os/coor_g/?pagename=List_of_power_stations_in_Scotland&amp;params=NM832141_region%3AGB_scale%3A25000" xr:uid="{00000000-0004-0000-0000-0000DE020000}"/>
    <hyperlink ref="C451" r:id="rId736" location="cite_note-Affric-12" display="https://en.wikipedia.org/wiki/List_of_power_stations_in_Scotland - cite_note-Affric-12" xr:uid="{00000000-0004-0000-0000-0000DF020000}"/>
    <hyperlink ref="B451" r:id="rId737" tooltip="Scottish and Southern Energy" display="https://en.wikipedia.org/wiki/Scottish_and_Southern_Energy" xr:uid="{00000000-0004-0000-0000-0000E0020000}"/>
    <hyperlink ref="D451" r:id="rId738" tooltip="Affric-Beauly hydro-electric power scheme" display="https://en.wikipedia.org/wiki/Affric-Beauly_hydro-electric_power_scheme" xr:uid="{00000000-0004-0000-0000-0000E1020000}"/>
    <hyperlink ref="E451" r:id="rId739" display="https://tools.wmflabs.org/os/coor_g/?pagename=List_of_power_stations_in_Scotland&amp;params=NH494442_region%3AGB_scale%3A25000" xr:uid="{00000000-0004-0000-0000-0000E2020000}"/>
    <hyperlink ref="C486" r:id="rId740" location="cite_note-37" display="https://en.wikipedia.org/wiki/List_of_power_stations_in_Scotland - cite_note-37" xr:uid="{00000000-0004-0000-0000-0000E3020000}"/>
    <hyperlink ref="B486" r:id="rId741" tooltip="Scottish and Southern Energy" display="https://en.wikipedia.org/wiki/Scottish_and_Southern_Energy" xr:uid="{00000000-0004-0000-0000-0000E4020000}"/>
    <hyperlink ref="E486" r:id="rId742" display="https://tools.wmflabs.org/os/coor_g/?pagename=List_of_power_stations_in_Scotland&amp;params=NM836532_region%3AGB_scale%3A25000" xr:uid="{00000000-0004-0000-0000-0000E5020000}"/>
    <hyperlink ref="C444" r:id="rId743" location="cite_note-38" display="https://en.wikipedia.org/wiki/List_of_power_stations_in_Scotland - cite_note-38" xr:uid="{00000000-0004-0000-0000-0000E6020000}"/>
    <hyperlink ref="B444" r:id="rId744" tooltip="Alcan" display="https://en.wikipedia.org/wiki/Alcan" xr:uid="{00000000-0004-0000-0000-0000E7020000}"/>
    <hyperlink ref="E444" r:id="rId745" display="https://tools.wmflabs.org/os/coor_g/?pagename=List_of_power_stations_in_Scotland&amp;params=NN191617_region%3AGB_scale%3A25000" xr:uid="{00000000-0004-0000-0000-0000E8020000}"/>
    <hyperlink ref="C487" r:id="rId746" location="cite_note-Shin-22" display="https://en.wikipedia.org/wiki/List_of_power_stations_in_Scotland - cite_note-Shin-22" xr:uid="{00000000-0004-0000-0000-0000E9020000}"/>
    <hyperlink ref="B487" r:id="rId747" tooltip="Scottish and Southern Energy" display="https://en.wikipedia.org/wiki/Scottish_and_Southern_Energy" xr:uid="{00000000-0004-0000-0000-0000EA020000}"/>
    <hyperlink ref="E487" r:id="rId748" display="https://tools.wmflabs.org/os/coor_g/?pagename=List_of_power_stations_in_Scotland&amp;params=NC575069_region%3AGB_scale%3A25000" xr:uid="{00000000-0004-0000-0000-0000EB020000}"/>
    <hyperlink ref="C494" r:id="rId749" location="cite_note-Breadalbane-21" display="https://en.wikipedia.org/wiki/List_of_power_stations_in_Scotland - cite_note-Breadalbane-21" xr:uid="{00000000-0004-0000-0000-0000EC020000}"/>
    <hyperlink ref="B494" r:id="rId750" tooltip="Scottish and Southern Energy" display="https://en.wikipedia.org/wiki/Scottish_and_Southern_Energy" xr:uid="{00000000-0004-0000-0000-0000ED020000}"/>
    <hyperlink ref="D494" r:id="rId751" tooltip="Breadalbane hydro-electric power scheme" display="https://en.wikipedia.org/wiki/Breadalbane_hydro-electric_power_scheme" xr:uid="{00000000-0004-0000-0000-0000EE020000}"/>
    <hyperlink ref="E494" r:id="rId752" display="https://tools.wmflabs.org/os/coor_g/?pagename=List_of_power_stations_in_Scotland&amp;params=NN698303_region%3AGB_scale%3A25000" xr:uid="{00000000-0004-0000-0000-0000EF020000}"/>
    <hyperlink ref="C462" r:id="rId753" location="cite_note-GreatGlen-23" display="https://en.wikipedia.org/wiki/List_of_power_stations_in_Scotland - cite_note-GreatGlen-23" xr:uid="{00000000-0004-0000-0000-0000F0020000}"/>
    <hyperlink ref="B462" r:id="rId754" tooltip="Scottish and Southern Energy" display="https://en.wikipedia.org/wiki/Scottish_and_Southern_Energy" xr:uid="{00000000-0004-0000-0000-0000F1020000}"/>
    <hyperlink ref="E462" r:id="rId755" display="https://tools.wmflabs.org/os/coor_g/?pagename=List_of_power_stations_in_Scotland&amp;params=NH353159_region%3AGB_scale%3A25000" xr:uid="{00000000-0004-0000-0000-0000F2020000}"/>
    <hyperlink ref="C511" r:id="rId756" location="cite_note-39" display="https://en.wikipedia.org/wiki/List_of_power_stations_in_Scotland - cite_note-39" xr:uid="{00000000-0004-0000-0000-0000F3020000}"/>
    <hyperlink ref="B511" r:id="rId757" tooltip="Alcan" display="https://en.wikipedia.org/wiki/Alcan" xr:uid="{00000000-0004-0000-0000-0000F4020000}"/>
    <hyperlink ref="E511" r:id="rId758" display="https://tools.wmflabs.org/os/coor_g/?pagename=List_of_power_stations_in_Scotland&amp;params=NC149012_region%3AGB_scale%3A25000" xr:uid="{00000000-0004-0000-0000-0000F5020000}"/>
    <hyperlink ref="C503" r:id="rId759" location="cite_note-Tummel-25" display="https://en.wikipedia.org/wiki/List_of_power_stations_in_Scotland - cite_note-Tummel-25" xr:uid="{00000000-0004-0000-0000-0000F6020000}"/>
    <hyperlink ref="B503" r:id="rId760" tooltip="Scottish and Southern Energy" display="https://en.wikipedia.org/wiki/Scottish_and_Southern_Energy" xr:uid="{00000000-0004-0000-0000-0000F7020000}"/>
    <hyperlink ref="D503" r:id="rId761" tooltip="Tummel hydro-electric power scheme" display="https://en.wikipedia.org/wiki/Tummel_hydro-electric_power_scheme" xr:uid="{00000000-0004-0000-0000-0000F8020000}"/>
    <hyperlink ref="E503" r:id="rId762" display="https://tools.wmflabs.org/os/coor_g/?pagename=List_of_power_stations_in_Scotland&amp;params=NN553727_region%3AGB_scale%3A25000" xr:uid="{00000000-0004-0000-0000-0000F9020000}"/>
    <hyperlink ref="C478" r:id="rId763" location="cite_note-Sloy-14" display="https://en.wikipedia.org/wiki/List_of_power_stations_in_Scotland - cite_note-Sloy-14" xr:uid="{00000000-0004-0000-0000-0000FA020000}"/>
    <hyperlink ref="B478" r:id="rId764" tooltip="Scottish and Southern Energy" display="https://en.wikipedia.org/wiki/Scottish_and_Southern_Energy" xr:uid="{00000000-0004-0000-0000-0000FB020000}"/>
    <hyperlink ref="D478" r:id="rId765" tooltip="Loch Sloy Hydro-Electric Scheme" display="https://en.wikipedia.org/wiki/Loch_Sloy_Hydro-Electric_Scheme" xr:uid="{00000000-0004-0000-0000-0000FC020000}"/>
    <hyperlink ref="E478" r:id="rId766" display="https://tools.wmflabs.org/os/coor_g/?pagename=List_of_power_stations_in_Scotland&amp;params=NR924908_region%3AGB_scale%3A25000" xr:uid="{00000000-0004-0000-0000-0000FD020000}"/>
    <hyperlink ref="C430" r:id="rId767" location="cite_note-40" display="https://en.wikipedia.org/wiki/List_of_power_stations_in_Scotland - cite_note-40" xr:uid="{00000000-0004-0000-0000-0000FE020000}"/>
    <hyperlink ref="B430" r:id="rId768" tooltip="Rio Tinto Alcan" display="https://en.wikipedia.org/wiki/Rio_Tinto_Alcan" xr:uid="{00000000-0004-0000-0000-0000FF020000}"/>
    <hyperlink ref="D430" r:id="rId769" tooltip="Lochaber hydroelectric scheme" display="https://en.wikipedia.org/wiki/Lochaber_hydroelectric_scheme" xr:uid="{00000000-0004-0000-0000-000000030000}"/>
    <hyperlink ref="E430" r:id="rId770" display="https://tools.wmflabs.org/os/coor_g/?pagename=List_of_power_stations_in_Scotland&amp;params=NN127751_region%3AGB_scale%3A25000" xr:uid="{00000000-0004-0000-0000-000001030000}"/>
    <hyperlink ref="C433" r:id="rId771" location="cite_note-Breadalbane-21" display="https://en.wikipedia.org/wiki/List_of_power_stations_in_Scotland - cite_note-Breadalbane-21" xr:uid="{00000000-0004-0000-0000-000002030000}"/>
    <hyperlink ref="B433" r:id="rId772" tooltip="Scottish and Southern Energy" display="https://en.wikipedia.org/wiki/Scottish_and_Southern_Energy" xr:uid="{00000000-0004-0000-0000-000003030000}"/>
    <hyperlink ref="D433" r:id="rId773" tooltip="Breadalbane hydro-electric power scheme" display="https://en.wikipedia.org/wiki/Breadalbane_hydro-electric_power_scheme" xr:uid="{00000000-0004-0000-0000-000004030000}"/>
    <hyperlink ref="E433" r:id="rId774" display="https://tools.wmflabs.org/os/coor_g/?pagename=List_of_power_stations_in_Scotland&amp;params=NN545349_region%3AGB_scale%3A25000" xr:uid="{00000000-0004-0000-0000-000005030000}"/>
    <hyperlink ref="C485" r:id="rId775" location="cite_note-Breadalbane-21" display="https://en.wikipedia.org/wiki/List_of_power_stations_in_Scotland - cite_note-Breadalbane-21" xr:uid="{00000000-0004-0000-0000-000006030000}"/>
    <hyperlink ref="B485" r:id="rId776" tooltip="Scottish and Southern Energy" display="https://en.wikipedia.org/wiki/Scottish_and_Southern_Energy" xr:uid="{00000000-0004-0000-0000-000007030000}"/>
    <hyperlink ref="D485" r:id="rId777" tooltip="Breadalbane hydro-electric power scheme" display="https://en.wikipedia.org/wiki/Breadalbane_hydro-electric_power_scheme" xr:uid="{00000000-0004-0000-0000-000008030000}"/>
    <hyperlink ref="E485" r:id="rId778" display="https://tools.wmflabs.org/os/coor_g/?pagename=List_of_power_stations_in_Scotland&amp;params=NN453417_region%3AGB_scale%3A25000" xr:uid="{00000000-0004-0000-0000-000009030000}"/>
    <hyperlink ref="C439" r:id="rId779" location="cite_note-Conon-11" display="https://en.wikipedia.org/wiki/List_of_power_stations_in_Scotland - cite_note-Conon-11" xr:uid="{00000000-0004-0000-0000-00000A030000}"/>
    <hyperlink ref="B439" r:id="rId780" tooltip="Scottish and Southern Energy" display="https://en.wikipedia.org/wiki/Scottish_and_Southern_Energy" xr:uid="{00000000-0004-0000-0000-00000B030000}"/>
    <hyperlink ref="E439" r:id="rId781" display="https://tools.wmflabs.org/os/coor_g/?pagename=List_of_power_stations_in_Scotland&amp;params=NH394570_region%3AGB_scale%3A25000" xr:uid="{00000000-0004-0000-0000-00000C030000}"/>
    <hyperlink ref="C499" r:id="rId782" location="cite_note-Sloy-14" display="https://en.wikipedia.org/wiki/List_of_power_stations_in_Scotland - cite_note-Sloy-14" xr:uid="{00000000-0004-0000-0000-00000D030000}"/>
    <hyperlink ref="B499" r:id="rId783" tooltip="Scottish and Southern Energy" display="https://en.wikipedia.org/wiki/Scottish_and_Southern_Energy" xr:uid="{00000000-0004-0000-0000-00000E030000}"/>
    <hyperlink ref="D499" r:id="rId784" tooltip="Loch Sloy Hydro-Electric Scheme" display="https://en.wikipedia.org/wiki/Loch_Sloy_Hydro-Electric_Scheme" xr:uid="{00000000-0004-0000-0000-00000F030000}"/>
    <hyperlink ref="E499" r:id="rId785" display="https://tools.wmflabs.org/os/coor_g/?pagename=List_of_power_stations_in_Scotland&amp;params=NR735260_region%3AGB_scale%3A25000" xr:uid="{00000000-0004-0000-0000-000010030000}"/>
    <hyperlink ref="C517" r:id="rId786" location="cite_note-41" display="https://en.wikipedia.org/wiki/List_of_power_stations_in_Scotland - cite_note-41" xr:uid="{00000000-0004-0000-0000-000011030000}"/>
    <hyperlink ref="E517" r:id="rId787" display="https://tools.wmflabs.org/os/coor_g/?pagename=List_of_power_stations_in_Scotland&amp;params=NM683922_region%3AGB_scale%3A25000" xr:uid="{00000000-0004-0000-0000-000012030000}"/>
    <hyperlink ref="C454" r:id="rId788" location="cite_note-Conon-11" display="https://en.wikipedia.org/wiki/List_of_power_stations_in_Scotland - cite_note-Conon-11" xr:uid="{00000000-0004-0000-0000-000013030000}"/>
    <hyperlink ref="B454" r:id="rId789" tooltip="Scottish and Southern Energy" display="https://en.wikipedia.org/wiki/Scottish_and_Southern_Energy" xr:uid="{00000000-0004-0000-0000-000014030000}"/>
    <hyperlink ref="E454" r:id="rId790" display="https://tools.wmflabs.org/os/coor_g/?pagename=List_of_power_stations_in_Scotland&amp;params=NH330633_region%3AGB_scale%3A25000" xr:uid="{00000000-0004-0000-0000-000015030000}"/>
    <hyperlink ref="C500" r:id="rId791" location="cite_note-Affric-12" display="https://en.wikipedia.org/wiki/List_of_power_stations_in_Scotland - cite_note-Affric-12" xr:uid="{00000000-0004-0000-0000-000016030000}"/>
    <hyperlink ref="B500" r:id="rId792" tooltip="Scottish and Southern Energy" display="https://en.wikipedia.org/wiki/Scottish_and_Southern_Energy" xr:uid="{00000000-0004-0000-0000-000017030000}"/>
    <hyperlink ref="D500" r:id="rId793" tooltip="Affric-Beauly hydro-electric power scheme" display="https://en.wikipedia.org/wiki/Affric-Beauly_hydro-electric_power_scheme" xr:uid="{00000000-0004-0000-0000-000018030000}"/>
    <hyperlink ref="E500" r:id="rId794" display="https://tools.wmflabs.org/os/coor_g/?pagename=List_of_power_stations_in_Scotland&amp;params=NH222309_region%3AGB_scale%3A25000" xr:uid="{00000000-0004-0000-0000-000019030000}"/>
    <hyperlink ref="C463" r:id="rId795" location="cite_note-Sloy-14" display="https://en.wikipedia.org/wiki/List_of_power_stations_in_Scotland - cite_note-Sloy-14" xr:uid="{00000000-0004-0000-0000-00001A030000}"/>
    <hyperlink ref="B463" r:id="rId796" tooltip="Scottish and Southern Energy" display="https://en.wikipedia.org/wiki/Scottish_and_Southern_Energy" xr:uid="{00000000-0004-0000-0000-00001B030000}"/>
    <hyperlink ref="D463" r:id="rId797" tooltip="Loch Sloy Hydro-Electric Scheme" display="https://en.wikipedia.org/wiki/Loch_Sloy_Hydro-Electric_Scheme" xr:uid="{00000000-0004-0000-0000-00001C030000}"/>
    <hyperlink ref="E463" r:id="rId798" display="https://tools.wmflabs.org/os/coor_g/?pagename=List_of_power_stations_in_Scotland&amp;params=NN015208_region%3AGB_scale%3A25000" xr:uid="{00000000-0004-0000-0000-00001D030000}"/>
    <hyperlink ref="C518" r:id="rId799" location="cite_note-42" display="https://en.wikipedia.org/wiki/List_of_power_stations_in_Scotland - cite_note-42" xr:uid="{00000000-0004-0000-0000-00001E030000}"/>
    <hyperlink ref="B518" r:id="rId800" tooltip="Scottish and Southern Energy" display="https://en.wikipedia.org/wiki/Scottish_and_Southern_Energy" xr:uid="{00000000-0004-0000-0000-00001F030000}"/>
    <hyperlink ref="E518" r:id="rId801" display="https://tools.wmflabs.org/os/coor_g/?pagename=List_of_power_stations_in_Scotland&amp;params=NG852272_region%3AGB_scale%3A25000" xr:uid="{00000000-0004-0000-0000-000020030000}"/>
    <hyperlink ref="C456" r:id="rId802" location="cite_note-Conon-11" display="https://en.wikipedia.org/wiki/List_of_power_stations_in_Scotland - cite_note-Conon-11" xr:uid="{00000000-0004-0000-0000-000021030000}"/>
    <hyperlink ref="B456" r:id="rId803" tooltip="Scottish and Southern Energy" display="https://en.wikipedia.org/wiki/Scottish_and_Southern_Energy" xr:uid="{00000000-0004-0000-0000-000022030000}"/>
    <hyperlink ref="E456" r:id="rId804" display="https://tools.wmflabs.org/os/coor_g/?pagename=List_of_power_stations_in_Scotland&amp;params=NH436545_region%3AGB_scale%3A25000" xr:uid="{00000000-0004-0000-0000-000023030000}"/>
    <hyperlink ref="C464" r:id="rId805" location="cite_note-Tummel-25" display="https://en.wikipedia.org/wiki/List_of_power_stations_in_Scotland - cite_note-Tummel-25" xr:uid="{00000000-0004-0000-0000-000024030000}"/>
    <hyperlink ref="B464" r:id="rId806" tooltip="Scottish and Southern Energy" display="https://en.wikipedia.org/wiki/Scottish_and_Southern_Energy" xr:uid="{00000000-0004-0000-0000-000025030000}"/>
    <hyperlink ref="D464" r:id="rId807" tooltip="Tummel hydro-electric power scheme" display="https://en.wikipedia.org/wiki/Tummel_hydro-electric_power_scheme" xr:uid="{00000000-0004-0000-0000-000026030000}"/>
    <hyperlink ref="E464" r:id="rId808" display="https://tools.wmflabs.org/os/coor_g/?pagename=List_of_power_stations_in_Scotland&amp;params=NN935577_region%3AGB_scale%3A25000" xr:uid="{00000000-0004-0000-0000-000027030000}"/>
    <hyperlink ref="C457" r:id="rId809" location="cite_note-GreatGlen-23" display="https://en.wikipedia.org/wiki/List_of_power_stations_in_Scotland - cite_note-GreatGlen-23" xr:uid="{00000000-0004-0000-0000-000028030000}"/>
    <hyperlink ref="B457" r:id="rId810" tooltip="Scottish and Southern Energy" display="https://en.wikipedia.org/wiki/Scottish_and_Southern_Energy" xr:uid="{00000000-0004-0000-0000-000029030000}"/>
    <hyperlink ref="E457" r:id="rId811" display="https://tools.wmflabs.org/os/coor_g/?pagename=List_of_power_stations_in_Scotland&amp;params=NH107011_region%3AGB_scale%3A25000" xr:uid="{00000000-0004-0000-0000-00002A030000}"/>
    <hyperlink ref="C434" r:id="rId812" location="cite_note-Tummel-25" display="https://en.wikipedia.org/wiki/List_of_power_stations_in_Scotland - cite_note-Tummel-25" xr:uid="{00000000-0004-0000-0000-00002B030000}"/>
    <hyperlink ref="B434" r:id="rId813" tooltip="Scottish and Southern Energy" display="https://en.wikipedia.org/wiki/Scottish_and_Southern_Energy" xr:uid="{00000000-0004-0000-0000-00002C030000}"/>
    <hyperlink ref="D434" r:id="rId814" tooltip="Tummel hydro-electric power scheme" display="https://en.wikipedia.org/wiki/Tummel_hydro-electric_power_scheme" xr:uid="{00000000-0004-0000-0000-00002D030000}"/>
    <hyperlink ref="E434" r:id="rId815" display="https://tools.wmflabs.org/os/coor_g/?pagename=List_of_power_stations_in_Scotland&amp;params=NN529582_region%3AGB_scale%3A25000" xr:uid="{00000000-0004-0000-0000-00002E030000}"/>
    <hyperlink ref="C495" r:id="rId816" location="cite_note-43" display="https://en.wikipedia.org/wiki/List_of_power_stations_in_Scotland - cite_note-43" xr:uid="{00000000-0004-0000-0000-00002F030000}"/>
    <hyperlink ref="B495" r:id="rId817" tooltip="RWE npower Renewables" display="https://en.wikipedia.org/wiki/RWE_npower_Renewables" xr:uid="{00000000-0004-0000-0000-000030030000}"/>
    <hyperlink ref="E495" r:id="rId818" display="https://tools.wmflabs.org/os/coor_g/?pagename=List_of_power_stations_in_Scotland&amp;params=NH521164_region%3AGB_scale%3A25000" xr:uid="{00000000-0004-0000-0000-000031030000}"/>
    <hyperlink ref="C455" r:id="rId819" location="cite_note-Shin-22" display="https://en.wikipedia.org/wiki/List_of_power_stations_in_Scotland - cite_note-Shin-22" xr:uid="{00000000-0004-0000-0000-000032030000}"/>
    <hyperlink ref="B455" r:id="rId820" tooltip="Scottish and Southern Energy" display="https://en.wikipedia.org/wiki/Scottish_and_Southern_Energy" xr:uid="{00000000-0004-0000-0000-000033030000}"/>
    <hyperlink ref="E455" r:id="rId821" display="https://tools.wmflabs.org/os/coor_g/?pagename=List_of_power_stations_in_Scotland&amp;params=NH573974_region%3AGB_scale%3A25000" xr:uid="{00000000-0004-0000-0000-000034030000}"/>
    <hyperlink ref="C426" r:id="rId822" location="cite_note-Sloy-14" display="https://en.wikipedia.org/wiki/List_of_power_stations_in_Scotland - cite_note-Sloy-14" xr:uid="{00000000-0004-0000-0000-000035030000}"/>
    <hyperlink ref="B426" r:id="rId823" tooltip="Scottish and Southern Energy" display="https://en.wikipedia.org/wiki/Scottish_and_Southern_Energy" xr:uid="{00000000-0004-0000-0000-000036030000}"/>
    <hyperlink ref="D426" r:id="rId824" tooltip="Loch Sloy Hydro-Electric Scheme" display="https://en.wikipedia.org/wiki/Loch_Sloy_Hydro-Electric_Scheme" xr:uid="{00000000-0004-0000-0000-000037030000}"/>
    <hyperlink ref="E426" r:id="rId825" display="https://tools.wmflabs.org/os/coor_g/?pagename=List_of_power_stations_in_Scotland&amp;params=NN320098_region%3AGB_scale%3A25000" xr:uid="{00000000-0004-0000-0000-000038030000}"/>
    <hyperlink ref="C480" r:id="rId826" location="cite_note-Sloy-14" display="https://en.wikipedia.org/wiki/List_of_power_stations_in_Scotland - cite_note-Sloy-14" xr:uid="{00000000-0004-0000-0000-000039030000}"/>
    <hyperlink ref="B480" r:id="rId827" tooltip="Scottish and Southern Energy" display="https://en.wikipedia.org/wiki/Scottish_and_Southern_Energy" xr:uid="{00000000-0004-0000-0000-00003A030000}"/>
    <hyperlink ref="D480" r:id="rId828" tooltip="Loch Sloy Hydro-Electric Scheme" display="https://en.wikipedia.org/wiki/Loch_Sloy_Hydro-Electric_Scheme" xr:uid="{00000000-0004-0000-0000-00003B030000}"/>
    <hyperlink ref="E480" r:id="rId829" display="https://tools.wmflabs.org/os/coor_g/?pagename=List_of_power_stations_in_Scotland&amp;params=NN161200_region%3AGB_scale%3A25000" xr:uid="{00000000-0004-0000-0000-00003C030000}"/>
    <hyperlink ref="C459" r:id="rId830" location="cite_note-Breadalbane-21" display="https://en.wikipedia.org/wiki/List_of_power_stations_in_Scotland - cite_note-Breadalbane-21" xr:uid="{00000000-0004-0000-0000-00003D030000}"/>
    <hyperlink ref="B459" r:id="rId831" tooltip="Scottish and Southern Energy" display="https://en.wikipedia.org/wiki/Scottish_and_Southern_Energy" xr:uid="{00000000-0004-0000-0000-00003E030000}"/>
    <hyperlink ref="D459" r:id="rId832" tooltip="Breadalbane hydro-electric power scheme" display="https://en.wikipedia.org/wiki/Breadalbane_hydro-electric_power_scheme" xr:uid="{00000000-0004-0000-0000-00003F030000}"/>
    <hyperlink ref="E459" r:id="rId833" display="https://tools.wmflabs.org/os/coor_g/?pagename=List_of_power_stations_in_Scotland&amp;params=NN690246_region%3AGB_scale%3A25000" xr:uid="{00000000-0004-0000-0000-000040030000}"/>
    <hyperlink ref="C520" r:id="rId834" location="cite_note-44" display="https://en.wikipedia.org/wiki/List_of_power_stations_in_Scotland - cite_note-44" xr:uid="{00000000-0004-0000-0000-000041030000}"/>
    <hyperlink ref="B520" r:id="rId835" tooltip="RWE npower Renewables" display="https://en.wikipedia.org/wiki/RWE_npower_Renewables" xr:uid="{00000000-0004-0000-0000-000042030000}"/>
    <hyperlink ref="E520" r:id="rId836" display="https://tools.wmflabs.org/os/coor_g/?pagename=List_of_power_stations_in_Scotland&amp;params=NO114328_region%3AGB_scale%3A25000" xr:uid="{00000000-0004-0000-0000-000043030000}"/>
    <hyperlink ref="C481" r:id="rId837" location="cite_note-Clyde-17" display="https://en.wikipedia.org/wiki/List_of_power_stations_in_Scotland - cite_note-Clyde-17" xr:uid="{00000000-0004-0000-0000-000044030000}"/>
    <hyperlink ref="B481" r:id="rId838" tooltip="Scottish Power" display="https://en.wikipedia.org/wiki/Scottish_Power" xr:uid="{00000000-0004-0000-0000-000045030000}"/>
    <hyperlink ref="D481" r:id="rId839" tooltip="Lanark Hydro Electric Scheme" display="https://en.wikipedia.org/wiki/Lanark_Hydro_Electric_Scheme" xr:uid="{00000000-0004-0000-0000-000046030000}"/>
    <hyperlink ref="E481" r:id="rId840" display="https://tools.wmflabs.org/os/coor_g/?pagename=List_of_power_stations_in_Scotland&amp;params=NS850441_region%3AGB_scale%3A25000" xr:uid="{00000000-0004-0000-0000-000047030000}"/>
    <hyperlink ref="C501" r:id="rId841" location="cite_note-45" display="https://en.wikipedia.org/wiki/List_of_power_stations_in_Scotland - cite_note-45" xr:uid="{00000000-0004-0000-0000-000048030000}"/>
    <hyperlink ref="B501" r:id="rId842" tooltip="Scottish and Southern Energy" display="https://en.wikipedia.org/wiki/Scottish_and_Southern_Energy" xr:uid="{00000000-0004-0000-0000-000049030000}"/>
    <hyperlink ref="E501" r:id="rId843" display="https://tools.wmflabs.org/os/coor_g/?pagename=List_of_power_stations_in_Scotland&amp;params=NG500506_region%3AGB_scale%3A25000" xr:uid="{00000000-0004-0000-0000-00004A030000}"/>
    <hyperlink ref="C474" r:id="rId844" location="cite_note-Sloy-14" display="https://en.wikipedia.org/wiki/List_of_power_stations_in_Scotland - cite_note-Sloy-14" xr:uid="{00000000-0004-0000-0000-00004B030000}"/>
    <hyperlink ref="B474" r:id="rId845" tooltip="Scottish and Southern Energy" display="https://en.wikipedia.org/wiki/Scottish_and_Southern_Energy" xr:uid="{00000000-0004-0000-0000-00004C030000}"/>
    <hyperlink ref="D474" r:id="rId846" tooltip="Loch Sloy Hydro-Electric Scheme" display="https://en.wikipedia.org/wiki/Loch_Sloy_Hydro-Electric_Scheme" xr:uid="{00000000-0004-0000-0000-00004D030000}"/>
    <hyperlink ref="E474" r:id="rId847" display="https://tools.wmflabs.org/os/coor_g/?pagename=List_of_power_stations_in_Scotland&amp;params=NS056839_region%3AGB_scale%3A25000" xr:uid="{00000000-0004-0000-0000-00004E030000}"/>
    <hyperlink ref="C442" r:id="rId848" location="cite_note-46" display="https://en.wikipedia.org/wiki/List_of_power_stations_in_Scotland - cite_note-46" xr:uid="{00000000-0004-0000-0000-00004F030000}"/>
    <hyperlink ref="B442" r:id="rId849" tooltip="Scottish Power" display="https://en.wikipedia.org/wiki/Scottish_Power" xr:uid="{00000000-0004-0000-0000-000050030000}"/>
    <hyperlink ref="D442" r:id="rId850" tooltip="Galloway hydro-electric power scheme" display="https://en.wikipedia.org/wiki/Galloway_hydro-electric_power_scheme" xr:uid="{00000000-0004-0000-0000-000051030000}"/>
    <hyperlink ref="E442" r:id="rId851" display="https://tools.wmflabs.org/os/coor_g/?pagename=List_of_power_stations_in_Scotland&amp;params=NX694535_region%3AGB_scale%3A25000" xr:uid="{00000000-0004-0000-0000-000052030000}"/>
    <hyperlink ref="C465" r:id="rId852" location="cite_note-Conon-11" display="https://en.wikipedia.org/wiki/List_of_power_stations_in_Scotland - cite_note-Conon-11" xr:uid="{00000000-0004-0000-0000-000053030000}"/>
    <hyperlink ref="B465" r:id="rId853" tooltip="Scottish and Southern Energy" display="https://en.wikipedia.org/wiki/Scottish_and_Southern_Energy" xr:uid="{00000000-0004-0000-0000-000054030000}"/>
    <hyperlink ref="E465" r:id="rId854" display="https://tools.wmflabs.org/os/coor_g/?pagename=List_of_power_stations_in_Scotland&amp;params=NH446545_region%3AGB_scale%3A25000" xr:uid="{00000000-0004-0000-0000-000055030000}"/>
    <hyperlink ref="C525" r:id="rId855" location="cite_note-Tummel-25" display="https://en.wikipedia.org/wiki/List_of_power_stations_in_Scotland - cite_note-Tummel-25" xr:uid="{00000000-0004-0000-0000-000056030000}"/>
    <hyperlink ref="B525" r:id="rId856" tooltip="Scottish and Southern Energy" display="https://en.wikipedia.org/wiki/Scottish_and_Southern_Energy" xr:uid="{00000000-0004-0000-0000-000057030000}"/>
    <hyperlink ref="D525" r:id="rId857" tooltip="Tummel hydro-electric power scheme" display="https://en.wikipedia.org/wiki/Tummel_hydro-electric_power_scheme" xr:uid="{00000000-0004-0000-0000-000058030000}"/>
    <hyperlink ref="E525" r:id="rId858" display="https://tools.wmflabs.org/os/coor_g/?pagename=List_of_power_stations_in_Scotland&amp;params=NN724647_region%3AGB_scale%3A25000" xr:uid="{00000000-0004-0000-0000-000059030000}"/>
    <hyperlink ref="C440" r:id="rId859" location="cite_note-Tummel-25" display="https://en.wikipedia.org/wiki/List_of_power_stations_in_Scotland - cite_note-Tummel-25" xr:uid="{00000000-0004-0000-0000-00005A030000}"/>
    <hyperlink ref="B440" r:id="rId860" tooltip="Scottish and Southern Energy" display="https://en.wikipedia.org/wiki/Scottish_and_Southern_Energy" xr:uid="{00000000-0004-0000-0000-00005B030000}"/>
    <hyperlink ref="D440" r:id="rId861" tooltip="Tummel hydro-electric power scheme" display="https://en.wikipedia.org/wiki/Tummel_hydro-electric_power_scheme" xr:uid="{00000000-0004-0000-0000-00005C030000}"/>
    <hyperlink ref="E440" r:id="rId862" display="https://tools.wmflabs.org/os/coor_g/?pagename=List_of_power_stations_in_Scotland&amp;params=NN763590_region%3AGB_scale%3A25000" xr:uid="{00000000-0004-0000-0000-00005D030000}"/>
    <hyperlink ref="M425" r:id="rId863" location="cite_note-27" display="https://en.wikipedia.org/wiki/List_of_power_stations_in_Scotland - cite_note-27" xr:uid="{00000000-0004-0000-0000-00005E030000}"/>
    <hyperlink ref="F15" r:id="rId864" tooltip="Pumped storage" display="https://en.wikipedia.org/wiki/Pumped_storage" xr:uid="{00000000-0004-0000-0000-00005F030000}"/>
    <hyperlink ref="F334" r:id="rId865" tooltip="Run-of-the-river hydroelectricity" display="https://en.wikipedia.org/wiki/Run-of-the-river_hydroelectricity" xr:uid="{00000000-0004-0000-0000-000060030000}"/>
    <hyperlink ref="F336" r:id="rId866" tooltip="Pumped-storage hydroelectricity" display="https://en.wikipedia.org/wiki/Pumped-storage_hydroelectricity" xr:uid="{00000000-0004-0000-0000-000061030000}"/>
    <hyperlink ref="G275" r:id="rId867" location="cite_note-milieucentraal-2" display="https://en.wikipedia.org/wiki/Hydroelectricity_in_the_Netherlands - cite_note-milieucentraal-2" xr:uid="{00000000-0004-0000-0000-000062030000}"/>
    <hyperlink ref="G1" r:id="rId868" tooltip="Megawatt" display="https://en.wikipedia.org/wiki/Megawatt" xr:uid="{00000000-0004-0000-0000-000063030000}"/>
    <hyperlink ref="C270" r:id="rId869" tooltip="Kaunas Hydroelectric Power Plant" display="https://en.wikipedia.org/wiki/Kaunas_Hydroelectric_Power_Plant" xr:uid="{00000000-0004-0000-0000-000064030000}"/>
    <hyperlink ref="E270" r:id="rId870" display="https://tools.wmflabs.org/geohack/geohack.php?pagename=List_of_power_stations_in_Lithuania&amp;params=54.8739893_N_23.9994836_E_&amp;title=Kaunas+Hydroelectric+Power+Plant" xr:uid="{00000000-0004-0000-0000-000065030000}"/>
    <hyperlink ref="N270" r:id="rId871" tooltip="Kaunas Reservoir" display="https://en.wikipedia.org/wiki/Kaunas_Reservoir" xr:uid="{00000000-0004-0000-0000-000066030000}"/>
    <hyperlink ref="C269" r:id="rId872" tooltip="Kruonis Pumped Storage Plant" display="https://en.wikipedia.org/wiki/Kruonis_Pumped_Storage_Plant" xr:uid="{00000000-0004-0000-0000-000067030000}"/>
    <hyperlink ref="E269" r:id="rId873" display="https://tools.wmflabs.org/geohack/geohack.php?pagename=List_of_power_stations_in_Lithuania&amp;params=54.7990769_N_24.2470837_E_&amp;title=Kruonis+Pumped+Storage+Plant" xr:uid="{00000000-0004-0000-0000-000068030000}"/>
  </hyperlinks>
  <pageMargins left="0.7" right="0.7" top="0.75" bottom="0.75" header="0.3" footer="0.3"/>
  <pageSetup orientation="portrait" r:id="rId874"/>
  <drawing r:id="rId875"/>
  <legacyDrawing r:id="rId876"/>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32"/>
  <dimension ref="A1:G437"/>
  <sheetViews>
    <sheetView workbookViewId="0">
      <selection activeCell="C21" sqref="C21"/>
    </sheetView>
  </sheetViews>
  <sheetFormatPr defaultColWidth="8.81640625" defaultRowHeight="13" x14ac:dyDescent="0.3"/>
  <cols>
    <col min="1" max="1" width="8.81640625" style="28"/>
    <col min="2" max="2" width="12.453125" style="29" customWidth="1"/>
    <col min="3" max="3" width="8.6328125" style="28" bestFit="1" customWidth="1"/>
    <col min="4" max="4" width="6.6328125" style="28" customWidth="1"/>
    <col min="5" max="5" width="4.453125" style="30" customWidth="1"/>
    <col min="6" max="6" width="8.81640625" style="28"/>
    <col min="7" max="7" width="21.1796875" style="31" bestFit="1" customWidth="1"/>
    <col min="8" max="16384" width="8.81640625" style="31"/>
  </cols>
  <sheetData>
    <row r="1" spans="1:6" s="27" customFormat="1" x14ac:dyDescent="0.3">
      <c r="A1" s="24" t="s">
        <v>1369</v>
      </c>
      <c r="B1" s="25"/>
      <c r="C1" s="24"/>
      <c r="D1" s="24"/>
      <c r="E1" s="26"/>
      <c r="F1" s="24"/>
    </row>
    <row r="2" spans="1:6" x14ac:dyDescent="0.3">
      <c r="A2" s="28" t="s">
        <v>1363</v>
      </c>
      <c r="B2" s="29" t="s">
        <v>1365</v>
      </c>
      <c r="C2" s="28" t="s">
        <v>1368</v>
      </c>
      <c r="D2" s="28" t="s">
        <v>1367</v>
      </c>
      <c r="E2" s="30" t="s">
        <v>1366</v>
      </c>
      <c r="F2" s="28" t="s">
        <v>1364</v>
      </c>
    </row>
    <row r="3" spans="1:6" x14ac:dyDescent="0.3">
      <c r="A3" s="32"/>
      <c r="B3" s="29" t="s">
        <v>2484</v>
      </c>
      <c r="C3" s="28">
        <f>SUMIF(All!G:G,B3,All!G:G)</f>
        <v>0</v>
      </c>
      <c r="D3" s="28">
        <v>0</v>
      </c>
      <c r="E3" s="30">
        <f t="shared" ref="E3:E34" si="0">C3/$A$5</f>
        <v>0</v>
      </c>
      <c r="F3" s="28">
        <f>COUNTIF(All!G:G,B3)</f>
        <v>0</v>
      </c>
    </row>
    <row r="4" spans="1:6" x14ac:dyDescent="0.3">
      <c r="B4" s="29" t="s">
        <v>2485</v>
      </c>
      <c r="C4" s="28">
        <f>SUMIF(All!G:G,B4,All!G:G)</f>
        <v>286.70699999999994</v>
      </c>
      <c r="D4" s="28">
        <v>10</v>
      </c>
      <c r="E4" s="30">
        <f t="shared" si="0"/>
        <v>1.4819273371961396E-3</v>
      </c>
      <c r="F4" s="33">
        <f>COUNTIF(All!G:G,B4)</f>
        <v>126</v>
      </c>
    </row>
    <row r="5" spans="1:6" x14ac:dyDescent="0.3">
      <c r="A5" s="34">
        <f>148494+30509+14466</f>
        <v>193469</v>
      </c>
      <c r="B5" s="29" t="s">
        <v>2486</v>
      </c>
      <c r="C5" s="28">
        <f>SUMIF(All!G:G,B5,All!G:G)</f>
        <v>1180.5070000000005</v>
      </c>
      <c r="D5" s="28">
        <v>20</v>
      </c>
      <c r="E5" s="30">
        <f t="shared" si="0"/>
        <v>6.1017889170874948E-3</v>
      </c>
      <c r="F5" s="28">
        <f>COUNTIF(All!G:G,B5)</f>
        <v>189</v>
      </c>
    </row>
    <row r="6" spans="1:6" x14ac:dyDescent="0.3">
      <c r="A6" s="34"/>
      <c r="B6" s="29" t="s">
        <v>2487</v>
      </c>
      <c r="C6" s="28">
        <f>SUMIF(All!G:G,B6,All!G:G)</f>
        <v>1989.807</v>
      </c>
      <c r="D6" s="28">
        <v>30</v>
      </c>
      <c r="E6" s="30">
        <f t="shared" si="0"/>
        <v>1.028488801823548E-2</v>
      </c>
      <c r="F6" s="33">
        <f>COUNTIF(All!G:G,B6)</f>
        <v>224</v>
      </c>
    </row>
    <row r="7" spans="1:6" x14ac:dyDescent="0.3">
      <c r="A7" s="34"/>
      <c r="B7" s="29" t="s">
        <v>2488</v>
      </c>
      <c r="C7" s="28">
        <f>SUMIF(All!G:G,B7,All!G:G)</f>
        <v>2913.3069999999993</v>
      </c>
      <c r="D7" s="28">
        <v>40</v>
      </c>
      <c r="E7" s="30">
        <f t="shared" si="0"/>
        <v>1.5058262564028342E-2</v>
      </c>
      <c r="F7" s="28">
        <f>COUNTIF(All!G:G,B7)</f>
        <v>251</v>
      </c>
    </row>
    <row r="8" spans="1:6" x14ac:dyDescent="0.3">
      <c r="A8" s="34"/>
      <c r="B8" s="29" t="s">
        <v>2489</v>
      </c>
      <c r="C8" s="28">
        <f>SUMIF(All!G:G,B8,All!G:G)</f>
        <v>3971.8069999999998</v>
      </c>
      <c r="D8" s="28">
        <v>50</v>
      </c>
      <c r="E8" s="30">
        <f t="shared" si="0"/>
        <v>2.0529423318464454E-2</v>
      </c>
      <c r="F8" s="33">
        <f>COUNTIF(All!G:G,B8)</f>
        <v>275</v>
      </c>
    </row>
    <row r="9" spans="1:6" x14ac:dyDescent="0.3">
      <c r="A9" s="34"/>
      <c r="B9" s="29" t="s">
        <v>2490</v>
      </c>
      <c r="C9" s="28">
        <f>SUMIF(All!G:G,B9,All!G:G)</f>
        <v>4609.8069999999971</v>
      </c>
      <c r="D9" s="28">
        <v>60</v>
      </c>
      <c r="E9" s="30">
        <f t="shared" si="0"/>
        <v>2.3827109252645112E-2</v>
      </c>
      <c r="F9" s="28">
        <f>COUNTIF(All!G:G,B9)</f>
        <v>287</v>
      </c>
    </row>
    <row r="10" spans="1:6" x14ac:dyDescent="0.3">
      <c r="A10" s="34"/>
      <c r="B10" s="29" t="s">
        <v>2491</v>
      </c>
      <c r="C10" s="28">
        <f>SUMIF(All!G:G,B10,All!G:G)</f>
        <v>5313.8069999999971</v>
      </c>
      <c r="D10" s="28">
        <v>70</v>
      </c>
      <c r="E10" s="30">
        <f t="shared" si="0"/>
        <v>2.7465935111051366E-2</v>
      </c>
      <c r="F10" s="33">
        <f>COUNTIF(All!G:G,B10)</f>
        <v>298</v>
      </c>
    </row>
    <row r="11" spans="1:6" x14ac:dyDescent="0.3">
      <c r="A11" s="34"/>
      <c r="B11" s="29" t="s">
        <v>2492</v>
      </c>
      <c r="C11" s="28">
        <f>SUMIF(All!G:G,B11,All!G:G)</f>
        <v>5831.4069999999974</v>
      </c>
      <c r="D11" s="28">
        <v>80</v>
      </c>
      <c r="E11" s="30">
        <f t="shared" si="0"/>
        <v>3.0141299122856877E-2</v>
      </c>
      <c r="F11" s="28">
        <f>COUNTIF(All!G:G,B11)</f>
        <v>305</v>
      </c>
    </row>
    <row r="12" spans="1:6" x14ac:dyDescent="0.3">
      <c r="A12" s="34"/>
      <c r="B12" s="29" t="s">
        <v>2493</v>
      </c>
      <c r="C12" s="28">
        <f>SUMIF(All!G:G,B12,All!G:G)</f>
        <v>6565.9069999999983</v>
      </c>
      <c r="D12" s="28">
        <v>90</v>
      </c>
      <c r="E12" s="30">
        <f t="shared" si="0"/>
        <v>3.3937772976549208E-2</v>
      </c>
      <c r="F12" s="33">
        <f>COUNTIF(All!G:G,B12)</f>
        <v>314</v>
      </c>
    </row>
    <row r="13" spans="1:6" x14ac:dyDescent="0.3">
      <c r="A13" s="34"/>
      <c r="B13" s="29" t="s">
        <v>2494</v>
      </c>
      <c r="C13" s="28">
        <f>SUMIF(All!G:G,B13,All!G:G)</f>
        <v>7213.6569999999992</v>
      </c>
      <c r="D13" s="28">
        <v>100</v>
      </c>
      <c r="E13" s="30">
        <f t="shared" si="0"/>
        <v>3.7285854581354118E-2</v>
      </c>
      <c r="F13" s="28">
        <f>COUNTIF(All!G:G,B13)</f>
        <v>321</v>
      </c>
    </row>
    <row r="14" spans="1:6" x14ac:dyDescent="0.3">
      <c r="A14" s="34"/>
      <c r="B14" s="29" t="s">
        <v>2495</v>
      </c>
      <c r="C14" s="28">
        <f>SUMIF(All!G:G,B14,All!G:G)</f>
        <v>8877.6570000000065</v>
      </c>
      <c r="D14" s="28">
        <v>110</v>
      </c>
      <c r="E14" s="30">
        <f t="shared" si="0"/>
        <v>4.5886715701223484E-2</v>
      </c>
      <c r="F14" s="33">
        <f>COUNTIF(All!G:G,B14)</f>
        <v>337</v>
      </c>
    </row>
    <row r="15" spans="1:6" x14ac:dyDescent="0.3">
      <c r="A15" s="34"/>
      <c r="B15" s="29" t="s">
        <v>2496</v>
      </c>
      <c r="C15" s="28">
        <f>SUMIF(All!G:G,B15,All!G:G)</f>
        <v>9669.6570000000065</v>
      </c>
      <c r="D15" s="28">
        <v>120</v>
      </c>
      <c r="E15" s="30">
        <f t="shared" si="0"/>
        <v>4.9980394791930526E-2</v>
      </c>
      <c r="F15" s="28">
        <f>COUNTIF(All!G:G,B15)</f>
        <v>344</v>
      </c>
    </row>
    <row r="16" spans="1:6" x14ac:dyDescent="0.3">
      <c r="A16" s="33"/>
      <c r="B16" s="29" t="s">
        <v>2497</v>
      </c>
      <c r="C16" s="28">
        <f>SUMIF(All!G:G,B16,All!G:G)</f>
        <v>11145.657000000007</v>
      </c>
      <c r="D16" s="28">
        <v>130</v>
      </c>
      <c r="E16" s="30">
        <f t="shared" si="0"/>
        <v>5.7609524006430005E-2</v>
      </c>
      <c r="F16" s="33">
        <f>COUNTIF(All!G:G,B16)</f>
        <v>356</v>
      </c>
    </row>
    <row r="17" spans="1:6" x14ac:dyDescent="0.3">
      <c r="A17" s="33"/>
      <c r="B17" s="29" t="s">
        <v>2498</v>
      </c>
      <c r="C17" s="28">
        <f>SUMIF(All!G:G,B17,All!G:G)</f>
        <v>11932.657000000008</v>
      </c>
      <c r="D17" s="28">
        <v>140</v>
      </c>
      <c r="E17" s="30">
        <f t="shared" si="0"/>
        <v>6.1677359163483596E-2</v>
      </c>
      <c r="F17" s="28">
        <f>COUNTIF(All!G:G,B17)</f>
        <v>362</v>
      </c>
    </row>
    <row r="18" spans="1:6" x14ac:dyDescent="0.3">
      <c r="A18" s="33"/>
      <c r="B18" s="29" t="s">
        <v>2499</v>
      </c>
      <c r="C18" s="28">
        <f>SUMIF(All!G:G,B18,All!G:G)</f>
        <v>13072.657000000008</v>
      </c>
      <c r="D18" s="28">
        <v>150</v>
      </c>
      <c r="E18" s="30">
        <f t="shared" si="0"/>
        <v>6.7569776036471005E-2</v>
      </c>
      <c r="F18" s="33">
        <f>COUNTIF(All!G:G,B18)</f>
        <v>370</v>
      </c>
    </row>
    <row r="19" spans="1:6" x14ac:dyDescent="0.3">
      <c r="A19" s="33"/>
      <c r="B19" s="29" t="s">
        <v>2500</v>
      </c>
      <c r="C19" s="28">
        <f>SUMIF(All!G:G,B19,All!G:G)</f>
        <v>14905.157000000007</v>
      </c>
      <c r="D19" s="28">
        <v>160</v>
      </c>
      <c r="E19" s="30">
        <f t="shared" si="0"/>
        <v>7.7041577720461704E-2</v>
      </c>
      <c r="F19" s="28">
        <f>COUNTIF(All!G:G,B19)</f>
        <v>382</v>
      </c>
    </row>
    <row r="20" spans="1:6" x14ac:dyDescent="0.3">
      <c r="A20" s="33"/>
      <c r="B20" s="29" t="s">
        <v>2501</v>
      </c>
      <c r="C20" s="28">
        <f>SUMIF(All!G:G,B20,All!G:G)</f>
        <v>15867.157000000008</v>
      </c>
      <c r="D20" s="28">
        <v>170</v>
      </c>
      <c r="E20" s="30">
        <f t="shared" si="0"/>
        <v>8.2013950555386184E-2</v>
      </c>
      <c r="F20" s="33">
        <f>COUNTIF(All!G:G,B20)</f>
        <v>388</v>
      </c>
    </row>
    <row r="21" spans="1:6" x14ac:dyDescent="0.3">
      <c r="A21" s="33"/>
      <c r="B21" s="29" t="s">
        <v>2502</v>
      </c>
      <c r="C21" s="28">
        <f>SUMIF(All!G:G,B21,All!G:G)</f>
        <v>17614.357000000004</v>
      </c>
      <c r="D21" s="28">
        <v>180</v>
      </c>
      <c r="E21" s="30">
        <f t="shared" si="0"/>
        <v>9.1044854731248959E-2</v>
      </c>
      <c r="F21" s="28">
        <f>COUNTIF(All!G:G,B21)</f>
        <v>398</v>
      </c>
    </row>
    <row r="22" spans="1:6" x14ac:dyDescent="0.3">
      <c r="A22" s="33"/>
      <c r="B22" s="29" t="s">
        <v>2503</v>
      </c>
      <c r="C22" s="28">
        <f>SUMIF(All!G:G,B22,All!G:G)</f>
        <v>18905.357000000004</v>
      </c>
      <c r="D22" s="28">
        <v>190</v>
      </c>
      <c r="E22" s="30">
        <f t="shared" si="0"/>
        <v>9.7717758400570648E-2</v>
      </c>
      <c r="F22" s="33">
        <f>COUNTIF(All!G:G,B22)</f>
        <v>405</v>
      </c>
    </row>
    <row r="23" spans="1:6" x14ac:dyDescent="0.3">
      <c r="A23" s="33"/>
      <c r="B23" s="29" t="s">
        <v>2504</v>
      </c>
      <c r="C23" s="28">
        <f>SUMIF(All!G:G,B23,All!G:G)</f>
        <v>19294.357000000004</v>
      </c>
      <c r="D23" s="28">
        <v>200</v>
      </c>
      <c r="E23" s="30">
        <f t="shared" si="0"/>
        <v>9.9728416438809336E-2</v>
      </c>
      <c r="F23" s="28">
        <f>COUNTIF(All!G:G,B23)</f>
        <v>407</v>
      </c>
    </row>
    <row r="24" spans="1:6" x14ac:dyDescent="0.3">
      <c r="A24" s="33"/>
      <c r="B24" s="29" t="s">
        <v>2505</v>
      </c>
      <c r="C24" s="28">
        <f>SUMIF(All!G:G,B24,All!G:G)</f>
        <v>20095.357000000004</v>
      </c>
      <c r="D24" s="28">
        <v>210</v>
      </c>
      <c r="E24" s="30">
        <f t="shared" si="0"/>
        <v>0.10386861461009259</v>
      </c>
      <c r="F24" s="33">
        <f>COUNTIF(All!G:G,B24)</f>
        <v>411</v>
      </c>
    </row>
    <row r="25" spans="1:6" x14ac:dyDescent="0.3">
      <c r="A25" s="33"/>
      <c r="B25" s="29" t="s">
        <v>2506</v>
      </c>
      <c r="C25" s="28">
        <f>SUMIF(All!G:G,B25,All!G:G)</f>
        <v>21583.357000000004</v>
      </c>
      <c r="D25" s="28">
        <v>220</v>
      </c>
      <c r="E25" s="30">
        <f t="shared" si="0"/>
        <v>0.11155976926536036</v>
      </c>
      <c r="F25" s="28">
        <f>COUNTIF(All!G:G,B25)</f>
        <v>418</v>
      </c>
    </row>
    <row r="26" spans="1:6" x14ac:dyDescent="0.3">
      <c r="A26" s="33"/>
      <c r="B26" s="29" t="s">
        <v>2507</v>
      </c>
      <c r="C26" s="28">
        <f>SUMIF(All!G:G,B26,All!G:G)</f>
        <v>22913.357000000004</v>
      </c>
      <c r="D26" s="28">
        <v>230</v>
      </c>
      <c r="E26" s="30">
        <f t="shared" si="0"/>
        <v>0.118434255617179</v>
      </c>
      <c r="F26" s="33">
        <f>COUNTIF(All!G:G,B26)</f>
        <v>424</v>
      </c>
    </row>
    <row r="27" spans="1:6" x14ac:dyDescent="0.3">
      <c r="A27" s="33"/>
      <c r="B27" s="29" t="s">
        <v>2508</v>
      </c>
      <c r="C27" s="28">
        <f>SUMIF(All!G:G,B27,All!G:G)</f>
        <v>22913.357000000004</v>
      </c>
      <c r="D27" s="28">
        <v>240</v>
      </c>
      <c r="E27" s="30">
        <f t="shared" si="0"/>
        <v>0.118434255617179</v>
      </c>
      <c r="F27" s="28">
        <f>COUNTIF(All!G:G,B27)</f>
        <v>424</v>
      </c>
    </row>
    <row r="28" spans="1:6" x14ac:dyDescent="0.3">
      <c r="A28" s="33"/>
      <c r="B28" s="29" t="s">
        <v>2509</v>
      </c>
      <c r="C28" s="28">
        <f>SUMIF(All!G:G,B28,All!G:G)</f>
        <v>24128.357000000007</v>
      </c>
      <c r="D28" s="28">
        <v>250</v>
      </c>
      <c r="E28" s="30">
        <f t="shared" si="0"/>
        <v>0.12471433149496822</v>
      </c>
      <c r="F28" s="33">
        <f>COUNTIF(All!G:G,B28)</f>
        <v>429</v>
      </c>
    </row>
    <row r="29" spans="1:6" x14ac:dyDescent="0.3">
      <c r="A29" s="33"/>
      <c r="B29" s="29" t="s">
        <v>2510</v>
      </c>
      <c r="C29" s="28">
        <f>SUMIF(All!G:G,B29,All!G:G)</f>
        <v>25388.357000000007</v>
      </c>
      <c r="D29" s="28">
        <v>260</v>
      </c>
      <c r="E29" s="30">
        <f t="shared" si="0"/>
        <v>0.13122700277563851</v>
      </c>
      <c r="F29" s="28">
        <f>COUNTIF(All!G:G,B29)</f>
        <v>434</v>
      </c>
    </row>
    <row r="30" spans="1:6" x14ac:dyDescent="0.3">
      <c r="A30" s="33"/>
      <c r="B30" s="29" t="s">
        <v>2511</v>
      </c>
      <c r="C30" s="28">
        <f>SUMIF(All!G:G,B30,All!G:G)</f>
        <v>25914.457000000006</v>
      </c>
      <c r="D30" s="28">
        <v>270</v>
      </c>
      <c r="E30" s="30">
        <f t="shared" si="0"/>
        <v>0.13394630147465489</v>
      </c>
      <c r="F30" s="28">
        <f>COUNTIF(All!G:G,B30)</f>
        <v>436</v>
      </c>
    </row>
    <row r="31" spans="1:6" x14ac:dyDescent="0.3">
      <c r="A31" s="33"/>
      <c r="B31" s="29" t="s">
        <v>2512</v>
      </c>
      <c r="C31" s="28">
        <f>SUMIF(All!G:G,B31,All!G:G)</f>
        <v>26738.457000000006</v>
      </c>
      <c r="D31" s="28">
        <v>280</v>
      </c>
      <c r="E31" s="30">
        <f t="shared" si="0"/>
        <v>0.13820538174074404</v>
      </c>
      <c r="F31" s="33">
        <f>COUNTIF(All!G:G,B31)</f>
        <v>439</v>
      </c>
    </row>
    <row r="32" spans="1:6" x14ac:dyDescent="0.3">
      <c r="A32" s="33"/>
      <c r="B32" s="29" t="s">
        <v>2513</v>
      </c>
      <c r="C32" s="28">
        <f>SUMIF(All!G:G,B32,All!G:G)</f>
        <v>27305.457000000006</v>
      </c>
      <c r="D32" s="28">
        <v>290</v>
      </c>
      <c r="E32" s="30">
        <f t="shared" si="0"/>
        <v>0.14113608381704565</v>
      </c>
      <c r="F32" s="28">
        <f>COUNTIF(All!G:G,B32)</f>
        <v>441</v>
      </c>
    </row>
    <row r="33" spans="1:6" x14ac:dyDescent="0.3">
      <c r="A33" s="33"/>
      <c r="B33" s="29" t="s">
        <v>2514</v>
      </c>
      <c r="C33" s="28">
        <f>SUMIF(All!G:G,B33,All!G:G)</f>
        <v>28177.457000000006</v>
      </c>
      <c r="D33" s="28">
        <v>300</v>
      </c>
      <c r="E33" s="30">
        <f t="shared" si="0"/>
        <v>0.14564326584620796</v>
      </c>
      <c r="F33" s="28">
        <f>COUNTIF(All!G:G,B33)</f>
        <v>444</v>
      </c>
    </row>
    <row r="34" spans="1:6" x14ac:dyDescent="0.3">
      <c r="A34" s="33"/>
      <c r="B34" s="29" t="s">
        <v>2515</v>
      </c>
      <c r="C34" s="28">
        <f>SUMIF(All!G:G,B34,All!G:G)</f>
        <v>29086.457000000006</v>
      </c>
      <c r="D34" s="28">
        <v>310</v>
      </c>
      <c r="E34" s="30">
        <f t="shared" si="0"/>
        <v>0.15034169298440581</v>
      </c>
      <c r="F34" s="33">
        <f>COUNTIF(All!G:G,B34)</f>
        <v>447</v>
      </c>
    </row>
    <row r="35" spans="1:6" x14ac:dyDescent="0.3">
      <c r="A35" s="33"/>
      <c r="B35" s="29" t="s">
        <v>2516</v>
      </c>
      <c r="C35" s="28">
        <f>SUMIF(All!G:G,B35,All!G:G)</f>
        <v>29086.457000000006</v>
      </c>
      <c r="D35" s="28">
        <v>320</v>
      </c>
      <c r="E35" s="30">
        <f t="shared" ref="E35:E66" si="1">C35/$A$5</f>
        <v>0.15034169298440581</v>
      </c>
      <c r="F35" s="28">
        <f>COUNTIF(All!G:G,B35)</f>
        <v>447</v>
      </c>
    </row>
    <row r="36" spans="1:6" x14ac:dyDescent="0.3">
      <c r="A36" s="33"/>
      <c r="B36" s="29" t="s">
        <v>2517</v>
      </c>
      <c r="C36" s="28">
        <f>SUMIF(All!G:G,B36,All!G:G)</f>
        <v>30375.457000000006</v>
      </c>
      <c r="D36" s="28">
        <v>330</v>
      </c>
      <c r="E36" s="30">
        <f t="shared" si="1"/>
        <v>0.15700425908026611</v>
      </c>
      <c r="F36" s="33">
        <f>COUNTIF(All!G:G,B36)</f>
        <v>451</v>
      </c>
    </row>
    <row r="37" spans="1:6" x14ac:dyDescent="0.3">
      <c r="A37" s="33"/>
      <c r="B37" s="29" t="s">
        <v>2518</v>
      </c>
      <c r="C37" s="28">
        <f>SUMIF(All!G:G,B37,All!G:G)</f>
        <v>32709.457000000006</v>
      </c>
      <c r="D37" s="28">
        <v>340</v>
      </c>
      <c r="E37" s="30">
        <f t="shared" si="1"/>
        <v>0.16906820730969824</v>
      </c>
      <c r="F37" s="28">
        <f>COUNTIF(All!G:G,B37)</f>
        <v>458</v>
      </c>
    </row>
    <row r="38" spans="1:6" x14ac:dyDescent="0.3">
      <c r="A38" s="33"/>
      <c r="B38" s="29" t="s">
        <v>2519</v>
      </c>
      <c r="C38" s="28">
        <f>SUMIF(All!G:G,B38,All!G:G)</f>
        <v>32709.457000000006</v>
      </c>
      <c r="D38" s="28">
        <v>350</v>
      </c>
      <c r="E38" s="30">
        <f t="shared" si="1"/>
        <v>0.16906820730969824</v>
      </c>
      <c r="F38" s="33">
        <f>COUNTIF(All!G:G,B38)</f>
        <v>458</v>
      </c>
    </row>
    <row r="39" spans="1:6" x14ac:dyDescent="0.3">
      <c r="A39" s="33"/>
      <c r="B39" s="29" t="s">
        <v>2520</v>
      </c>
      <c r="C39" s="28">
        <f>SUMIF(All!G:G,B39,All!G:G)</f>
        <v>33763.45699999998</v>
      </c>
      <c r="D39" s="28">
        <v>360</v>
      </c>
      <c r="E39" s="30">
        <f t="shared" si="1"/>
        <v>0.17451610852384611</v>
      </c>
      <c r="F39" s="28">
        <f>COUNTIF(All!G:G,B39)</f>
        <v>461</v>
      </c>
    </row>
    <row r="40" spans="1:6" x14ac:dyDescent="0.3">
      <c r="A40" s="33"/>
      <c r="B40" s="29" t="s">
        <v>2521</v>
      </c>
      <c r="C40" s="28">
        <f>SUMIF(All!G:G,B40,All!G:G)</f>
        <v>36303.456999999988</v>
      </c>
      <c r="D40" s="28">
        <v>370</v>
      </c>
      <c r="E40" s="30">
        <f t="shared" si="1"/>
        <v>0.18764482681980052</v>
      </c>
      <c r="F40" s="28">
        <f>COUNTIF(All!G:G,B40)</f>
        <v>468</v>
      </c>
    </row>
    <row r="41" spans="1:6" x14ac:dyDescent="0.3">
      <c r="A41" s="33"/>
      <c r="B41" s="29" t="s">
        <v>2522</v>
      </c>
      <c r="C41" s="28">
        <f>SUMIF(All!G:G,B41,All!G:G)</f>
        <v>37055.456999999988</v>
      </c>
      <c r="D41" s="28">
        <v>380</v>
      </c>
      <c r="E41" s="30">
        <f t="shared" si="1"/>
        <v>0.19153175444127993</v>
      </c>
      <c r="F41" s="28">
        <f>COUNTIF(All!G:G,B41)</f>
        <v>470</v>
      </c>
    </row>
    <row r="42" spans="1:6" x14ac:dyDescent="0.3">
      <c r="A42" s="33"/>
      <c r="B42" s="29" t="s">
        <v>2523</v>
      </c>
      <c r="C42" s="28">
        <f>SUMIF(All!G:G,B42,All!G:G)</f>
        <v>38583.456999999988</v>
      </c>
      <c r="D42" s="28">
        <v>390</v>
      </c>
      <c r="E42" s="30">
        <f t="shared" si="1"/>
        <v>0.19942966056577532</v>
      </c>
      <c r="F42" s="28">
        <f>COUNTIF(All!G:G,B42)</f>
        <v>474</v>
      </c>
    </row>
    <row r="43" spans="1:6" x14ac:dyDescent="0.3">
      <c r="A43" s="33"/>
      <c r="B43" s="29" t="s">
        <v>2524</v>
      </c>
      <c r="C43" s="28">
        <f>SUMIF(All!G:G,B43,All!G:G)</f>
        <v>39761.456999999988</v>
      </c>
      <c r="D43" s="28">
        <v>400</v>
      </c>
      <c r="E43" s="30">
        <f t="shared" si="1"/>
        <v>0.20551849133452899</v>
      </c>
      <c r="F43" s="33">
        <f>COUNTIF(All!G:G,B43)</f>
        <v>477</v>
      </c>
    </row>
    <row r="44" spans="1:6" x14ac:dyDescent="0.3">
      <c r="A44" s="33"/>
      <c r="B44" s="29" t="s">
        <v>2525</v>
      </c>
      <c r="C44" s="28">
        <f>SUMIF(All!G:G,B44,All!G:G)</f>
        <v>40163.456999999988</v>
      </c>
      <c r="D44" s="28">
        <v>410</v>
      </c>
      <c r="E44" s="30">
        <f t="shared" si="1"/>
        <v>0.20759634360026666</v>
      </c>
      <c r="F44" s="28">
        <f>COUNTIF(All!G:G,B44)</f>
        <v>478</v>
      </c>
    </row>
    <row r="45" spans="1:6" x14ac:dyDescent="0.3">
      <c r="A45" s="33"/>
      <c r="B45" s="29" t="s">
        <v>2526</v>
      </c>
      <c r="C45" s="28">
        <f>SUMIF(All!G:G,B45,All!G:G)</f>
        <v>40578.456999999988</v>
      </c>
      <c r="D45" s="28">
        <v>420</v>
      </c>
      <c r="E45" s="30">
        <f t="shared" si="1"/>
        <v>0.20974139009350329</v>
      </c>
      <c r="F45" s="28">
        <f>COUNTIF(All!G:G,B45)</f>
        <v>479</v>
      </c>
    </row>
    <row r="46" spans="1:6" x14ac:dyDescent="0.3">
      <c r="A46" s="33"/>
      <c r="B46" s="29" t="s">
        <v>2527</v>
      </c>
      <c r="C46" s="28">
        <f>SUMIF(All!G:G,B46,All!G:G)</f>
        <v>41434.456999999988</v>
      </c>
      <c r="D46" s="28">
        <v>430</v>
      </c>
      <c r="E46" s="30">
        <f t="shared" si="1"/>
        <v>0.21416587153497454</v>
      </c>
      <c r="F46" s="28">
        <f>COUNTIF(All!G:G,B46)</f>
        <v>481</v>
      </c>
    </row>
    <row r="47" spans="1:6" x14ac:dyDescent="0.3">
      <c r="A47" s="33"/>
      <c r="B47" s="29" t="s">
        <v>2528</v>
      </c>
      <c r="C47" s="28">
        <f>SUMIF(All!G:G,B47,All!G:G)</f>
        <v>42732.456999999988</v>
      </c>
      <c r="D47" s="28">
        <v>440</v>
      </c>
      <c r="E47" s="30">
        <f t="shared" si="1"/>
        <v>0.22087495671141108</v>
      </c>
      <c r="F47" s="28">
        <f>COUNTIF(All!G:G,B47)</f>
        <v>484</v>
      </c>
    </row>
    <row r="48" spans="1:6" x14ac:dyDescent="0.3">
      <c r="A48" s="33"/>
      <c r="B48" s="29" t="s">
        <v>2529</v>
      </c>
      <c r="C48" s="28">
        <f>SUMIF(All!G:G,B48,All!G:G)</f>
        <v>44945.956999999988</v>
      </c>
      <c r="D48" s="28">
        <v>450</v>
      </c>
      <c r="E48" s="30">
        <f t="shared" si="1"/>
        <v>0.23231606613979494</v>
      </c>
      <c r="F48" s="33">
        <f>COUNTIF(All!G:G,B48)</f>
        <v>489</v>
      </c>
    </row>
    <row r="49" spans="1:6" x14ac:dyDescent="0.3">
      <c r="A49" s="33"/>
      <c r="B49" s="29" t="s">
        <v>2530</v>
      </c>
      <c r="C49" s="28">
        <f>SUMIF(All!G:G,B49,All!G:G)</f>
        <v>46301.956999999988</v>
      </c>
      <c r="D49" s="28">
        <v>460</v>
      </c>
      <c r="E49" s="30">
        <f t="shared" si="1"/>
        <v>0.23932494094661153</v>
      </c>
      <c r="F49" s="28">
        <f>COUNTIF(All!G:G,B49)</f>
        <v>492</v>
      </c>
    </row>
    <row r="50" spans="1:6" x14ac:dyDescent="0.3">
      <c r="A50" s="33"/>
      <c r="B50" s="29" t="s">
        <v>2531</v>
      </c>
      <c r="C50" s="28">
        <f>SUMIF(All!G:G,B50,All!G:G)</f>
        <v>46761.956999999988</v>
      </c>
      <c r="D50" s="28">
        <v>470</v>
      </c>
      <c r="E50" s="30">
        <f t="shared" si="1"/>
        <v>0.24170258284272927</v>
      </c>
      <c r="F50" s="33">
        <f>COUNTIF(All!G:G,B50)</f>
        <v>493</v>
      </c>
    </row>
    <row r="51" spans="1:6" x14ac:dyDescent="0.3">
      <c r="A51" s="33"/>
      <c r="B51" s="29" t="s">
        <v>2532</v>
      </c>
      <c r="C51" s="28">
        <f>SUMIF(All!G:G,B51,All!G:G)</f>
        <v>47712.956999999988</v>
      </c>
      <c r="D51" s="28">
        <v>480</v>
      </c>
      <c r="E51" s="30">
        <f t="shared" si="1"/>
        <v>0.24661809902361612</v>
      </c>
      <c r="F51" s="28">
        <f>COUNTIF(All!G:G,B51)</f>
        <v>495</v>
      </c>
    </row>
    <row r="52" spans="1:6" x14ac:dyDescent="0.3">
      <c r="A52" s="33"/>
      <c r="B52" s="29" t="s">
        <v>2533</v>
      </c>
      <c r="C52" s="28">
        <f>SUMIF(All!G:G,B52,All!G:G)</f>
        <v>48678.956999999988</v>
      </c>
      <c r="D52" s="28">
        <v>490</v>
      </c>
      <c r="E52" s="30">
        <f t="shared" si="1"/>
        <v>0.25161114700546333</v>
      </c>
      <c r="F52" s="33">
        <f>COUNTIF(All!G:G,B52)</f>
        <v>497</v>
      </c>
    </row>
    <row r="53" spans="1:6" x14ac:dyDescent="0.3">
      <c r="A53" s="33"/>
      <c r="B53" s="29" t="s">
        <v>2534</v>
      </c>
      <c r="C53" s="28">
        <f>SUMIF(All!G:G,B53,All!G:G)</f>
        <v>48678.956999999988</v>
      </c>
      <c r="D53" s="28">
        <v>500</v>
      </c>
      <c r="E53" s="30">
        <f t="shared" si="1"/>
        <v>0.25161114700546333</v>
      </c>
      <c r="F53" s="33">
        <f>COUNTIF(All!G:G,B53)</f>
        <v>497</v>
      </c>
    </row>
    <row r="54" spans="1:6" x14ac:dyDescent="0.3">
      <c r="A54" s="33"/>
      <c r="B54" s="29" t="s">
        <v>2535</v>
      </c>
      <c r="C54" s="28">
        <f>SUMIF(All!G:G,B54,All!G:G)</f>
        <v>49178.95699999998</v>
      </c>
      <c r="D54" s="28">
        <v>510</v>
      </c>
      <c r="E54" s="30">
        <f t="shared" si="1"/>
        <v>0.25419554037080866</v>
      </c>
      <c r="F54" s="33">
        <f>COUNTIF(All!G:G,B54)</f>
        <v>498</v>
      </c>
    </row>
    <row r="55" spans="1:6" x14ac:dyDescent="0.3">
      <c r="A55" s="33"/>
      <c r="B55" s="29" t="s">
        <v>2536</v>
      </c>
      <c r="C55" s="28">
        <f>SUMIF(All!G:G,B55,All!G:G)</f>
        <v>49697.356999999982</v>
      </c>
      <c r="D55" s="28">
        <v>520</v>
      </c>
      <c r="E55" s="30">
        <f t="shared" si="1"/>
        <v>0.25687503941199874</v>
      </c>
      <c r="F55" s="33">
        <f>COUNTIF(All!G:G,B55)</f>
        <v>499</v>
      </c>
    </row>
    <row r="56" spans="1:6" x14ac:dyDescent="0.3">
      <c r="A56" s="33"/>
      <c r="B56" s="29" t="s">
        <v>2537</v>
      </c>
      <c r="C56" s="28">
        <f>SUMIF(All!G:G,B56,All!G:G)</f>
        <v>49697.356999999982</v>
      </c>
      <c r="D56" s="28">
        <v>530</v>
      </c>
      <c r="E56" s="30">
        <f t="shared" si="1"/>
        <v>0.25687503941199874</v>
      </c>
      <c r="F56" s="33">
        <f>COUNTIF(All!G:G,B56)</f>
        <v>499</v>
      </c>
    </row>
    <row r="57" spans="1:6" x14ac:dyDescent="0.3">
      <c r="A57" s="33"/>
      <c r="B57" s="29" t="s">
        <v>2538</v>
      </c>
      <c r="C57" s="28">
        <f>SUMIF(All!G:G,B57,All!G:G)</f>
        <v>50227.356999999982</v>
      </c>
      <c r="D57" s="28">
        <v>540</v>
      </c>
      <c r="E57" s="30">
        <f t="shared" si="1"/>
        <v>0.25961449637926481</v>
      </c>
      <c r="F57" s="33">
        <f>COUNTIF(All!G:G,B57)</f>
        <v>500</v>
      </c>
    </row>
    <row r="58" spans="1:6" x14ac:dyDescent="0.3">
      <c r="A58" s="33"/>
      <c r="B58" s="29" t="s">
        <v>2539</v>
      </c>
      <c r="C58" s="28">
        <f>SUMIF(All!G:G,B58,All!G:G)</f>
        <v>50773.356999999982</v>
      </c>
      <c r="D58" s="28">
        <v>550</v>
      </c>
      <c r="E58" s="30">
        <f t="shared" si="1"/>
        <v>0.26243665393422194</v>
      </c>
      <c r="F58" s="33">
        <f>COUNTIF(All!G:G,B58)</f>
        <v>501</v>
      </c>
    </row>
    <row r="59" spans="1:6" x14ac:dyDescent="0.3">
      <c r="A59" s="33"/>
      <c r="B59" s="29" t="s">
        <v>2540</v>
      </c>
      <c r="C59" s="28">
        <f>SUMIF(All!G:G,B59,All!G:G)</f>
        <v>50773.356999999982</v>
      </c>
      <c r="D59" s="28">
        <v>560</v>
      </c>
      <c r="E59" s="30">
        <f t="shared" si="1"/>
        <v>0.26243665393422194</v>
      </c>
      <c r="F59" s="33">
        <f>COUNTIF(All!G:G,B59)</f>
        <v>501</v>
      </c>
    </row>
    <row r="60" spans="1:6" x14ac:dyDescent="0.3">
      <c r="A60" s="33"/>
      <c r="B60" s="29" t="s">
        <v>2541</v>
      </c>
      <c r="C60" s="28">
        <f>SUMIF(All!G:G,B60,All!G:G)</f>
        <v>51341.356999999982</v>
      </c>
      <c r="D60" s="28">
        <v>570</v>
      </c>
      <c r="E60" s="30">
        <f t="shared" si="1"/>
        <v>0.26537252479725426</v>
      </c>
      <c r="F60" s="33">
        <f>COUNTIF(All!G:G,B60)</f>
        <v>502</v>
      </c>
    </row>
    <row r="61" spans="1:6" x14ac:dyDescent="0.3">
      <c r="A61" s="33"/>
      <c r="B61" s="29" t="s">
        <v>2542</v>
      </c>
      <c r="C61" s="28">
        <f>SUMIF(All!G:G,B61,All!G:G)</f>
        <v>51341.356999999982</v>
      </c>
      <c r="D61" s="28">
        <v>580</v>
      </c>
      <c r="E61" s="30">
        <f t="shared" si="1"/>
        <v>0.26537252479725426</v>
      </c>
      <c r="F61" s="33">
        <f>COUNTIF(All!G:G,B61)</f>
        <v>502</v>
      </c>
    </row>
    <row r="62" spans="1:6" x14ac:dyDescent="0.3">
      <c r="A62" s="33"/>
      <c r="B62" s="29" t="s">
        <v>2543</v>
      </c>
      <c r="C62" s="28">
        <f>SUMIF(All!G:G,B62,All!G:G)</f>
        <v>51341.356999999982</v>
      </c>
      <c r="D62" s="28">
        <v>590</v>
      </c>
      <c r="E62" s="30">
        <f t="shared" si="1"/>
        <v>0.26537252479725426</v>
      </c>
      <c r="F62" s="33">
        <f>COUNTIF(All!G:G,B62)</f>
        <v>502</v>
      </c>
    </row>
    <row r="63" spans="1:6" x14ac:dyDescent="0.3">
      <c r="A63" s="33"/>
      <c r="B63" s="29" t="s">
        <v>2544</v>
      </c>
      <c r="C63" s="28">
        <f>SUMIF(All!G:G,B63,All!G:G)</f>
        <v>51940.356999999982</v>
      </c>
      <c r="D63" s="28">
        <v>600</v>
      </c>
      <c r="E63" s="30">
        <f t="shared" si="1"/>
        <v>0.26846862804893795</v>
      </c>
      <c r="F63" s="33">
        <f>COUNTIF(All!G:G,B63)</f>
        <v>503</v>
      </c>
    </row>
    <row r="64" spans="1:6" x14ac:dyDescent="0.3">
      <c r="A64" s="33"/>
      <c r="B64" s="29" t="s">
        <v>2545</v>
      </c>
      <c r="C64" s="28">
        <f>SUMIF(All!G:G,B64,All!G:G)</f>
        <v>52540.356999999982</v>
      </c>
      <c r="D64" s="28">
        <v>610</v>
      </c>
      <c r="E64" s="30">
        <f t="shared" si="1"/>
        <v>0.27156990008735238</v>
      </c>
      <c r="F64" s="33">
        <f>COUNTIF(All!G:G,B64)</f>
        <v>504</v>
      </c>
    </row>
    <row r="65" spans="1:6" x14ac:dyDescent="0.3">
      <c r="A65" s="33"/>
      <c r="B65" s="29" t="s">
        <v>2546</v>
      </c>
      <c r="C65" s="28">
        <f>SUMIF(All!G:G,B65,All!G:G)</f>
        <v>52540.356999999982</v>
      </c>
      <c r="D65" s="28">
        <v>620</v>
      </c>
      <c r="E65" s="30">
        <f t="shared" si="1"/>
        <v>0.27156990008735238</v>
      </c>
      <c r="F65" s="33">
        <f>COUNTIF(All!G:G,B65)</f>
        <v>504</v>
      </c>
    </row>
    <row r="66" spans="1:6" x14ac:dyDescent="0.3">
      <c r="A66" s="33"/>
      <c r="B66" s="29" t="s">
        <v>2547</v>
      </c>
      <c r="C66" s="28">
        <f>SUMIF(All!G:G,B66,All!G:G)</f>
        <v>52540.356999999982</v>
      </c>
      <c r="D66" s="28">
        <v>630</v>
      </c>
      <c r="E66" s="30">
        <f t="shared" si="1"/>
        <v>0.27156990008735238</v>
      </c>
      <c r="F66" s="33">
        <f>COUNTIF(All!G:G,B66)</f>
        <v>504</v>
      </c>
    </row>
    <row r="67" spans="1:6" x14ac:dyDescent="0.3">
      <c r="A67" s="33"/>
      <c r="B67" s="29" t="s">
        <v>2548</v>
      </c>
      <c r="C67" s="28">
        <f>SUMIF(All!G:G,B67,All!G:G)</f>
        <v>53170.356999999982</v>
      </c>
      <c r="D67" s="28">
        <v>640</v>
      </c>
      <c r="E67" s="30">
        <f t="shared" ref="E67:E98" si="2">C67/$A$5</f>
        <v>0.27482623572768755</v>
      </c>
      <c r="F67" s="33">
        <f>COUNTIF(All!G:G,B67)</f>
        <v>505</v>
      </c>
    </row>
    <row r="68" spans="1:6" x14ac:dyDescent="0.3">
      <c r="A68" s="33"/>
      <c r="B68" s="29" t="s">
        <v>2549</v>
      </c>
      <c r="C68" s="28">
        <f>SUMIF(All!G:G,B68,All!G:G)</f>
        <v>53810.356999999982</v>
      </c>
      <c r="D68" s="28">
        <v>650</v>
      </c>
      <c r="E68" s="30">
        <f t="shared" si="2"/>
        <v>0.27813425923532958</v>
      </c>
      <c r="F68" s="33">
        <f>COUNTIF(All!G:G,B68)</f>
        <v>506</v>
      </c>
    </row>
    <row r="69" spans="1:6" x14ac:dyDescent="0.3">
      <c r="A69" s="33"/>
      <c r="B69" s="29" t="s">
        <v>2550</v>
      </c>
      <c r="C69" s="28">
        <f>SUMIF(All!G:G,B69,All!G:G)</f>
        <v>54460.356999999982</v>
      </c>
      <c r="D69" s="28">
        <v>660</v>
      </c>
      <c r="E69" s="30">
        <f t="shared" si="2"/>
        <v>0.28149397061027853</v>
      </c>
      <c r="F69" s="33">
        <f>COUNTIF(All!G:G,B69)</f>
        <v>507</v>
      </c>
    </row>
    <row r="70" spans="1:6" x14ac:dyDescent="0.3">
      <c r="A70" s="33"/>
      <c r="B70" s="29" t="s">
        <v>2551</v>
      </c>
      <c r="C70" s="28">
        <f>SUMIF(All!G:G,B70,All!G:G)</f>
        <v>54460.356999999982</v>
      </c>
      <c r="D70" s="28">
        <v>670</v>
      </c>
      <c r="E70" s="30">
        <f t="shared" si="2"/>
        <v>0.28149397061027853</v>
      </c>
      <c r="F70" s="33">
        <f>COUNTIF(All!G:G,B70)</f>
        <v>507</v>
      </c>
    </row>
    <row r="71" spans="1:6" x14ac:dyDescent="0.3">
      <c r="A71" s="33"/>
      <c r="B71" s="29" t="s">
        <v>2552</v>
      </c>
      <c r="C71" s="28">
        <f>SUMIF(All!G:G,B71,All!G:G)</f>
        <v>54460.356999999982</v>
      </c>
      <c r="D71" s="28">
        <v>680</v>
      </c>
      <c r="E71" s="30">
        <f t="shared" si="2"/>
        <v>0.28149397061027853</v>
      </c>
      <c r="F71" s="33">
        <f>COUNTIF(All!G:G,B71)</f>
        <v>507</v>
      </c>
    </row>
    <row r="72" spans="1:6" x14ac:dyDescent="0.3">
      <c r="A72" s="33"/>
      <c r="B72" s="29" t="s">
        <v>2553</v>
      </c>
      <c r="C72" s="28">
        <f>SUMIF(All!G:G,B72,All!G:G)</f>
        <v>54460.356999999982</v>
      </c>
      <c r="D72" s="28">
        <v>690</v>
      </c>
      <c r="E72" s="30">
        <f t="shared" si="2"/>
        <v>0.28149397061027853</v>
      </c>
      <c r="F72" s="33">
        <f>COUNTIF(All!G:G,B72)</f>
        <v>507</v>
      </c>
    </row>
    <row r="73" spans="1:6" x14ac:dyDescent="0.3">
      <c r="A73" s="33"/>
      <c r="B73" s="29" t="s">
        <v>2554</v>
      </c>
      <c r="C73" s="28">
        <f>SUMIF(All!G:G,B73,All!G:G)</f>
        <v>54460.356999999982</v>
      </c>
      <c r="D73" s="28">
        <v>700</v>
      </c>
      <c r="E73" s="30">
        <f t="shared" si="2"/>
        <v>0.28149397061027853</v>
      </c>
      <c r="F73" s="33">
        <f>COUNTIF(All!G:G,B73)</f>
        <v>507</v>
      </c>
    </row>
    <row r="74" spans="1:6" x14ac:dyDescent="0.3">
      <c r="A74" s="33"/>
      <c r="B74" s="29" t="s">
        <v>2555</v>
      </c>
      <c r="C74" s="28">
        <f>SUMIF(All!G:G,B74,All!G:G)</f>
        <v>54460.356999999982</v>
      </c>
      <c r="D74" s="28">
        <v>710</v>
      </c>
      <c r="E74" s="30">
        <f t="shared" si="2"/>
        <v>0.28149397061027853</v>
      </c>
      <c r="F74" s="33">
        <f>COUNTIF(All!G:G,B74)</f>
        <v>507</v>
      </c>
    </row>
    <row r="75" spans="1:6" x14ac:dyDescent="0.3">
      <c r="A75" s="33"/>
      <c r="B75" s="29" t="s">
        <v>2556</v>
      </c>
      <c r="C75" s="28">
        <f>SUMIF(All!G:G,B75,All!G:G)</f>
        <v>54460.356999999982</v>
      </c>
      <c r="D75" s="28">
        <v>720</v>
      </c>
      <c r="E75" s="30">
        <f t="shared" si="2"/>
        <v>0.28149397061027853</v>
      </c>
      <c r="F75" s="33">
        <f>COUNTIF(All!G:G,B75)</f>
        <v>507</v>
      </c>
    </row>
    <row r="76" spans="1:6" x14ac:dyDescent="0.3">
      <c r="A76" s="33"/>
      <c r="B76" s="29" t="s">
        <v>2557</v>
      </c>
      <c r="C76" s="28">
        <f>SUMIF(All!G:G,B76,All!G:G)</f>
        <v>55180.356999999982</v>
      </c>
      <c r="D76" s="28">
        <v>730</v>
      </c>
      <c r="E76" s="30">
        <f t="shared" si="2"/>
        <v>0.28521549705637589</v>
      </c>
      <c r="F76" s="33">
        <f>COUNTIF(All!G:G,B76)</f>
        <v>508</v>
      </c>
    </row>
    <row r="77" spans="1:6" x14ac:dyDescent="0.3">
      <c r="A77" s="33"/>
      <c r="B77" s="29" t="s">
        <v>2558</v>
      </c>
      <c r="C77" s="28">
        <f>SUMIF(All!G:G,B77,All!G:G)</f>
        <v>55915.356999999982</v>
      </c>
      <c r="D77" s="28">
        <v>740</v>
      </c>
      <c r="E77" s="30">
        <f t="shared" si="2"/>
        <v>0.28901455530343351</v>
      </c>
      <c r="F77" s="33">
        <f>COUNTIF(All!G:G,B77)</f>
        <v>509</v>
      </c>
    </row>
    <row r="78" spans="1:6" x14ac:dyDescent="0.3">
      <c r="A78" s="33"/>
      <c r="B78" s="29" t="s">
        <v>2559</v>
      </c>
      <c r="C78" s="28">
        <f>SUMIF(All!G:G,B78,All!G:G)</f>
        <v>55915.356999999982</v>
      </c>
      <c r="D78" s="28">
        <v>750</v>
      </c>
      <c r="E78" s="30">
        <f t="shared" si="2"/>
        <v>0.28901455530343351</v>
      </c>
      <c r="F78" s="33">
        <f>COUNTIF(All!G:G,B78)</f>
        <v>509</v>
      </c>
    </row>
    <row r="79" spans="1:6" x14ac:dyDescent="0.3">
      <c r="A79" s="33"/>
      <c r="B79" s="29" t="s">
        <v>2560</v>
      </c>
      <c r="C79" s="28">
        <f>SUMIF(All!G:G,B79,All!G:G)</f>
        <v>55915.356999999982</v>
      </c>
      <c r="D79" s="28">
        <v>760</v>
      </c>
      <c r="E79" s="30">
        <f t="shared" si="2"/>
        <v>0.28901455530343351</v>
      </c>
      <c r="F79" s="33">
        <f>COUNTIF(All!G:G,B79)</f>
        <v>509</v>
      </c>
    </row>
    <row r="80" spans="1:6" x14ac:dyDescent="0.3">
      <c r="A80" s="33"/>
      <c r="B80" s="29" t="s">
        <v>2561</v>
      </c>
      <c r="C80" s="28">
        <f>SUMIF(All!G:G,B80,All!G:G)</f>
        <v>55915.356999999982</v>
      </c>
      <c r="D80" s="28">
        <v>770</v>
      </c>
      <c r="E80" s="30">
        <f t="shared" si="2"/>
        <v>0.28901455530343351</v>
      </c>
      <c r="F80" s="33">
        <f>COUNTIF(All!G:G,B80)</f>
        <v>509</v>
      </c>
    </row>
    <row r="81" spans="1:6" x14ac:dyDescent="0.3">
      <c r="A81" s="33"/>
      <c r="B81" s="29" t="s">
        <v>2562</v>
      </c>
      <c r="C81" s="28">
        <f>SUMIF(All!G:G,B81,All!G:G)</f>
        <v>55915.356999999982</v>
      </c>
      <c r="D81" s="28">
        <v>780</v>
      </c>
      <c r="E81" s="30">
        <f t="shared" si="2"/>
        <v>0.28901455530343351</v>
      </c>
      <c r="F81" s="33">
        <f>COUNTIF(All!G:G,B81)</f>
        <v>509</v>
      </c>
    </row>
    <row r="82" spans="1:6" x14ac:dyDescent="0.3">
      <c r="A82" s="33"/>
      <c r="B82" s="29" t="s">
        <v>2563</v>
      </c>
      <c r="C82" s="28">
        <f>SUMIF(All!G:G,B82,All!G:G)</f>
        <v>56696.356999999982</v>
      </c>
      <c r="D82" s="28">
        <v>790</v>
      </c>
      <c r="E82" s="30">
        <f t="shared" si="2"/>
        <v>0.29305137774010298</v>
      </c>
      <c r="F82" s="33">
        <f>COUNTIF(All!G:G,B82)</f>
        <v>510</v>
      </c>
    </row>
    <row r="83" spans="1:6" x14ac:dyDescent="0.3">
      <c r="A83" s="33"/>
      <c r="B83" s="29" t="s">
        <v>2564</v>
      </c>
      <c r="C83" s="28">
        <f>SUMIF(All!G:G,B83,All!G:G)</f>
        <v>56696.356999999982</v>
      </c>
      <c r="D83" s="28">
        <v>800</v>
      </c>
      <c r="E83" s="30">
        <f t="shared" si="2"/>
        <v>0.29305137774010298</v>
      </c>
      <c r="F83" s="33">
        <f>COUNTIF(All!G:G,B83)</f>
        <v>510</v>
      </c>
    </row>
    <row r="84" spans="1:6" x14ac:dyDescent="0.3">
      <c r="A84" s="33"/>
      <c r="B84" s="29" t="s">
        <v>2565</v>
      </c>
      <c r="C84" s="28">
        <f>SUMIF(All!G:G,B84,All!G:G)</f>
        <v>58296.356999999982</v>
      </c>
      <c r="D84" s="28">
        <v>810</v>
      </c>
      <c r="E84" s="30">
        <f t="shared" si="2"/>
        <v>0.30132143650920812</v>
      </c>
      <c r="F84" s="33">
        <f>COUNTIF(All!G:G,B84)</f>
        <v>512</v>
      </c>
    </row>
    <row r="85" spans="1:6" x14ac:dyDescent="0.3">
      <c r="A85" s="33"/>
      <c r="B85" s="29" t="s">
        <v>2566</v>
      </c>
      <c r="C85" s="28">
        <f>SUMIF(All!G:G,B85,All!G:G)</f>
        <v>58296.356999999982</v>
      </c>
      <c r="D85" s="28">
        <v>820</v>
      </c>
      <c r="E85" s="30">
        <f t="shared" si="2"/>
        <v>0.30132143650920812</v>
      </c>
      <c r="F85" s="33">
        <f>COUNTIF(All!G:G,B85)</f>
        <v>512</v>
      </c>
    </row>
    <row r="86" spans="1:6" x14ac:dyDescent="0.3">
      <c r="A86" s="33"/>
      <c r="B86" s="29" t="s">
        <v>2567</v>
      </c>
      <c r="C86" s="28">
        <f>SUMIF(All!G:G,B86,All!G:G)</f>
        <v>58296.356999999982</v>
      </c>
      <c r="D86" s="28">
        <v>830</v>
      </c>
      <c r="E86" s="30">
        <f t="shared" si="2"/>
        <v>0.30132143650920812</v>
      </c>
      <c r="F86" s="33">
        <f>COUNTIF(All!G:G,B86)</f>
        <v>512</v>
      </c>
    </row>
    <row r="87" spans="1:6" x14ac:dyDescent="0.3">
      <c r="A87" s="33"/>
      <c r="B87" s="29" t="s">
        <v>2568</v>
      </c>
      <c r="C87" s="28">
        <f>SUMIF(All!G:G,B87,All!G:G)</f>
        <v>58296.356999999982</v>
      </c>
      <c r="D87" s="28">
        <v>840</v>
      </c>
      <c r="E87" s="30">
        <f t="shared" si="2"/>
        <v>0.30132143650920812</v>
      </c>
      <c r="F87" s="33">
        <f>COUNTIF(All!G:G,B87)</f>
        <v>512</v>
      </c>
    </row>
    <row r="88" spans="1:6" x14ac:dyDescent="0.3">
      <c r="A88" s="33"/>
      <c r="B88" s="29" t="s">
        <v>2569</v>
      </c>
      <c r="C88" s="28">
        <f>SUMIF(All!G:G,B88,All!G:G)</f>
        <v>59136.356999999982</v>
      </c>
      <c r="D88" s="28">
        <v>850</v>
      </c>
      <c r="E88" s="30">
        <f t="shared" si="2"/>
        <v>0.30566321736298829</v>
      </c>
      <c r="F88" s="33">
        <f>COUNTIF(All!G:G,B88)</f>
        <v>513</v>
      </c>
    </row>
    <row r="89" spans="1:6" x14ac:dyDescent="0.3">
      <c r="A89" s="33"/>
      <c r="B89" s="29" t="s">
        <v>2570</v>
      </c>
      <c r="C89" s="28">
        <f>SUMIF(All!G:G,B89,All!G:G)</f>
        <v>59993.356999999982</v>
      </c>
      <c r="D89" s="28">
        <v>860</v>
      </c>
      <c r="E89" s="30">
        <f t="shared" si="2"/>
        <v>0.3100928675911902</v>
      </c>
      <c r="F89" s="33">
        <f>COUNTIF(All!G:G,B89)</f>
        <v>514</v>
      </c>
    </row>
    <row r="90" spans="1:6" x14ac:dyDescent="0.3">
      <c r="A90" s="33"/>
      <c r="B90" s="29" t="s">
        <v>2571</v>
      </c>
      <c r="C90" s="28">
        <f>SUMIF(All!G:G,B90,All!G:G)</f>
        <v>59993.356999999982</v>
      </c>
      <c r="D90" s="28">
        <v>870</v>
      </c>
      <c r="E90" s="30">
        <f t="shared" si="2"/>
        <v>0.3100928675911902</v>
      </c>
      <c r="F90" s="33">
        <f>COUNTIF(All!G:G,B90)</f>
        <v>514</v>
      </c>
    </row>
    <row r="91" spans="1:6" x14ac:dyDescent="0.3">
      <c r="A91" s="33"/>
      <c r="B91" s="29" t="s">
        <v>2572</v>
      </c>
      <c r="C91" s="28">
        <f>SUMIF(All!G:G,B91,All!G:G)</f>
        <v>59993.356999999982</v>
      </c>
      <c r="D91" s="28">
        <v>880</v>
      </c>
      <c r="E91" s="30">
        <f t="shared" si="2"/>
        <v>0.3100928675911902</v>
      </c>
      <c r="F91" s="33">
        <f>COUNTIF(All!G:G,B91)</f>
        <v>514</v>
      </c>
    </row>
    <row r="92" spans="1:6" x14ac:dyDescent="0.3">
      <c r="A92" s="33"/>
      <c r="B92" s="29" t="s">
        <v>2573</v>
      </c>
      <c r="C92" s="28">
        <f>SUMIF(All!G:G,B92,All!G:G)</f>
        <v>60876.856999999982</v>
      </c>
      <c r="D92" s="28">
        <v>890</v>
      </c>
      <c r="E92" s="30">
        <f t="shared" si="2"/>
        <v>0.31465949066775545</v>
      </c>
      <c r="F92" s="33">
        <f>COUNTIF(All!G:G,B92)</f>
        <v>515</v>
      </c>
    </row>
    <row r="93" spans="1:6" x14ac:dyDescent="0.3">
      <c r="A93" s="33"/>
      <c r="B93" s="29" t="s">
        <v>2574</v>
      </c>
      <c r="C93" s="28">
        <f>SUMIF(All!G:G,B93,All!G:G)</f>
        <v>60876.856999999982</v>
      </c>
      <c r="D93" s="28">
        <v>900</v>
      </c>
      <c r="E93" s="30">
        <f t="shared" si="2"/>
        <v>0.31465949066775545</v>
      </c>
      <c r="F93" s="33">
        <f>COUNTIF(All!G:G,B93)</f>
        <v>515</v>
      </c>
    </row>
    <row r="94" spans="1:6" x14ac:dyDescent="0.3">
      <c r="A94" s="33"/>
      <c r="B94" s="29" t="s">
        <v>2575</v>
      </c>
      <c r="C94" s="28">
        <f>SUMIF(All!G:G,B94,All!G:G)</f>
        <v>62676.856999999982</v>
      </c>
      <c r="D94" s="28">
        <v>910</v>
      </c>
      <c r="E94" s="30">
        <f t="shared" si="2"/>
        <v>0.32396330678299873</v>
      </c>
      <c r="F94" s="33">
        <f>COUNTIF(All!G:G,B94)</f>
        <v>517</v>
      </c>
    </row>
    <row r="95" spans="1:6" x14ac:dyDescent="0.3">
      <c r="A95" s="33"/>
      <c r="B95" s="29" t="s">
        <v>2576</v>
      </c>
      <c r="C95" s="28">
        <f>SUMIF(All!G:G,B95,All!G:G)</f>
        <v>63592.856999999982</v>
      </c>
      <c r="D95" s="28">
        <v>920</v>
      </c>
      <c r="E95" s="30">
        <f t="shared" si="2"/>
        <v>0.32869791542831139</v>
      </c>
      <c r="F95" s="33">
        <f>COUNTIF(All!G:G,B95)</f>
        <v>518</v>
      </c>
    </row>
    <row r="96" spans="1:6" x14ac:dyDescent="0.3">
      <c r="A96" s="33"/>
      <c r="B96" s="29" t="s">
        <v>2577</v>
      </c>
      <c r="C96" s="28">
        <f>SUMIF(All!G:G,B96,All!G:G)</f>
        <v>63592.856999999982</v>
      </c>
      <c r="D96" s="28">
        <v>930</v>
      </c>
      <c r="E96" s="30">
        <f t="shared" si="2"/>
        <v>0.32869791542831139</v>
      </c>
      <c r="F96" s="33">
        <f>COUNTIF(All!G:G,B96)</f>
        <v>518</v>
      </c>
    </row>
    <row r="97" spans="1:6" x14ac:dyDescent="0.3">
      <c r="A97" s="33"/>
      <c r="B97" s="29" t="s">
        <v>2578</v>
      </c>
      <c r="C97" s="28">
        <f>SUMIF(All!G:G,B97,All!G:G)</f>
        <v>63592.856999999982</v>
      </c>
      <c r="D97" s="28">
        <v>940</v>
      </c>
      <c r="E97" s="30">
        <f t="shared" si="2"/>
        <v>0.32869791542831139</v>
      </c>
      <c r="F97" s="33">
        <f>COUNTIF(All!G:G,B97)</f>
        <v>518</v>
      </c>
    </row>
    <row r="98" spans="1:6" x14ac:dyDescent="0.3">
      <c r="A98" s="33"/>
      <c r="B98" s="29" t="s">
        <v>2579</v>
      </c>
      <c r="C98" s="28">
        <f>SUMIF(All!G:G,B98,All!G:G)</f>
        <v>63592.856999999982</v>
      </c>
      <c r="D98" s="28">
        <v>950</v>
      </c>
      <c r="E98" s="30">
        <f t="shared" si="2"/>
        <v>0.32869791542831139</v>
      </c>
      <c r="F98" s="33">
        <f>COUNTIF(All!G:G,B98)</f>
        <v>518</v>
      </c>
    </row>
    <row r="99" spans="1:6" x14ac:dyDescent="0.3">
      <c r="A99" s="33"/>
      <c r="B99" s="29" t="s">
        <v>2580</v>
      </c>
      <c r="C99" s="28">
        <f>SUMIF(All!G:G,B99,All!G:G)</f>
        <v>63592.856999999982</v>
      </c>
      <c r="D99" s="28">
        <v>960</v>
      </c>
      <c r="E99" s="30">
        <f t="shared" ref="E99:E128" si="3">C99/$A$5</f>
        <v>0.32869791542831139</v>
      </c>
      <c r="F99" s="33">
        <f>COUNTIF(All!G:G,B99)</f>
        <v>518</v>
      </c>
    </row>
    <row r="100" spans="1:6" x14ac:dyDescent="0.3">
      <c r="A100" s="33"/>
      <c r="B100" s="29" t="s">
        <v>2581</v>
      </c>
      <c r="C100" s="28">
        <f>SUMIF(All!G:G,B100,All!G:G)</f>
        <v>64552.856999999982</v>
      </c>
      <c r="D100" s="28">
        <v>970</v>
      </c>
      <c r="E100" s="30">
        <f t="shared" si="3"/>
        <v>0.3336599506897745</v>
      </c>
      <c r="F100" s="33">
        <f>COUNTIF(All!G:G,B100)</f>
        <v>519</v>
      </c>
    </row>
    <row r="101" spans="1:6" x14ac:dyDescent="0.3">
      <c r="A101" s="33"/>
      <c r="B101" s="29" t="s">
        <v>2582</v>
      </c>
      <c r="C101" s="28">
        <f>SUMIF(All!G:G,B101,All!G:G)</f>
        <v>65529.856999999982</v>
      </c>
      <c r="D101" s="28">
        <v>980</v>
      </c>
      <c r="E101" s="30">
        <f t="shared" si="3"/>
        <v>0.33870985532565934</v>
      </c>
      <c r="F101" s="33">
        <f>COUNTIF(All!G:G,B101)</f>
        <v>520</v>
      </c>
    </row>
    <row r="102" spans="1:6" x14ac:dyDescent="0.3">
      <c r="A102" s="33"/>
      <c r="B102" s="29" t="s">
        <v>2583</v>
      </c>
      <c r="C102" s="28">
        <f>SUMIF(All!G:G,B102,All!G:G)</f>
        <v>65529.856999999982</v>
      </c>
      <c r="D102" s="28">
        <v>990</v>
      </c>
      <c r="E102" s="30">
        <f t="shared" si="3"/>
        <v>0.33870985532565934</v>
      </c>
      <c r="F102" s="33">
        <f>COUNTIF(All!G:G,B102)</f>
        <v>520</v>
      </c>
    </row>
    <row r="103" spans="1:6" x14ac:dyDescent="0.3">
      <c r="A103" s="33"/>
      <c r="B103" s="29" t="s">
        <v>2584</v>
      </c>
      <c r="C103" s="28">
        <f>SUMIF(All!G:G,B103,All!G:G)</f>
        <v>66521.856999999975</v>
      </c>
      <c r="D103" s="28">
        <v>1000</v>
      </c>
      <c r="E103" s="30">
        <f t="shared" si="3"/>
        <v>0.34383729176250444</v>
      </c>
      <c r="F103" s="33">
        <f>COUNTIF(All!G:G,B103)</f>
        <v>521</v>
      </c>
    </row>
    <row r="104" spans="1:6" x14ac:dyDescent="0.3">
      <c r="A104" s="33"/>
      <c r="B104" s="29" t="s">
        <v>2585</v>
      </c>
      <c r="C104" s="28">
        <f>SUMIF(All!G:G,B104,All!G:G)</f>
        <v>68521.856999999975</v>
      </c>
      <c r="D104" s="28">
        <v>1010</v>
      </c>
      <c r="E104" s="30">
        <f t="shared" si="3"/>
        <v>0.35417486522388586</v>
      </c>
      <c r="F104" s="33">
        <f>COUNTIF(All!G:G,B104)</f>
        <v>523</v>
      </c>
    </row>
    <row r="105" spans="1:6" x14ac:dyDescent="0.3">
      <c r="A105" s="33"/>
      <c r="B105" s="29" t="s">
        <v>2586</v>
      </c>
      <c r="C105" s="28">
        <f>SUMIF(All!G:G,B105,All!G:G)</f>
        <v>69537.856999999989</v>
      </c>
      <c r="D105" s="28">
        <v>1020</v>
      </c>
      <c r="E105" s="30">
        <f t="shared" si="3"/>
        <v>0.35942635254226768</v>
      </c>
      <c r="F105" s="33">
        <f>COUNTIF(All!G:G,B105)</f>
        <v>524</v>
      </c>
    </row>
    <row r="106" spans="1:6" x14ac:dyDescent="0.3">
      <c r="A106" s="33"/>
      <c r="B106" s="29" t="s">
        <v>2587</v>
      </c>
      <c r="C106" s="28">
        <f>SUMIF(All!G:G,B106,All!G:G)</f>
        <v>70563.856999999989</v>
      </c>
      <c r="D106" s="28">
        <v>1030</v>
      </c>
      <c r="E106" s="30">
        <f t="shared" si="3"/>
        <v>0.36472952772795636</v>
      </c>
      <c r="F106" s="33">
        <f>COUNTIF(All!G:G,B106)</f>
        <v>525</v>
      </c>
    </row>
    <row r="107" spans="1:6" x14ac:dyDescent="0.3">
      <c r="A107" s="33"/>
      <c r="B107" s="29" t="s">
        <v>2588</v>
      </c>
      <c r="C107" s="28">
        <f>SUMIF(All!G:G,B107,All!G:G)</f>
        <v>70563.856999999989</v>
      </c>
      <c r="D107" s="28">
        <v>1040</v>
      </c>
      <c r="E107" s="30">
        <f t="shared" si="3"/>
        <v>0.36472952772795636</v>
      </c>
      <c r="F107" s="33">
        <f>COUNTIF(All!G:G,B107)</f>
        <v>525</v>
      </c>
    </row>
    <row r="108" spans="1:6" x14ac:dyDescent="0.3">
      <c r="A108" s="33"/>
      <c r="B108" s="29" t="s">
        <v>2589</v>
      </c>
      <c r="C108" s="28">
        <f>SUMIF(All!G:G,B108,All!G:G)</f>
        <v>70563.856999999989</v>
      </c>
      <c r="D108" s="28">
        <v>1050</v>
      </c>
      <c r="E108" s="30">
        <f t="shared" si="3"/>
        <v>0.36472952772795636</v>
      </c>
      <c r="F108" s="33">
        <f>COUNTIF(All!G:G,B108)</f>
        <v>525</v>
      </c>
    </row>
    <row r="109" spans="1:6" x14ac:dyDescent="0.3">
      <c r="A109" s="33"/>
      <c r="B109" s="29" t="s">
        <v>2590</v>
      </c>
      <c r="C109" s="28">
        <f>SUMIF(All!G:G,B109,All!G:G)</f>
        <v>71613.856999999989</v>
      </c>
      <c r="D109" s="28">
        <v>1060</v>
      </c>
      <c r="E109" s="30">
        <f t="shared" si="3"/>
        <v>0.37015675379518159</v>
      </c>
      <c r="F109" s="33">
        <f>COUNTIF(All!G:G,B109)</f>
        <v>526</v>
      </c>
    </row>
    <row r="110" spans="1:6" x14ac:dyDescent="0.3">
      <c r="A110" s="33"/>
      <c r="B110" s="29" t="s">
        <v>2591</v>
      </c>
      <c r="C110" s="28">
        <f>SUMIF(All!G:G,B110,All!G:G)</f>
        <v>72673.856999999989</v>
      </c>
      <c r="D110" s="28">
        <v>1070</v>
      </c>
      <c r="E110" s="30">
        <f t="shared" si="3"/>
        <v>0.37563566772971374</v>
      </c>
      <c r="F110" s="33">
        <f>COUNTIF(All!G:G,B110)</f>
        <v>527</v>
      </c>
    </row>
    <row r="111" spans="1:6" x14ac:dyDescent="0.3">
      <c r="A111" s="33"/>
      <c r="B111" s="29" t="s">
        <v>2592</v>
      </c>
      <c r="C111" s="28">
        <f>SUMIF(All!G:G,B111,All!G:G)</f>
        <v>72673.856999999989</v>
      </c>
      <c r="D111" s="28">
        <v>1080</v>
      </c>
      <c r="E111" s="30">
        <f t="shared" si="3"/>
        <v>0.37563566772971374</v>
      </c>
      <c r="F111" s="33">
        <f>COUNTIF(All!G:G,B111)</f>
        <v>527</v>
      </c>
    </row>
    <row r="112" spans="1:6" x14ac:dyDescent="0.3">
      <c r="A112" s="33"/>
      <c r="B112" s="29" t="s">
        <v>2593</v>
      </c>
      <c r="C112" s="28">
        <f>SUMIF(All!G:G,B112,All!G:G)</f>
        <v>72673.856999999989</v>
      </c>
      <c r="D112" s="28">
        <v>1090</v>
      </c>
      <c r="E112" s="30">
        <f t="shared" si="3"/>
        <v>0.37563566772971374</v>
      </c>
      <c r="F112" s="33">
        <f>COUNTIF(All!G:G,B112)</f>
        <v>527</v>
      </c>
    </row>
    <row r="113" spans="1:6" x14ac:dyDescent="0.3">
      <c r="A113" s="33"/>
      <c r="B113" s="29" t="s">
        <v>2594</v>
      </c>
      <c r="C113" s="28">
        <f>SUMIF(All!G:G,B113,All!G:G)</f>
        <v>72673.856999999989</v>
      </c>
      <c r="D113" s="28">
        <v>1100</v>
      </c>
      <c r="E113" s="30">
        <f t="shared" si="3"/>
        <v>0.37563566772971374</v>
      </c>
      <c r="F113" s="33">
        <f>COUNTIF(All!G:G,B113)</f>
        <v>527</v>
      </c>
    </row>
    <row r="114" spans="1:6" x14ac:dyDescent="0.3">
      <c r="A114" s="33"/>
      <c r="B114" s="29" t="s">
        <v>2595</v>
      </c>
      <c r="C114" s="28">
        <f>SUMIF(All!G:G,B114,All!G:G)</f>
        <v>72673.856999999989</v>
      </c>
      <c r="D114" s="28">
        <v>1110</v>
      </c>
      <c r="E114" s="30">
        <f t="shared" si="3"/>
        <v>0.37563566772971374</v>
      </c>
      <c r="F114" s="33">
        <f>COUNTIF(All!G:G,B114)</f>
        <v>527</v>
      </c>
    </row>
    <row r="115" spans="1:6" x14ac:dyDescent="0.3">
      <c r="A115" s="33"/>
      <c r="B115" s="29" t="s">
        <v>2596</v>
      </c>
      <c r="C115" s="28">
        <f>SUMIF(All!G:G,B115,All!G:G)</f>
        <v>72673.856999999989</v>
      </c>
      <c r="D115" s="28">
        <v>1120</v>
      </c>
      <c r="E115" s="30">
        <f t="shared" si="3"/>
        <v>0.37563566772971374</v>
      </c>
      <c r="F115" s="33">
        <f>COUNTIF(All!G:G,B115)</f>
        <v>527</v>
      </c>
    </row>
    <row r="116" spans="1:6" x14ac:dyDescent="0.3">
      <c r="A116" s="33"/>
      <c r="B116" s="29" t="s">
        <v>2597</v>
      </c>
      <c r="C116" s="28">
        <f>SUMIF(All!G:G,B116,All!G:G)</f>
        <v>74921.856999999989</v>
      </c>
      <c r="D116" s="28">
        <v>1130</v>
      </c>
      <c r="E116" s="30">
        <f t="shared" si="3"/>
        <v>0.38725510030030647</v>
      </c>
      <c r="F116" s="33">
        <f>COUNTIF(All!G:G,B116)</f>
        <v>529</v>
      </c>
    </row>
    <row r="117" spans="1:6" x14ac:dyDescent="0.3">
      <c r="A117" s="33"/>
      <c r="B117" s="29" t="s">
        <v>2598</v>
      </c>
      <c r="C117" s="28">
        <f>SUMIF(All!G:G,B117,All!G:G)</f>
        <v>74921.856999999989</v>
      </c>
      <c r="D117" s="28">
        <v>1140</v>
      </c>
      <c r="E117" s="30">
        <f t="shared" si="3"/>
        <v>0.38725510030030647</v>
      </c>
      <c r="F117" s="33">
        <f>COUNTIF(All!G:G,B117)</f>
        <v>529</v>
      </c>
    </row>
    <row r="118" spans="1:6" x14ac:dyDescent="0.3">
      <c r="A118" s="33"/>
      <c r="B118" s="29" t="s">
        <v>2599</v>
      </c>
      <c r="C118" s="28">
        <f>SUMIF(All!G:G,B118,All!G:G)</f>
        <v>74921.856999999989</v>
      </c>
      <c r="D118" s="28">
        <v>1150</v>
      </c>
      <c r="E118" s="30">
        <f t="shared" si="3"/>
        <v>0.38725510030030647</v>
      </c>
      <c r="F118" s="33">
        <f>COUNTIF(All!G:G,B118)</f>
        <v>529</v>
      </c>
    </row>
    <row r="119" spans="1:6" x14ac:dyDescent="0.3">
      <c r="A119" s="33"/>
      <c r="B119" s="29" t="s">
        <v>2600</v>
      </c>
      <c r="C119" s="28">
        <f>SUMIF(All!G:G,B119,All!G:G)</f>
        <v>74921.856999999989</v>
      </c>
      <c r="D119" s="28">
        <v>1160</v>
      </c>
      <c r="E119" s="30">
        <f t="shared" si="3"/>
        <v>0.38725510030030647</v>
      </c>
      <c r="F119" s="33">
        <f>COUNTIF(All!G:G,B119)</f>
        <v>529</v>
      </c>
    </row>
    <row r="120" spans="1:6" x14ac:dyDescent="0.3">
      <c r="A120" s="33"/>
      <c r="B120" s="29" t="s">
        <v>2601</v>
      </c>
      <c r="C120" s="28">
        <f>SUMIF(All!G:G,B120,All!G:G)</f>
        <v>77251.856999999989</v>
      </c>
      <c r="D120" s="28">
        <v>1170</v>
      </c>
      <c r="E120" s="30">
        <f t="shared" si="3"/>
        <v>0.39929837338281582</v>
      </c>
      <c r="F120" s="33">
        <f>COUNTIF(All!G:G,B120)</f>
        <v>531</v>
      </c>
    </row>
    <row r="121" spans="1:6" x14ac:dyDescent="0.3">
      <c r="A121" s="33"/>
      <c r="B121" s="29" t="s">
        <v>2602</v>
      </c>
      <c r="C121" s="28">
        <f>SUMIF(All!G:G,B121,All!G:G)</f>
        <v>77251.856999999989</v>
      </c>
      <c r="D121" s="28">
        <v>1180</v>
      </c>
      <c r="E121" s="30">
        <f t="shared" si="3"/>
        <v>0.39929837338281582</v>
      </c>
      <c r="F121" s="33">
        <f>COUNTIF(All!G:G,B121)</f>
        <v>531</v>
      </c>
    </row>
    <row r="122" spans="1:6" x14ac:dyDescent="0.3">
      <c r="A122" s="33"/>
      <c r="B122" s="29" t="s">
        <v>2603</v>
      </c>
      <c r="C122" s="28">
        <f>SUMIF(All!G:G,B122,All!G:G)</f>
        <v>77251.856999999989</v>
      </c>
      <c r="D122" s="28">
        <v>1190</v>
      </c>
      <c r="E122" s="30">
        <f t="shared" si="3"/>
        <v>0.39929837338281582</v>
      </c>
      <c r="F122" s="33">
        <f>COUNTIF(All!G:G,B122)</f>
        <v>531</v>
      </c>
    </row>
    <row r="123" spans="1:6" x14ac:dyDescent="0.3">
      <c r="A123" s="33"/>
      <c r="B123" s="29" t="s">
        <v>2604</v>
      </c>
      <c r="C123" s="28">
        <f>SUMIF(All!G:G,B123,All!G:G)</f>
        <v>77251.856999999989</v>
      </c>
      <c r="D123" s="28">
        <v>1200</v>
      </c>
      <c r="E123" s="30">
        <f t="shared" si="3"/>
        <v>0.39929837338281582</v>
      </c>
      <c r="F123" s="33">
        <f>COUNTIF(All!G:G,B123)</f>
        <v>531</v>
      </c>
    </row>
    <row r="124" spans="1:6" x14ac:dyDescent="0.3">
      <c r="A124" s="33"/>
      <c r="B124" s="29" t="s">
        <v>2605</v>
      </c>
      <c r="C124" s="28">
        <f>SUMIF(All!G:G,B124,All!G:G)</f>
        <v>78451.856999999989</v>
      </c>
      <c r="D124" s="28">
        <v>1210</v>
      </c>
      <c r="E124" s="30">
        <f t="shared" si="3"/>
        <v>0.40550091745964462</v>
      </c>
      <c r="F124" s="33">
        <f>COUNTIF(All!G:G,B124)</f>
        <v>532</v>
      </c>
    </row>
    <row r="125" spans="1:6" x14ac:dyDescent="0.3">
      <c r="A125" s="33"/>
      <c r="B125" s="29" t="s">
        <v>2606</v>
      </c>
      <c r="C125" s="28">
        <f>SUMIF(All!G:G,B125,All!G:G)</f>
        <v>78451.856999999989</v>
      </c>
      <c r="D125" s="28">
        <v>1220</v>
      </c>
      <c r="E125" s="30">
        <f t="shared" si="3"/>
        <v>0.40550091745964462</v>
      </c>
      <c r="F125" s="33">
        <f>COUNTIF(All!G:G,B125)</f>
        <v>532</v>
      </c>
    </row>
    <row r="126" spans="1:6" x14ac:dyDescent="0.3">
      <c r="A126" s="33"/>
      <c r="B126" s="29" t="s">
        <v>2607</v>
      </c>
      <c r="C126" s="28">
        <f>SUMIF(All!G:G,B126,All!G:G)</f>
        <v>78451.856999999989</v>
      </c>
      <c r="D126" s="28">
        <v>1230</v>
      </c>
      <c r="E126" s="30">
        <f t="shared" si="3"/>
        <v>0.40550091745964462</v>
      </c>
      <c r="F126" s="33">
        <f>COUNTIF(All!G:G,B126)</f>
        <v>532</v>
      </c>
    </row>
    <row r="127" spans="1:6" x14ac:dyDescent="0.3">
      <c r="A127" s="33"/>
      <c r="B127" s="29" t="s">
        <v>2608</v>
      </c>
      <c r="C127" s="28">
        <f>SUMIF(All!G:G,B127,All!G:G)</f>
        <v>78451.856999999989</v>
      </c>
      <c r="D127" s="28">
        <v>1240</v>
      </c>
      <c r="E127" s="30">
        <f t="shared" si="3"/>
        <v>0.40550091745964462</v>
      </c>
      <c r="F127" s="33">
        <f>COUNTIF(All!G:G,B127)</f>
        <v>532</v>
      </c>
    </row>
    <row r="128" spans="1:6" x14ac:dyDescent="0.3">
      <c r="A128" s="33"/>
      <c r="B128" s="29" t="s">
        <v>2609</v>
      </c>
      <c r="C128" s="28">
        <f>SUMIF(All!G:G,B128,All!G:G)</f>
        <v>79691.856999999989</v>
      </c>
      <c r="D128" s="28">
        <v>1250</v>
      </c>
      <c r="E128" s="30">
        <f t="shared" si="3"/>
        <v>0.41191021300570113</v>
      </c>
      <c r="F128" s="33">
        <f>COUNTIF(All!G:G,B128)</f>
        <v>533</v>
      </c>
    </row>
    <row r="129" spans="1:7" s="38" customFormat="1" x14ac:dyDescent="0.3">
      <c r="A129" s="35"/>
      <c r="B129" s="36"/>
      <c r="C129" s="37"/>
      <c r="D129" s="37"/>
      <c r="E129" s="37"/>
      <c r="F129" s="37"/>
    </row>
    <row r="130" spans="1:7" x14ac:dyDescent="0.3">
      <c r="A130" s="33"/>
      <c r="E130" s="28"/>
    </row>
    <row r="131" spans="1:7" s="27" customFormat="1" x14ac:dyDescent="0.3">
      <c r="A131" s="39" t="s">
        <v>1370</v>
      </c>
      <c r="B131" s="25"/>
      <c r="C131" s="24"/>
      <c r="D131" s="24"/>
      <c r="E131" s="24"/>
      <c r="F131" s="24"/>
    </row>
    <row r="132" spans="1:7" x14ac:dyDescent="0.3">
      <c r="A132" s="33"/>
      <c r="E132" s="28"/>
    </row>
    <row r="133" spans="1:7" x14ac:dyDescent="0.3">
      <c r="A133" s="33" t="s">
        <v>1371</v>
      </c>
      <c r="B133" s="29" t="s">
        <v>1372</v>
      </c>
      <c r="C133" s="28" t="s">
        <v>1380</v>
      </c>
      <c r="D133" s="28" t="s">
        <v>1373</v>
      </c>
      <c r="E133" s="30" t="s">
        <v>1387</v>
      </c>
      <c r="F133" s="20" t="s">
        <v>1381</v>
      </c>
      <c r="G133" s="21"/>
    </row>
    <row r="134" spans="1:7" x14ac:dyDescent="0.3">
      <c r="A134" s="33" t="s">
        <v>1375</v>
      </c>
      <c r="B134" s="29">
        <f>SUMIFS(All!$G:$G,All!$A:$A,A134)</f>
        <v>0</v>
      </c>
      <c r="C134" s="29">
        <f t="shared" ref="C134:C163" si="4">SUMIFS($F$134:$F$168,$G$134:$G$168,$A134)</f>
        <v>9</v>
      </c>
      <c r="D134" s="40">
        <f t="shared" ref="D134:D163" si="5">C134-B134</f>
        <v>9</v>
      </c>
      <c r="E134" s="30">
        <f t="shared" ref="E134:E160" si="6">D134/C134</f>
        <v>1</v>
      </c>
      <c r="F134" s="41">
        <v>13569</v>
      </c>
      <c r="G134" s="22" t="s">
        <v>13</v>
      </c>
    </row>
    <row r="135" spans="1:7" x14ac:dyDescent="0.3">
      <c r="A135" s="33" t="s">
        <v>1376</v>
      </c>
      <c r="B135" s="29">
        <f>SUMIFS(All!$G:$G,All!$A:$A,A135)</f>
        <v>0</v>
      </c>
      <c r="C135" s="29">
        <f t="shared" si="4"/>
        <v>7.62</v>
      </c>
      <c r="D135" s="40">
        <f t="shared" si="5"/>
        <v>7.62</v>
      </c>
      <c r="E135" s="30">
        <f t="shared" si="6"/>
        <v>1</v>
      </c>
      <c r="F135" s="41">
        <v>2060</v>
      </c>
      <c r="G135" s="23" t="s">
        <v>1382</v>
      </c>
    </row>
    <row r="136" spans="1:7" x14ac:dyDescent="0.3">
      <c r="A136" s="45" t="s">
        <v>1377</v>
      </c>
      <c r="B136" s="46">
        <f>SUMIFS(All!$G:$G,All!$A:$A,A136)</f>
        <v>0</v>
      </c>
      <c r="C136" s="46">
        <f t="shared" si="4"/>
        <v>57</v>
      </c>
      <c r="D136" s="47">
        <f t="shared" si="5"/>
        <v>57</v>
      </c>
      <c r="E136" s="48">
        <f t="shared" si="6"/>
        <v>1</v>
      </c>
      <c r="F136" s="41">
        <v>1425</v>
      </c>
      <c r="G136" s="22" t="s">
        <v>0</v>
      </c>
    </row>
    <row r="137" spans="1:7" x14ac:dyDescent="0.3">
      <c r="A137" s="45" t="s">
        <v>19</v>
      </c>
      <c r="B137" s="46">
        <f>SUMIFS(All!$G:$G,All!$A:$A,A137)</f>
        <v>465</v>
      </c>
      <c r="C137" s="46">
        <f t="shared" si="4"/>
        <v>3234</v>
      </c>
      <c r="D137" s="47">
        <f t="shared" si="5"/>
        <v>2769</v>
      </c>
      <c r="E137" s="48">
        <f t="shared" si="6"/>
        <v>0.85621521335807049</v>
      </c>
      <c r="F137" s="41">
        <v>3191</v>
      </c>
      <c r="G137" s="22" t="s">
        <v>1</v>
      </c>
    </row>
    <row r="138" spans="1:7" x14ac:dyDescent="0.3">
      <c r="A138" s="45" t="s">
        <v>14</v>
      </c>
      <c r="B138" s="46">
        <f>SUMIFS(All!$G:$G,All!$A:$A,A138)</f>
        <v>395.54</v>
      </c>
      <c r="C138" s="46">
        <f t="shared" si="4"/>
        <v>2354</v>
      </c>
      <c r="D138" s="47">
        <f t="shared" si="5"/>
        <v>1958.46</v>
      </c>
      <c r="E138" s="48">
        <f t="shared" si="6"/>
        <v>0.83197111299915039</v>
      </c>
      <c r="F138" s="41">
        <v>13828</v>
      </c>
      <c r="G138" s="22" t="s">
        <v>22</v>
      </c>
    </row>
    <row r="139" spans="1:7" x14ac:dyDescent="0.3">
      <c r="A139" s="45" t="s">
        <v>6</v>
      </c>
      <c r="B139" s="46">
        <f>SUMIFS(All!$G:$G,All!$A:$A,A139)</f>
        <v>3936</v>
      </c>
      <c r="C139" s="46">
        <f t="shared" si="4"/>
        <v>19468</v>
      </c>
      <c r="D139" s="47">
        <f t="shared" si="5"/>
        <v>15532</v>
      </c>
      <c r="E139" s="48">
        <f t="shared" si="6"/>
        <v>0.79782206698171354</v>
      </c>
      <c r="F139" s="41"/>
      <c r="G139" s="22" t="s">
        <v>1374</v>
      </c>
    </row>
    <row r="140" spans="1:7" x14ac:dyDescent="0.3">
      <c r="A140" s="45" t="s">
        <v>20</v>
      </c>
      <c r="B140" s="46">
        <f>SUMIFS(All!$G:$G,All!$A:$A,A140)</f>
        <v>4513</v>
      </c>
      <c r="C140" s="46">
        <f t="shared" si="4"/>
        <v>16155</v>
      </c>
      <c r="D140" s="47">
        <f t="shared" si="5"/>
        <v>11642</v>
      </c>
      <c r="E140" s="48">
        <f t="shared" si="6"/>
        <v>0.72064376354069948</v>
      </c>
      <c r="F140" s="41">
        <v>2261</v>
      </c>
      <c r="G140" s="33" t="s">
        <v>2</v>
      </c>
    </row>
    <row r="141" spans="1:7" x14ac:dyDescent="0.3">
      <c r="A141" s="45" t="s">
        <v>13</v>
      </c>
      <c r="B141" s="46">
        <f>SUMIFS(All!$G:$G,All!$A:$A,A141)</f>
        <v>3920</v>
      </c>
      <c r="C141" s="46">
        <f t="shared" si="4"/>
        <v>13569</v>
      </c>
      <c r="D141" s="47">
        <f t="shared" si="5"/>
        <v>9649</v>
      </c>
      <c r="E141" s="48">
        <f t="shared" si="6"/>
        <v>0.71110619795121233</v>
      </c>
      <c r="F141" s="41">
        <v>10708</v>
      </c>
      <c r="G141" s="22" t="s">
        <v>3</v>
      </c>
    </row>
    <row r="142" spans="1:7" x14ac:dyDescent="0.3">
      <c r="A142" s="45" t="s">
        <v>7</v>
      </c>
      <c r="B142" s="46">
        <f>SUMIFS(All!$G:$G,All!$A:$A,A142)</f>
        <v>8258.5</v>
      </c>
      <c r="C142" s="46">
        <f t="shared" si="4"/>
        <v>25416</v>
      </c>
      <c r="D142" s="47">
        <f t="shared" si="5"/>
        <v>17157.5</v>
      </c>
      <c r="E142" s="48">
        <f t="shared" si="6"/>
        <v>0.67506688700031481</v>
      </c>
      <c r="F142" s="41">
        <v>9</v>
      </c>
      <c r="G142" s="22" t="s">
        <v>1375</v>
      </c>
    </row>
    <row r="143" spans="1:7" x14ac:dyDescent="0.3">
      <c r="A143" s="33" t="s">
        <v>21</v>
      </c>
      <c r="B143" s="29">
        <f>SUMIFS(All!$G:$G,All!$A:$A,A143)</f>
        <v>13569.84</v>
      </c>
      <c r="C143" s="29">
        <f t="shared" si="4"/>
        <v>31080</v>
      </c>
      <c r="D143" s="40">
        <f t="shared" si="5"/>
        <v>17510.16</v>
      </c>
      <c r="E143" s="30">
        <f t="shared" si="6"/>
        <v>0.56338996138996134</v>
      </c>
      <c r="F143" s="41">
        <v>7.62</v>
      </c>
      <c r="G143" s="22" t="s">
        <v>1376</v>
      </c>
    </row>
    <row r="144" spans="1:7" x14ac:dyDescent="0.3">
      <c r="A144" s="33" t="s">
        <v>22</v>
      </c>
      <c r="B144" s="29">
        <f>SUMIFS(All!$G:$G,All!$A:$A,A144)</f>
        <v>6066.6500000000005</v>
      </c>
      <c r="C144" s="29">
        <f t="shared" si="4"/>
        <v>13828</v>
      </c>
      <c r="D144" s="40">
        <f t="shared" si="5"/>
        <v>7761.3499999999995</v>
      </c>
      <c r="E144" s="30">
        <f t="shared" si="6"/>
        <v>0.56127784205958919</v>
      </c>
      <c r="F144" s="41">
        <v>19468</v>
      </c>
      <c r="G144" s="22" t="s">
        <v>6</v>
      </c>
    </row>
    <row r="145" spans="1:7" x14ac:dyDescent="0.3">
      <c r="A145" s="28" t="s">
        <v>5</v>
      </c>
      <c r="B145" s="29">
        <f>SUMIFS(All!$G:$G,All!$A:$A,A145)</f>
        <v>1471</v>
      </c>
      <c r="C145" s="29">
        <f t="shared" si="4"/>
        <v>3237</v>
      </c>
      <c r="D145" s="40">
        <f t="shared" si="5"/>
        <v>1766</v>
      </c>
      <c r="E145" s="30">
        <f t="shared" si="6"/>
        <v>0.54556688291628053</v>
      </c>
      <c r="F145" s="41">
        <v>3234</v>
      </c>
      <c r="G145" s="22" t="s">
        <v>19</v>
      </c>
    </row>
    <row r="146" spans="1:7" x14ac:dyDescent="0.3">
      <c r="A146" s="33" t="s">
        <v>9</v>
      </c>
      <c r="B146" s="29">
        <f>SUMIFS(All!$G:$G,All!$A:$A,A146)</f>
        <v>10345</v>
      </c>
      <c r="C146" s="29">
        <f t="shared" si="4"/>
        <v>22098</v>
      </c>
      <c r="D146" s="40">
        <f t="shared" si="5"/>
        <v>11753</v>
      </c>
      <c r="E146" s="30">
        <f t="shared" si="6"/>
        <v>0.53185808670467916</v>
      </c>
      <c r="F146" s="41">
        <v>25416</v>
      </c>
      <c r="G146" s="22" t="s">
        <v>7</v>
      </c>
    </row>
    <row r="147" spans="1:7" x14ac:dyDescent="0.3">
      <c r="A147" s="33" t="s">
        <v>17</v>
      </c>
      <c r="B147" s="29">
        <f>SUMIFS(All!$G:$G,All!$A:$A,A147)</f>
        <v>638</v>
      </c>
      <c r="C147" s="29">
        <f t="shared" si="4"/>
        <v>1244.9000000000001</v>
      </c>
      <c r="D147" s="40">
        <f t="shared" si="5"/>
        <v>606.90000000000009</v>
      </c>
      <c r="E147" s="30">
        <f t="shared" si="6"/>
        <v>0.4875090368704314</v>
      </c>
      <c r="F147" s="41">
        <v>3971</v>
      </c>
      <c r="G147" s="22" t="s">
        <v>1048</v>
      </c>
    </row>
    <row r="148" spans="1:7" x14ac:dyDescent="0.3">
      <c r="A148" s="33" t="s">
        <v>8</v>
      </c>
      <c r="B148" s="29">
        <f>SUMIFS(All!$G:$G,All!$A:$A,A148)</f>
        <v>1306.3900000000001</v>
      </c>
      <c r="C148" s="29">
        <f t="shared" si="4"/>
        <v>2112</v>
      </c>
      <c r="D148" s="40">
        <f t="shared" si="5"/>
        <v>805.6099999999999</v>
      </c>
      <c r="E148" s="30">
        <f t="shared" si="6"/>
        <v>0.38144412878787876</v>
      </c>
      <c r="F148" s="41">
        <v>3237</v>
      </c>
      <c r="G148" s="22" t="s">
        <v>5</v>
      </c>
    </row>
    <row r="149" spans="1:7" x14ac:dyDescent="0.3">
      <c r="A149" s="33" t="s">
        <v>16</v>
      </c>
      <c r="B149" s="29">
        <f>SUMIFS(All!$G:$G,All!$A:$A,A149)</f>
        <v>4047</v>
      </c>
      <c r="C149" s="29">
        <f t="shared" si="4"/>
        <v>6309</v>
      </c>
      <c r="D149" s="40">
        <f t="shared" si="5"/>
        <v>2262</v>
      </c>
      <c r="E149" s="30">
        <f t="shared" si="6"/>
        <v>0.35853542558250118</v>
      </c>
      <c r="F149" s="41">
        <v>2112</v>
      </c>
      <c r="G149" s="22" t="s">
        <v>8</v>
      </c>
    </row>
    <row r="150" spans="1:7" x14ac:dyDescent="0.3">
      <c r="A150" s="33" t="s">
        <v>3</v>
      </c>
      <c r="B150" s="29">
        <f>SUMIFS(All!$G:$G,All!$A:$A,A150)</f>
        <v>7816.57</v>
      </c>
      <c r="C150" s="29">
        <f t="shared" si="4"/>
        <v>10708</v>
      </c>
      <c r="D150" s="40">
        <f t="shared" si="5"/>
        <v>2891.4300000000003</v>
      </c>
      <c r="E150" s="30">
        <f t="shared" si="6"/>
        <v>0.27002521479267838</v>
      </c>
      <c r="F150" s="41">
        <v>57</v>
      </c>
      <c r="G150" s="22" t="s">
        <v>1377</v>
      </c>
    </row>
    <row r="151" spans="1:7" x14ac:dyDescent="0.3">
      <c r="A151" s="33" t="s">
        <v>15</v>
      </c>
      <c r="B151" s="29">
        <f>SUMIFS(All!$G:$G,All!$A:$A,A151)</f>
        <v>4322.3999999999996</v>
      </c>
      <c r="C151" s="29">
        <f t="shared" si="4"/>
        <v>5692</v>
      </c>
      <c r="D151" s="40">
        <f t="shared" si="5"/>
        <v>1369.6000000000004</v>
      </c>
      <c r="E151" s="30">
        <f t="shared" si="6"/>
        <v>0.24061841180604363</v>
      </c>
      <c r="F151" s="41">
        <v>530</v>
      </c>
      <c r="G151" s="22" t="s">
        <v>4</v>
      </c>
    </row>
    <row r="152" spans="1:7" x14ac:dyDescent="0.3">
      <c r="A152" s="33" t="s">
        <v>18</v>
      </c>
      <c r="B152" s="29">
        <f>SUMIFS(All!$G:$G,All!$A:$A,A152)</f>
        <v>1954</v>
      </c>
      <c r="C152" s="29">
        <f t="shared" si="4"/>
        <v>2536</v>
      </c>
      <c r="D152" s="40">
        <f t="shared" si="5"/>
        <v>582</v>
      </c>
      <c r="E152" s="30">
        <f t="shared" si="6"/>
        <v>0.22949526813880125</v>
      </c>
      <c r="F152" s="41">
        <v>1860</v>
      </c>
      <c r="G152" s="22" t="s">
        <v>1383</v>
      </c>
    </row>
    <row r="153" spans="1:7" x14ac:dyDescent="0.3">
      <c r="A153" s="33" t="s">
        <v>2</v>
      </c>
      <c r="B153" s="29">
        <f>SUMIFS(All!$G:$G,All!$A:$A,A153)</f>
        <v>1873.9</v>
      </c>
      <c r="C153" s="29">
        <f t="shared" si="4"/>
        <v>2261</v>
      </c>
      <c r="D153" s="40">
        <f t="shared" si="5"/>
        <v>387.09999999999991</v>
      </c>
      <c r="E153" s="30">
        <f t="shared" si="6"/>
        <v>0.17120743034055724</v>
      </c>
      <c r="F153" s="41">
        <v>22098</v>
      </c>
      <c r="G153" s="22" t="s">
        <v>9</v>
      </c>
    </row>
    <row r="154" spans="1:7" x14ac:dyDescent="0.3">
      <c r="A154" s="33" t="s">
        <v>1</v>
      </c>
      <c r="B154" s="29">
        <f>SUMIFS(All!$G:$G,All!$A:$A,A154)</f>
        <v>2849.2</v>
      </c>
      <c r="C154" s="29">
        <f t="shared" si="4"/>
        <v>3191</v>
      </c>
      <c r="D154" s="40">
        <f t="shared" si="5"/>
        <v>341.80000000000018</v>
      </c>
      <c r="E154" s="30">
        <f t="shared" si="6"/>
        <v>0.10711375744280796</v>
      </c>
      <c r="F154" s="41">
        <v>1026</v>
      </c>
      <c r="G154" s="22" t="s">
        <v>1378</v>
      </c>
    </row>
    <row r="155" spans="1:7" x14ac:dyDescent="0.3">
      <c r="A155" s="33" t="s">
        <v>4</v>
      </c>
      <c r="B155" s="29">
        <f>SUMIFS(All!$G:$G,All!$A:$A,A155)</f>
        <v>505.42400000000004</v>
      </c>
      <c r="C155" s="29">
        <f t="shared" si="4"/>
        <v>530</v>
      </c>
      <c r="D155" s="40">
        <f t="shared" si="5"/>
        <v>24.575999999999965</v>
      </c>
      <c r="E155" s="30">
        <f t="shared" si="6"/>
        <v>4.6369811320754649E-2</v>
      </c>
      <c r="F155" s="41">
        <v>1334</v>
      </c>
      <c r="G155" s="22" t="s">
        <v>11</v>
      </c>
    </row>
    <row r="156" spans="1:7" x14ac:dyDescent="0.3">
      <c r="A156" s="33" t="s">
        <v>11</v>
      </c>
      <c r="B156" s="29">
        <f>SUMIFS(All!$G:$G,All!$A:$A,A156)</f>
        <v>1296</v>
      </c>
      <c r="C156" s="29">
        <f t="shared" si="4"/>
        <v>1334</v>
      </c>
      <c r="D156" s="40">
        <f t="shared" si="5"/>
        <v>38</v>
      </c>
      <c r="E156" s="30">
        <f t="shared" si="6"/>
        <v>2.8485757121439279E-2</v>
      </c>
      <c r="F156" s="41">
        <v>1579</v>
      </c>
      <c r="G156" s="22" t="s">
        <v>10</v>
      </c>
    </row>
    <row r="157" spans="1:7" x14ac:dyDescent="0.3">
      <c r="A157" s="33" t="s">
        <v>1378</v>
      </c>
      <c r="B157" s="29">
        <f>SUMIFS(All!$G:$G,All!$A:$A,A157)</f>
        <v>1000</v>
      </c>
      <c r="C157" s="29">
        <f t="shared" si="4"/>
        <v>1026</v>
      </c>
      <c r="D157" s="40">
        <f t="shared" si="5"/>
        <v>26</v>
      </c>
      <c r="E157" s="30">
        <f t="shared" si="6"/>
        <v>2.5341130604288498E-2</v>
      </c>
      <c r="F157" s="41">
        <v>660</v>
      </c>
      <c r="G157" s="21" t="s">
        <v>1384</v>
      </c>
    </row>
    <row r="158" spans="1:7" x14ac:dyDescent="0.3">
      <c r="A158" s="33" t="s">
        <v>12</v>
      </c>
      <c r="B158" s="29">
        <f>SUMIFS(All!$G:$G,All!$A:$A,A158)</f>
        <v>37.1</v>
      </c>
      <c r="C158" s="29">
        <f t="shared" si="4"/>
        <v>38</v>
      </c>
      <c r="D158" s="40">
        <f t="shared" si="5"/>
        <v>0.89999999999999858</v>
      </c>
      <c r="E158" s="30">
        <f t="shared" si="6"/>
        <v>2.3684210526315752E-2</v>
      </c>
      <c r="F158" s="41"/>
      <c r="G158" s="21" t="s">
        <v>1385</v>
      </c>
    </row>
    <row r="159" spans="1:7" x14ac:dyDescent="0.3">
      <c r="A159" s="33" t="s">
        <v>10</v>
      </c>
      <c r="B159" s="29">
        <f>SUMIFS(All!$G:$G,All!$A:$A,A159)</f>
        <v>1550.3999999999999</v>
      </c>
      <c r="C159" s="29">
        <f t="shared" si="4"/>
        <v>1579</v>
      </c>
      <c r="D159" s="40">
        <f t="shared" si="5"/>
        <v>28.600000000000136</v>
      </c>
      <c r="E159" s="30">
        <f t="shared" si="6"/>
        <v>1.8112729575680896E-2</v>
      </c>
      <c r="F159" s="41">
        <v>12</v>
      </c>
      <c r="G159" s="21"/>
    </row>
    <row r="160" spans="1:7" x14ac:dyDescent="0.3">
      <c r="A160" s="33" t="s">
        <v>0</v>
      </c>
      <c r="B160" s="29">
        <f>SUMIFS(All!$G:$G,All!$A:$A,A160)</f>
        <v>1401</v>
      </c>
      <c r="C160" s="29">
        <f t="shared" si="4"/>
        <v>1425</v>
      </c>
      <c r="D160" s="40">
        <f t="shared" si="5"/>
        <v>24</v>
      </c>
      <c r="E160" s="30">
        <f t="shared" si="6"/>
        <v>1.6842105263157894E-2</v>
      </c>
      <c r="F160" s="41">
        <v>38</v>
      </c>
      <c r="G160" s="22" t="s">
        <v>12</v>
      </c>
    </row>
    <row r="161" spans="1:7" x14ac:dyDescent="0.3">
      <c r="A161" s="33" t="s">
        <v>1374</v>
      </c>
      <c r="B161" s="29">
        <f>SUMIFS(All!$G:$G,All!$A:$A,A161)</f>
        <v>0</v>
      </c>
      <c r="C161" s="29">
        <f t="shared" si="4"/>
        <v>0</v>
      </c>
      <c r="D161" s="40">
        <f t="shared" si="5"/>
        <v>0</v>
      </c>
      <c r="E161" s="30">
        <v>0</v>
      </c>
      <c r="F161" s="41">
        <v>31080</v>
      </c>
      <c r="G161" s="22" t="s">
        <v>21</v>
      </c>
    </row>
    <row r="162" spans="1:7" x14ac:dyDescent="0.3">
      <c r="A162" s="33" t="s">
        <v>1379</v>
      </c>
      <c r="B162" s="29">
        <f>SUMIFS(All!$G:$G,All!$A:$A,A162)</f>
        <v>0</v>
      </c>
      <c r="C162" s="29">
        <f t="shared" si="4"/>
        <v>0</v>
      </c>
      <c r="D162" s="40">
        <f t="shared" si="5"/>
        <v>0</v>
      </c>
      <c r="E162" s="30">
        <v>0</v>
      </c>
      <c r="F162" s="41">
        <v>2354</v>
      </c>
      <c r="G162" s="22" t="s">
        <v>14</v>
      </c>
    </row>
    <row r="163" spans="1:7" x14ac:dyDescent="0.3">
      <c r="A163" s="45" t="s">
        <v>1048</v>
      </c>
      <c r="B163" s="46">
        <f>SUMIFS(All!$G:$G,All!$A:$A,A163)</f>
        <v>5014.9429999999975</v>
      </c>
      <c r="C163" s="46">
        <f t="shared" si="4"/>
        <v>3971</v>
      </c>
      <c r="D163" s="47">
        <f t="shared" si="5"/>
        <v>-1043.9429999999975</v>
      </c>
      <c r="E163" s="48">
        <f>D163/C163</f>
        <v>-0.26289171493326552</v>
      </c>
      <c r="F163" s="41">
        <v>5692</v>
      </c>
      <c r="G163" s="22" t="s">
        <v>15</v>
      </c>
    </row>
    <row r="164" spans="1:7" x14ac:dyDescent="0.3">
      <c r="A164" s="33"/>
      <c r="E164" s="28"/>
      <c r="F164" s="41">
        <v>6309</v>
      </c>
      <c r="G164" s="22" t="s">
        <v>16</v>
      </c>
    </row>
    <row r="165" spans="1:7" x14ac:dyDescent="0.3">
      <c r="A165" s="33" t="s">
        <v>1388</v>
      </c>
      <c r="B165" s="29">
        <f>SUM(B134:B163)</f>
        <v>88552.856999999989</v>
      </c>
      <c r="C165" s="29">
        <f>SUM(C134:C163)</f>
        <v>194469.52</v>
      </c>
      <c r="E165" s="28"/>
      <c r="F165" s="41">
        <v>2990</v>
      </c>
      <c r="G165" s="21" t="s">
        <v>1386</v>
      </c>
    </row>
    <row r="166" spans="1:7" x14ac:dyDescent="0.3">
      <c r="A166" s="33"/>
      <c r="E166" s="28"/>
      <c r="F166" s="41">
        <v>16155</v>
      </c>
      <c r="G166" s="22" t="s">
        <v>20</v>
      </c>
    </row>
    <row r="167" spans="1:7" x14ac:dyDescent="0.3">
      <c r="A167" s="33"/>
      <c r="E167" s="28"/>
      <c r="F167" s="41">
        <v>1244.9000000000001</v>
      </c>
      <c r="G167" s="22" t="s">
        <v>17</v>
      </c>
    </row>
    <row r="168" spans="1:7" x14ac:dyDescent="0.3">
      <c r="A168" s="33"/>
      <c r="E168" s="28"/>
      <c r="F168" s="41">
        <v>2536</v>
      </c>
      <c r="G168" s="22" t="s">
        <v>18</v>
      </c>
    </row>
    <row r="169" spans="1:7" x14ac:dyDescent="0.3">
      <c r="A169" s="33"/>
      <c r="E169" s="28"/>
    </row>
    <row r="170" spans="1:7" x14ac:dyDescent="0.3">
      <c r="A170" s="33"/>
      <c r="E170" s="28"/>
    </row>
    <row r="171" spans="1:7" x14ac:dyDescent="0.3">
      <c r="A171" s="33"/>
      <c r="E171" s="28"/>
    </row>
    <row r="172" spans="1:7" x14ac:dyDescent="0.3">
      <c r="A172" s="33"/>
      <c r="E172" s="28"/>
    </row>
    <row r="173" spans="1:7" x14ac:dyDescent="0.3">
      <c r="A173" s="33"/>
      <c r="E173" s="28"/>
    </row>
    <row r="174" spans="1:7" x14ac:dyDescent="0.3">
      <c r="A174" s="33"/>
      <c r="E174" s="28"/>
    </row>
    <row r="175" spans="1:7" x14ac:dyDescent="0.3">
      <c r="A175" s="33"/>
      <c r="E175" s="28"/>
    </row>
    <row r="176" spans="1:7" x14ac:dyDescent="0.3">
      <c r="A176" s="33"/>
      <c r="E176" s="28"/>
    </row>
    <row r="177" spans="1:1" x14ac:dyDescent="0.3">
      <c r="A177" s="33"/>
    </row>
    <row r="178" spans="1:1" x14ac:dyDescent="0.3">
      <c r="A178" s="33"/>
    </row>
    <row r="179" spans="1:1" x14ac:dyDescent="0.3">
      <c r="A179" s="33"/>
    </row>
    <row r="180" spans="1:1" x14ac:dyDescent="0.3">
      <c r="A180" s="33"/>
    </row>
    <row r="181" spans="1:1" x14ac:dyDescent="0.3">
      <c r="A181" s="33"/>
    </row>
    <row r="182" spans="1:1" x14ac:dyDescent="0.3">
      <c r="A182" s="33"/>
    </row>
    <row r="183" spans="1:1" x14ac:dyDescent="0.3">
      <c r="A183" s="33"/>
    </row>
    <row r="184" spans="1:1" x14ac:dyDescent="0.3">
      <c r="A184" s="33"/>
    </row>
    <row r="185" spans="1:1" x14ac:dyDescent="0.3">
      <c r="A185" s="33"/>
    </row>
    <row r="186" spans="1:1" x14ac:dyDescent="0.3">
      <c r="A186" s="33"/>
    </row>
    <row r="187" spans="1:1" x14ac:dyDescent="0.3">
      <c r="A187" s="33"/>
    </row>
    <row r="188" spans="1:1" x14ac:dyDescent="0.3">
      <c r="A188" s="33"/>
    </row>
    <row r="189" spans="1:1" x14ac:dyDescent="0.3">
      <c r="A189" s="33"/>
    </row>
    <row r="190" spans="1:1" x14ac:dyDescent="0.3">
      <c r="A190" s="33"/>
    </row>
    <row r="191" spans="1:1" x14ac:dyDescent="0.3">
      <c r="A191" s="33"/>
    </row>
    <row r="192" spans="1:1" x14ac:dyDescent="0.3">
      <c r="A192" s="33"/>
    </row>
    <row r="193" spans="1:1" x14ac:dyDescent="0.3">
      <c r="A193" s="33"/>
    </row>
    <row r="194" spans="1:1" x14ac:dyDescent="0.3">
      <c r="A194" s="33"/>
    </row>
    <row r="195" spans="1:1" x14ac:dyDescent="0.3">
      <c r="A195" s="33"/>
    </row>
    <row r="196" spans="1:1" x14ac:dyDescent="0.3">
      <c r="A196" s="33"/>
    </row>
    <row r="197" spans="1:1" x14ac:dyDescent="0.3">
      <c r="A197" s="33"/>
    </row>
    <row r="198" spans="1:1" x14ac:dyDescent="0.3">
      <c r="A198" s="33"/>
    </row>
    <row r="199" spans="1:1" x14ac:dyDescent="0.3">
      <c r="A199" s="33"/>
    </row>
    <row r="200" spans="1:1" x14ac:dyDescent="0.3">
      <c r="A200" s="33"/>
    </row>
    <row r="201" spans="1:1" x14ac:dyDescent="0.3">
      <c r="A201" s="33"/>
    </row>
    <row r="202" spans="1:1" x14ac:dyDescent="0.3">
      <c r="A202" s="33"/>
    </row>
    <row r="203" spans="1:1" x14ac:dyDescent="0.3">
      <c r="A203" s="33"/>
    </row>
    <row r="204" spans="1:1" x14ac:dyDescent="0.3">
      <c r="A204" s="33"/>
    </row>
    <row r="205" spans="1:1" x14ac:dyDescent="0.3">
      <c r="A205" s="33"/>
    </row>
    <row r="206" spans="1:1" x14ac:dyDescent="0.3">
      <c r="A206" s="33"/>
    </row>
    <row r="207" spans="1:1" x14ac:dyDescent="0.3">
      <c r="A207" s="33"/>
    </row>
    <row r="208" spans="1:1" x14ac:dyDescent="0.3">
      <c r="A208" s="33"/>
    </row>
    <row r="209" spans="1:1" x14ac:dyDescent="0.3">
      <c r="A209" s="33"/>
    </row>
    <row r="210" spans="1:1" x14ac:dyDescent="0.3">
      <c r="A210" s="33"/>
    </row>
    <row r="211" spans="1:1" x14ac:dyDescent="0.3">
      <c r="A211" s="33"/>
    </row>
    <row r="212" spans="1:1" x14ac:dyDescent="0.3">
      <c r="A212" s="33"/>
    </row>
    <row r="213" spans="1:1" x14ac:dyDescent="0.3">
      <c r="A213" s="33"/>
    </row>
    <row r="214" spans="1:1" x14ac:dyDescent="0.3">
      <c r="A214" s="33"/>
    </row>
    <row r="215" spans="1:1" x14ac:dyDescent="0.3">
      <c r="A215" s="33"/>
    </row>
    <row r="216" spans="1:1" x14ac:dyDescent="0.3">
      <c r="A216" s="33"/>
    </row>
    <row r="217" spans="1:1" x14ac:dyDescent="0.3">
      <c r="A217" s="33"/>
    </row>
    <row r="218" spans="1:1" x14ac:dyDescent="0.3">
      <c r="A218" s="33"/>
    </row>
    <row r="219" spans="1:1" x14ac:dyDescent="0.3">
      <c r="A219" s="33"/>
    </row>
    <row r="220" spans="1:1" x14ac:dyDescent="0.3">
      <c r="A220" s="33"/>
    </row>
    <row r="221" spans="1:1" x14ac:dyDescent="0.3">
      <c r="A221" s="33"/>
    </row>
    <row r="222" spans="1:1" x14ac:dyDescent="0.3">
      <c r="A222" s="33"/>
    </row>
    <row r="223" spans="1:1" x14ac:dyDescent="0.3">
      <c r="A223" s="33"/>
    </row>
    <row r="224" spans="1:1" x14ac:dyDescent="0.3">
      <c r="A224" s="33"/>
    </row>
    <row r="225" spans="1:1" x14ac:dyDescent="0.3">
      <c r="A225" s="33"/>
    </row>
    <row r="226" spans="1:1" x14ac:dyDescent="0.3">
      <c r="A226" s="33"/>
    </row>
    <row r="227" spans="1:1" x14ac:dyDescent="0.3">
      <c r="A227" s="33"/>
    </row>
    <row r="228" spans="1:1" x14ac:dyDescent="0.3">
      <c r="A228" s="33"/>
    </row>
    <row r="229" spans="1:1" x14ac:dyDescent="0.3">
      <c r="A229" s="33"/>
    </row>
    <row r="230" spans="1:1" x14ac:dyDescent="0.3">
      <c r="A230" s="33"/>
    </row>
    <row r="231" spans="1:1" x14ac:dyDescent="0.3">
      <c r="A231" s="33"/>
    </row>
    <row r="232" spans="1:1" x14ac:dyDescent="0.3">
      <c r="A232" s="33"/>
    </row>
    <row r="233" spans="1:1" x14ac:dyDescent="0.3">
      <c r="A233" s="33"/>
    </row>
    <row r="234" spans="1:1" x14ac:dyDescent="0.3">
      <c r="A234" s="33"/>
    </row>
    <row r="235" spans="1:1" x14ac:dyDescent="0.3">
      <c r="A235" s="33"/>
    </row>
    <row r="236" spans="1:1" x14ac:dyDescent="0.3">
      <c r="A236" s="33"/>
    </row>
    <row r="237" spans="1:1" x14ac:dyDescent="0.3">
      <c r="A237" s="33"/>
    </row>
    <row r="238" spans="1:1" x14ac:dyDescent="0.3">
      <c r="A238" s="33"/>
    </row>
    <row r="239" spans="1:1" x14ac:dyDescent="0.3">
      <c r="A239" s="33"/>
    </row>
    <row r="240" spans="1:1" x14ac:dyDescent="0.3">
      <c r="A240" s="33"/>
    </row>
    <row r="241" spans="1:1" x14ac:dyDescent="0.3">
      <c r="A241" s="33"/>
    </row>
    <row r="242" spans="1:1" x14ac:dyDescent="0.3">
      <c r="A242" s="33"/>
    </row>
    <row r="243" spans="1:1" x14ac:dyDescent="0.3">
      <c r="A243" s="33"/>
    </row>
    <row r="244" spans="1:1" x14ac:dyDescent="0.3">
      <c r="A244" s="33"/>
    </row>
    <row r="245" spans="1:1" x14ac:dyDescent="0.3">
      <c r="A245" s="33"/>
    </row>
    <row r="246" spans="1:1" x14ac:dyDescent="0.3">
      <c r="A246" s="33"/>
    </row>
    <row r="247" spans="1:1" x14ac:dyDescent="0.3">
      <c r="A247" s="33"/>
    </row>
    <row r="248" spans="1:1" x14ac:dyDescent="0.3">
      <c r="A248" s="33"/>
    </row>
    <row r="249" spans="1:1" x14ac:dyDescent="0.3">
      <c r="A249" s="33"/>
    </row>
    <row r="250" spans="1:1" x14ac:dyDescent="0.3">
      <c r="A250" s="33"/>
    </row>
    <row r="251" spans="1:1" x14ac:dyDescent="0.3">
      <c r="A251" s="33"/>
    </row>
    <row r="252" spans="1:1" x14ac:dyDescent="0.3">
      <c r="A252" s="33"/>
    </row>
    <row r="253" spans="1:1" x14ac:dyDescent="0.3">
      <c r="A253" s="33"/>
    </row>
    <row r="254" spans="1:1" x14ac:dyDescent="0.3">
      <c r="A254" s="33"/>
    </row>
    <row r="255" spans="1:1" x14ac:dyDescent="0.3">
      <c r="A255" s="33"/>
    </row>
    <row r="256" spans="1:1" x14ac:dyDescent="0.3">
      <c r="A256" s="33"/>
    </row>
    <row r="257" spans="1:1" x14ac:dyDescent="0.3">
      <c r="A257" s="33"/>
    </row>
    <row r="258" spans="1:1" x14ac:dyDescent="0.3">
      <c r="A258" s="33"/>
    </row>
    <row r="259" spans="1:1" x14ac:dyDescent="0.3">
      <c r="A259" s="33"/>
    </row>
    <row r="260" spans="1:1" x14ac:dyDescent="0.3">
      <c r="A260" s="33"/>
    </row>
    <row r="261" spans="1:1" x14ac:dyDescent="0.3">
      <c r="A261" s="33"/>
    </row>
    <row r="262" spans="1:1" x14ac:dyDescent="0.3">
      <c r="A262" s="33"/>
    </row>
    <row r="263" spans="1:1" x14ac:dyDescent="0.3">
      <c r="A263" s="33"/>
    </row>
    <row r="264" spans="1:1" x14ac:dyDescent="0.3">
      <c r="A264" s="33"/>
    </row>
    <row r="265" spans="1:1" x14ac:dyDescent="0.3">
      <c r="A265" s="33"/>
    </row>
    <row r="266" spans="1:1" x14ac:dyDescent="0.3">
      <c r="A266" s="33"/>
    </row>
    <row r="267" spans="1:1" x14ac:dyDescent="0.3">
      <c r="A267" s="33"/>
    </row>
    <row r="268" spans="1:1" x14ac:dyDescent="0.3">
      <c r="A268" s="33"/>
    </row>
    <row r="269" spans="1:1" x14ac:dyDescent="0.3">
      <c r="A269" s="33"/>
    </row>
    <row r="270" spans="1:1" x14ac:dyDescent="0.3">
      <c r="A270" s="33"/>
    </row>
    <row r="271" spans="1:1" x14ac:dyDescent="0.3">
      <c r="A271" s="33"/>
    </row>
    <row r="272" spans="1:1" x14ac:dyDescent="0.3">
      <c r="A272" s="33"/>
    </row>
    <row r="273" spans="1:1" x14ac:dyDescent="0.3">
      <c r="A273" s="33"/>
    </row>
    <row r="274" spans="1:1" x14ac:dyDescent="0.3">
      <c r="A274" s="33"/>
    </row>
    <row r="275" spans="1:1" x14ac:dyDescent="0.3">
      <c r="A275" s="33"/>
    </row>
    <row r="276" spans="1:1" x14ac:dyDescent="0.3">
      <c r="A276" s="33"/>
    </row>
    <row r="277" spans="1:1" x14ac:dyDescent="0.3">
      <c r="A277" s="33"/>
    </row>
    <row r="278" spans="1:1" x14ac:dyDescent="0.3">
      <c r="A278" s="33"/>
    </row>
    <row r="279" spans="1:1" x14ac:dyDescent="0.3">
      <c r="A279" s="33"/>
    </row>
    <row r="280" spans="1:1" x14ac:dyDescent="0.3">
      <c r="A280" s="33"/>
    </row>
    <row r="281" spans="1:1" x14ac:dyDescent="0.3">
      <c r="A281" s="33"/>
    </row>
    <row r="282" spans="1:1" x14ac:dyDescent="0.3">
      <c r="A282" s="33"/>
    </row>
    <row r="283" spans="1:1" x14ac:dyDescent="0.3">
      <c r="A283" s="33"/>
    </row>
    <row r="284" spans="1:1" x14ac:dyDescent="0.3">
      <c r="A284" s="33"/>
    </row>
    <row r="285" spans="1:1" x14ac:dyDescent="0.3">
      <c r="A285" s="33"/>
    </row>
    <row r="286" spans="1:1" x14ac:dyDescent="0.3">
      <c r="A286" s="33"/>
    </row>
    <row r="287" spans="1:1" x14ac:dyDescent="0.3">
      <c r="A287" s="33"/>
    </row>
    <row r="288" spans="1:1" x14ac:dyDescent="0.3">
      <c r="A288" s="33"/>
    </row>
    <row r="289" spans="1:1" x14ac:dyDescent="0.3">
      <c r="A289" s="33"/>
    </row>
    <row r="290" spans="1:1" x14ac:dyDescent="0.3">
      <c r="A290" s="33"/>
    </row>
    <row r="291" spans="1:1" x14ac:dyDescent="0.3">
      <c r="A291" s="33"/>
    </row>
    <row r="292" spans="1:1" x14ac:dyDescent="0.3">
      <c r="A292" s="33"/>
    </row>
    <row r="293" spans="1:1" x14ac:dyDescent="0.3">
      <c r="A293" s="33"/>
    </row>
    <row r="294" spans="1:1" x14ac:dyDescent="0.3">
      <c r="A294" s="33"/>
    </row>
    <row r="295" spans="1:1" x14ac:dyDescent="0.3">
      <c r="A295" s="33"/>
    </row>
    <row r="296" spans="1:1" x14ac:dyDescent="0.3">
      <c r="A296" s="33"/>
    </row>
    <row r="297" spans="1:1" x14ac:dyDescent="0.3">
      <c r="A297" s="33"/>
    </row>
    <row r="298" spans="1:1" x14ac:dyDescent="0.3">
      <c r="A298" s="33"/>
    </row>
    <row r="299" spans="1:1" x14ac:dyDescent="0.3">
      <c r="A299" s="33"/>
    </row>
    <row r="300" spans="1:1" x14ac:dyDescent="0.3">
      <c r="A300" s="33"/>
    </row>
    <row r="301" spans="1:1" x14ac:dyDescent="0.3">
      <c r="A301" s="33"/>
    </row>
    <row r="302" spans="1:1" x14ac:dyDescent="0.3">
      <c r="A302" s="33"/>
    </row>
    <row r="303" spans="1:1" x14ac:dyDescent="0.3">
      <c r="A303" s="33"/>
    </row>
    <row r="304" spans="1:1" x14ac:dyDescent="0.3">
      <c r="A304" s="33"/>
    </row>
    <row r="305" spans="1:1" x14ac:dyDescent="0.3">
      <c r="A305" s="33"/>
    </row>
    <row r="306" spans="1:1" x14ac:dyDescent="0.3">
      <c r="A306" s="33"/>
    </row>
    <row r="307" spans="1:1" x14ac:dyDescent="0.3">
      <c r="A307" s="33"/>
    </row>
    <row r="308" spans="1:1" x14ac:dyDescent="0.3">
      <c r="A308" s="33"/>
    </row>
    <row r="309" spans="1:1" x14ac:dyDescent="0.3">
      <c r="A309" s="33"/>
    </row>
    <row r="310" spans="1:1" x14ac:dyDescent="0.3">
      <c r="A310" s="33"/>
    </row>
    <row r="311" spans="1:1" x14ac:dyDescent="0.3">
      <c r="A311" s="33"/>
    </row>
    <row r="312" spans="1:1" x14ac:dyDescent="0.3">
      <c r="A312" s="33"/>
    </row>
    <row r="313" spans="1:1" x14ac:dyDescent="0.3">
      <c r="A313" s="33"/>
    </row>
    <row r="314" spans="1:1" x14ac:dyDescent="0.3">
      <c r="A314" s="33"/>
    </row>
    <row r="315" spans="1:1" x14ac:dyDescent="0.3">
      <c r="A315" s="33"/>
    </row>
    <row r="316" spans="1:1" x14ac:dyDescent="0.3">
      <c r="A316" s="33"/>
    </row>
    <row r="317" spans="1:1" x14ac:dyDescent="0.3">
      <c r="A317" s="33"/>
    </row>
    <row r="318" spans="1:1" x14ac:dyDescent="0.3">
      <c r="A318" s="33"/>
    </row>
    <row r="319" spans="1:1" x14ac:dyDescent="0.3">
      <c r="A319" s="33"/>
    </row>
    <row r="320" spans="1:1" x14ac:dyDescent="0.3">
      <c r="A320" s="33"/>
    </row>
    <row r="321" spans="1:1" x14ac:dyDescent="0.3">
      <c r="A321" s="33"/>
    </row>
    <row r="322" spans="1:1" x14ac:dyDescent="0.3">
      <c r="A322" s="33"/>
    </row>
    <row r="323" spans="1:1" x14ac:dyDescent="0.3">
      <c r="A323" s="33"/>
    </row>
    <row r="324" spans="1:1" x14ac:dyDescent="0.3">
      <c r="A324" s="33"/>
    </row>
    <row r="325" spans="1:1" x14ac:dyDescent="0.3">
      <c r="A325" s="33"/>
    </row>
    <row r="326" spans="1:1" x14ac:dyDescent="0.3">
      <c r="A326" s="33"/>
    </row>
    <row r="327" spans="1:1" x14ac:dyDescent="0.3">
      <c r="A327" s="33"/>
    </row>
    <row r="328" spans="1:1" x14ac:dyDescent="0.3">
      <c r="A328" s="33"/>
    </row>
    <row r="329" spans="1:1" x14ac:dyDescent="0.3">
      <c r="A329" s="33"/>
    </row>
    <row r="330" spans="1:1" x14ac:dyDescent="0.3">
      <c r="A330" s="33"/>
    </row>
    <row r="331" spans="1:1" x14ac:dyDescent="0.3">
      <c r="A331" s="33"/>
    </row>
    <row r="332" spans="1:1" x14ac:dyDescent="0.3">
      <c r="A332" s="33"/>
    </row>
    <row r="333" spans="1:1" x14ac:dyDescent="0.3">
      <c r="A333" s="33"/>
    </row>
    <row r="334" spans="1:1" x14ac:dyDescent="0.3">
      <c r="A334" s="33"/>
    </row>
    <row r="335" spans="1:1" x14ac:dyDescent="0.3">
      <c r="A335" s="33"/>
    </row>
    <row r="336" spans="1:1" x14ac:dyDescent="0.3">
      <c r="A336" s="33"/>
    </row>
    <row r="337" spans="1:1" x14ac:dyDescent="0.3">
      <c r="A337" s="33"/>
    </row>
    <row r="338" spans="1:1" x14ac:dyDescent="0.3">
      <c r="A338" s="33"/>
    </row>
    <row r="339" spans="1:1" x14ac:dyDescent="0.3">
      <c r="A339" s="33"/>
    </row>
    <row r="340" spans="1:1" x14ac:dyDescent="0.3">
      <c r="A340" s="33"/>
    </row>
    <row r="341" spans="1:1" x14ac:dyDescent="0.3">
      <c r="A341" s="33"/>
    </row>
    <row r="342" spans="1:1" x14ac:dyDescent="0.3">
      <c r="A342" s="33"/>
    </row>
    <row r="343" spans="1:1" x14ac:dyDescent="0.3">
      <c r="A343" s="33"/>
    </row>
    <row r="344" spans="1:1" x14ac:dyDescent="0.3">
      <c r="A344" s="33"/>
    </row>
    <row r="345" spans="1:1" x14ac:dyDescent="0.3">
      <c r="A345" s="33"/>
    </row>
    <row r="346" spans="1:1" x14ac:dyDescent="0.3">
      <c r="A346" s="33"/>
    </row>
    <row r="347" spans="1:1" x14ac:dyDescent="0.3">
      <c r="A347" s="33"/>
    </row>
    <row r="348" spans="1:1" x14ac:dyDescent="0.3">
      <c r="A348" s="33"/>
    </row>
    <row r="349" spans="1:1" x14ac:dyDescent="0.3">
      <c r="A349" s="33"/>
    </row>
    <row r="350" spans="1:1" x14ac:dyDescent="0.3">
      <c r="A350" s="33"/>
    </row>
    <row r="351" spans="1:1" x14ac:dyDescent="0.3">
      <c r="A351" s="33"/>
    </row>
    <row r="352" spans="1:1" x14ac:dyDescent="0.3">
      <c r="A352" s="33"/>
    </row>
    <row r="353" spans="1:1" x14ac:dyDescent="0.3">
      <c r="A353" s="33"/>
    </row>
    <row r="354" spans="1:1" x14ac:dyDescent="0.3">
      <c r="A354" s="33"/>
    </row>
    <row r="355" spans="1:1" x14ac:dyDescent="0.3">
      <c r="A355" s="33"/>
    </row>
    <row r="356" spans="1:1" x14ac:dyDescent="0.3">
      <c r="A356" s="33"/>
    </row>
    <row r="357" spans="1:1" x14ac:dyDescent="0.3">
      <c r="A357" s="33"/>
    </row>
    <row r="358" spans="1:1" x14ac:dyDescent="0.3">
      <c r="A358" s="33"/>
    </row>
    <row r="359" spans="1:1" x14ac:dyDescent="0.3">
      <c r="A359" s="33"/>
    </row>
    <row r="360" spans="1:1" x14ac:dyDescent="0.3">
      <c r="A360" s="33"/>
    </row>
    <row r="361" spans="1:1" x14ac:dyDescent="0.3">
      <c r="A361" s="33"/>
    </row>
    <row r="362" spans="1:1" x14ac:dyDescent="0.3">
      <c r="A362" s="33"/>
    </row>
    <row r="363" spans="1:1" x14ac:dyDescent="0.3">
      <c r="A363" s="33"/>
    </row>
    <row r="364" spans="1:1" x14ac:dyDescent="0.3">
      <c r="A364" s="33"/>
    </row>
    <row r="365" spans="1:1" x14ac:dyDescent="0.3">
      <c r="A365" s="33"/>
    </row>
    <row r="366" spans="1:1" x14ac:dyDescent="0.3">
      <c r="A366" s="33"/>
    </row>
    <row r="367" spans="1:1" x14ac:dyDescent="0.3">
      <c r="A367" s="33"/>
    </row>
    <row r="368" spans="1:1" x14ac:dyDescent="0.3">
      <c r="A368" s="33"/>
    </row>
    <row r="369" spans="1:1" x14ac:dyDescent="0.3">
      <c r="A369" s="33"/>
    </row>
    <row r="370" spans="1:1" x14ac:dyDescent="0.3">
      <c r="A370" s="33"/>
    </row>
    <row r="371" spans="1:1" x14ac:dyDescent="0.3">
      <c r="A371" s="33"/>
    </row>
    <row r="372" spans="1:1" x14ac:dyDescent="0.3">
      <c r="A372" s="33"/>
    </row>
    <row r="373" spans="1:1" x14ac:dyDescent="0.3">
      <c r="A373" s="33"/>
    </row>
    <row r="374" spans="1:1" x14ac:dyDescent="0.3">
      <c r="A374" s="33"/>
    </row>
    <row r="375" spans="1:1" x14ac:dyDescent="0.3">
      <c r="A375" s="33"/>
    </row>
    <row r="376" spans="1:1" x14ac:dyDescent="0.3">
      <c r="A376" s="33"/>
    </row>
    <row r="377" spans="1:1" x14ac:dyDescent="0.3">
      <c r="A377" s="33"/>
    </row>
    <row r="378" spans="1:1" x14ac:dyDescent="0.3">
      <c r="A378" s="33"/>
    </row>
    <row r="379" spans="1:1" x14ac:dyDescent="0.3">
      <c r="A379" s="33"/>
    </row>
    <row r="380" spans="1:1" x14ac:dyDescent="0.3">
      <c r="A380" s="33"/>
    </row>
    <row r="381" spans="1:1" x14ac:dyDescent="0.3">
      <c r="A381" s="33"/>
    </row>
    <row r="382" spans="1:1" x14ac:dyDescent="0.3">
      <c r="A382" s="33"/>
    </row>
    <row r="383" spans="1:1" x14ac:dyDescent="0.3">
      <c r="A383" s="33"/>
    </row>
    <row r="384" spans="1:1" x14ac:dyDescent="0.3">
      <c r="A384" s="33"/>
    </row>
    <row r="385" spans="1:1" x14ac:dyDescent="0.3">
      <c r="A385" s="33"/>
    </row>
    <row r="386" spans="1:1" x14ac:dyDescent="0.3">
      <c r="A386" s="33"/>
    </row>
    <row r="387" spans="1:1" x14ac:dyDescent="0.3">
      <c r="A387" s="33"/>
    </row>
    <row r="388" spans="1:1" x14ac:dyDescent="0.3">
      <c r="A388" s="33"/>
    </row>
    <row r="389" spans="1:1" x14ac:dyDescent="0.3">
      <c r="A389" s="33"/>
    </row>
    <row r="390" spans="1:1" x14ac:dyDescent="0.3">
      <c r="A390" s="33"/>
    </row>
    <row r="391" spans="1:1" x14ac:dyDescent="0.3">
      <c r="A391" s="33"/>
    </row>
    <row r="392" spans="1:1" x14ac:dyDescent="0.3">
      <c r="A392" s="33"/>
    </row>
    <row r="393" spans="1:1" x14ac:dyDescent="0.3">
      <c r="A393" s="33"/>
    </row>
    <row r="394" spans="1:1" x14ac:dyDescent="0.3">
      <c r="A394" s="33"/>
    </row>
    <row r="395" spans="1:1" x14ac:dyDescent="0.3">
      <c r="A395" s="33"/>
    </row>
    <row r="396" spans="1:1" x14ac:dyDescent="0.3">
      <c r="A396" s="33"/>
    </row>
    <row r="397" spans="1:1" x14ac:dyDescent="0.3">
      <c r="A397" s="33"/>
    </row>
    <row r="398" spans="1:1" x14ac:dyDescent="0.3">
      <c r="A398" s="33"/>
    </row>
    <row r="399" spans="1:1" x14ac:dyDescent="0.3">
      <c r="A399" s="33"/>
    </row>
    <row r="400" spans="1:1" x14ac:dyDescent="0.3">
      <c r="A400" s="33"/>
    </row>
    <row r="401" spans="1:1" x14ac:dyDescent="0.3">
      <c r="A401" s="33"/>
    </row>
    <row r="402" spans="1:1" x14ac:dyDescent="0.3">
      <c r="A402" s="33"/>
    </row>
    <row r="403" spans="1:1" x14ac:dyDescent="0.3">
      <c r="A403" s="33"/>
    </row>
    <row r="404" spans="1:1" x14ac:dyDescent="0.3">
      <c r="A404" s="33"/>
    </row>
    <row r="405" spans="1:1" x14ac:dyDescent="0.3">
      <c r="A405" s="33"/>
    </row>
    <row r="406" spans="1:1" x14ac:dyDescent="0.3">
      <c r="A406" s="33"/>
    </row>
    <row r="407" spans="1:1" x14ac:dyDescent="0.3">
      <c r="A407" s="33"/>
    </row>
    <row r="408" spans="1:1" x14ac:dyDescent="0.3">
      <c r="A408" s="33"/>
    </row>
    <row r="409" spans="1:1" x14ac:dyDescent="0.3">
      <c r="A409" s="33"/>
    </row>
    <row r="410" spans="1:1" x14ac:dyDescent="0.3">
      <c r="A410" s="33"/>
    </row>
    <row r="411" spans="1:1" x14ac:dyDescent="0.3">
      <c r="A411" s="33"/>
    </row>
    <row r="412" spans="1:1" x14ac:dyDescent="0.3">
      <c r="A412" s="33"/>
    </row>
    <row r="413" spans="1:1" x14ac:dyDescent="0.3">
      <c r="A413" s="33"/>
    </row>
    <row r="414" spans="1:1" x14ac:dyDescent="0.3">
      <c r="A414" s="33"/>
    </row>
    <row r="415" spans="1:1" x14ac:dyDescent="0.3">
      <c r="A415" s="33"/>
    </row>
    <row r="416" spans="1:1" x14ac:dyDescent="0.3">
      <c r="A416" s="33"/>
    </row>
    <row r="417" spans="1:1" x14ac:dyDescent="0.3">
      <c r="A417" s="33"/>
    </row>
    <row r="418" spans="1:1" x14ac:dyDescent="0.3">
      <c r="A418" s="33"/>
    </row>
    <row r="419" spans="1:1" x14ac:dyDescent="0.3">
      <c r="A419" s="33"/>
    </row>
    <row r="420" spans="1:1" x14ac:dyDescent="0.3">
      <c r="A420" s="33"/>
    </row>
    <row r="421" spans="1:1" x14ac:dyDescent="0.3">
      <c r="A421" s="33"/>
    </row>
    <row r="422" spans="1:1" x14ac:dyDescent="0.3">
      <c r="A422" s="33"/>
    </row>
    <row r="423" spans="1:1" x14ac:dyDescent="0.3">
      <c r="A423" s="33"/>
    </row>
    <row r="424" spans="1:1" x14ac:dyDescent="0.3">
      <c r="A424" s="33"/>
    </row>
    <row r="437" spans="1:6" x14ac:dyDescent="0.3">
      <c r="A437" s="42"/>
      <c r="B437" s="43"/>
      <c r="C437" s="42"/>
      <c r="D437" s="42"/>
      <c r="E437" s="44"/>
      <c r="F437" s="42"/>
    </row>
  </sheetData>
  <sortState ref="A134:E163">
    <sortCondition descending="1" ref="E134:E163"/>
  </sortState>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33"/>
  <dimension ref="A1:U651"/>
  <sheetViews>
    <sheetView workbookViewId="0">
      <pane ySplit="1" topLeftCell="A615" activePane="bottomLeft" state="frozen"/>
      <selection pane="bottomLeft" activeCell="P13" sqref="P13"/>
    </sheetView>
  </sheetViews>
  <sheetFormatPr defaultColWidth="8.81640625" defaultRowHeight="14.5" x14ac:dyDescent="0.35"/>
  <cols>
    <col min="20" max="20" width="14.453125" bestFit="1" customWidth="1"/>
  </cols>
  <sheetData>
    <row r="1" spans="1:21" x14ac:dyDescent="0.35">
      <c r="A1" t="s">
        <v>1404</v>
      </c>
      <c r="B1" t="s">
        <v>1371</v>
      </c>
      <c r="C1" t="s">
        <v>1405</v>
      </c>
      <c r="D1" t="s">
        <v>1406</v>
      </c>
      <c r="E1" t="s">
        <v>1407</v>
      </c>
      <c r="F1" t="s">
        <v>1408</v>
      </c>
      <c r="G1" t="s">
        <v>1409</v>
      </c>
      <c r="H1" t="s">
        <v>1410</v>
      </c>
      <c r="I1" t="s">
        <v>1411</v>
      </c>
      <c r="J1" t="s">
        <v>1412</v>
      </c>
      <c r="K1" t="s">
        <v>1413</v>
      </c>
      <c r="L1" t="s">
        <v>1414</v>
      </c>
      <c r="M1" t="s">
        <v>1415</v>
      </c>
      <c r="N1" t="s">
        <v>1416</v>
      </c>
      <c r="O1" t="s">
        <v>1417</v>
      </c>
      <c r="P1" t="s">
        <v>1418</v>
      </c>
      <c r="Q1" t="s">
        <v>1419</v>
      </c>
      <c r="R1" t="s">
        <v>1420</v>
      </c>
      <c r="S1" t="s">
        <v>1421</v>
      </c>
      <c r="T1" t="s">
        <v>1422</v>
      </c>
      <c r="U1" t="s">
        <v>1423</v>
      </c>
    </row>
    <row r="2" spans="1:21" x14ac:dyDescent="0.35">
      <c r="A2">
        <v>3283</v>
      </c>
      <c r="B2" t="s">
        <v>13</v>
      </c>
      <c r="C2" t="s">
        <v>1442</v>
      </c>
      <c r="D2">
        <v>514</v>
      </c>
      <c r="E2">
        <v>23.4</v>
      </c>
      <c r="F2">
        <v>25</v>
      </c>
      <c r="G2">
        <v>103</v>
      </c>
      <c r="H2">
        <v>1395</v>
      </c>
      <c r="I2">
        <v>37939</v>
      </c>
      <c r="J2">
        <v>47.916249999999998</v>
      </c>
      <c r="K2">
        <v>13.800416999999999</v>
      </c>
      <c r="L2">
        <v>25</v>
      </c>
      <c r="M2">
        <v>180</v>
      </c>
      <c r="N2">
        <v>12.042</v>
      </c>
      <c r="O2">
        <v>67311000</v>
      </c>
      <c r="P2">
        <v>2.5272999999999999</v>
      </c>
      <c r="Q2">
        <v>51.445</v>
      </c>
      <c r="R2">
        <v>429</v>
      </c>
      <c r="S2">
        <v>2</v>
      </c>
      <c r="T2">
        <v>9662</v>
      </c>
      <c r="U2">
        <f>I2/T2</f>
        <v>3.9266197474642932</v>
      </c>
    </row>
    <row r="3" spans="1:21" x14ac:dyDescent="0.35">
      <c r="A3">
        <v>3291</v>
      </c>
      <c r="B3" t="s">
        <v>13</v>
      </c>
      <c r="C3" t="s">
        <v>1443</v>
      </c>
      <c r="D3">
        <v>25.5</v>
      </c>
      <c r="E3">
        <v>0.5</v>
      </c>
      <c r="F3">
        <v>22</v>
      </c>
      <c r="G3">
        <v>63</v>
      </c>
      <c r="H3">
        <v>33</v>
      </c>
      <c r="I3">
        <v>922</v>
      </c>
      <c r="J3">
        <v>47.532083</v>
      </c>
      <c r="K3">
        <v>13.497916999999999</v>
      </c>
      <c r="L3">
        <v>22</v>
      </c>
      <c r="M3">
        <v>180</v>
      </c>
      <c r="N3">
        <v>0.25975999999999999</v>
      </c>
      <c r="O3">
        <v>1355400</v>
      </c>
      <c r="P3">
        <v>2.552</v>
      </c>
      <c r="Q3">
        <v>1.1144000000000001</v>
      </c>
      <c r="R3">
        <v>1138</v>
      </c>
      <c r="S3">
        <v>7.0711000000000004</v>
      </c>
      <c r="T3">
        <v>226</v>
      </c>
      <c r="U3">
        <f t="shared" ref="U3:U65" si="0">I3/T3</f>
        <v>4.0796460176991154</v>
      </c>
    </row>
    <row r="4" spans="1:21" x14ac:dyDescent="0.35">
      <c r="A4">
        <v>3294</v>
      </c>
      <c r="B4" t="s">
        <v>13</v>
      </c>
      <c r="C4" t="s">
        <v>1430</v>
      </c>
      <c r="D4">
        <v>53.5</v>
      </c>
      <c r="E4">
        <v>0.9</v>
      </c>
      <c r="F4">
        <v>83</v>
      </c>
      <c r="G4">
        <v>470</v>
      </c>
      <c r="H4">
        <v>43</v>
      </c>
      <c r="I4">
        <v>1077</v>
      </c>
      <c r="J4">
        <v>47.237082999999998</v>
      </c>
      <c r="K4">
        <v>12.085417</v>
      </c>
      <c r="L4">
        <v>83</v>
      </c>
      <c r="M4">
        <v>360</v>
      </c>
      <c r="N4">
        <v>0.89651999999999998</v>
      </c>
      <c r="O4">
        <v>4341800</v>
      </c>
      <c r="P4">
        <v>4.3019999999999996</v>
      </c>
      <c r="Q4">
        <v>0.93866000000000005</v>
      </c>
      <c r="R4">
        <v>1626</v>
      </c>
      <c r="S4">
        <v>1</v>
      </c>
      <c r="T4">
        <v>296</v>
      </c>
      <c r="U4">
        <f t="shared" si="0"/>
        <v>3.6385135135135136</v>
      </c>
    </row>
    <row r="5" spans="1:21" x14ac:dyDescent="0.35">
      <c r="A5">
        <v>3295</v>
      </c>
      <c r="B5" t="s">
        <v>13</v>
      </c>
      <c r="C5" t="s">
        <v>35</v>
      </c>
      <c r="D5">
        <v>60.5</v>
      </c>
      <c r="E5">
        <v>0.6</v>
      </c>
      <c r="F5">
        <v>150</v>
      </c>
      <c r="G5">
        <v>656</v>
      </c>
      <c r="H5">
        <v>5</v>
      </c>
      <c r="I5">
        <v>137</v>
      </c>
      <c r="J5">
        <v>47.197916999999997</v>
      </c>
      <c r="K5">
        <v>11.02125</v>
      </c>
      <c r="L5">
        <v>150</v>
      </c>
      <c r="M5">
        <v>917.82</v>
      </c>
      <c r="N5">
        <v>0.22328999999999999</v>
      </c>
      <c r="O5">
        <v>949120</v>
      </c>
      <c r="P5">
        <v>131.78</v>
      </c>
      <c r="Q5">
        <v>0.12397</v>
      </c>
      <c r="R5">
        <v>2282</v>
      </c>
      <c r="S5">
        <v>2</v>
      </c>
      <c r="T5">
        <v>35</v>
      </c>
      <c r="U5">
        <f t="shared" si="0"/>
        <v>3.9142857142857141</v>
      </c>
    </row>
    <row r="6" spans="1:21" x14ac:dyDescent="0.35">
      <c r="A6">
        <v>3297</v>
      </c>
      <c r="B6" t="s">
        <v>13</v>
      </c>
      <c r="C6" t="s">
        <v>1427</v>
      </c>
      <c r="D6">
        <v>86</v>
      </c>
      <c r="E6">
        <v>0.8</v>
      </c>
      <c r="F6">
        <v>120</v>
      </c>
      <c r="G6">
        <v>357</v>
      </c>
      <c r="H6">
        <v>42</v>
      </c>
      <c r="I6">
        <v>1243</v>
      </c>
      <c r="J6">
        <v>47.196249999999999</v>
      </c>
      <c r="K6">
        <v>12.719583</v>
      </c>
      <c r="L6">
        <v>120</v>
      </c>
      <c r="M6">
        <v>569.21</v>
      </c>
      <c r="N6">
        <v>1.6383000000000001</v>
      </c>
      <c r="O6">
        <v>6082000</v>
      </c>
      <c r="P6">
        <v>8.7126000000000001</v>
      </c>
      <c r="Q6">
        <v>1.2558</v>
      </c>
      <c r="R6">
        <v>1611</v>
      </c>
      <c r="S6">
        <v>0.5</v>
      </c>
      <c r="T6">
        <v>290</v>
      </c>
      <c r="U6">
        <f t="shared" si="0"/>
        <v>4.2862068965517244</v>
      </c>
    </row>
    <row r="7" spans="1:21" x14ac:dyDescent="0.35">
      <c r="A7">
        <v>3298</v>
      </c>
      <c r="B7" t="s">
        <v>13</v>
      </c>
      <c r="C7" t="s">
        <v>1428</v>
      </c>
      <c r="D7">
        <v>87</v>
      </c>
      <c r="E7">
        <v>0.6</v>
      </c>
      <c r="F7">
        <v>107</v>
      </c>
      <c r="G7">
        <v>494</v>
      </c>
      <c r="H7">
        <v>19</v>
      </c>
      <c r="I7">
        <v>560</v>
      </c>
      <c r="J7">
        <v>47.167082999999998</v>
      </c>
      <c r="K7">
        <v>12.71875</v>
      </c>
      <c r="L7">
        <v>107</v>
      </c>
      <c r="M7">
        <v>1659.5</v>
      </c>
      <c r="N7">
        <v>0.66015000000000001</v>
      </c>
      <c r="O7">
        <v>2450700</v>
      </c>
      <c r="P7">
        <v>50.512</v>
      </c>
      <c r="Q7">
        <v>0.56725999999999999</v>
      </c>
      <c r="R7">
        <v>1969</v>
      </c>
      <c r="S7">
        <v>3</v>
      </c>
      <c r="T7">
        <v>131</v>
      </c>
      <c r="U7">
        <f t="shared" si="0"/>
        <v>4.2748091603053435</v>
      </c>
    </row>
    <row r="8" spans="1:21" x14ac:dyDescent="0.35">
      <c r="A8">
        <v>3300</v>
      </c>
      <c r="B8" t="s">
        <v>13</v>
      </c>
      <c r="C8" t="s">
        <v>1433</v>
      </c>
      <c r="D8">
        <v>57</v>
      </c>
      <c r="E8">
        <v>1.5</v>
      </c>
      <c r="F8">
        <v>53</v>
      </c>
      <c r="G8">
        <v>1100</v>
      </c>
      <c r="H8">
        <v>21</v>
      </c>
      <c r="I8">
        <v>614</v>
      </c>
      <c r="J8">
        <v>47.157916999999998</v>
      </c>
      <c r="K8">
        <v>12.642917000000001</v>
      </c>
      <c r="L8">
        <v>53</v>
      </c>
      <c r="M8">
        <v>254.56</v>
      </c>
      <c r="N8">
        <v>0.44069999999999998</v>
      </c>
      <c r="O8">
        <v>1636100</v>
      </c>
      <c r="P8">
        <v>3.7865000000000002</v>
      </c>
      <c r="Q8">
        <v>0.76646000000000003</v>
      </c>
      <c r="R8">
        <v>1943</v>
      </c>
      <c r="S8">
        <v>1.4141999999999999</v>
      </c>
      <c r="T8">
        <v>177</v>
      </c>
      <c r="U8">
        <f t="shared" si="0"/>
        <v>3.4689265536723162</v>
      </c>
    </row>
    <row r="9" spans="1:21" x14ac:dyDescent="0.35">
      <c r="A9">
        <v>3302</v>
      </c>
      <c r="B9" t="s">
        <v>13</v>
      </c>
      <c r="C9" t="s">
        <v>1424</v>
      </c>
      <c r="D9">
        <v>90</v>
      </c>
      <c r="E9">
        <v>0.8</v>
      </c>
      <c r="F9">
        <v>186</v>
      </c>
      <c r="G9">
        <v>506</v>
      </c>
      <c r="H9">
        <v>31</v>
      </c>
      <c r="I9">
        <v>776</v>
      </c>
      <c r="J9">
        <v>47.122917000000001</v>
      </c>
      <c r="K9">
        <v>12.062082999999999</v>
      </c>
      <c r="L9">
        <v>186</v>
      </c>
      <c r="M9">
        <v>720</v>
      </c>
      <c r="N9">
        <v>1.4416</v>
      </c>
      <c r="O9">
        <v>6981600</v>
      </c>
      <c r="P9">
        <v>20.745999999999999</v>
      </c>
      <c r="Q9">
        <v>0.67229000000000005</v>
      </c>
      <c r="R9">
        <v>1941</v>
      </c>
      <c r="S9">
        <v>11.401999999999999</v>
      </c>
      <c r="T9">
        <v>212</v>
      </c>
      <c r="U9">
        <f t="shared" si="0"/>
        <v>3.6603773584905661</v>
      </c>
    </row>
    <row r="10" spans="1:21" x14ac:dyDescent="0.35">
      <c r="A10">
        <v>3305</v>
      </c>
      <c r="B10" t="s">
        <v>13</v>
      </c>
      <c r="C10" t="s">
        <v>25</v>
      </c>
      <c r="D10">
        <v>205</v>
      </c>
      <c r="E10">
        <v>1.2</v>
      </c>
      <c r="F10">
        <v>200</v>
      </c>
      <c r="G10">
        <v>626</v>
      </c>
      <c r="H10">
        <v>44</v>
      </c>
      <c r="I10">
        <v>1297</v>
      </c>
      <c r="J10">
        <v>47.082917000000002</v>
      </c>
      <c r="K10">
        <v>13.33375</v>
      </c>
      <c r="L10">
        <v>200</v>
      </c>
      <c r="M10">
        <v>720</v>
      </c>
      <c r="N10">
        <v>3.2370999999999999</v>
      </c>
      <c r="O10">
        <v>13132000</v>
      </c>
      <c r="P10">
        <v>12.582000000000001</v>
      </c>
      <c r="Q10">
        <v>1.2161</v>
      </c>
      <c r="R10">
        <v>2146</v>
      </c>
      <c r="S10">
        <v>3.6055999999999999</v>
      </c>
      <c r="T10">
        <v>298</v>
      </c>
      <c r="U10">
        <f t="shared" si="0"/>
        <v>4.352348993288591</v>
      </c>
    </row>
    <row r="11" spans="1:21" x14ac:dyDescent="0.35">
      <c r="A11">
        <v>3306</v>
      </c>
      <c r="B11" t="s">
        <v>13</v>
      </c>
      <c r="C11" t="s">
        <v>1426</v>
      </c>
      <c r="D11">
        <v>129</v>
      </c>
      <c r="E11">
        <v>1.1000000000000001</v>
      </c>
      <c r="F11">
        <v>131</v>
      </c>
      <c r="G11">
        <v>725</v>
      </c>
      <c r="H11">
        <v>58</v>
      </c>
      <c r="I11">
        <v>1358</v>
      </c>
      <c r="J11">
        <v>47.037917</v>
      </c>
      <c r="K11">
        <v>11.704583</v>
      </c>
      <c r="L11">
        <v>131</v>
      </c>
      <c r="M11">
        <v>742.16</v>
      </c>
      <c r="N11">
        <v>2.1158999999999999</v>
      </c>
      <c r="O11">
        <v>9595900</v>
      </c>
      <c r="P11">
        <v>8.3917000000000002</v>
      </c>
      <c r="Q11">
        <v>1.3423</v>
      </c>
      <c r="R11">
        <v>1729</v>
      </c>
      <c r="S11">
        <v>10.817</v>
      </c>
      <c r="T11">
        <v>398</v>
      </c>
      <c r="U11">
        <f t="shared" si="0"/>
        <v>3.4120603015075375</v>
      </c>
    </row>
    <row r="12" spans="1:21" x14ac:dyDescent="0.35">
      <c r="A12">
        <v>3309</v>
      </c>
      <c r="B12" t="s">
        <v>13</v>
      </c>
      <c r="C12" t="s">
        <v>1425</v>
      </c>
      <c r="D12">
        <v>140</v>
      </c>
      <c r="E12">
        <v>1.3</v>
      </c>
      <c r="F12">
        <v>153</v>
      </c>
      <c r="G12">
        <v>600</v>
      </c>
      <c r="H12">
        <v>104</v>
      </c>
      <c r="I12">
        <v>3404</v>
      </c>
      <c r="J12">
        <v>46.957082999999997</v>
      </c>
      <c r="K12">
        <v>10.741250000000001</v>
      </c>
      <c r="L12">
        <v>153</v>
      </c>
      <c r="M12">
        <v>1094.9000000000001</v>
      </c>
      <c r="N12">
        <v>2.3694999999999999</v>
      </c>
      <c r="O12">
        <v>7640500</v>
      </c>
      <c r="P12">
        <v>20.343</v>
      </c>
      <c r="Q12">
        <v>1.5435000000000001</v>
      </c>
      <c r="R12">
        <v>1739</v>
      </c>
      <c r="S12">
        <v>14.141999999999999</v>
      </c>
      <c r="T12">
        <v>712</v>
      </c>
      <c r="U12">
        <f t="shared" si="0"/>
        <v>4.7808988764044944</v>
      </c>
    </row>
    <row r="13" spans="1:21" x14ac:dyDescent="0.35">
      <c r="A13">
        <v>3317</v>
      </c>
      <c r="B13" t="s">
        <v>13</v>
      </c>
      <c r="C13" t="s">
        <v>1438</v>
      </c>
      <c r="D13">
        <v>83</v>
      </c>
      <c r="E13">
        <v>8.3000000000000007</v>
      </c>
      <c r="F13">
        <v>36</v>
      </c>
      <c r="G13">
        <v>104</v>
      </c>
      <c r="H13">
        <v>10622</v>
      </c>
      <c r="I13">
        <v>274453</v>
      </c>
      <c r="J13">
        <v>46.631250000000001</v>
      </c>
      <c r="K13">
        <v>14.700417</v>
      </c>
      <c r="L13">
        <v>36</v>
      </c>
      <c r="M13">
        <v>509.12</v>
      </c>
      <c r="N13">
        <v>105.7</v>
      </c>
      <c r="O13">
        <v>476010000</v>
      </c>
      <c r="P13">
        <v>2.6615000000000002</v>
      </c>
      <c r="Q13">
        <v>252.74</v>
      </c>
      <c r="R13">
        <v>416</v>
      </c>
      <c r="S13">
        <v>0.5</v>
      </c>
      <c r="T13">
        <v>72277</v>
      </c>
      <c r="U13">
        <f t="shared" si="0"/>
        <v>3.7972384022579799</v>
      </c>
    </row>
    <row r="14" spans="1:21" x14ac:dyDescent="0.35">
      <c r="A14">
        <v>3327</v>
      </c>
      <c r="B14" t="s">
        <v>13</v>
      </c>
      <c r="C14" t="s">
        <v>1434</v>
      </c>
      <c r="D14">
        <v>36</v>
      </c>
      <c r="E14">
        <v>2.5</v>
      </c>
      <c r="F14">
        <v>40</v>
      </c>
      <c r="G14">
        <v>104</v>
      </c>
      <c r="H14">
        <v>7761</v>
      </c>
      <c r="I14">
        <v>213005</v>
      </c>
      <c r="J14">
        <v>46.562916999999999</v>
      </c>
      <c r="K14">
        <v>14.467083000000001</v>
      </c>
      <c r="L14">
        <v>40</v>
      </c>
      <c r="M14">
        <v>917.82</v>
      </c>
      <c r="N14">
        <v>93.704999999999998</v>
      </c>
      <c r="O14">
        <v>400010000</v>
      </c>
      <c r="P14">
        <v>0.23843</v>
      </c>
      <c r="Q14">
        <v>197.32</v>
      </c>
      <c r="R14">
        <v>430</v>
      </c>
      <c r="S14">
        <v>0.5</v>
      </c>
      <c r="T14">
        <v>52815</v>
      </c>
      <c r="U14">
        <f t="shared" si="0"/>
        <v>4.0330398561014862</v>
      </c>
    </row>
    <row r="15" spans="1:21" x14ac:dyDescent="0.35">
      <c r="A15">
        <v>3329</v>
      </c>
      <c r="B15" t="s">
        <v>13</v>
      </c>
      <c r="C15" t="s">
        <v>1435</v>
      </c>
      <c r="D15">
        <v>33</v>
      </c>
      <c r="E15">
        <v>2.8</v>
      </c>
      <c r="F15">
        <v>40</v>
      </c>
      <c r="G15">
        <v>97</v>
      </c>
      <c r="H15">
        <v>7506</v>
      </c>
      <c r="I15">
        <v>206775</v>
      </c>
      <c r="J15">
        <v>46.547916999999998</v>
      </c>
      <c r="K15">
        <v>14.296250000000001</v>
      </c>
      <c r="L15">
        <v>40</v>
      </c>
      <c r="M15">
        <v>742.16</v>
      </c>
      <c r="N15">
        <v>89.8</v>
      </c>
      <c r="O15">
        <v>380680000</v>
      </c>
      <c r="P15">
        <v>0.12611</v>
      </c>
      <c r="Q15">
        <v>189.77</v>
      </c>
      <c r="R15">
        <v>427</v>
      </c>
      <c r="S15">
        <v>0.5</v>
      </c>
      <c r="T15">
        <v>51081</v>
      </c>
      <c r="U15">
        <f t="shared" si="0"/>
        <v>4.047982615845422</v>
      </c>
    </row>
    <row r="16" spans="1:21" x14ac:dyDescent="0.35">
      <c r="A16">
        <v>3333</v>
      </c>
      <c r="B16" t="s">
        <v>13</v>
      </c>
      <c r="C16" t="s">
        <v>1436</v>
      </c>
      <c r="D16">
        <v>50</v>
      </c>
      <c r="E16">
        <v>3.3</v>
      </c>
      <c r="F16">
        <v>38</v>
      </c>
      <c r="G16">
        <v>95</v>
      </c>
      <c r="H16">
        <v>7403</v>
      </c>
      <c r="I16">
        <v>204162</v>
      </c>
      <c r="J16">
        <v>46.532916999999998</v>
      </c>
      <c r="K16">
        <v>14.167083</v>
      </c>
      <c r="L16">
        <v>38</v>
      </c>
      <c r="M16">
        <v>1094.9000000000001</v>
      </c>
      <c r="N16">
        <v>83.816000000000003</v>
      </c>
      <c r="O16">
        <v>354340000</v>
      </c>
      <c r="P16">
        <v>0.53800000000000003</v>
      </c>
      <c r="Q16">
        <v>187.13</v>
      </c>
      <c r="R16">
        <v>456</v>
      </c>
      <c r="S16">
        <v>1.4141999999999999</v>
      </c>
      <c r="T16">
        <v>50385</v>
      </c>
      <c r="U16">
        <f t="shared" si="0"/>
        <v>4.0520392974099435</v>
      </c>
    </row>
    <row r="17" spans="1:21" x14ac:dyDescent="0.35">
      <c r="A17">
        <v>3799</v>
      </c>
      <c r="B17" t="s">
        <v>13</v>
      </c>
      <c r="C17" t="s">
        <v>1431</v>
      </c>
      <c r="D17">
        <v>73</v>
      </c>
      <c r="E17">
        <v>1.9</v>
      </c>
      <c r="F17">
        <v>69</v>
      </c>
      <c r="G17">
        <v>240</v>
      </c>
      <c r="H17">
        <v>884</v>
      </c>
      <c r="I17">
        <v>8094</v>
      </c>
      <c r="J17">
        <v>48.592917</v>
      </c>
      <c r="K17">
        <v>15.329583</v>
      </c>
      <c r="L17">
        <v>69</v>
      </c>
      <c r="M17">
        <v>1800</v>
      </c>
      <c r="N17">
        <v>6.7949000000000002</v>
      </c>
      <c r="O17">
        <v>32760000</v>
      </c>
      <c r="P17">
        <v>5.6829000000000001</v>
      </c>
      <c r="Q17">
        <v>8.7721</v>
      </c>
      <c r="R17">
        <v>513</v>
      </c>
      <c r="S17">
        <v>0.5</v>
      </c>
      <c r="T17">
        <v>6219</v>
      </c>
      <c r="U17">
        <f t="shared" si="0"/>
        <v>1.3014954172696576</v>
      </c>
    </row>
    <row r="18" spans="1:21" x14ac:dyDescent="0.35">
      <c r="A18">
        <v>3800</v>
      </c>
      <c r="B18" t="s">
        <v>13</v>
      </c>
      <c r="C18" t="s">
        <v>1432</v>
      </c>
      <c r="D18">
        <v>21</v>
      </c>
      <c r="E18">
        <v>0.9</v>
      </c>
      <c r="F18">
        <v>53</v>
      </c>
      <c r="G18">
        <v>234</v>
      </c>
      <c r="H18">
        <v>936</v>
      </c>
      <c r="I18">
        <v>8522</v>
      </c>
      <c r="J18">
        <v>48.592917</v>
      </c>
      <c r="K18">
        <v>15.39625</v>
      </c>
      <c r="L18">
        <v>53</v>
      </c>
      <c r="M18">
        <v>360</v>
      </c>
      <c r="N18">
        <v>5.4558</v>
      </c>
      <c r="O18">
        <v>26335000</v>
      </c>
      <c r="P18">
        <v>1.5001</v>
      </c>
      <c r="Q18">
        <v>9.2116000000000007</v>
      </c>
      <c r="R18">
        <v>488</v>
      </c>
      <c r="S18">
        <v>1</v>
      </c>
      <c r="T18">
        <v>6588</v>
      </c>
      <c r="U18">
        <f t="shared" si="0"/>
        <v>1.2935640558591379</v>
      </c>
    </row>
    <row r="19" spans="1:21" x14ac:dyDescent="0.35">
      <c r="A19">
        <v>3832</v>
      </c>
      <c r="B19" t="s">
        <v>13</v>
      </c>
      <c r="C19" t="s">
        <v>1429</v>
      </c>
      <c r="D19">
        <v>16.2</v>
      </c>
      <c r="E19">
        <v>0.6</v>
      </c>
      <c r="F19">
        <v>88</v>
      </c>
      <c r="G19">
        <v>370</v>
      </c>
      <c r="H19">
        <v>30</v>
      </c>
      <c r="I19">
        <v>438</v>
      </c>
      <c r="J19">
        <v>46.678750000000001</v>
      </c>
      <c r="K19">
        <v>15.037917</v>
      </c>
      <c r="L19">
        <v>88</v>
      </c>
      <c r="M19">
        <v>569.21</v>
      </c>
      <c r="N19">
        <v>0.52808999999999995</v>
      </c>
      <c r="O19">
        <v>2796000</v>
      </c>
      <c r="P19">
        <v>11.015000000000001</v>
      </c>
      <c r="Q19">
        <v>0.54627999999999999</v>
      </c>
      <c r="R19">
        <v>1148</v>
      </c>
      <c r="S19">
        <v>10.050000000000001</v>
      </c>
      <c r="T19">
        <v>199</v>
      </c>
      <c r="U19">
        <f t="shared" si="0"/>
        <v>2.2010050251256281</v>
      </c>
    </row>
    <row r="20" spans="1:21" x14ac:dyDescent="0.35">
      <c r="A20">
        <v>6834</v>
      </c>
      <c r="B20" t="s">
        <v>13</v>
      </c>
      <c r="C20" t="s">
        <v>1439</v>
      </c>
      <c r="D20">
        <v>114</v>
      </c>
      <c r="E20">
        <v>9.5</v>
      </c>
      <c r="F20">
        <v>34</v>
      </c>
      <c r="G20">
        <v>398</v>
      </c>
      <c r="H20">
        <v>77873</v>
      </c>
      <c r="I20">
        <v>1371338</v>
      </c>
      <c r="J20">
        <v>48.381250000000001</v>
      </c>
      <c r="K20">
        <v>14.027082999999999</v>
      </c>
      <c r="L20">
        <v>34</v>
      </c>
      <c r="M20">
        <v>360</v>
      </c>
      <c r="N20">
        <v>509.71</v>
      </c>
      <c r="O20">
        <v>2752100000</v>
      </c>
      <c r="P20">
        <v>0.53954000000000002</v>
      </c>
      <c r="Q20">
        <v>1542.2</v>
      </c>
      <c r="R20">
        <v>289</v>
      </c>
      <c r="S20">
        <v>1.4141999999999999</v>
      </c>
      <c r="T20">
        <v>544350</v>
      </c>
      <c r="U20">
        <f t="shared" si="0"/>
        <v>2.5192210893726461</v>
      </c>
    </row>
    <row r="21" spans="1:21" x14ac:dyDescent="0.35">
      <c r="A21">
        <v>6835</v>
      </c>
      <c r="B21" t="s">
        <v>13</v>
      </c>
      <c r="C21" t="s">
        <v>1437</v>
      </c>
      <c r="D21">
        <v>93</v>
      </c>
      <c r="E21">
        <v>11</v>
      </c>
      <c r="F21">
        <v>37</v>
      </c>
      <c r="G21">
        <v>457</v>
      </c>
      <c r="H21">
        <v>99059</v>
      </c>
      <c r="I21">
        <v>1762510</v>
      </c>
      <c r="J21">
        <v>48.377082999999999</v>
      </c>
      <c r="K21">
        <v>15.860417</v>
      </c>
      <c r="L21">
        <v>37</v>
      </c>
      <c r="M21">
        <v>2099.1</v>
      </c>
      <c r="N21">
        <v>712.01</v>
      </c>
      <c r="O21">
        <v>3861000000</v>
      </c>
      <c r="P21">
        <v>0.19731000000000001</v>
      </c>
      <c r="Q21">
        <v>1986.5</v>
      </c>
      <c r="R21">
        <v>181</v>
      </c>
      <c r="S21">
        <v>1</v>
      </c>
      <c r="T21">
        <v>691850</v>
      </c>
      <c r="U21">
        <f t="shared" si="0"/>
        <v>2.5475319794753197</v>
      </c>
    </row>
    <row r="22" spans="1:21" x14ac:dyDescent="0.35">
      <c r="A22">
        <v>6836</v>
      </c>
      <c r="B22" t="s">
        <v>13</v>
      </c>
      <c r="C22" t="s">
        <v>1441</v>
      </c>
      <c r="D22">
        <v>87</v>
      </c>
      <c r="E22">
        <v>10</v>
      </c>
      <c r="F22">
        <v>31</v>
      </c>
      <c r="G22">
        <v>455</v>
      </c>
      <c r="H22">
        <v>100493</v>
      </c>
      <c r="I22">
        <v>1776104</v>
      </c>
      <c r="J22">
        <v>48.352083</v>
      </c>
      <c r="K22">
        <v>16.243749999999999</v>
      </c>
      <c r="L22">
        <v>31</v>
      </c>
      <c r="M22">
        <v>1018.2</v>
      </c>
      <c r="N22">
        <v>584.46</v>
      </c>
      <c r="O22">
        <v>3168100000</v>
      </c>
      <c r="P22">
        <v>0.35214000000000001</v>
      </c>
      <c r="Q22">
        <v>1997.3</v>
      </c>
      <c r="R22">
        <v>177</v>
      </c>
      <c r="S22">
        <v>1</v>
      </c>
      <c r="T22">
        <v>701900</v>
      </c>
      <c r="U22">
        <f t="shared" si="0"/>
        <v>2.5304231371990311</v>
      </c>
    </row>
    <row r="23" spans="1:21" x14ac:dyDescent="0.35">
      <c r="A23">
        <v>6837</v>
      </c>
      <c r="B23" t="s">
        <v>13</v>
      </c>
      <c r="C23" t="s">
        <v>1440</v>
      </c>
      <c r="D23">
        <v>74</v>
      </c>
      <c r="E23">
        <v>10</v>
      </c>
      <c r="F23">
        <v>32</v>
      </c>
      <c r="G23">
        <v>460</v>
      </c>
      <c r="H23">
        <v>92111</v>
      </c>
      <c r="I23">
        <v>1672513</v>
      </c>
      <c r="J23">
        <v>48.185417000000001</v>
      </c>
      <c r="K23">
        <v>15.077083</v>
      </c>
      <c r="L23">
        <v>32</v>
      </c>
      <c r="M23">
        <v>402.49</v>
      </c>
      <c r="N23">
        <v>574.01</v>
      </c>
      <c r="O23">
        <v>3111700000</v>
      </c>
      <c r="P23">
        <v>1.0008999999999999</v>
      </c>
      <c r="Q23">
        <v>1884.8</v>
      </c>
      <c r="R23">
        <v>242</v>
      </c>
      <c r="S23">
        <v>2</v>
      </c>
      <c r="T23">
        <v>643270</v>
      </c>
      <c r="U23">
        <f t="shared" si="0"/>
        <v>2.6000171001290284</v>
      </c>
    </row>
    <row r="24" spans="1:21" x14ac:dyDescent="0.35">
      <c r="A24">
        <v>3235</v>
      </c>
      <c r="B24" t="s">
        <v>0</v>
      </c>
      <c r="C24" t="s">
        <v>1445</v>
      </c>
      <c r="D24">
        <v>25</v>
      </c>
      <c r="E24">
        <v>1.1000000000000001</v>
      </c>
      <c r="F24">
        <v>66</v>
      </c>
      <c r="G24">
        <v>410</v>
      </c>
      <c r="H24">
        <v>70</v>
      </c>
      <c r="I24">
        <v>842</v>
      </c>
      <c r="J24">
        <v>50.617916999999998</v>
      </c>
      <c r="K24">
        <v>6.0912499999999996</v>
      </c>
      <c r="L24">
        <v>66</v>
      </c>
      <c r="M24">
        <v>2012.5</v>
      </c>
      <c r="N24">
        <v>0.74156999999999995</v>
      </c>
      <c r="O24">
        <v>2755400</v>
      </c>
      <c r="P24">
        <v>28.224</v>
      </c>
      <c r="Q24">
        <v>0.75385999999999997</v>
      </c>
      <c r="R24">
        <v>375</v>
      </c>
      <c r="S24">
        <v>9.0554000000000006</v>
      </c>
      <c r="T24">
        <v>351</v>
      </c>
      <c r="U24">
        <f t="shared" si="0"/>
        <v>2.3988603988603989</v>
      </c>
    </row>
    <row r="25" spans="1:21" x14ac:dyDescent="0.35">
      <c r="A25">
        <v>3238</v>
      </c>
      <c r="B25" t="s">
        <v>0</v>
      </c>
      <c r="C25" t="s">
        <v>1444</v>
      </c>
      <c r="D25">
        <v>27</v>
      </c>
      <c r="E25">
        <v>1</v>
      </c>
      <c r="F25">
        <v>68</v>
      </c>
      <c r="G25">
        <v>365</v>
      </c>
      <c r="H25">
        <v>34</v>
      </c>
      <c r="I25">
        <v>420</v>
      </c>
      <c r="J25">
        <v>50.588749999999997</v>
      </c>
      <c r="K25">
        <v>5.9754170000000002</v>
      </c>
      <c r="L25">
        <v>68</v>
      </c>
      <c r="M25">
        <v>1272.8</v>
      </c>
      <c r="N25">
        <v>0.54052999999999995</v>
      </c>
      <c r="O25">
        <v>2028600</v>
      </c>
      <c r="P25">
        <v>21.84</v>
      </c>
      <c r="Q25">
        <v>0.53824000000000005</v>
      </c>
      <c r="R25">
        <v>314</v>
      </c>
      <c r="S25">
        <v>6</v>
      </c>
      <c r="T25">
        <v>252</v>
      </c>
      <c r="U25">
        <f t="shared" si="0"/>
        <v>1.6666666666666667</v>
      </c>
    </row>
    <row r="26" spans="1:21" x14ac:dyDescent="0.35">
      <c r="A26">
        <v>3245</v>
      </c>
      <c r="B26" t="s">
        <v>0</v>
      </c>
      <c r="C26" t="s">
        <v>1447</v>
      </c>
      <c r="D26">
        <v>11</v>
      </c>
      <c r="E26">
        <v>0.9</v>
      </c>
      <c r="F26">
        <v>28</v>
      </c>
      <c r="G26">
        <v>227</v>
      </c>
      <c r="H26">
        <v>70</v>
      </c>
      <c r="I26">
        <v>954</v>
      </c>
      <c r="J26">
        <v>50.435417000000001</v>
      </c>
      <c r="K26">
        <v>6.2112499999999997</v>
      </c>
      <c r="L26">
        <v>28</v>
      </c>
      <c r="M26">
        <v>649</v>
      </c>
      <c r="N26">
        <v>0.52820999999999996</v>
      </c>
      <c r="O26">
        <v>2037300</v>
      </c>
      <c r="P26">
        <v>21.457000000000001</v>
      </c>
      <c r="Q26">
        <v>1.3660000000000001</v>
      </c>
      <c r="R26">
        <v>562</v>
      </c>
      <c r="S26">
        <v>0.5</v>
      </c>
      <c r="T26">
        <v>509</v>
      </c>
      <c r="U26">
        <f t="shared" si="0"/>
        <v>1.8742632612966601</v>
      </c>
    </row>
    <row r="27" spans="1:21" x14ac:dyDescent="0.35">
      <c r="A27">
        <v>3250</v>
      </c>
      <c r="B27" t="s">
        <v>0</v>
      </c>
      <c r="C27" t="s">
        <v>1446</v>
      </c>
      <c r="D27">
        <v>14.8</v>
      </c>
      <c r="E27">
        <v>1.8</v>
      </c>
      <c r="F27">
        <v>35</v>
      </c>
      <c r="G27">
        <v>250</v>
      </c>
      <c r="H27">
        <v>80</v>
      </c>
      <c r="I27">
        <v>910</v>
      </c>
      <c r="J27">
        <v>50.214582999999998</v>
      </c>
      <c r="K27">
        <v>4.3962500000000002</v>
      </c>
      <c r="L27">
        <v>35</v>
      </c>
      <c r="M27">
        <v>509.12</v>
      </c>
      <c r="N27">
        <v>0.65236000000000005</v>
      </c>
      <c r="O27">
        <v>2483400</v>
      </c>
      <c r="P27">
        <v>24.751999999999999</v>
      </c>
      <c r="Q27">
        <v>1.3282</v>
      </c>
      <c r="R27">
        <v>249</v>
      </c>
      <c r="S27">
        <v>1</v>
      </c>
      <c r="T27">
        <v>580</v>
      </c>
      <c r="U27">
        <f t="shared" si="0"/>
        <v>1.5689655172413792</v>
      </c>
    </row>
    <row r="28" spans="1:21" x14ac:dyDescent="0.35">
      <c r="A28">
        <v>3251</v>
      </c>
      <c r="B28" t="s">
        <v>0</v>
      </c>
      <c r="C28" t="s">
        <v>74</v>
      </c>
      <c r="D28">
        <v>66.5</v>
      </c>
      <c r="E28">
        <v>3.2</v>
      </c>
      <c r="F28">
        <v>43</v>
      </c>
      <c r="G28">
        <v>790</v>
      </c>
      <c r="H28">
        <v>9</v>
      </c>
      <c r="I28">
        <v>107</v>
      </c>
      <c r="J28">
        <v>50.187083000000001</v>
      </c>
      <c r="K28">
        <v>4.38375</v>
      </c>
      <c r="L28">
        <v>43</v>
      </c>
      <c r="M28">
        <v>1698.1</v>
      </c>
      <c r="N28">
        <v>8.8901999999999995E-2</v>
      </c>
      <c r="O28">
        <v>338340</v>
      </c>
      <c r="P28">
        <v>78.388000000000005</v>
      </c>
      <c r="Q28">
        <v>0.14652000000000001</v>
      </c>
      <c r="R28">
        <v>244</v>
      </c>
      <c r="S28">
        <v>1</v>
      </c>
      <c r="T28">
        <v>64</v>
      </c>
      <c r="U28">
        <f t="shared" si="0"/>
        <v>1.671875</v>
      </c>
    </row>
    <row r="29" spans="1:21" x14ac:dyDescent="0.35">
      <c r="A29">
        <v>3900</v>
      </c>
      <c r="B29" t="s">
        <v>1</v>
      </c>
      <c r="C29" t="s">
        <v>1470</v>
      </c>
      <c r="D29">
        <v>20.399999999999999</v>
      </c>
      <c r="E29">
        <v>1</v>
      </c>
      <c r="F29">
        <v>32</v>
      </c>
      <c r="G29">
        <v>342</v>
      </c>
      <c r="H29">
        <v>58</v>
      </c>
      <c r="I29">
        <v>59</v>
      </c>
      <c r="J29">
        <v>43.915416999999998</v>
      </c>
      <c r="K29">
        <v>22.525417000000001</v>
      </c>
      <c r="L29">
        <v>32</v>
      </c>
      <c r="M29">
        <v>509.12</v>
      </c>
      <c r="N29">
        <v>0.13017999999999999</v>
      </c>
      <c r="O29">
        <v>569050</v>
      </c>
      <c r="P29">
        <v>10.031000000000001</v>
      </c>
      <c r="Q29">
        <v>0.32549</v>
      </c>
      <c r="R29">
        <v>228</v>
      </c>
      <c r="S29">
        <v>31.765000000000001</v>
      </c>
      <c r="T29">
        <v>376</v>
      </c>
      <c r="U29">
        <f t="shared" si="0"/>
        <v>0.15691489361702127</v>
      </c>
    </row>
    <row r="30" spans="1:21" x14ac:dyDescent="0.35">
      <c r="A30">
        <v>3904</v>
      </c>
      <c r="B30" t="s">
        <v>1</v>
      </c>
      <c r="C30" t="s">
        <v>1469</v>
      </c>
      <c r="D30">
        <v>17.5</v>
      </c>
      <c r="E30">
        <v>1</v>
      </c>
      <c r="F30">
        <v>35</v>
      </c>
      <c r="G30">
        <v>312</v>
      </c>
      <c r="H30">
        <v>74</v>
      </c>
      <c r="I30">
        <v>81</v>
      </c>
      <c r="J30">
        <v>43.854582999999998</v>
      </c>
      <c r="K30">
        <v>22.512917000000002</v>
      </c>
      <c r="L30">
        <v>35</v>
      </c>
      <c r="M30">
        <v>509.12</v>
      </c>
      <c r="N30">
        <v>0.18543999999999999</v>
      </c>
      <c r="O30">
        <v>809850</v>
      </c>
      <c r="P30">
        <v>8.5914000000000001</v>
      </c>
      <c r="Q30">
        <v>0.42364000000000002</v>
      </c>
      <c r="R30">
        <v>237</v>
      </c>
      <c r="S30">
        <v>29.411000000000001</v>
      </c>
      <c r="T30">
        <v>486</v>
      </c>
      <c r="U30">
        <f t="shared" si="0"/>
        <v>0.16666666666666666</v>
      </c>
    </row>
    <row r="31" spans="1:21" x14ac:dyDescent="0.35">
      <c r="A31">
        <v>3911</v>
      </c>
      <c r="B31" t="s">
        <v>1</v>
      </c>
      <c r="C31" t="s">
        <v>1479</v>
      </c>
      <c r="D31">
        <v>43.2</v>
      </c>
      <c r="E31">
        <v>2.2000000000000002</v>
      </c>
      <c r="F31">
        <v>13</v>
      </c>
      <c r="G31">
        <v>380</v>
      </c>
      <c r="H31">
        <v>2</v>
      </c>
      <c r="I31">
        <v>2</v>
      </c>
      <c r="J31">
        <v>43.745417000000003</v>
      </c>
      <c r="K31">
        <v>22.58625</v>
      </c>
      <c r="L31">
        <v>13</v>
      </c>
      <c r="M31">
        <v>1440</v>
      </c>
      <c r="N31">
        <v>1.3674E-3</v>
      </c>
      <c r="O31">
        <v>6156.7</v>
      </c>
      <c r="P31">
        <v>573.52</v>
      </c>
      <c r="Q31">
        <v>8.5845000000000001E-3</v>
      </c>
      <c r="R31">
        <v>285</v>
      </c>
      <c r="S31">
        <v>16.492000000000001</v>
      </c>
      <c r="T31">
        <v>12</v>
      </c>
      <c r="U31">
        <f t="shared" si="0"/>
        <v>0.16666666666666666</v>
      </c>
    </row>
    <row r="32" spans="1:21" x14ac:dyDescent="0.35">
      <c r="A32">
        <v>3913</v>
      </c>
      <c r="B32" t="s">
        <v>1</v>
      </c>
      <c r="C32" t="s">
        <v>1474</v>
      </c>
      <c r="D32">
        <v>12</v>
      </c>
      <c r="E32">
        <v>0.5</v>
      </c>
      <c r="F32">
        <v>28</v>
      </c>
      <c r="G32">
        <v>373</v>
      </c>
      <c r="H32">
        <v>58</v>
      </c>
      <c r="I32">
        <v>27</v>
      </c>
      <c r="J32">
        <v>43.695416999999999</v>
      </c>
      <c r="K32">
        <v>22.912917</v>
      </c>
      <c r="L32">
        <v>28</v>
      </c>
      <c r="M32">
        <v>360</v>
      </c>
      <c r="N32">
        <v>9.1092999999999993E-2</v>
      </c>
      <c r="O32">
        <v>410140</v>
      </c>
      <c r="P32">
        <v>12.430999999999999</v>
      </c>
      <c r="Q32">
        <v>0.26612000000000002</v>
      </c>
      <c r="R32">
        <v>204</v>
      </c>
      <c r="S32">
        <v>4</v>
      </c>
      <c r="T32">
        <v>372</v>
      </c>
      <c r="U32">
        <f t="shared" si="0"/>
        <v>7.2580645161290328E-2</v>
      </c>
    </row>
    <row r="33" spans="1:21" x14ac:dyDescent="0.35">
      <c r="A33">
        <v>3919</v>
      </c>
      <c r="B33" t="s">
        <v>1</v>
      </c>
      <c r="C33" t="s">
        <v>1477</v>
      </c>
      <c r="D33">
        <v>10.5</v>
      </c>
      <c r="E33">
        <v>0.7</v>
      </c>
      <c r="F33">
        <v>20</v>
      </c>
      <c r="G33">
        <v>231</v>
      </c>
      <c r="H33">
        <v>368</v>
      </c>
      <c r="I33">
        <v>572</v>
      </c>
      <c r="J33">
        <v>43.427083000000003</v>
      </c>
      <c r="K33">
        <v>25.887917000000002</v>
      </c>
      <c r="L33">
        <v>20</v>
      </c>
      <c r="M33">
        <v>360</v>
      </c>
      <c r="N33">
        <v>0.51417000000000002</v>
      </c>
      <c r="O33">
        <v>2448400</v>
      </c>
      <c r="P33">
        <v>2.7995999999999999</v>
      </c>
      <c r="Q33">
        <v>2.4198</v>
      </c>
      <c r="R33">
        <v>186</v>
      </c>
      <c r="S33">
        <v>12.53</v>
      </c>
      <c r="T33">
        <v>2359</v>
      </c>
      <c r="U33">
        <f t="shared" si="0"/>
        <v>0.24247562526494276</v>
      </c>
    </row>
    <row r="34" spans="1:21" x14ac:dyDescent="0.35">
      <c r="A34">
        <v>3922</v>
      </c>
      <c r="B34" t="s">
        <v>1</v>
      </c>
      <c r="C34" t="s">
        <v>1476</v>
      </c>
      <c r="D34">
        <v>25.5</v>
      </c>
      <c r="E34">
        <v>1.7</v>
      </c>
      <c r="F34">
        <v>21</v>
      </c>
      <c r="G34">
        <v>550</v>
      </c>
      <c r="H34">
        <v>70</v>
      </c>
      <c r="I34">
        <v>134</v>
      </c>
      <c r="J34">
        <v>43.404583000000002</v>
      </c>
      <c r="K34">
        <v>26.671250000000001</v>
      </c>
      <c r="L34">
        <v>21</v>
      </c>
      <c r="M34">
        <v>720</v>
      </c>
      <c r="N34">
        <v>0.10664</v>
      </c>
      <c r="O34">
        <v>508220</v>
      </c>
      <c r="P34">
        <v>7.4741</v>
      </c>
      <c r="Q34">
        <v>0.44357999999999997</v>
      </c>
      <c r="R34">
        <v>279</v>
      </c>
      <c r="S34">
        <v>11</v>
      </c>
      <c r="T34">
        <v>446</v>
      </c>
      <c r="U34">
        <f t="shared" si="0"/>
        <v>0.30044843049327352</v>
      </c>
    </row>
    <row r="35" spans="1:21" x14ac:dyDescent="0.35">
      <c r="A35">
        <v>3923</v>
      </c>
      <c r="B35" t="s">
        <v>1</v>
      </c>
      <c r="C35" t="s">
        <v>1456</v>
      </c>
      <c r="D35">
        <v>506</v>
      </c>
      <c r="E35">
        <v>16.100000000000001</v>
      </c>
      <c r="F35">
        <v>59</v>
      </c>
      <c r="G35">
        <v>1460</v>
      </c>
      <c r="H35">
        <v>990</v>
      </c>
      <c r="I35">
        <v>1800</v>
      </c>
      <c r="J35">
        <v>43.396250000000002</v>
      </c>
      <c r="K35">
        <v>23.212917000000001</v>
      </c>
      <c r="L35">
        <v>59</v>
      </c>
      <c r="M35">
        <v>1298</v>
      </c>
      <c r="N35">
        <v>4.4184000000000001</v>
      </c>
      <c r="O35">
        <v>20150000</v>
      </c>
      <c r="P35">
        <v>2.0259999999999998</v>
      </c>
      <c r="Q35">
        <v>6.2534000000000001</v>
      </c>
      <c r="R35">
        <v>181</v>
      </c>
      <c r="S35">
        <v>13.342000000000001</v>
      </c>
      <c r="T35">
        <v>6345</v>
      </c>
      <c r="U35">
        <f t="shared" si="0"/>
        <v>0.28368794326241137</v>
      </c>
    </row>
    <row r="36" spans="1:21" x14ac:dyDescent="0.35">
      <c r="A36">
        <v>3924</v>
      </c>
      <c r="B36" t="s">
        <v>1</v>
      </c>
      <c r="C36" t="s">
        <v>1468</v>
      </c>
      <c r="D36">
        <v>130</v>
      </c>
      <c r="E36">
        <v>7.6</v>
      </c>
      <c r="F36">
        <v>37</v>
      </c>
      <c r="G36">
        <v>1991</v>
      </c>
      <c r="H36">
        <v>68</v>
      </c>
      <c r="I36">
        <v>122</v>
      </c>
      <c r="J36">
        <v>43.370417000000003</v>
      </c>
      <c r="K36">
        <v>24.329583</v>
      </c>
      <c r="L36">
        <v>37</v>
      </c>
      <c r="M36">
        <v>8536.2999999999993</v>
      </c>
      <c r="N36">
        <v>0.15755</v>
      </c>
      <c r="O36">
        <v>763100</v>
      </c>
      <c r="P36">
        <v>127.2</v>
      </c>
      <c r="Q36">
        <v>0.37896000000000002</v>
      </c>
      <c r="R36">
        <v>166</v>
      </c>
      <c r="S36">
        <v>5</v>
      </c>
      <c r="T36">
        <v>434</v>
      </c>
      <c r="U36">
        <f t="shared" si="0"/>
        <v>0.28110599078341014</v>
      </c>
    </row>
    <row r="37" spans="1:21" x14ac:dyDescent="0.35">
      <c r="A37">
        <v>3926</v>
      </c>
      <c r="B37" t="s">
        <v>1</v>
      </c>
      <c r="C37" t="s">
        <v>1472</v>
      </c>
      <c r="D37">
        <v>17.2</v>
      </c>
      <c r="E37">
        <v>1.7</v>
      </c>
      <c r="F37">
        <v>29</v>
      </c>
      <c r="G37">
        <v>1960</v>
      </c>
      <c r="H37">
        <v>13</v>
      </c>
      <c r="I37">
        <v>25</v>
      </c>
      <c r="J37">
        <v>43.317082999999997</v>
      </c>
      <c r="K37">
        <v>24.24625</v>
      </c>
      <c r="L37">
        <v>29</v>
      </c>
      <c r="M37">
        <v>3065.3</v>
      </c>
      <c r="N37">
        <v>2.3081999999999998E-2</v>
      </c>
      <c r="O37">
        <v>111800</v>
      </c>
      <c r="P37">
        <v>205.84</v>
      </c>
      <c r="Q37">
        <v>7.0727999999999999E-2</v>
      </c>
      <c r="R37">
        <v>219</v>
      </c>
      <c r="S37">
        <v>2</v>
      </c>
      <c r="T37">
        <v>81</v>
      </c>
      <c r="U37">
        <f t="shared" si="0"/>
        <v>0.30864197530864196</v>
      </c>
    </row>
    <row r="38" spans="1:21" x14ac:dyDescent="0.35">
      <c r="A38">
        <v>3929</v>
      </c>
      <c r="B38" t="s">
        <v>1</v>
      </c>
      <c r="C38" t="s">
        <v>1464</v>
      </c>
      <c r="D38">
        <v>62.3</v>
      </c>
      <c r="E38">
        <v>2.9</v>
      </c>
      <c r="F38">
        <v>41</v>
      </c>
      <c r="G38">
        <v>420</v>
      </c>
      <c r="H38">
        <v>228</v>
      </c>
      <c r="I38">
        <v>746</v>
      </c>
      <c r="J38">
        <v>43.153750000000002</v>
      </c>
      <c r="K38">
        <v>26.272917</v>
      </c>
      <c r="L38">
        <v>41</v>
      </c>
      <c r="M38">
        <v>649</v>
      </c>
      <c r="N38">
        <v>0.68352000000000002</v>
      </c>
      <c r="O38">
        <v>3141000</v>
      </c>
      <c r="P38">
        <v>4.0069999999999997</v>
      </c>
      <c r="Q38">
        <v>1.4215</v>
      </c>
      <c r="R38">
        <v>372</v>
      </c>
      <c r="S38">
        <v>5</v>
      </c>
      <c r="T38">
        <v>1454</v>
      </c>
      <c r="U38">
        <f t="shared" si="0"/>
        <v>0.51306740027510311</v>
      </c>
    </row>
    <row r="39" spans="1:21" x14ac:dyDescent="0.35">
      <c r="A39">
        <v>3930</v>
      </c>
      <c r="B39" t="s">
        <v>1</v>
      </c>
      <c r="C39" t="s">
        <v>1454</v>
      </c>
      <c r="D39">
        <v>220</v>
      </c>
      <c r="E39">
        <v>6.8</v>
      </c>
      <c r="F39">
        <v>66</v>
      </c>
      <c r="G39">
        <v>300</v>
      </c>
      <c r="H39">
        <v>1495</v>
      </c>
      <c r="I39">
        <v>6035</v>
      </c>
      <c r="J39">
        <v>43.122917000000001</v>
      </c>
      <c r="K39">
        <v>25.171250000000001</v>
      </c>
      <c r="L39">
        <v>66</v>
      </c>
      <c r="M39">
        <v>917.82</v>
      </c>
      <c r="N39">
        <v>11.976000000000001</v>
      </c>
      <c r="O39">
        <v>55077000</v>
      </c>
      <c r="P39">
        <v>1.3332999999999999</v>
      </c>
      <c r="Q39">
        <v>15.753</v>
      </c>
      <c r="R39">
        <v>179</v>
      </c>
      <c r="S39">
        <v>0.5</v>
      </c>
      <c r="T39">
        <v>9518</v>
      </c>
      <c r="U39">
        <f t="shared" si="0"/>
        <v>0.63406177768438743</v>
      </c>
    </row>
    <row r="40" spans="1:21" x14ac:dyDescent="0.35">
      <c r="A40">
        <v>3934</v>
      </c>
      <c r="B40" t="s">
        <v>1</v>
      </c>
      <c r="C40" t="s">
        <v>1473</v>
      </c>
      <c r="D40">
        <v>59</v>
      </c>
      <c r="E40">
        <v>3</v>
      </c>
      <c r="F40">
        <v>28</v>
      </c>
      <c r="G40">
        <v>490</v>
      </c>
      <c r="H40">
        <v>76</v>
      </c>
      <c r="I40">
        <v>316</v>
      </c>
      <c r="J40">
        <v>43.007916999999999</v>
      </c>
      <c r="K40">
        <v>24.425416999999999</v>
      </c>
      <c r="L40">
        <v>28</v>
      </c>
      <c r="M40">
        <v>540</v>
      </c>
      <c r="N40">
        <v>0.30785000000000001</v>
      </c>
      <c r="O40">
        <v>1464100</v>
      </c>
      <c r="P40">
        <v>3.3026</v>
      </c>
      <c r="Q40">
        <v>0.96694000000000002</v>
      </c>
      <c r="R40">
        <v>358</v>
      </c>
      <c r="S40">
        <v>25.318000000000001</v>
      </c>
      <c r="T40">
        <v>485</v>
      </c>
      <c r="U40">
        <f t="shared" si="0"/>
        <v>0.65154639175257734</v>
      </c>
    </row>
    <row r="41" spans="1:21" x14ac:dyDescent="0.35">
      <c r="A41">
        <v>3936</v>
      </c>
      <c r="B41" t="s">
        <v>1</v>
      </c>
      <c r="C41" t="s">
        <v>1455</v>
      </c>
      <c r="D41">
        <v>92</v>
      </c>
      <c r="E41">
        <v>5.0999999999999996</v>
      </c>
      <c r="F41">
        <v>66</v>
      </c>
      <c r="G41">
        <v>256</v>
      </c>
      <c r="H41">
        <v>203</v>
      </c>
      <c r="I41">
        <v>802</v>
      </c>
      <c r="J41">
        <v>42.942917000000001</v>
      </c>
      <c r="K41">
        <v>25.767083</v>
      </c>
      <c r="L41">
        <v>66</v>
      </c>
      <c r="M41">
        <v>649</v>
      </c>
      <c r="N41">
        <v>1.1880999999999999</v>
      </c>
      <c r="O41">
        <v>4679000</v>
      </c>
      <c r="P41">
        <v>4.8342000000000001</v>
      </c>
      <c r="Q41">
        <v>1.2843</v>
      </c>
      <c r="R41">
        <v>332</v>
      </c>
      <c r="S41">
        <v>1</v>
      </c>
      <c r="T41">
        <v>1289</v>
      </c>
      <c r="U41">
        <f t="shared" si="0"/>
        <v>0.62218774243599695</v>
      </c>
    </row>
    <row r="42" spans="1:21" x14ac:dyDescent="0.35">
      <c r="A42">
        <v>3941</v>
      </c>
      <c r="B42" t="s">
        <v>1</v>
      </c>
      <c r="C42" t="s">
        <v>1457</v>
      </c>
      <c r="D42">
        <v>18.7</v>
      </c>
      <c r="E42">
        <v>0.7</v>
      </c>
      <c r="F42">
        <v>56</v>
      </c>
      <c r="G42">
        <v>218</v>
      </c>
      <c r="H42">
        <v>54</v>
      </c>
      <c r="I42">
        <v>249</v>
      </c>
      <c r="J42">
        <v>42.816249999999997</v>
      </c>
      <c r="K42">
        <v>25.265416999999999</v>
      </c>
      <c r="L42">
        <v>56</v>
      </c>
      <c r="M42">
        <v>402.49</v>
      </c>
      <c r="N42">
        <v>0.35626999999999998</v>
      </c>
      <c r="O42">
        <v>1572700</v>
      </c>
      <c r="P42">
        <v>6.5073999999999996</v>
      </c>
      <c r="Q42">
        <v>0.54674</v>
      </c>
      <c r="R42">
        <v>539</v>
      </c>
      <c r="S42">
        <v>7</v>
      </c>
      <c r="T42">
        <v>342</v>
      </c>
      <c r="U42">
        <f t="shared" si="0"/>
        <v>0.72807017543859653</v>
      </c>
    </row>
    <row r="43" spans="1:21" x14ac:dyDescent="0.35">
      <c r="A43">
        <v>3948</v>
      </c>
      <c r="B43" t="s">
        <v>1</v>
      </c>
      <c r="C43" t="s">
        <v>1462</v>
      </c>
      <c r="D43">
        <v>11.6</v>
      </c>
      <c r="E43">
        <v>0.6</v>
      </c>
      <c r="F43">
        <v>43</v>
      </c>
      <c r="G43">
        <v>200</v>
      </c>
      <c r="H43">
        <v>152</v>
      </c>
      <c r="I43">
        <v>777</v>
      </c>
      <c r="J43">
        <v>42.698749999999997</v>
      </c>
      <c r="K43">
        <v>24.287082999999999</v>
      </c>
      <c r="L43">
        <v>43</v>
      </c>
      <c r="M43">
        <v>720</v>
      </c>
      <c r="N43">
        <v>0.88858000000000004</v>
      </c>
      <c r="O43">
        <v>4326800</v>
      </c>
      <c r="P43">
        <v>2.6648999999999998</v>
      </c>
      <c r="Q43">
        <v>1.8786</v>
      </c>
      <c r="R43">
        <v>821</v>
      </c>
      <c r="S43">
        <v>3.6055999999999999</v>
      </c>
      <c r="T43">
        <v>960</v>
      </c>
      <c r="U43">
        <f t="shared" si="0"/>
        <v>0.80937499999999996</v>
      </c>
    </row>
    <row r="44" spans="1:21" x14ac:dyDescent="0.35">
      <c r="A44">
        <v>3950</v>
      </c>
      <c r="B44" t="s">
        <v>1</v>
      </c>
      <c r="C44" t="s">
        <v>1459</v>
      </c>
      <c r="D44">
        <v>36</v>
      </c>
      <c r="E44">
        <v>1.3</v>
      </c>
      <c r="F44">
        <v>51</v>
      </c>
      <c r="G44">
        <v>1070</v>
      </c>
      <c r="H44">
        <v>132</v>
      </c>
      <c r="I44">
        <v>733</v>
      </c>
      <c r="J44">
        <v>42.618749999999999</v>
      </c>
      <c r="K44">
        <v>23.744582999999999</v>
      </c>
      <c r="L44">
        <v>51</v>
      </c>
      <c r="M44">
        <v>804.98</v>
      </c>
      <c r="N44">
        <v>1.1380999999999999</v>
      </c>
      <c r="O44">
        <v>5418900</v>
      </c>
      <c r="P44">
        <v>3.1686000000000001</v>
      </c>
      <c r="Q44">
        <v>1.9113</v>
      </c>
      <c r="R44">
        <v>618</v>
      </c>
      <c r="S44">
        <v>3.6055999999999999</v>
      </c>
      <c r="T44">
        <v>836</v>
      </c>
      <c r="U44">
        <f t="shared" si="0"/>
        <v>0.87679425837320579</v>
      </c>
    </row>
    <row r="45" spans="1:21" x14ac:dyDescent="0.35">
      <c r="A45">
        <v>3951</v>
      </c>
      <c r="B45" t="s">
        <v>1</v>
      </c>
      <c r="C45" t="s">
        <v>1460</v>
      </c>
      <c r="D45">
        <v>112</v>
      </c>
      <c r="E45">
        <v>9.1999999999999993</v>
      </c>
      <c r="F45">
        <v>44</v>
      </c>
      <c r="G45">
        <v>834</v>
      </c>
      <c r="H45">
        <v>860</v>
      </c>
      <c r="I45">
        <v>4310</v>
      </c>
      <c r="J45">
        <v>42.616250000000001</v>
      </c>
      <c r="K45">
        <v>25.317083</v>
      </c>
      <c r="L45">
        <v>44</v>
      </c>
      <c r="M45">
        <v>2340</v>
      </c>
      <c r="N45">
        <v>4.46</v>
      </c>
      <c r="O45">
        <v>19852000</v>
      </c>
      <c r="P45">
        <v>2.0406</v>
      </c>
      <c r="Q45">
        <v>8.8056000000000001</v>
      </c>
      <c r="R45">
        <v>373</v>
      </c>
      <c r="S45">
        <v>1.4141999999999999</v>
      </c>
      <c r="T45">
        <v>5444</v>
      </c>
      <c r="U45">
        <f t="shared" si="0"/>
        <v>0.79169728141072737</v>
      </c>
    </row>
    <row r="46" spans="1:21" x14ac:dyDescent="0.35">
      <c r="A46">
        <v>3952</v>
      </c>
      <c r="B46" t="s">
        <v>1</v>
      </c>
      <c r="C46" t="s">
        <v>1458</v>
      </c>
      <c r="D46">
        <v>400</v>
      </c>
      <c r="E46">
        <v>17.2</v>
      </c>
      <c r="F46">
        <v>53</v>
      </c>
      <c r="G46">
        <v>794</v>
      </c>
      <c r="H46">
        <v>2214</v>
      </c>
      <c r="I46">
        <v>10367</v>
      </c>
      <c r="J46">
        <v>42.594583</v>
      </c>
      <c r="K46">
        <v>25.950417000000002</v>
      </c>
      <c r="L46">
        <v>53</v>
      </c>
      <c r="M46">
        <v>1440</v>
      </c>
      <c r="N46">
        <v>10.568</v>
      </c>
      <c r="O46">
        <v>49357000</v>
      </c>
      <c r="P46">
        <v>0.90007999999999999</v>
      </c>
      <c r="Q46">
        <v>18.68</v>
      </c>
      <c r="R46">
        <v>263</v>
      </c>
      <c r="S46">
        <v>0.5</v>
      </c>
      <c r="T46">
        <v>14023</v>
      </c>
      <c r="U46">
        <f t="shared" si="0"/>
        <v>0.73928545960208225</v>
      </c>
    </row>
    <row r="47" spans="1:21" x14ac:dyDescent="0.35">
      <c r="A47">
        <v>3953</v>
      </c>
      <c r="B47" t="s">
        <v>1</v>
      </c>
      <c r="C47" t="s">
        <v>1465</v>
      </c>
      <c r="D47">
        <v>27</v>
      </c>
      <c r="E47">
        <v>1.1000000000000001</v>
      </c>
      <c r="F47">
        <v>41</v>
      </c>
      <c r="G47">
        <v>743</v>
      </c>
      <c r="H47">
        <v>97</v>
      </c>
      <c r="I47">
        <v>498</v>
      </c>
      <c r="J47">
        <v>42.545417</v>
      </c>
      <c r="K47">
        <v>24.921250000000001</v>
      </c>
      <c r="L47">
        <v>41</v>
      </c>
      <c r="M47">
        <v>1405.8</v>
      </c>
      <c r="N47">
        <v>0.61599000000000004</v>
      </c>
      <c r="O47">
        <v>2800200</v>
      </c>
      <c r="P47">
        <v>7.0312000000000001</v>
      </c>
      <c r="Q47">
        <v>1.2529999999999999</v>
      </c>
      <c r="R47">
        <v>345</v>
      </c>
      <c r="S47">
        <v>1</v>
      </c>
      <c r="T47">
        <v>613</v>
      </c>
      <c r="U47">
        <f t="shared" si="0"/>
        <v>0.81239804241435565</v>
      </c>
    </row>
    <row r="48" spans="1:21" x14ac:dyDescent="0.35">
      <c r="A48">
        <v>3955</v>
      </c>
      <c r="B48" t="s">
        <v>1</v>
      </c>
      <c r="C48" t="s">
        <v>1451</v>
      </c>
      <c r="D48">
        <v>673</v>
      </c>
      <c r="E48">
        <v>24</v>
      </c>
      <c r="F48">
        <v>74</v>
      </c>
      <c r="G48">
        <v>204</v>
      </c>
      <c r="H48">
        <v>1036</v>
      </c>
      <c r="I48">
        <v>6783</v>
      </c>
      <c r="J48">
        <v>42.513750000000002</v>
      </c>
      <c r="K48">
        <v>23.537917</v>
      </c>
      <c r="L48">
        <v>74</v>
      </c>
      <c r="M48">
        <v>763.68</v>
      </c>
      <c r="N48">
        <v>13.004</v>
      </c>
      <c r="O48">
        <v>52462000</v>
      </c>
      <c r="P48">
        <v>0.64768000000000003</v>
      </c>
      <c r="Q48">
        <v>15.366</v>
      </c>
      <c r="R48">
        <v>808</v>
      </c>
      <c r="S48">
        <v>5.6569000000000003</v>
      </c>
      <c r="T48">
        <v>6527</v>
      </c>
      <c r="U48">
        <f t="shared" si="0"/>
        <v>1.0392216944997701</v>
      </c>
    </row>
    <row r="49" spans="1:21" x14ac:dyDescent="0.35">
      <c r="A49">
        <v>3958</v>
      </c>
      <c r="B49" t="s">
        <v>1</v>
      </c>
      <c r="C49" t="s">
        <v>1450</v>
      </c>
      <c r="D49">
        <v>141.30000000000001</v>
      </c>
      <c r="E49">
        <v>3.1</v>
      </c>
      <c r="F49">
        <v>78</v>
      </c>
      <c r="G49">
        <v>338</v>
      </c>
      <c r="H49">
        <v>1419</v>
      </c>
      <c r="I49">
        <v>7727</v>
      </c>
      <c r="J49">
        <v>42.420417</v>
      </c>
      <c r="K49">
        <v>24.001249999999999</v>
      </c>
      <c r="L49">
        <v>78</v>
      </c>
      <c r="M49">
        <v>1707.6</v>
      </c>
      <c r="N49">
        <v>17.416</v>
      </c>
      <c r="O49">
        <v>78249000</v>
      </c>
      <c r="P49">
        <v>0.99529000000000001</v>
      </c>
      <c r="Q49">
        <v>19.344999999999999</v>
      </c>
      <c r="R49">
        <v>382</v>
      </c>
      <c r="S49">
        <v>10.817</v>
      </c>
      <c r="T49">
        <v>8977</v>
      </c>
      <c r="U49">
        <f t="shared" si="0"/>
        <v>0.86075526345104159</v>
      </c>
    </row>
    <row r="50" spans="1:21" x14ac:dyDescent="0.35">
      <c r="A50">
        <v>3959</v>
      </c>
      <c r="B50" t="s">
        <v>1</v>
      </c>
      <c r="C50" t="s">
        <v>1463</v>
      </c>
      <c r="D50">
        <v>211.4</v>
      </c>
      <c r="E50">
        <v>9.4</v>
      </c>
      <c r="F50">
        <v>42</v>
      </c>
      <c r="G50">
        <v>3010</v>
      </c>
      <c r="H50">
        <v>373</v>
      </c>
      <c r="I50">
        <v>1900</v>
      </c>
      <c r="J50">
        <v>42.399583</v>
      </c>
      <c r="K50">
        <v>24.567083</v>
      </c>
      <c r="L50">
        <v>42</v>
      </c>
      <c r="M50">
        <v>1659.5</v>
      </c>
      <c r="N50">
        <v>1.5973999999999999</v>
      </c>
      <c r="O50">
        <v>7472700</v>
      </c>
      <c r="P50">
        <v>3.6402999999999999</v>
      </c>
      <c r="Q50">
        <v>3.2812999999999999</v>
      </c>
      <c r="R50">
        <v>288</v>
      </c>
      <c r="S50">
        <v>1.4141999999999999</v>
      </c>
      <c r="T50">
        <v>2350</v>
      </c>
      <c r="U50">
        <f t="shared" si="0"/>
        <v>0.80851063829787229</v>
      </c>
    </row>
    <row r="51" spans="1:21" x14ac:dyDescent="0.35">
      <c r="A51">
        <v>3960</v>
      </c>
      <c r="B51" t="s">
        <v>1</v>
      </c>
      <c r="C51" t="s">
        <v>1475</v>
      </c>
      <c r="D51">
        <v>45</v>
      </c>
      <c r="E51">
        <v>7.4</v>
      </c>
      <c r="F51">
        <v>22</v>
      </c>
      <c r="G51">
        <v>1480</v>
      </c>
      <c r="H51">
        <v>261</v>
      </c>
      <c r="I51">
        <v>914</v>
      </c>
      <c r="J51">
        <v>42.257916999999999</v>
      </c>
      <c r="K51">
        <v>26.145416999999998</v>
      </c>
      <c r="L51">
        <v>22</v>
      </c>
      <c r="M51">
        <v>720</v>
      </c>
      <c r="N51">
        <v>0.38888</v>
      </c>
      <c r="O51">
        <v>1431100</v>
      </c>
      <c r="P51">
        <v>4.3983999999999996</v>
      </c>
      <c r="Q51">
        <v>1.2279</v>
      </c>
      <c r="R51">
        <v>139</v>
      </c>
      <c r="S51">
        <v>0.5</v>
      </c>
      <c r="T51">
        <v>1646</v>
      </c>
      <c r="U51">
        <f t="shared" si="0"/>
        <v>0.55528554070473879</v>
      </c>
    </row>
    <row r="52" spans="1:21" x14ac:dyDescent="0.35">
      <c r="A52">
        <v>3963</v>
      </c>
      <c r="B52" t="s">
        <v>1</v>
      </c>
      <c r="C52" t="s">
        <v>1478</v>
      </c>
      <c r="D52">
        <v>12.6</v>
      </c>
      <c r="E52">
        <v>0.9</v>
      </c>
      <c r="F52">
        <v>19</v>
      </c>
      <c r="G52">
        <v>892</v>
      </c>
      <c r="H52">
        <v>45</v>
      </c>
      <c r="I52">
        <v>144</v>
      </c>
      <c r="J52">
        <v>42.216250000000002</v>
      </c>
      <c r="K52">
        <v>26.632916999999999</v>
      </c>
      <c r="L52">
        <v>19</v>
      </c>
      <c r="M52">
        <v>540</v>
      </c>
      <c r="N52">
        <v>5.9630000000000002E-2</v>
      </c>
      <c r="O52">
        <v>212050</v>
      </c>
      <c r="P52">
        <v>15.425000000000001</v>
      </c>
      <c r="Q52">
        <v>0.20613999999999999</v>
      </c>
      <c r="R52">
        <v>128</v>
      </c>
      <c r="S52">
        <v>1</v>
      </c>
      <c r="T52">
        <v>273</v>
      </c>
      <c r="U52">
        <f t="shared" si="0"/>
        <v>0.52747252747252749</v>
      </c>
    </row>
    <row r="53" spans="1:21" x14ac:dyDescent="0.35">
      <c r="A53">
        <v>3964</v>
      </c>
      <c r="B53" t="s">
        <v>1</v>
      </c>
      <c r="C53" t="s">
        <v>46</v>
      </c>
      <c r="D53">
        <v>144</v>
      </c>
      <c r="E53">
        <v>1.7</v>
      </c>
      <c r="F53">
        <v>98</v>
      </c>
      <c r="G53">
        <v>537</v>
      </c>
      <c r="H53">
        <v>18</v>
      </c>
      <c r="I53">
        <v>119</v>
      </c>
      <c r="J53">
        <v>42.174582999999998</v>
      </c>
      <c r="K53">
        <v>23.80875</v>
      </c>
      <c r="L53">
        <v>98</v>
      </c>
      <c r="M53">
        <v>1659.5</v>
      </c>
      <c r="N53">
        <v>0.35425000000000001</v>
      </c>
      <c r="O53">
        <v>1300600</v>
      </c>
      <c r="P53">
        <v>81.468000000000004</v>
      </c>
      <c r="Q53">
        <v>0.29038000000000003</v>
      </c>
      <c r="R53">
        <v>1896</v>
      </c>
      <c r="S53">
        <v>12.728</v>
      </c>
      <c r="T53">
        <v>113</v>
      </c>
      <c r="U53">
        <f t="shared" si="0"/>
        <v>1.0530973451327434</v>
      </c>
    </row>
    <row r="54" spans="1:21" x14ac:dyDescent="0.35">
      <c r="A54">
        <v>3965</v>
      </c>
      <c r="B54" t="s">
        <v>1</v>
      </c>
      <c r="C54" t="s">
        <v>1480</v>
      </c>
      <c r="D54">
        <v>20.399999999999999</v>
      </c>
      <c r="E54">
        <v>3.5</v>
      </c>
      <c r="F54">
        <v>12</v>
      </c>
      <c r="G54">
        <v>1285</v>
      </c>
      <c r="H54">
        <v>340</v>
      </c>
      <c r="I54">
        <v>1112</v>
      </c>
      <c r="J54">
        <v>42.151249999999997</v>
      </c>
      <c r="K54">
        <v>25.890416999999999</v>
      </c>
      <c r="L54">
        <v>12</v>
      </c>
      <c r="M54">
        <v>1298</v>
      </c>
      <c r="N54">
        <v>0.25585999999999998</v>
      </c>
      <c r="O54">
        <v>974450</v>
      </c>
      <c r="P54">
        <v>5.9200999999999997</v>
      </c>
      <c r="Q54">
        <v>1.5860000000000001</v>
      </c>
      <c r="R54">
        <v>101</v>
      </c>
      <c r="S54">
        <v>0.5</v>
      </c>
      <c r="T54">
        <v>2136</v>
      </c>
      <c r="U54">
        <f t="shared" si="0"/>
        <v>0.52059925093632964</v>
      </c>
    </row>
    <row r="55" spans="1:21" x14ac:dyDescent="0.35">
      <c r="A55">
        <v>3966</v>
      </c>
      <c r="B55" t="s">
        <v>1</v>
      </c>
      <c r="C55" t="s">
        <v>1466</v>
      </c>
      <c r="D55">
        <v>50</v>
      </c>
      <c r="E55">
        <v>2.8</v>
      </c>
      <c r="F55">
        <v>41</v>
      </c>
      <c r="G55">
        <v>1176</v>
      </c>
      <c r="H55">
        <v>187</v>
      </c>
      <c r="I55">
        <v>634</v>
      </c>
      <c r="J55">
        <v>42.120417000000003</v>
      </c>
      <c r="K55">
        <v>26.855416999999999</v>
      </c>
      <c r="L55">
        <v>41</v>
      </c>
      <c r="M55">
        <v>2167.5</v>
      </c>
      <c r="N55">
        <v>0.57140000000000002</v>
      </c>
      <c r="O55">
        <v>2025700</v>
      </c>
      <c r="P55">
        <v>15.031000000000001</v>
      </c>
      <c r="Q55">
        <v>0.90935999999999995</v>
      </c>
      <c r="R55">
        <v>246</v>
      </c>
      <c r="S55">
        <v>10</v>
      </c>
      <c r="T55">
        <v>1178</v>
      </c>
      <c r="U55">
        <f t="shared" si="0"/>
        <v>0.53820033955857383</v>
      </c>
    </row>
    <row r="56" spans="1:21" x14ac:dyDescent="0.35">
      <c r="A56">
        <v>3969</v>
      </c>
      <c r="B56" t="s">
        <v>1</v>
      </c>
      <c r="C56" t="s">
        <v>113</v>
      </c>
      <c r="D56">
        <v>305.8</v>
      </c>
      <c r="E56">
        <v>18.899999999999999</v>
      </c>
      <c r="F56">
        <v>35</v>
      </c>
      <c r="G56">
        <v>273</v>
      </c>
      <c r="H56">
        <v>71</v>
      </c>
      <c r="I56">
        <v>452</v>
      </c>
      <c r="J56">
        <v>42.019582999999997</v>
      </c>
      <c r="K56">
        <v>24.201250000000002</v>
      </c>
      <c r="L56">
        <v>35</v>
      </c>
      <c r="M56">
        <v>540</v>
      </c>
      <c r="N56">
        <v>0.15612000000000001</v>
      </c>
      <c r="O56">
        <v>613890</v>
      </c>
      <c r="P56">
        <v>10.058999999999999</v>
      </c>
      <c r="Q56">
        <v>0.36931000000000003</v>
      </c>
      <c r="R56">
        <v>1111</v>
      </c>
      <c r="S56">
        <v>3.6055999999999999</v>
      </c>
      <c r="T56">
        <v>445</v>
      </c>
      <c r="U56">
        <f t="shared" si="0"/>
        <v>1.0157303370786517</v>
      </c>
    </row>
    <row r="57" spans="1:21" x14ac:dyDescent="0.35">
      <c r="A57">
        <v>3970</v>
      </c>
      <c r="B57" t="s">
        <v>1</v>
      </c>
      <c r="C57" t="s">
        <v>1467</v>
      </c>
      <c r="D57">
        <v>25</v>
      </c>
      <c r="E57">
        <v>0.8</v>
      </c>
      <c r="F57">
        <v>41</v>
      </c>
      <c r="G57">
        <v>745</v>
      </c>
      <c r="H57">
        <v>12</v>
      </c>
      <c r="I57">
        <v>62</v>
      </c>
      <c r="J57">
        <v>41.987082999999998</v>
      </c>
      <c r="K57">
        <v>25.425416999999999</v>
      </c>
      <c r="L57">
        <v>41</v>
      </c>
      <c r="M57">
        <v>2012.5</v>
      </c>
      <c r="N57">
        <v>3.9947000000000003E-2</v>
      </c>
      <c r="O57">
        <v>150870</v>
      </c>
      <c r="P57">
        <v>182.78</v>
      </c>
      <c r="Q57">
        <v>7.3286000000000004E-2</v>
      </c>
      <c r="R57">
        <v>232</v>
      </c>
      <c r="S57">
        <v>8.0623000000000005</v>
      </c>
      <c r="T57">
        <v>76</v>
      </c>
      <c r="U57">
        <f t="shared" si="0"/>
        <v>0.81578947368421051</v>
      </c>
    </row>
    <row r="58" spans="1:21" x14ac:dyDescent="0.35">
      <c r="A58">
        <v>3972</v>
      </c>
      <c r="B58" t="s">
        <v>1</v>
      </c>
      <c r="C58" t="s">
        <v>1448</v>
      </c>
      <c r="D58">
        <v>226</v>
      </c>
      <c r="E58">
        <v>2.8</v>
      </c>
      <c r="F58">
        <v>145</v>
      </c>
      <c r="G58">
        <v>420</v>
      </c>
      <c r="H58">
        <v>1453</v>
      </c>
      <c r="I58">
        <v>9832</v>
      </c>
      <c r="J58">
        <v>41.937083000000001</v>
      </c>
      <c r="K58">
        <v>24.442083</v>
      </c>
      <c r="L58">
        <v>145</v>
      </c>
      <c r="M58">
        <v>1620</v>
      </c>
      <c r="N58">
        <v>12.852</v>
      </c>
      <c r="O58">
        <v>50558000</v>
      </c>
      <c r="P58">
        <v>4.1706000000000003</v>
      </c>
      <c r="Q58">
        <v>7.399</v>
      </c>
      <c r="R58">
        <v>530</v>
      </c>
      <c r="S58">
        <v>1</v>
      </c>
      <c r="T58">
        <v>8981</v>
      </c>
      <c r="U58">
        <f t="shared" si="0"/>
        <v>1.0947555951453067</v>
      </c>
    </row>
    <row r="59" spans="1:21" x14ac:dyDescent="0.35">
      <c r="A59">
        <v>3973</v>
      </c>
      <c r="B59" t="s">
        <v>1</v>
      </c>
      <c r="C59" t="s">
        <v>1471</v>
      </c>
      <c r="D59">
        <v>9</v>
      </c>
      <c r="E59">
        <v>0.8</v>
      </c>
      <c r="F59">
        <v>30</v>
      </c>
      <c r="G59">
        <v>201</v>
      </c>
      <c r="H59">
        <v>44</v>
      </c>
      <c r="I59">
        <v>142</v>
      </c>
      <c r="J59">
        <v>41.932082999999999</v>
      </c>
      <c r="K59">
        <v>26.015416999999999</v>
      </c>
      <c r="L59">
        <v>30</v>
      </c>
      <c r="M59">
        <v>804.98</v>
      </c>
      <c r="N59">
        <v>0.11883000000000001</v>
      </c>
      <c r="O59">
        <v>433970</v>
      </c>
      <c r="P59">
        <v>15.952999999999999</v>
      </c>
      <c r="Q59">
        <v>0.26799000000000001</v>
      </c>
      <c r="R59">
        <v>163</v>
      </c>
      <c r="S59">
        <v>8.4853000000000005</v>
      </c>
      <c r="T59">
        <v>273</v>
      </c>
      <c r="U59">
        <f t="shared" si="0"/>
        <v>0.52014652014652019</v>
      </c>
    </row>
    <row r="60" spans="1:21" x14ac:dyDescent="0.35">
      <c r="A60">
        <v>3976</v>
      </c>
      <c r="B60" t="s">
        <v>1</v>
      </c>
      <c r="C60" t="s">
        <v>1461</v>
      </c>
      <c r="D60">
        <v>114</v>
      </c>
      <c r="E60">
        <v>5.3</v>
      </c>
      <c r="F60">
        <v>44</v>
      </c>
      <c r="G60">
        <v>1020</v>
      </c>
      <c r="H60">
        <v>209</v>
      </c>
      <c r="I60">
        <v>1161</v>
      </c>
      <c r="J60">
        <v>41.863750000000003</v>
      </c>
      <c r="K60">
        <v>25.43375</v>
      </c>
      <c r="L60">
        <v>44</v>
      </c>
      <c r="M60">
        <v>1484.3</v>
      </c>
      <c r="N60">
        <v>0.73536999999999997</v>
      </c>
      <c r="O60">
        <v>2777200</v>
      </c>
      <c r="P60">
        <v>8.7056000000000004</v>
      </c>
      <c r="Q60">
        <v>1.2623</v>
      </c>
      <c r="R60">
        <v>254</v>
      </c>
      <c r="S60">
        <v>0.5</v>
      </c>
      <c r="T60">
        <v>1309</v>
      </c>
      <c r="U60">
        <f t="shared" si="0"/>
        <v>0.88693659281894577</v>
      </c>
    </row>
    <row r="61" spans="1:21" x14ac:dyDescent="0.35">
      <c r="A61">
        <v>3984</v>
      </c>
      <c r="B61" t="s">
        <v>1</v>
      </c>
      <c r="C61" t="s">
        <v>1449</v>
      </c>
      <c r="D61">
        <v>532.9</v>
      </c>
      <c r="E61">
        <v>12.1</v>
      </c>
      <c r="F61">
        <v>104</v>
      </c>
      <c r="G61">
        <v>403</v>
      </c>
      <c r="H61">
        <v>1903</v>
      </c>
      <c r="I61">
        <v>12609</v>
      </c>
      <c r="J61">
        <v>41.631250000000001</v>
      </c>
      <c r="K61">
        <v>25.337917000000001</v>
      </c>
      <c r="L61">
        <v>104</v>
      </c>
      <c r="M61">
        <v>1484.3</v>
      </c>
      <c r="N61">
        <v>12.955</v>
      </c>
      <c r="O61">
        <v>53673000</v>
      </c>
      <c r="P61">
        <v>2.0202</v>
      </c>
      <c r="Q61">
        <v>10.632999999999999</v>
      </c>
      <c r="R61">
        <v>373</v>
      </c>
      <c r="S61">
        <v>7.2801</v>
      </c>
      <c r="T61">
        <v>11859</v>
      </c>
      <c r="U61">
        <f t="shared" si="0"/>
        <v>1.0632431065013914</v>
      </c>
    </row>
    <row r="62" spans="1:21" x14ac:dyDescent="0.35">
      <c r="A62">
        <v>3985</v>
      </c>
      <c r="B62" t="s">
        <v>1</v>
      </c>
      <c r="C62" t="s">
        <v>1453</v>
      </c>
      <c r="D62">
        <v>489</v>
      </c>
      <c r="E62">
        <v>21.5</v>
      </c>
      <c r="F62">
        <v>68</v>
      </c>
      <c r="G62">
        <v>338</v>
      </c>
      <c r="H62">
        <v>3726</v>
      </c>
      <c r="I62">
        <v>23427</v>
      </c>
      <c r="J62">
        <v>41.620417000000003</v>
      </c>
      <c r="K62">
        <v>25.637917000000002</v>
      </c>
      <c r="L62">
        <v>68</v>
      </c>
      <c r="M62">
        <v>649</v>
      </c>
      <c r="N62">
        <v>19.652000000000001</v>
      </c>
      <c r="O62">
        <v>74988000</v>
      </c>
      <c r="P62">
        <v>1.8304</v>
      </c>
      <c r="Q62">
        <v>22.242000000000001</v>
      </c>
      <c r="R62">
        <v>230</v>
      </c>
      <c r="S62">
        <v>5.6569000000000003</v>
      </c>
      <c r="T62">
        <v>23199</v>
      </c>
      <c r="U62">
        <f t="shared" si="0"/>
        <v>1.0098280098280099</v>
      </c>
    </row>
    <row r="63" spans="1:21" x14ac:dyDescent="0.35">
      <c r="A63">
        <v>3986</v>
      </c>
      <c r="B63" t="s">
        <v>1</v>
      </c>
      <c r="C63" t="s">
        <v>1452</v>
      </c>
      <c r="D63">
        <v>188</v>
      </c>
      <c r="E63">
        <v>12.3</v>
      </c>
      <c r="F63">
        <v>73</v>
      </c>
      <c r="G63">
        <v>250</v>
      </c>
      <c r="H63">
        <v>5126</v>
      </c>
      <c r="I63">
        <v>30262</v>
      </c>
      <c r="J63">
        <v>41.587083</v>
      </c>
      <c r="K63">
        <v>26.107082999999999</v>
      </c>
      <c r="L63">
        <v>73</v>
      </c>
      <c r="M63">
        <v>763.68</v>
      </c>
      <c r="N63">
        <v>30.751000000000001</v>
      </c>
      <c r="O63">
        <v>113820000</v>
      </c>
      <c r="P63">
        <v>1.127</v>
      </c>
      <c r="Q63">
        <v>30.795999999999999</v>
      </c>
      <c r="R63">
        <v>148</v>
      </c>
      <c r="S63">
        <v>31.623000000000001</v>
      </c>
      <c r="T63">
        <v>31907</v>
      </c>
      <c r="U63">
        <f t="shared" si="0"/>
        <v>0.9484439151283417</v>
      </c>
    </row>
    <row r="64" spans="1:21" x14ac:dyDescent="0.35">
      <c r="A64">
        <v>3841</v>
      </c>
      <c r="B64" t="s">
        <v>8</v>
      </c>
      <c r="C64" t="s">
        <v>1481</v>
      </c>
      <c r="D64">
        <v>93.5</v>
      </c>
      <c r="E64">
        <v>16.399999999999999</v>
      </c>
      <c r="F64">
        <v>24</v>
      </c>
      <c r="G64">
        <v>492</v>
      </c>
      <c r="H64">
        <v>15844</v>
      </c>
      <c r="I64">
        <v>339903</v>
      </c>
      <c r="J64">
        <v>46.324582999999997</v>
      </c>
      <c r="K64">
        <v>16.721250000000001</v>
      </c>
      <c r="L64">
        <v>24</v>
      </c>
      <c r="M64">
        <v>5751.6</v>
      </c>
      <c r="N64">
        <v>84.869</v>
      </c>
      <c r="O64">
        <v>420450000</v>
      </c>
      <c r="P64">
        <v>0.28476000000000001</v>
      </c>
      <c r="Q64">
        <v>343.51</v>
      </c>
      <c r="R64">
        <v>138</v>
      </c>
      <c r="S64">
        <v>1</v>
      </c>
      <c r="T64">
        <v>107660</v>
      </c>
      <c r="U64">
        <f t="shared" si="0"/>
        <v>3.1571892996470368</v>
      </c>
    </row>
    <row r="65" spans="1:21" x14ac:dyDescent="0.35">
      <c r="A65">
        <v>3842</v>
      </c>
      <c r="B65" t="s">
        <v>8</v>
      </c>
      <c r="C65" t="s">
        <v>1482</v>
      </c>
      <c r="D65">
        <v>51</v>
      </c>
      <c r="E65">
        <v>9.8000000000000007</v>
      </c>
      <c r="F65">
        <v>24</v>
      </c>
      <c r="G65">
        <v>334</v>
      </c>
      <c r="H65">
        <v>15610</v>
      </c>
      <c r="I65">
        <v>338633</v>
      </c>
      <c r="J65">
        <v>46.307917000000003</v>
      </c>
      <c r="K65">
        <v>16.467082999999999</v>
      </c>
      <c r="L65">
        <v>24</v>
      </c>
      <c r="M65">
        <v>6763.8</v>
      </c>
      <c r="N65">
        <v>84.387</v>
      </c>
      <c r="O65">
        <v>417070000</v>
      </c>
      <c r="P65">
        <v>0.60499999999999998</v>
      </c>
      <c r="Q65">
        <v>340.83</v>
      </c>
      <c r="R65">
        <v>159</v>
      </c>
      <c r="S65">
        <v>1</v>
      </c>
      <c r="T65">
        <v>106080</v>
      </c>
      <c r="U65">
        <f t="shared" si="0"/>
        <v>3.1922417043740574</v>
      </c>
    </row>
    <row r="66" spans="1:21" x14ac:dyDescent="0.35">
      <c r="A66">
        <v>3232</v>
      </c>
      <c r="B66" t="s">
        <v>2</v>
      </c>
      <c r="C66" t="s">
        <v>1493</v>
      </c>
      <c r="D66">
        <v>27.1</v>
      </c>
      <c r="E66">
        <v>1.1000000000000001</v>
      </c>
      <c r="F66">
        <v>56</v>
      </c>
      <c r="G66">
        <v>459</v>
      </c>
      <c r="H66">
        <v>37</v>
      </c>
      <c r="I66">
        <v>191</v>
      </c>
      <c r="J66">
        <v>50.686250000000001</v>
      </c>
      <c r="K66">
        <v>13.58375</v>
      </c>
      <c r="L66">
        <v>56</v>
      </c>
      <c r="M66">
        <v>1207.5</v>
      </c>
      <c r="N66">
        <v>0.39732000000000001</v>
      </c>
      <c r="O66">
        <v>1745800</v>
      </c>
      <c r="P66">
        <v>16.672999999999998</v>
      </c>
      <c r="Q66">
        <v>0.56605000000000005</v>
      </c>
      <c r="R66">
        <v>732</v>
      </c>
      <c r="S66">
        <v>7.8102</v>
      </c>
      <c r="T66">
        <v>273</v>
      </c>
      <c r="U66">
        <f t="shared" ref="U66:U129" si="1">I66/T66</f>
        <v>0.69963369963369959</v>
      </c>
    </row>
    <row r="67" spans="1:21" x14ac:dyDescent="0.35">
      <c r="A67">
        <v>3244</v>
      </c>
      <c r="B67" t="s">
        <v>2</v>
      </c>
      <c r="C67" t="s">
        <v>1492</v>
      </c>
      <c r="D67">
        <v>55</v>
      </c>
      <c r="E67">
        <v>2.2999999999999998</v>
      </c>
      <c r="F67">
        <v>58</v>
      </c>
      <c r="G67">
        <v>470</v>
      </c>
      <c r="H67">
        <v>44</v>
      </c>
      <c r="I67">
        <v>257</v>
      </c>
      <c r="J67">
        <v>50.488750000000003</v>
      </c>
      <c r="K67">
        <v>13.133749999999999</v>
      </c>
      <c r="L67">
        <v>58</v>
      </c>
      <c r="M67">
        <v>1260</v>
      </c>
      <c r="N67">
        <v>0.34373999999999999</v>
      </c>
      <c r="O67">
        <v>1379200</v>
      </c>
      <c r="P67">
        <v>23.463999999999999</v>
      </c>
      <c r="Q67">
        <v>0.40866000000000002</v>
      </c>
      <c r="R67">
        <v>725</v>
      </c>
      <c r="S67">
        <v>5.6569000000000003</v>
      </c>
      <c r="T67">
        <v>325</v>
      </c>
      <c r="U67">
        <f t="shared" si="1"/>
        <v>0.79076923076923078</v>
      </c>
    </row>
    <row r="68" spans="1:21" x14ac:dyDescent="0.35">
      <c r="A68">
        <v>3248</v>
      </c>
      <c r="B68" t="s">
        <v>2</v>
      </c>
      <c r="C68" t="s">
        <v>1494</v>
      </c>
      <c r="D68">
        <v>287.60000000000002</v>
      </c>
      <c r="E68">
        <v>11.2</v>
      </c>
      <c r="F68">
        <v>52</v>
      </c>
      <c r="G68">
        <v>3280</v>
      </c>
      <c r="H68">
        <v>3572</v>
      </c>
      <c r="I68">
        <v>25365</v>
      </c>
      <c r="J68">
        <v>50.366250000000001</v>
      </c>
      <c r="K68">
        <v>13.412917</v>
      </c>
      <c r="L68">
        <v>52</v>
      </c>
      <c r="M68">
        <v>3462.4</v>
      </c>
      <c r="N68">
        <v>33.558</v>
      </c>
      <c r="O68">
        <v>136780000</v>
      </c>
      <c r="P68">
        <v>1.0055000000000001</v>
      </c>
      <c r="Q68">
        <v>47.912999999999997</v>
      </c>
      <c r="R68">
        <v>262</v>
      </c>
      <c r="S68">
        <v>2</v>
      </c>
      <c r="T68">
        <v>25977</v>
      </c>
      <c r="U68">
        <f t="shared" si="1"/>
        <v>0.97644069754013163</v>
      </c>
    </row>
    <row r="69" spans="1:21" x14ac:dyDescent="0.35">
      <c r="A69">
        <v>3252</v>
      </c>
      <c r="B69" t="s">
        <v>2</v>
      </c>
      <c r="C69" t="s">
        <v>1497</v>
      </c>
      <c r="D69">
        <v>21.4</v>
      </c>
      <c r="E69">
        <v>0.9</v>
      </c>
      <c r="F69">
        <v>48</v>
      </c>
      <c r="G69">
        <v>236</v>
      </c>
      <c r="H69">
        <v>70</v>
      </c>
      <c r="I69">
        <v>503</v>
      </c>
      <c r="J69">
        <v>50.186250000000001</v>
      </c>
      <c r="K69">
        <v>12.491250000000001</v>
      </c>
      <c r="L69">
        <v>48</v>
      </c>
      <c r="M69">
        <v>402.49</v>
      </c>
      <c r="N69">
        <v>0.61880999999999997</v>
      </c>
      <c r="O69">
        <v>2468400</v>
      </c>
      <c r="P69">
        <v>3.2736999999999998</v>
      </c>
      <c r="Q69">
        <v>0.90610000000000002</v>
      </c>
      <c r="R69">
        <v>510</v>
      </c>
      <c r="S69">
        <v>2.8283999999999998</v>
      </c>
      <c r="T69">
        <v>507</v>
      </c>
      <c r="U69">
        <f t="shared" si="1"/>
        <v>0.99211045364891515</v>
      </c>
    </row>
    <row r="70" spans="1:21" x14ac:dyDescent="0.35">
      <c r="A70">
        <v>3253</v>
      </c>
      <c r="B70" t="s">
        <v>2</v>
      </c>
      <c r="C70" t="s">
        <v>1489</v>
      </c>
      <c r="D70">
        <v>27.8</v>
      </c>
      <c r="E70">
        <v>0.8</v>
      </c>
      <c r="F70">
        <v>63</v>
      </c>
      <c r="G70">
        <v>258</v>
      </c>
      <c r="H70">
        <v>92</v>
      </c>
      <c r="I70">
        <v>614</v>
      </c>
      <c r="J70">
        <v>50.175417000000003</v>
      </c>
      <c r="K70">
        <v>12.87875</v>
      </c>
      <c r="L70">
        <v>63</v>
      </c>
      <c r="M70">
        <v>804.98</v>
      </c>
      <c r="N70">
        <v>1.0105</v>
      </c>
      <c r="O70">
        <v>4291500</v>
      </c>
      <c r="P70">
        <v>6.6821000000000002</v>
      </c>
      <c r="Q70">
        <v>1.2483</v>
      </c>
      <c r="R70">
        <v>525</v>
      </c>
      <c r="S70">
        <v>6</v>
      </c>
      <c r="T70">
        <v>666</v>
      </c>
      <c r="U70">
        <f t="shared" si="1"/>
        <v>0.92192192192192191</v>
      </c>
    </row>
    <row r="71" spans="1:21" x14ac:dyDescent="0.35">
      <c r="A71">
        <v>3255</v>
      </c>
      <c r="B71" t="s">
        <v>2</v>
      </c>
      <c r="C71" t="s">
        <v>1510</v>
      </c>
      <c r="D71">
        <v>12.8</v>
      </c>
      <c r="E71">
        <v>1.1000000000000001</v>
      </c>
      <c r="F71">
        <v>27</v>
      </c>
      <c r="G71">
        <v>235</v>
      </c>
      <c r="H71">
        <v>211</v>
      </c>
      <c r="I71">
        <v>1359</v>
      </c>
      <c r="J71">
        <v>50.091250000000002</v>
      </c>
      <c r="K71">
        <v>13.125417000000001</v>
      </c>
      <c r="L71">
        <v>27</v>
      </c>
      <c r="M71">
        <v>742.16</v>
      </c>
      <c r="N71">
        <v>0.86429999999999996</v>
      </c>
      <c r="O71">
        <v>3572500</v>
      </c>
      <c r="P71">
        <v>1.6181000000000001</v>
      </c>
      <c r="Q71">
        <v>2.3767999999999998</v>
      </c>
      <c r="R71">
        <v>501</v>
      </c>
      <c r="S71">
        <v>4.2426000000000004</v>
      </c>
      <c r="T71">
        <v>1534</v>
      </c>
      <c r="U71">
        <f t="shared" si="1"/>
        <v>0.88591916558018258</v>
      </c>
    </row>
    <row r="72" spans="1:21" x14ac:dyDescent="0.35">
      <c r="A72">
        <v>3256</v>
      </c>
      <c r="B72" t="s">
        <v>2</v>
      </c>
      <c r="C72" t="s">
        <v>1513</v>
      </c>
      <c r="D72">
        <v>60.1</v>
      </c>
      <c r="E72">
        <v>6</v>
      </c>
      <c r="F72">
        <v>22</v>
      </c>
      <c r="G72">
        <v>753</v>
      </c>
      <c r="H72">
        <v>413</v>
      </c>
      <c r="I72">
        <v>3131</v>
      </c>
      <c r="J72">
        <v>50.083750000000002</v>
      </c>
      <c r="K72">
        <v>12.475417</v>
      </c>
      <c r="L72">
        <v>22</v>
      </c>
      <c r="M72">
        <v>1451.2</v>
      </c>
      <c r="N72">
        <v>1.7175</v>
      </c>
      <c r="O72">
        <v>6676400</v>
      </c>
      <c r="P72">
        <v>1.5863</v>
      </c>
      <c r="Q72">
        <v>5.4157999999999999</v>
      </c>
      <c r="R72">
        <v>437</v>
      </c>
      <c r="S72">
        <v>1</v>
      </c>
      <c r="T72">
        <v>2988</v>
      </c>
      <c r="U72">
        <f t="shared" si="1"/>
        <v>1.0478580990629183</v>
      </c>
    </row>
    <row r="73" spans="1:21" x14ac:dyDescent="0.35">
      <c r="A73">
        <v>3257</v>
      </c>
      <c r="B73" t="s">
        <v>2</v>
      </c>
      <c r="C73" t="s">
        <v>1515</v>
      </c>
      <c r="D73">
        <v>19.600000000000001</v>
      </c>
      <c r="E73">
        <v>1.7</v>
      </c>
      <c r="F73">
        <v>17</v>
      </c>
      <c r="G73">
        <v>115</v>
      </c>
      <c r="H73">
        <v>672</v>
      </c>
      <c r="I73">
        <v>4960</v>
      </c>
      <c r="J73">
        <v>50.079583</v>
      </c>
      <c r="K73">
        <v>12.34625</v>
      </c>
      <c r="L73">
        <v>17</v>
      </c>
      <c r="M73">
        <v>402.49</v>
      </c>
      <c r="N73">
        <v>2.2240000000000002</v>
      </c>
      <c r="O73">
        <v>8721200</v>
      </c>
      <c r="P73">
        <v>2.3912</v>
      </c>
      <c r="Q73">
        <v>9.2888999999999999</v>
      </c>
      <c r="R73">
        <v>465</v>
      </c>
      <c r="S73">
        <v>2</v>
      </c>
      <c r="T73">
        <v>4879</v>
      </c>
      <c r="U73">
        <f t="shared" si="1"/>
        <v>1.016601762656282</v>
      </c>
    </row>
    <row r="74" spans="1:21" x14ac:dyDescent="0.35">
      <c r="A74">
        <v>3258</v>
      </c>
      <c r="B74" t="s">
        <v>2</v>
      </c>
      <c r="C74" t="s">
        <v>1516</v>
      </c>
      <c r="D74">
        <v>11.1</v>
      </c>
      <c r="E74">
        <v>0.7</v>
      </c>
      <c r="F74">
        <v>10</v>
      </c>
      <c r="G74">
        <v>93</v>
      </c>
      <c r="H74">
        <v>17683</v>
      </c>
      <c r="I74">
        <v>114118</v>
      </c>
      <c r="J74">
        <v>49.937083000000001</v>
      </c>
      <c r="K74">
        <v>14.37125</v>
      </c>
      <c r="L74">
        <v>10</v>
      </c>
      <c r="M74">
        <v>402.49</v>
      </c>
      <c r="N74">
        <v>17.841000000000001</v>
      </c>
      <c r="O74">
        <v>84053000</v>
      </c>
      <c r="P74">
        <v>0.15878999999999999</v>
      </c>
      <c r="Q74">
        <v>187.9</v>
      </c>
      <c r="R74">
        <v>208</v>
      </c>
      <c r="S74">
        <v>0.5</v>
      </c>
      <c r="T74">
        <v>126270</v>
      </c>
      <c r="U74">
        <f t="shared" si="1"/>
        <v>0.90376178031202981</v>
      </c>
    </row>
    <row r="75" spans="1:21" x14ac:dyDescent="0.35">
      <c r="A75">
        <v>3260</v>
      </c>
      <c r="B75" t="s">
        <v>2</v>
      </c>
      <c r="C75" t="s">
        <v>1486</v>
      </c>
      <c r="D75">
        <v>269.3</v>
      </c>
      <c r="E75">
        <v>10.4</v>
      </c>
      <c r="F75">
        <v>70</v>
      </c>
      <c r="G75">
        <v>260</v>
      </c>
      <c r="H75">
        <v>12875</v>
      </c>
      <c r="I75">
        <v>89248</v>
      </c>
      <c r="J75">
        <v>49.824582999999997</v>
      </c>
      <c r="K75">
        <v>14.429582999999999</v>
      </c>
      <c r="L75">
        <v>70</v>
      </c>
      <c r="M75">
        <v>540</v>
      </c>
      <c r="N75">
        <v>114.19</v>
      </c>
      <c r="O75">
        <v>537360000</v>
      </c>
      <c r="P75">
        <v>2.4397000000000002</v>
      </c>
      <c r="Q75">
        <v>143.47999999999999</v>
      </c>
      <c r="R75">
        <v>355</v>
      </c>
      <c r="S75">
        <v>1</v>
      </c>
      <c r="T75">
        <v>91664</v>
      </c>
      <c r="U75">
        <f t="shared" si="1"/>
        <v>0.9736428696107523</v>
      </c>
    </row>
    <row r="76" spans="1:21" x14ac:dyDescent="0.35">
      <c r="A76">
        <v>3261</v>
      </c>
      <c r="B76" t="s">
        <v>2</v>
      </c>
      <c r="C76" t="s">
        <v>1505</v>
      </c>
      <c r="D76">
        <v>42.4</v>
      </c>
      <c r="E76">
        <v>2</v>
      </c>
      <c r="F76">
        <v>34</v>
      </c>
      <c r="G76">
        <v>270</v>
      </c>
      <c r="H76">
        <v>1614</v>
      </c>
      <c r="I76">
        <v>11570</v>
      </c>
      <c r="J76">
        <v>49.793750000000003</v>
      </c>
      <c r="K76">
        <v>13.171250000000001</v>
      </c>
      <c r="L76">
        <v>34</v>
      </c>
      <c r="M76">
        <v>254.56</v>
      </c>
      <c r="N76">
        <v>8.7197999999999993</v>
      </c>
      <c r="O76">
        <v>35745000</v>
      </c>
      <c r="P76">
        <v>0.65844000000000003</v>
      </c>
      <c r="Q76">
        <v>19.843</v>
      </c>
      <c r="R76">
        <v>367</v>
      </c>
      <c r="S76">
        <v>6.7081999999999997</v>
      </c>
      <c r="T76">
        <v>11657</v>
      </c>
      <c r="U76">
        <f t="shared" si="1"/>
        <v>0.99253667324354466</v>
      </c>
    </row>
    <row r="77" spans="1:21" x14ac:dyDescent="0.35">
      <c r="A77">
        <v>3262</v>
      </c>
      <c r="B77" t="s">
        <v>2</v>
      </c>
      <c r="C77" t="s">
        <v>1512</v>
      </c>
      <c r="D77">
        <v>12.8</v>
      </c>
      <c r="E77">
        <v>0.3</v>
      </c>
      <c r="F77">
        <v>24</v>
      </c>
      <c r="G77">
        <v>186</v>
      </c>
      <c r="H77">
        <v>12125</v>
      </c>
      <c r="I77">
        <v>85590</v>
      </c>
      <c r="J77">
        <v>49.633749999999999</v>
      </c>
      <c r="K77">
        <v>14.24625</v>
      </c>
      <c r="L77">
        <v>24</v>
      </c>
      <c r="M77">
        <v>742.16</v>
      </c>
      <c r="N77">
        <v>36.036999999999999</v>
      </c>
      <c r="O77">
        <v>168860000</v>
      </c>
      <c r="P77">
        <v>8.1691E-2</v>
      </c>
      <c r="Q77">
        <v>137.52000000000001</v>
      </c>
      <c r="R77">
        <v>326</v>
      </c>
      <c r="S77">
        <v>0.5</v>
      </c>
      <c r="T77">
        <v>86275</v>
      </c>
      <c r="U77">
        <f t="shared" si="1"/>
        <v>0.99206027238481598</v>
      </c>
    </row>
    <row r="78" spans="1:21" x14ac:dyDescent="0.35">
      <c r="A78">
        <v>3263</v>
      </c>
      <c r="B78" t="s">
        <v>2</v>
      </c>
      <c r="C78" t="s">
        <v>1484</v>
      </c>
      <c r="D78">
        <v>716.5</v>
      </c>
      <c r="E78">
        <v>15.1</v>
      </c>
      <c r="F78">
        <v>91</v>
      </c>
      <c r="G78">
        <v>450</v>
      </c>
      <c r="H78">
        <v>12025</v>
      </c>
      <c r="I78">
        <v>85096</v>
      </c>
      <c r="J78">
        <v>49.605417000000003</v>
      </c>
      <c r="K78">
        <v>14.179582999999999</v>
      </c>
      <c r="L78">
        <v>91</v>
      </c>
      <c r="M78">
        <v>900</v>
      </c>
      <c r="N78">
        <v>143.25</v>
      </c>
      <c r="O78">
        <v>670770000</v>
      </c>
      <c r="P78">
        <v>2.2484000000000002</v>
      </c>
      <c r="Q78">
        <v>136.75</v>
      </c>
      <c r="R78">
        <v>348</v>
      </c>
      <c r="S78">
        <v>0.5</v>
      </c>
      <c r="T78">
        <v>85550</v>
      </c>
      <c r="U78">
        <f t="shared" si="1"/>
        <v>0.99469316189362944</v>
      </c>
    </row>
    <row r="79" spans="1:21" x14ac:dyDescent="0.35">
      <c r="A79">
        <v>3265</v>
      </c>
      <c r="B79" t="s">
        <v>2</v>
      </c>
      <c r="C79" t="s">
        <v>1504</v>
      </c>
      <c r="D79">
        <v>20.8</v>
      </c>
      <c r="E79">
        <v>1.3</v>
      </c>
      <c r="F79">
        <v>36</v>
      </c>
      <c r="G79">
        <v>337</v>
      </c>
      <c r="H79">
        <v>78</v>
      </c>
      <c r="I79">
        <v>698</v>
      </c>
      <c r="J79">
        <v>49.260416999999997</v>
      </c>
      <c r="K79">
        <v>13.14625</v>
      </c>
      <c r="L79">
        <v>36</v>
      </c>
      <c r="M79">
        <v>360</v>
      </c>
      <c r="N79">
        <v>0.74353999999999998</v>
      </c>
      <c r="O79">
        <v>3340700</v>
      </c>
      <c r="P79">
        <v>1.4544999999999999</v>
      </c>
      <c r="Q79">
        <v>1.6797</v>
      </c>
      <c r="R79">
        <v>524</v>
      </c>
      <c r="S79">
        <v>1</v>
      </c>
      <c r="T79">
        <v>556</v>
      </c>
      <c r="U79">
        <f t="shared" si="1"/>
        <v>1.2553956834532374</v>
      </c>
    </row>
    <row r="80" spans="1:21" x14ac:dyDescent="0.35">
      <c r="A80">
        <v>3267</v>
      </c>
      <c r="B80" t="s">
        <v>2</v>
      </c>
      <c r="C80" t="s">
        <v>1507</v>
      </c>
      <c r="D80">
        <v>22.2</v>
      </c>
      <c r="E80">
        <v>1.4</v>
      </c>
      <c r="F80">
        <v>31</v>
      </c>
      <c r="G80">
        <v>153</v>
      </c>
      <c r="H80">
        <v>3483</v>
      </c>
      <c r="I80">
        <v>30634</v>
      </c>
      <c r="J80">
        <v>49.180416999999998</v>
      </c>
      <c r="K80">
        <v>14.447082999999999</v>
      </c>
      <c r="L80">
        <v>31</v>
      </c>
      <c r="M80">
        <v>569.21</v>
      </c>
      <c r="N80">
        <v>15.26</v>
      </c>
      <c r="O80">
        <v>71233000</v>
      </c>
      <c r="P80">
        <v>8.2995999999999999</v>
      </c>
      <c r="Q80">
        <v>43.093000000000004</v>
      </c>
      <c r="R80">
        <v>394</v>
      </c>
      <c r="S80">
        <v>0.5</v>
      </c>
      <c r="T80">
        <v>24653</v>
      </c>
      <c r="U80">
        <f t="shared" si="1"/>
        <v>1.242607390581268</v>
      </c>
    </row>
    <row r="81" spans="1:21" x14ac:dyDescent="0.35">
      <c r="A81">
        <v>3272</v>
      </c>
      <c r="B81" t="s">
        <v>2</v>
      </c>
      <c r="C81" t="s">
        <v>1496</v>
      </c>
      <c r="D81">
        <v>33.6</v>
      </c>
      <c r="E81">
        <v>1.3</v>
      </c>
      <c r="F81">
        <v>48</v>
      </c>
      <c r="G81">
        <v>290</v>
      </c>
      <c r="H81">
        <v>482</v>
      </c>
      <c r="I81">
        <v>4241</v>
      </c>
      <c r="J81">
        <v>48.848750000000003</v>
      </c>
      <c r="K81">
        <v>14.487916999999999</v>
      </c>
      <c r="L81">
        <v>48</v>
      </c>
      <c r="M81">
        <v>742.16</v>
      </c>
      <c r="N81">
        <v>2.7031000000000001</v>
      </c>
      <c r="O81">
        <v>12953000</v>
      </c>
      <c r="P81">
        <v>4.9596</v>
      </c>
      <c r="Q81">
        <v>4.9756999999999998</v>
      </c>
      <c r="R81">
        <v>521</v>
      </c>
      <c r="S81">
        <v>7.2801</v>
      </c>
      <c r="T81">
        <v>3401</v>
      </c>
      <c r="U81">
        <f t="shared" si="1"/>
        <v>1.2469861805351368</v>
      </c>
    </row>
    <row r="82" spans="1:21" x14ac:dyDescent="0.35">
      <c r="A82">
        <v>3273</v>
      </c>
      <c r="B82" t="s">
        <v>2</v>
      </c>
      <c r="C82" t="s">
        <v>1500</v>
      </c>
      <c r="D82">
        <v>306</v>
      </c>
      <c r="E82">
        <v>43.8</v>
      </c>
      <c r="F82">
        <v>42</v>
      </c>
      <c r="G82">
        <v>282</v>
      </c>
      <c r="H82">
        <v>938</v>
      </c>
      <c r="I82">
        <v>10186</v>
      </c>
      <c r="J82">
        <v>48.635416999999997</v>
      </c>
      <c r="K82">
        <v>14.233750000000001</v>
      </c>
      <c r="L82">
        <v>42</v>
      </c>
      <c r="M82">
        <v>540</v>
      </c>
      <c r="N82">
        <v>8.6056000000000008</v>
      </c>
      <c r="O82">
        <v>39168000</v>
      </c>
      <c r="P82">
        <v>2.1027</v>
      </c>
      <c r="Q82">
        <v>16.838000000000001</v>
      </c>
      <c r="R82">
        <v>757</v>
      </c>
      <c r="S82">
        <v>0.5</v>
      </c>
      <c r="T82">
        <v>6636</v>
      </c>
      <c r="U82">
        <f t="shared" si="1"/>
        <v>1.5349608197709463</v>
      </c>
    </row>
    <row r="83" spans="1:21" x14ac:dyDescent="0.35">
      <c r="A83">
        <v>3754</v>
      </c>
      <c r="B83" t="s">
        <v>2</v>
      </c>
      <c r="C83" t="s">
        <v>1499</v>
      </c>
      <c r="D83">
        <v>24.6</v>
      </c>
      <c r="E83">
        <v>1.1000000000000001</v>
      </c>
      <c r="F83">
        <v>44</v>
      </c>
      <c r="G83">
        <v>360</v>
      </c>
      <c r="H83">
        <v>20</v>
      </c>
      <c r="I83">
        <v>158</v>
      </c>
      <c r="J83">
        <v>50.795417</v>
      </c>
      <c r="K83">
        <v>15.192083</v>
      </c>
      <c r="L83">
        <v>44</v>
      </c>
      <c r="M83">
        <v>649</v>
      </c>
      <c r="N83">
        <v>0.23941999999999999</v>
      </c>
      <c r="O83">
        <v>1121500</v>
      </c>
      <c r="P83">
        <v>9.6790000000000003</v>
      </c>
      <c r="Q83">
        <v>0.46867999999999999</v>
      </c>
      <c r="R83">
        <v>761</v>
      </c>
      <c r="S83">
        <v>1.4141999999999999</v>
      </c>
      <c r="T83">
        <v>150</v>
      </c>
      <c r="U83">
        <f t="shared" si="1"/>
        <v>1.0533333333333332</v>
      </c>
    </row>
    <row r="84" spans="1:21" x14ac:dyDescent="0.35">
      <c r="A84">
        <v>3760</v>
      </c>
      <c r="B84" t="s">
        <v>2</v>
      </c>
      <c r="C84" t="s">
        <v>1514</v>
      </c>
      <c r="D84">
        <v>76.2</v>
      </c>
      <c r="E84">
        <v>8.3000000000000007</v>
      </c>
      <c r="F84">
        <v>21</v>
      </c>
      <c r="G84">
        <v>412</v>
      </c>
      <c r="H84">
        <v>41</v>
      </c>
      <c r="I84">
        <v>326</v>
      </c>
      <c r="J84">
        <v>50.361249999999998</v>
      </c>
      <c r="K84">
        <v>16.062083000000001</v>
      </c>
      <c r="L84">
        <v>21</v>
      </c>
      <c r="M84">
        <v>1207.5</v>
      </c>
      <c r="N84">
        <v>0.1472</v>
      </c>
      <c r="O84">
        <v>662510</v>
      </c>
      <c r="P84">
        <v>22.710999999999999</v>
      </c>
      <c r="Q84">
        <v>0.58008999999999999</v>
      </c>
      <c r="R84">
        <v>285</v>
      </c>
      <c r="S84">
        <v>2</v>
      </c>
      <c r="T84">
        <v>298</v>
      </c>
      <c r="U84">
        <f t="shared" si="1"/>
        <v>1.0939597315436242</v>
      </c>
    </row>
    <row r="85" spans="1:21" x14ac:dyDescent="0.35">
      <c r="A85">
        <v>3763</v>
      </c>
      <c r="B85" t="s">
        <v>2</v>
      </c>
      <c r="C85" t="s">
        <v>1487</v>
      </c>
      <c r="D85">
        <v>217.5</v>
      </c>
      <c r="E85">
        <v>7.1</v>
      </c>
      <c r="F85">
        <v>65</v>
      </c>
      <c r="G85">
        <v>540</v>
      </c>
      <c r="H85">
        <v>470</v>
      </c>
      <c r="I85">
        <v>3118</v>
      </c>
      <c r="J85">
        <v>49.891249999999999</v>
      </c>
      <c r="K85">
        <v>17.579583</v>
      </c>
      <c r="L85">
        <v>65</v>
      </c>
      <c r="M85">
        <v>1440</v>
      </c>
      <c r="N85">
        <v>5.6837</v>
      </c>
      <c r="O85">
        <v>28990000</v>
      </c>
      <c r="P85">
        <v>3.8915999999999999</v>
      </c>
      <c r="Q85">
        <v>7.8634000000000004</v>
      </c>
      <c r="R85">
        <v>515</v>
      </c>
      <c r="S85">
        <v>6.7081999999999997</v>
      </c>
      <c r="T85">
        <v>3405</v>
      </c>
      <c r="U85">
        <f t="shared" si="1"/>
        <v>0.91571218795888398</v>
      </c>
    </row>
    <row r="86" spans="1:21" x14ac:dyDescent="0.35">
      <c r="A86">
        <v>3765</v>
      </c>
      <c r="B86" t="s">
        <v>2</v>
      </c>
      <c r="C86" t="s">
        <v>1502</v>
      </c>
      <c r="D86">
        <v>17.5</v>
      </c>
      <c r="E86">
        <v>1.4</v>
      </c>
      <c r="F86">
        <v>37</v>
      </c>
      <c r="G86">
        <v>160</v>
      </c>
      <c r="H86">
        <v>205</v>
      </c>
      <c r="I86">
        <v>1172</v>
      </c>
      <c r="J86">
        <v>49.839582999999998</v>
      </c>
      <c r="K86">
        <v>15.650416999999999</v>
      </c>
      <c r="L86">
        <v>37</v>
      </c>
      <c r="M86">
        <v>720</v>
      </c>
      <c r="N86">
        <v>1.0327999999999999</v>
      </c>
      <c r="O86">
        <v>4708700</v>
      </c>
      <c r="P86">
        <v>2.6581000000000001</v>
      </c>
      <c r="Q86">
        <v>2.3342999999999998</v>
      </c>
      <c r="R86">
        <v>497</v>
      </c>
      <c r="S86">
        <v>1.4141999999999999</v>
      </c>
      <c r="T86">
        <v>1480</v>
      </c>
      <c r="U86">
        <f t="shared" si="1"/>
        <v>0.79189189189189191</v>
      </c>
    </row>
    <row r="87" spans="1:21" x14ac:dyDescent="0.35">
      <c r="A87">
        <v>3766</v>
      </c>
      <c r="B87" t="s">
        <v>2</v>
      </c>
      <c r="C87" t="s">
        <v>1501</v>
      </c>
      <c r="D87">
        <v>35.6</v>
      </c>
      <c r="E87">
        <v>1.7</v>
      </c>
      <c r="F87">
        <v>42</v>
      </c>
      <c r="G87">
        <v>280</v>
      </c>
      <c r="H87">
        <v>568</v>
      </c>
      <c r="I87">
        <v>3779</v>
      </c>
      <c r="J87">
        <v>49.826250000000002</v>
      </c>
      <c r="K87">
        <v>17.658750000000001</v>
      </c>
      <c r="L87">
        <v>42</v>
      </c>
      <c r="M87">
        <v>720</v>
      </c>
      <c r="N87">
        <v>4.2065000000000001</v>
      </c>
      <c r="O87">
        <v>21574000</v>
      </c>
      <c r="P87">
        <v>1.1184000000000001</v>
      </c>
      <c r="Q87">
        <v>9.1241000000000003</v>
      </c>
      <c r="R87">
        <v>496</v>
      </c>
      <c r="S87">
        <v>2</v>
      </c>
      <c r="T87">
        <v>4127</v>
      </c>
      <c r="U87">
        <f t="shared" si="1"/>
        <v>0.91567724739520229</v>
      </c>
    </row>
    <row r="88" spans="1:21" x14ac:dyDescent="0.35">
      <c r="A88">
        <v>3769</v>
      </c>
      <c r="B88" t="s">
        <v>2</v>
      </c>
      <c r="C88" t="s">
        <v>1509</v>
      </c>
      <c r="D88">
        <v>24.4</v>
      </c>
      <c r="E88">
        <v>2</v>
      </c>
      <c r="F88">
        <v>28</v>
      </c>
      <c r="G88">
        <v>617</v>
      </c>
      <c r="H88">
        <v>77</v>
      </c>
      <c r="I88">
        <v>862</v>
      </c>
      <c r="J88">
        <v>49.772917</v>
      </c>
      <c r="K88">
        <v>18.517083</v>
      </c>
      <c r="L88">
        <v>28</v>
      </c>
      <c r="M88">
        <v>742.16</v>
      </c>
      <c r="N88">
        <v>0.48715999999999998</v>
      </c>
      <c r="O88">
        <v>2577500</v>
      </c>
      <c r="P88">
        <v>10.298999999999999</v>
      </c>
      <c r="Q88">
        <v>1.6045</v>
      </c>
      <c r="R88">
        <v>310</v>
      </c>
      <c r="S88">
        <v>0.5</v>
      </c>
      <c r="T88">
        <v>557</v>
      </c>
      <c r="U88">
        <f t="shared" si="1"/>
        <v>1.5475763016157988</v>
      </c>
    </row>
    <row r="89" spans="1:21" x14ac:dyDescent="0.35">
      <c r="A89">
        <v>3772</v>
      </c>
      <c r="B89" t="s">
        <v>2</v>
      </c>
      <c r="C89" t="s">
        <v>1511</v>
      </c>
      <c r="D89">
        <v>27.2</v>
      </c>
      <c r="E89">
        <v>1.9</v>
      </c>
      <c r="F89">
        <v>27</v>
      </c>
      <c r="G89">
        <v>617</v>
      </c>
      <c r="H89">
        <v>44</v>
      </c>
      <c r="I89">
        <v>480</v>
      </c>
      <c r="J89">
        <v>49.732083000000003</v>
      </c>
      <c r="K89">
        <v>18.447082999999999</v>
      </c>
      <c r="L89">
        <v>27</v>
      </c>
      <c r="M89">
        <v>569.21</v>
      </c>
      <c r="N89">
        <v>0.2155</v>
      </c>
      <c r="O89">
        <v>1157300</v>
      </c>
      <c r="P89">
        <v>9.0043000000000006</v>
      </c>
      <c r="Q89">
        <v>0.75080000000000002</v>
      </c>
      <c r="R89">
        <v>296</v>
      </c>
      <c r="S89">
        <v>1</v>
      </c>
      <c r="T89">
        <v>314</v>
      </c>
      <c r="U89">
        <f t="shared" si="1"/>
        <v>1.5286624203821657</v>
      </c>
    </row>
    <row r="90" spans="1:21" x14ac:dyDescent="0.35">
      <c r="A90">
        <v>3773</v>
      </c>
      <c r="B90" t="s">
        <v>2</v>
      </c>
      <c r="C90" t="s">
        <v>1491</v>
      </c>
      <c r="D90">
        <v>266</v>
      </c>
      <c r="E90">
        <v>11.5</v>
      </c>
      <c r="F90">
        <v>58</v>
      </c>
      <c r="G90">
        <v>850</v>
      </c>
      <c r="H90">
        <v>1166</v>
      </c>
      <c r="I90">
        <v>6120</v>
      </c>
      <c r="J90">
        <v>49.727083</v>
      </c>
      <c r="K90">
        <v>15.089582999999999</v>
      </c>
      <c r="L90">
        <v>58</v>
      </c>
      <c r="M90">
        <v>4803</v>
      </c>
      <c r="N90">
        <v>7.5288000000000004</v>
      </c>
      <c r="O90">
        <v>34499000</v>
      </c>
      <c r="P90">
        <v>4.1447000000000003</v>
      </c>
      <c r="Q90">
        <v>10.996</v>
      </c>
      <c r="R90">
        <v>383</v>
      </c>
      <c r="S90">
        <v>1</v>
      </c>
      <c r="T90">
        <v>8369</v>
      </c>
      <c r="U90">
        <f t="shared" si="1"/>
        <v>0.7312701636993667</v>
      </c>
    </row>
    <row r="91" spans="1:21" x14ac:dyDescent="0.35">
      <c r="A91">
        <v>3774</v>
      </c>
      <c r="B91" t="s">
        <v>2</v>
      </c>
      <c r="C91" t="s">
        <v>1485</v>
      </c>
      <c r="D91">
        <v>53.1</v>
      </c>
      <c r="E91">
        <v>1.4</v>
      </c>
      <c r="F91">
        <v>78</v>
      </c>
      <c r="G91">
        <v>390</v>
      </c>
      <c r="H91">
        <v>403</v>
      </c>
      <c r="I91">
        <v>2170</v>
      </c>
      <c r="J91">
        <v>49.566249999999997</v>
      </c>
      <c r="K91">
        <v>16.30875</v>
      </c>
      <c r="L91">
        <v>78</v>
      </c>
      <c r="M91">
        <v>649</v>
      </c>
      <c r="N91">
        <v>5.2621000000000002</v>
      </c>
      <c r="O91">
        <v>24111000</v>
      </c>
      <c r="P91">
        <v>2.6335000000000002</v>
      </c>
      <c r="Q91">
        <v>5.7477999999999998</v>
      </c>
      <c r="R91">
        <v>489</v>
      </c>
      <c r="S91">
        <v>5.8310000000000004</v>
      </c>
      <c r="T91">
        <v>2895</v>
      </c>
      <c r="U91">
        <f t="shared" si="1"/>
        <v>0.74956822107081178</v>
      </c>
    </row>
    <row r="92" spans="1:21" x14ac:dyDescent="0.35">
      <c r="A92">
        <v>3775</v>
      </c>
      <c r="B92" t="s">
        <v>2</v>
      </c>
      <c r="C92" t="s">
        <v>1508</v>
      </c>
      <c r="D92">
        <v>10.6</v>
      </c>
      <c r="E92">
        <v>0.7</v>
      </c>
      <c r="F92">
        <v>29</v>
      </c>
      <c r="G92">
        <v>126</v>
      </c>
      <c r="H92">
        <v>131</v>
      </c>
      <c r="I92">
        <v>680</v>
      </c>
      <c r="J92">
        <v>49.554583000000001</v>
      </c>
      <c r="K92">
        <v>16.554583000000001</v>
      </c>
      <c r="L92">
        <v>29</v>
      </c>
      <c r="M92">
        <v>360</v>
      </c>
      <c r="N92">
        <v>0.62568999999999997</v>
      </c>
      <c r="O92">
        <v>2885300</v>
      </c>
      <c r="P92">
        <v>3.2256999999999998</v>
      </c>
      <c r="Q92">
        <v>1.8565</v>
      </c>
      <c r="R92">
        <v>402</v>
      </c>
      <c r="S92">
        <v>6</v>
      </c>
      <c r="T92">
        <v>939</v>
      </c>
      <c r="U92">
        <f t="shared" si="1"/>
        <v>0.72417465388711399</v>
      </c>
    </row>
    <row r="93" spans="1:21" x14ac:dyDescent="0.35">
      <c r="A93">
        <v>3776</v>
      </c>
      <c r="B93" t="s">
        <v>2</v>
      </c>
      <c r="C93" t="s">
        <v>1488</v>
      </c>
      <c r="D93">
        <v>45.5</v>
      </c>
      <c r="E93">
        <v>1.7</v>
      </c>
      <c r="F93">
        <v>65</v>
      </c>
      <c r="G93">
        <v>342</v>
      </c>
      <c r="H93">
        <v>146</v>
      </c>
      <c r="I93">
        <v>1679</v>
      </c>
      <c r="J93">
        <v>49.510416999999997</v>
      </c>
      <c r="K93">
        <v>18.417083000000002</v>
      </c>
      <c r="L93">
        <v>65</v>
      </c>
      <c r="M93">
        <v>402.49</v>
      </c>
      <c r="N93">
        <v>1.9642999999999999</v>
      </c>
      <c r="O93">
        <v>9766600</v>
      </c>
      <c r="P93">
        <v>1.5709</v>
      </c>
      <c r="Q93">
        <v>2.67</v>
      </c>
      <c r="R93">
        <v>554</v>
      </c>
      <c r="S93">
        <v>10.63</v>
      </c>
      <c r="T93">
        <v>1046</v>
      </c>
      <c r="U93">
        <f t="shared" si="1"/>
        <v>1.6051625239005736</v>
      </c>
    </row>
    <row r="94" spans="1:21" x14ac:dyDescent="0.35">
      <c r="A94">
        <v>3779</v>
      </c>
      <c r="B94" t="s">
        <v>2</v>
      </c>
      <c r="C94" t="s">
        <v>1503</v>
      </c>
      <c r="D94">
        <v>11</v>
      </c>
      <c r="E94">
        <v>0.6</v>
      </c>
      <c r="F94">
        <v>36</v>
      </c>
      <c r="G94">
        <v>341</v>
      </c>
      <c r="H94">
        <v>219</v>
      </c>
      <c r="I94">
        <v>1033</v>
      </c>
      <c r="J94">
        <v>49.395417000000002</v>
      </c>
      <c r="K94">
        <v>16.013750000000002</v>
      </c>
      <c r="L94">
        <v>36</v>
      </c>
      <c r="M94">
        <v>649</v>
      </c>
      <c r="N94">
        <v>0.84299999999999997</v>
      </c>
      <c r="O94">
        <v>3885900</v>
      </c>
      <c r="P94">
        <v>2.0615999999999999</v>
      </c>
      <c r="Q94">
        <v>1.9568000000000001</v>
      </c>
      <c r="R94">
        <v>454</v>
      </c>
      <c r="S94">
        <v>2</v>
      </c>
      <c r="T94">
        <v>1572</v>
      </c>
      <c r="U94">
        <f t="shared" si="1"/>
        <v>0.65712468193384221</v>
      </c>
    </row>
    <row r="95" spans="1:21" x14ac:dyDescent="0.35">
      <c r="A95">
        <v>3783</v>
      </c>
      <c r="B95" t="s">
        <v>2</v>
      </c>
      <c r="C95" t="s">
        <v>1498</v>
      </c>
      <c r="D95">
        <v>9.4</v>
      </c>
      <c r="E95">
        <v>0.4</v>
      </c>
      <c r="F95">
        <v>45</v>
      </c>
      <c r="G95">
        <v>177</v>
      </c>
      <c r="H95">
        <v>51</v>
      </c>
      <c r="I95">
        <v>208</v>
      </c>
      <c r="J95">
        <v>49.309583000000003</v>
      </c>
      <c r="K95">
        <v>16.929583000000001</v>
      </c>
      <c r="L95">
        <v>45</v>
      </c>
      <c r="M95">
        <v>540</v>
      </c>
      <c r="N95">
        <v>0.16242000000000001</v>
      </c>
      <c r="O95">
        <v>835000</v>
      </c>
      <c r="P95">
        <v>12.675000000000001</v>
      </c>
      <c r="Q95">
        <v>0.34605999999999998</v>
      </c>
      <c r="R95">
        <v>348</v>
      </c>
      <c r="S95">
        <v>8.5440000000000005</v>
      </c>
      <c r="T95">
        <v>365</v>
      </c>
      <c r="U95">
        <f t="shared" si="1"/>
        <v>0.56986301369863013</v>
      </c>
    </row>
    <row r="96" spans="1:21" x14ac:dyDescent="0.35">
      <c r="A96">
        <v>3785</v>
      </c>
      <c r="B96" t="s">
        <v>2</v>
      </c>
      <c r="C96" t="s">
        <v>1506</v>
      </c>
      <c r="D96">
        <v>18.5</v>
      </c>
      <c r="E96">
        <v>1.3</v>
      </c>
      <c r="F96">
        <v>34</v>
      </c>
      <c r="G96">
        <v>120</v>
      </c>
      <c r="H96">
        <v>1582</v>
      </c>
      <c r="I96">
        <v>7299</v>
      </c>
      <c r="J96">
        <v>49.235416999999998</v>
      </c>
      <c r="K96">
        <v>16.517083</v>
      </c>
      <c r="L96">
        <v>34</v>
      </c>
      <c r="M96">
        <v>1049.5999999999999</v>
      </c>
      <c r="N96">
        <v>5.9630000000000001</v>
      </c>
      <c r="O96">
        <v>28889000</v>
      </c>
      <c r="P96">
        <v>2.4491999999999998</v>
      </c>
      <c r="Q96">
        <v>16.149000000000001</v>
      </c>
      <c r="R96">
        <v>227</v>
      </c>
      <c r="S96">
        <v>2.8283999999999998</v>
      </c>
      <c r="T96">
        <v>11341</v>
      </c>
      <c r="U96">
        <f t="shared" si="1"/>
        <v>0.64359403932633807</v>
      </c>
    </row>
    <row r="97" spans="1:21" x14ac:dyDescent="0.35">
      <c r="A97">
        <v>3786</v>
      </c>
      <c r="B97" t="s">
        <v>2</v>
      </c>
      <c r="C97" t="s">
        <v>1483</v>
      </c>
      <c r="D97">
        <v>127.3</v>
      </c>
      <c r="E97">
        <v>3</v>
      </c>
      <c r="F97">
        <v>100</v>
      </c>
      <c r="G97">
        <v>300</v>
      </c>
      <c r="H97">
        <v>1135</v>
      </c>
      <c r="I97">
        <v>5212</v>
      </c>
      <c r="J97">
        <v>49.128749999999997</v>
      </c>
      <c r="K97">
        <v>16.117083000000001</v>
      </c>
      <c r="L97">
        <v>100</v>
      </c>
      <c r="M97">
        <v>4278.6000000000004</v>
      </c>
      <c r="N97">
        <v>12.154</v>
      </c>
      <c r="O97">
        <v>54195000</v>
      </c>
      <c r="P97">
        <v>10.86</v>
      </c>
      <c r="Q97">
        <v>9.6289999999999996</v>
      </c>
      <c r="R97">
        <v>400</v>
      </c>
      <c r="S97">
        <v>1</v>
      </c>
      <c r="T97">
        <v>8107</v>
      </c>
      <c r="U97">
        <f t="shared" si="1"/>
        <v>0.64290119649685462</v>
      </c>
    </row>
    <row r="98" spans="1:21" x14ac:dyDescent="0.35">
      <c r="A98">
        <v>3788</v>
      </c>
      <c r="B98" t="s">
        <v>2</v>
      </c>
      <c r="C98" t="s">
        <v>1495</v>
      </c>
      <c r="D98">
        <v>17.100000000000001</v>
      </c>
      <c r="E98">
        <v>0.4</v>
      </c>
      <c r="F98">
        <v>49</v>
      </c>
      <c r="G98">
        <v>185</v>
      </c>
      <c r="H98">
        <v>1152</v>
      </c>
      <c r="I98">
        <v>5279</v>
      </c>
      <c r="J98">
        <v>49.102083</v>
      </c>
      <c r="K98">
        <v>16.179583000000001</v>
      </c>
      <c r="L98">
        <v>49</v>
      </c>
      <c r="M98">
        <v>540</v>
      </c>
      <c r="N98">
        <v>5.9714999999999998</v>
      </c>
      <c r="O98">
        <v>26679000</v>
      </c>
      <c r="P98">
        <v>0.72672000000000003</v>
      </c>
      <c r="Q98">
        <v>9.7430000000000003</v>
      </c>
      <c r="R98">
        <v>353</v>
      </c>
      <c r="S98">
        <v>2</v>
      </c>
      <c r="T98">
        <v>8226</v>
      </c>
      <c r="U98">
        <f t="shared" si="1"/>
        <v>0.64174568441526869</v>
      </c>
    </row>
    <row r="99" spans="1:21" x14ac:dyDescent="0.35">
      <c r="A99">
        <v>3793</v>
      </c>
      <c r="B99" t="s">
        <v>2</v>
      </c>
      <c r="C99" t="s">
        <v>1490</v>
      </c>
      <c r="D99">
        <v>122.7</v>
      </c>
      <c r="E99">
        <v>5.2</v>
      </c>
      <c r="F99">
        <v>59</v>
      </c>
      <c r="G99">
        <v>290</v>
      </c>
      <c r="H99">
        <v>2223</v>
      </c>
      <c r="I99">
        <v>12256</v>
      </c>
      <c r="J99">
        <v>48.907916999999998</v>
      </c>
      <c r="K99">
        <v>15.817083</v>
      </c>
      <c r="L99">
        <v>59</v>
      </c>
      <c r="M99">
        <v>1440</v>
      </c>
      <c r="N99">
        <v>11.452</v>
      </c>
      <c r="O99">
        <v>55449000</v>
      </c>
      <c r="P99">
        <v>0.85870999999999997</v>
      </c>
      <c r="Q99">
        <v>17.329999999999998</v>
      </c>
      <c r="R99">
        <v>362</v>
      </c>
      <c r="S99">
        <v>1.4141999999999999</v>
      </c>
      <c r="T99">
        <v>15676</v>
      </c>
      <c r="U99">
        <f t="shared" si="1"/>
        <v>0.78183210002551673</v>
      </c>
    </row>
    <row r="100" spans="1:21" x14ac:dyDescent="0.35">
      <c r="A100">
        <v>3794</v>
      </c>
      <c r="B100" t="s">
        <v>2</v>
      </c>
      <c r="C100" t="s">
        <v>1517</v>
      </c>
      <c r="D100">
        <v>134</v>
      </c>
      <c r="E100">
        <v>22.7</v>
      </c>
      <c r="F100">
        <v>10</v>
      </c>
      <c r="G100">
        <v>37615</v>
      </c>
      <c r="H100">
        <v>11870</v>
      </c>
      <c r="I100">
        <v>54541</v>
      </c>
      <c r="J100">
        <v>48.862082999999998</v>
      </c>
      <c r="K100">
        <v>16.721250000000001</v>
      </c>
      <c r="L100">
        <v>10</v>
      </c>
      <c r="M100">
        <v>180</v>
      </c>
      <c r="N100">
        <v>8.6661000000000001</v>
      </c>
      <c r="O100">
        <v>42597000</v>
      </c>
      <c r="P100">
        <v>1.2741</v>
      </c>
      <c r="Q100">
        <v>89.956999999999994</v>
      </c>
      <c r="R100">
        <v>167</v>
      </c>
      <c r="S100">
        <v>2</v>
      </c>
      <c r="T100">
        <v>84526</v>
      </c>
      <c r="U100">
        <f t="shared" si="1"/>
        <v>0.64525708066157161</v>
      </c>
    </row>
    <row r="101" spans="1:21" x14ac:dyDescent="0.35">
      <c r="A101">
        <v>2645</v>
      </c>
      <c r="B101" t="s">
        <v>7</v>
      </c>
      <c r="C101" t="s">
        <v>1587</v>
      </c>
      <c r="D101">
        <v>11.5</v>
      </c>
      <c r="E101">
        <v>1.6</v>
      </c>
      <c r="F101">
        <v>26</v>
      </c>
      <c r="G101">
        <v>460</v>
      </c>
      <c r="H101">
        <v>162</v>
      </c>
      <c r="I101">
        <v>1388</v>
      </c>
      <c r="J101">
        <v>46.77375</v>
      </c>
      <c r="K101">
        <v>-0.19541700000000001</v>
      </c>
      <c r="L101">
        <v>26</v>
      </c>
      <c r="M101">
        <v>1659.5</v>
      </c>
      <c r="N101">
        <v>0.73909000000000002</v>
      </c>
      <c r="O101">
        <v>2710400</v>
      </c>
      <c r="P101">
        <v>5.2763999999999998</v>
      </c>
      <c r="Q101">
        <v>2.1274000000000002</v>
      </c>
      <c r="R101">
        <v>114</v>
      </c>
      <c r="S101">
        <v>4.4721000000000002</v>
      </c>
      <c r="T101">
        <v>1101</v>
      </c>
      <c r="U101">
        <f t="shared" si="1"/>
        <v>1.2606721162579473</v>
      </c>
    </row>
    <row r="102" spans="1:21" x14ac:dyDescent="0.35">
      <c r="A102">
        <v>3254</v>
      </c>
      <c r="B102" t="s">
        <v>7</v>
      </c>
      <c r="C102" t="s">
        <v>1597</v>
      </c>
      <c r="D102">
        <v>4.5</v>
      </c>
      <c r="E102">
        <v>1.1000000000000001</v>
      </c>
      <c r="F102">
        <v>16</v>
      </c>
      <c r="G102">
        <v>315</v>
      </c>
      <c r="H102">
        <v>176</v>
      </c>
      <c r="I102">
        <v>1872</v>
      </c>
      <c r="J102">
        <v>50.118749999999999</v>
      </c>
      <c r="K102">
        <v>4.1120830000000002</v>
      </c>
      <c r="L102">
        <v>16</v>
      </c>
      <c r="M102">
        <v>540</v>
      </c>
      <c r="N102">
        <v>0.64739999999999998</v>
      </c>
      <c r="O102">
        <v>2463900</v>
      </c>
      <c r="P102">
        <v>20.437999999999999</v>
      </c>
      <c r="Q102">
        <v>2.9304999999999999</v>
      </c>
      <c r="R102">
        <v>207</v>
      </c>
      <c r="S102">
        <v>11</v>
      </c>
      <c r="T102">
        <v>1280</v>
      </c>
      <c r="U102">
        <f t="shared" si="1"/>
        <v>1.4624999999999999</v>
      </c>
    </row>
    <row r="103" spans="1:21" x14ac:dyDescent="0.35">
      <c r="A103">
        <v>3271</v>
      </c>
      <c r="B103" t="s">
        <v>7</v>
      </c>
      <c r="C103" t="s">
        <v>1605</v>
      </c>
      <c r="D103">
        <v>33</v>
      </c>
      <c r="E103">
        <v>9.3000000000000007</v>
      </c>
      <c r="F103">
        <v>-99</v>
      </c>
      <c r="G103">
        <v>-99</v>
      </c>
      <c r="H103">
        <v>40</v>
      </c>
      <c r="I103">
        <v>485</v>
      </c>
      <c r="J103">
        <v>48.916249999999998</v>
      </c>
      <c r="K103">
        <v>5.7545830000000002</v>
      </c>
      <c r="L103">
        <v>17</v>
      </c>
      <c r="M103">
        <v>900</v>
      </c>
      <c r="N103">
        <v>0.15798999999999999</v>
      </c>
      <c r="O103">
        <v>590010</v>
      </c>
      <c r="P103">
        <v>6.2934000000000001</v>
      </c>
      <c r="Q103">
        <v>0.66615999999999997</v>
      </c>
      <c r="R103">
        <v>223</v>
      </c>
      <c r="S103">
        <v>2</v>
      </c>
      <c r="T103">
        <v>282</v>
      </c>
      <c r="U103">
        <f t="shared" si="1"/>
        <v>1.7198581560283688</v>
      </c>
    </row>
    <row r="104" spans="1:21" x14ac:dyDescent="0.35">
      <c r="A104">
        <v>3274</v>
      </c>
      <c r="B104" t="s">
        <v>7</v>
      </c>
      <c r="C104" t="s">
        <v>1591</v>
      </c>
      <c r="D104">
        <v>364.5</v>
      </c>
      <c r="E104">
        <v>38.5</v>
      </c>
      <c r="F104">
        <v>22</v>
      </c>
      <c r="G104">
        <v>3175</v>
      </c>
      <c r="H104">
        <v>90</v>
      </c>
      <c r="I104">
        <v>832</v>
      </c>
      <c r="J104">
        <v>48.602083</v>
      </c>
      <c r="K104">
        <v>4.7112499999999997</v>
      </c>
      <c r="L104">
        <v>22</v>
      </c>
      <c r="M104">
        <v>402.49</v>
      </c>
      <c r="N104">
        <v>0.42011999999999999</v>
      </c>
      <c r="O104">
        <v>1612400</v>
      </c>
      <c r="P104">
        <v>9.5395000000000003</v>
      </c>
      <c r="Q104">
        <v>1.3871</v>
      </c>
      <c r="R104">
        <v>133</v>
      </c>
      <c r="S104">
        <v>1.4141999999999999</v>
      </c>
      <c r="T104">
        <v>632</v>
      </c>
      <c r="U104">
        <f t="shared" si="1"/>
        <v>1.3164556962025316</v>
      </c>
    </row>
    <row r="105" spans="1:21" x14ac:dyDescent="0.35">
      <c r="A105">
        <v>3275</v>
      </c>
      <c r="B105" t="s">
        <v>7</v>
      </c>
      <c r="C105" t="s">
        <v>1606</v>
      </c>
      <c r="D105">
        <v>55</v>
      </c>
      <c r="E105">
        <v>2.6</v>
      </c>
      <c r="F105">
        <v>-99</v>
      </c>
      <c r="G105">
        <v>-99</v>
      </c>
      <c r="H105">
        <v>8</v>
      </c>
      <c r="I105">
        <v>105</v>
      </c>
      <c r="J105">
        <v>48.457917000000002</v>
      </c>
      <c r="K105">
        <v>6.9212499999999997</v>
      </c>
      <c r="L105">
        <v>30</v>
      </c>
      <c r="M105">
        <v>360</v>
      </c>
      <c r="N105">
        <v>0.12149</v>
      </c>
      <c r="O105">
        <v>480440</v>
      </c>
      <c r="P105">
        <v>7.0475000000000003</v>
      </c>
      <c r="Q105">
        <v>0.28359000000000001</v>
      </c>
      <c r="R105">
        <v>335</v>
      </c>
      <c r="S105">
        <v>1.4141999999999999</v>
      </c>
      <c r="T105">
        <v>66</v>
      </c>
      <c r="U105">
        <f t="shared" si="1"/>
        <v>1.5909090909090908</v>
      </c>
    </row>
    <row r="106" spans="1:21" x14ac:dyDescent="0.35">
      <c r="A106">
        <v>3277</v>
      </c>
      <c r="B106" t="s">
        <v>7</v>
      </c>
      <c r="C106" t="s">
        <v>1607</v>
      </c>
      <c r="D106">
        <v>23.5</v>
      </c>
      <c r="E106">
        <v>4.3</v>
      </c>
      <c r="F106">
        <v>-99</v>
      </c>
      <c r="G106">
        <v>-99</v>
      </c>
      <c r="H106">
        <v>41</v>
      </c>
      <c r="I106">
        <v>304</v>
      </c>
      <c r="J106">
        <v>48.355417000000003</v>
      </c>
      <c r="K106">
        <v>4.5029170000000001</v>
      </c>
      <c r="L106">
        <v>10</v>
      </c>
      <c r="M106">
        <v>1138.4000000000001</v>
      </c>
      <c r="N106">
        <v>7.9329999999999998E-2</v>
      </c>
      <c r="O106">
        <v>307470</v>
      </c>
      <c r="P106">
        <v>18.553999999999998</v>
      </c>
      <c r="Q106">
        <v>0.58926000000000001</v>
      </c>
      <c r="R106">
        <v>128</v>
      </c>
      <c r="S106">
        <v>1</v>
      </c>
      <c r="T106">
        <v>284</v>
      </c>
      <c r="U106">
        <f t="shared" si="1"/>
        <v>1.0704225352112675</v>
      </c>
    </row>
    <row r="107" spans="1:21" x14ac:dyDescent="0.35">
      <c r="A107">
        <v>3278</v>
      </c>
      <c r="B107" t="s">
        <v>7</v>
      </c>
      <c r="C107" t="s">
        <v>1594</v>
      </c>
      <c r="D107">
        <v>162.5</v>
      </c>
      <c r="E107">
        <v>14.9</v>
      </c>
      <c r="F107">
        <v>22</v>
      </c>
      <c r="G107">
        <v>10500</v>
      </c>
      <c r="H107">
        <v>56</v>
      </c>
      <c r="I107">
        <v>406</v>
      </c>
      <c r="J107">
        <v>48.348750000000003</v>
      </c>
      <c r="K107">
        <v>4.4562499999999998</v>
      </c>
      <c r="L107">
        <v>22</v>
      </c>
      <c r="M107">
        <v>509.12</v>
      </c>
      <c r="N107">
        <v>0.21138999999999999</v>
      </c>
      <c r="O107">
        <v>832090</v>
      </c>
      <c r="P107">
        <v>4.2843999999999998</v>
      </c>
      <c r="Q107">
        <v>0.72713000000000005</v>
      </c>
      <c r="R107">
        <v>132</v>
      </c>
      <c r="S107">
        <v>1</v>
      </c>
      <c r="T107">
        <v>391</v>
      </c>
      <c r="U107">
        <f t="shared" si="1"/>
        <v>1.0383631713554988</v>
      </c>
    </row>
    <row r="108" spans="1:21" x14ac:dyDescent="0.35">
      <c r="A108">
        <v>3279</v>
      </c>
      <c r="B108" t="s">
        <v>7</v>
      </c>
      <c r="C108" t="s">
        <v>1588</v>
      </c>
      <c r="D108">
        <v>217</v>
      </c>
      <c r="E108">
        <v>18</v>
      </c>
      <c r="F108">
        <v>26</v>
      </c>
      <c r="G108">
        <v>2780</v>
      </c>
      <c r="H108">
        <v>46</v>
      </c>
      <c r="I108">
        <v>316</v>
      </c>
      <c r="J108">
        <v>48.253749999999997</v>
      </c>
      <c r="K108">
        <v>4.304583</v>
      </c>
      <c r="L108">
        <v>26</v>
      </c>
      <c r="M108">
        <v>2930.2</v>
      </c>
      <c r="N108">
        <v>0.20429</v>
      </c>
      <c r="O108">
        <v>804140</v>
      </c>
      <c r="P108">
        <v>29.562999999999999</v>
      </c>
      <c r="Q108">
        <v>0.59323000000000004</v>
      </c>
      <c r="R108">
        <v>117</v>
      </c>
      <c r="S108">
        <v>1</v>
      </c>
      <c r="T108">
        <v>319</v>
      </c>
      <c r="U108">
        <f t="shared" si="1"/>
        <v>0.99059561128526641</v>
      </c>
    </row>
    <row r="109" spans="1:21" x14ac:dyDescent="0.35">
      <c r="A109">
        <v>3281</v>
      </c>
      <c r="B109" t="s">
        <v>7</v>
      </c>
      <c r="C109" t="s">
        <v>1602</v>
      </c>
      <c r="D109">
        <v>12</v>
      </c>
      <c r="E109">
        <v>0.6</v>
      </c>
      <c r="F109">
        <v>-99</v>
      </c>
      <c r="G109">
        <v>-99</v>
      </c>
      <c r="H109">
        <v>22</v>
      </c>
      <c r="I109">
        <v>367</v>
      </c>
      <c r="J109">
        <v>47.949582999999997</v>
      </c>
      <c r="K109">
        <v>6.9545830000000004</v>
      </c>
      <c r="L109">
        <v>28</v>
      </c>
      <c r="M109">
        <v>402.49</v>
      </c>
      <c r="N109">
        <v>0.38897999999999999</v>
      </c>
      <c r="O109">
        <v>1514100</v>
      </c>
      <c r="P109">
        <v>2.6173000000000002</v>
      </c>
      <c r="Q109">
        <v>0.95128000000000001</v>
      </c>
      <c r="R109">
        <v>543</v>
      </c>
      <c r="S109">
        <v>13.038</v>
      </c>
      <c r="T109">
        <v>196</v>
      </c>
      <c r="U109">
        <f t="shared" si="1"/>
        <v>1.8724489795918366</v>
      </c>
    </row>
    <row r="110" spans="1:21" x14ac:dyDescent="0.35">
      <c r="A110">
        <v>3282</v>
      </c>
      <c r="B110" t="s">
        <v>7</v>
      </c>
      <c r="C110" t="s">
        <v>1598</v>
      </c>
      <c r="D110">
        <v>11.6</v>
      </c>
      <c r="E110">
        <v>1.3</v>
      </c>
      <c r="F110">
        <v>12</v>
      </c>
      <c r="G110">
        <v>1254</v>
      </c>
      <c r="H110">
        <v>51</v>
      </c>
      <c r="I110">
        <v>679</v>
      </c>
      <c r="J110">
        <v>47.916249999999998</v>
      </c>
      <c r="K110">
        <v>5.3554170000000001</v>
      </c>
      <c r="L110">
        <v>12</v>
      </c>
      <c r="M110">
        <v>180</v>
      </c>
      <c r="N110">
        <v>0.14499999999999999</v>
      </c>
      <c r="O110">
        <v>539820</v>
      </c>
      <c r="P110">
        <v>21.045000000000002</v>
      </c>
      <c r="Q110">
        <v>0.82216</v>
      </c>
      <c r="R110">
        <v>367</v>
      </c>
      <c r="S110">
        <v>2.8283999999999998</v>
      </c>
      <c r="T110">
        <v>357</v>
      </c>
      <c r="U110">
        <f t="shared" si="1"/>
        <v>1.9019607843137254</v>
      </c>
    </row>
    <row r="111" spans="1:21" x14ac:dyDescent="0.35">
      <c r="A111">
        <v>3284</v>
      </c>
      <c r="B111" t="s">
        <v>7</v>
      </c>
      <c r="C111" t="s">
        <v>1596</v>
      </c>
      <c r="D111">
        <v>16.100000000000001</v>
      </c>
      <c r="E111">
        <v>2</v>
      </c>
      <c r="F111">
        <v>17</v>
      </c>
      <c r="G111">
        <v>485</v>
      </c>
      <c r="H111">
        <v>34</v>
      </c>
      <c r="I111">
        <v>466</v>
      </c>
      <c r="J111">
        <v>47.868749999999999</v>
      </c>
      <c r="K111">
        <v>5.3745830000000003</v>
      </c>
      <c r="L111">
        <v>17</v>
      </c>
      <c r="M111">
        <v>360</v>
      </c>
      <c r="N111">
        <v>0.13436000000000001</v>
      </c>
      <c r="O111">
        <v>500250</v>
      </c>
      <c r="P111">
        <v>20.581</v>
      </c>
      <c r="Q111">
        <v>0.53361000000000003</v>
      </c>
      <c r="R111">
        <v>364</v>
      </c>
      <c r="S111">
        <v>1</v>
      </c>
      <c r="T111">
        <v>232</v>
      </c>
      <c r="U111">
        <f t="shared" si="1"/>
        <v>2.0086206896551726</v>
      </c>
    </row>
    <row r="112" spans="1:21" x14ac:dyDescent="0.35">
      <c r="A112">
        <v>3286</v>
      </c>
      <c r="B112" t="s">
        <v>7</v>
      </c>
      <c r="C112" t="s">
        <v>1573</v>
      </c>
      <c r="D112">
        <v>13</v>
      </c>
      <c r="E112">
        <v>0.8</v>
      </c>
      <c r="F112">
        <v>40</v>
      </c>
      <c r="G112">
        <v>785</v>
      </c>
      <c r="H112">
        <v>4</v>
      </c>
      <c r="I112">
        <v>82</v>
      </c>
      <c r="J112">
        <v>47.682917000000003</v>
      </c>
      <c r="K112">
        <v>6.7254170000000002</v>
      </c>
      <c r="L112">
        <v>40</v>
      </c>
      <c r="M112">
        <v>1537.9</v>
      </c>
      <c r="N112">
        <v>5.4792E-2</v>
      </c>
      <c r="O112">
        <v>213050</v>
      </c>
      <c r="P112">
        <v>95.007000000000005</v>
      </c>
      <c r="Q112">
        <v>9.3030000000000002E-2</v>
      </c>
      <c r="R112">
        <v>393</v>
      </c>
      <c r="S112">
        <v>1</v>
      </c>
      <c r="T112">
        <v>19</v>
      </c>
      <c r="U112">
        <f t="shared" si="1"/>
        <v>4.3157894736842106</v>
      </c>
    </row>
    <row r="113" spans="1:21" x14ac:dyDescent="0.35">
      <c r="A113">
        <v>3292</v>
      </c>
      <c r="B113" t="s">
        <v>7</v>
      </c>
      <c r="C113" t="s">
        <v>1574</v>
      </c>
      <c r="D113">
        <v>14.7</v>
      </c>
      <c r="E113">
        <v>0.9</v>
      </c>
      <c r="F113">
        <v>39</v>
      </c>
      <c r="G113">
        <v>330</v>
      </c>
      <c r="H113">
        <v>396</v>
      </c>
      <c r="I113">
        <v>2974</v>
      </c>
      <c r="J113">
        <v>47.385416999999997</v>
      </c>
      <c r="K113">
        <v>3.9079169999999999</v>
      </c>
      <c r="L113">
        <v>39</v>
      </c>
      <c r="M113">
        <v>720</v>
      </c>
      <c r="N113">
        <v>4.4625000000000004</v>
      </c>
      <c r="O113">
        <v>16532000</v>
      </c>
      <c r="P113">
        <v>0.67130999999999996</v>
      </c>
      <c r="Q113">
        <v>7.6196000000000002</v>
      </c>
      <c r="R113">
        <v>280</v>
      </c>
      <c r="S113">
        <v>8.5440000000000005</v>
      </c>
      <c r="T113">
        <v>2724</v>
      </c>
      <c r="U113">
        <f t="shared" si="1"/>
        <v>1.0917767988252569</v>
      </c>
    </row>
    <row r="114" spans="1:21" x14ac:dyDescent="0.35">
      <c r="A114">
        <v>3293</v>
      </c>
      <c r="B114" t="s">
        <v>7</v>
      </c>
      <c r="C114" t="s">
        <v>1569</v>
      </c>
      <c r="D114">
        <v>19.2</v>
      </c>
      <c r="E114">
        <v>1</v>
      </c>
      <c r="F114">
        <v>43</v>
      </c>
      <c r="G114">
        <v>196</v>
      </c>
      <c r="H114">
        <v>101</v>
      </c>
      <c r="I114">
        <v>726</v>
      </c>
      <c r="J114">
        <v>47.302083000000003</v>
      </c>
      <c r="K114">
        <v>3.9170829999999999</v>
      </c>
      <c r="L114">
        <v>43</v>
      </c>
      <c r="M114">
        <v>509.12</v>
      </c>
      <c r="N114">
        <v>1.2261</v>
      </c>
      <c r="O114">
        <v>4563200</v>
      </c>
      <c r="P114">
        <v>2.8936000000000002</v>
      </c>
      <c r="Q114">
        <v>1.8993</v>
      </c>
      <c r="R114">
        <v>401</v>
      </c>
      <c r="S114">
        <v>15.555999999999999</v>
      </c>
      <c r="T114">
        <v>690</v>
      </c>
      <c r="U114">
        <f t="shared" si="1"/>
        <v>1.0521739130434782</v>
      </c>
    </row>
    <row r="115" spans="1:21" x14ac:dyDescent="0.35">
      <c r="A115">
        <v>3296</v>
      </c>
      <c r="B115" t="s">
        <v>7</v>
      </c>
      <c r="C115" t="s">
        <v>1593</v>
      </c>
      <c r="D115">
        <v>22.7</v>
      </c>
      <c r="E115">
        <v>2.9</v>
      </c>
      <c r="F115">
        <v>22</v>
      </c>
      <c r="G115">
        <v>267</v>
      </c>
      <c r="H115">
        <v>47</v>
      </c>
      <c r="I115">
        <v>389</v>
      </c>
      <c r="J115">
        <v>47.196249999999999</v>
      </c>
      <c r="K115">
        <v>4.0579169999999998</v>
      </c>
      <c r="L115">
        <v>22</v>
      </c>
      <c r="M115">
        <v>509.12</v>
      </c>
      <c r="N115">
        <v>0.30475999999999998</v>
      </c>
      <c r="O115">
        <v>1122300</v>
      </c>
      <c r="P115">
        <v>6.7320000000000002</v>
      </c>
      <c r="Q115">
        <v>0.91174999999999995</v>
      </c>
      <c r="R115">
        <v>594</v>
      </c>
      <c r="S115">
        <v>21.024000000000001</v>
      </c>
      <c r="T115">
        <v>319</v>
      </c>
      <c r="U115">
        <f t="shared" si="1"/>
        <v>1.219435736677116</v>
      </c>
    </row>
    <row r="116" spans="1:21" x14ac:dyDescent="0.35">
      <c r="A116">
        <v>3299</v>
      </c>
      <c r="B116" t="s">
        <v>7</v>
      </c>
      <c r="C116" t="s">
        <v>1558</v>
      </c>
      <c r="D116">
        <v>82.5</v>
      </c>
      <c r="E116">
        <v>3.3</v>
      </c>
      <c r="F116">
        <v>50</v>
      </c>
      <c r="G116">
        <v>340</v>
      </c>
      <c r="H116">
        <v>220</v>
      </c>
      <c r="I116">
        <v>1675</v>
      </c>
      <c r="J116">
        <v>47.162917</v>
      </c>
      <c r="K116">
        <v>3.8745829999999999</v>
      </c>
      <c r="L116">
        <v>50</v>
      </c>
      <c r="M116">
        <v>1018.2</v>
      </c>
      <c r="N116">
        <v>3.0651000000000002</v>
      </c>
      <c r="O116">
        <v>11379000</v>
      </c>
      <c r="P116">
        <v>2.0562</v>
      </c>
      <c r="Q116">
        <v>4.0688000000000004</v>
      </c>
      <c r="R116">
        <v>320</v>
      </c>
      <c r="S116">
        <v>1</v>
      </c>
      <c r="T116">
        <v>1475</v>
      </c>
      <c r="U116">
        <f t="shared" si="1"/>
        <v>1.1355932203389831</v>
      </c>
    </row>
    <row r="117" spans="1:21" x14ac:dyDescent="0.35">
      <c r="A117">
        <v>3304</v>
      </c>
      <c r="B117" t="s">
        <v>7</v>
      </c>
      <c r="C117" t="s">
        <v>1537</v>
      </c>
      <c r="D117">
        <v>20.6</v>
      </c>
      <c r="E117">
        <v>0.4</v>
      </c>
      <c r="F117">
        <v>74</v>
      </c>
      <c r="G117">
        <v>148</v>
      </c>
      <c r="H117">
        <v>853</v>
      </c>
      <c r="I117">
        <v>19295</v>
      </c>
      <c r="J117">
        <v>47.100417</v>
      </c>
      <c r="K117">
        <v>6.7454169999999998</v>
      </c>
      <c r="L117">
        <v>74</v>
      </c>
      <c r="M117">
        <v>254.56</v>
      </c>
      <c r="N117">
        <v>31.96</v>
      </c>
      <c r="O117">
        <v>139940000</v>
      </c>
      <c r="P117">
        <v>3.4523999999999999</v>
      </c>
      <c r="Q117">
        <v>32.988</v>
      </c>
      <c r="R117">
        <v>795</v>
      </c>
      <c r="S117">
        <v>2.8283999999999998</v>
      </c>
      <c r="T117">
        <v>5815</v>
      </c>
      <c r="U117">
        <f t="shared" si="1"/>
        <v>3.3181427343078247</v>
      </c>
    </row>
    <row r="118" spans="1:21" x14ac:dyDescent="0.35">
      <c r="A118">
        <v>3343</v>
      </c>
      <c r="B118" t="s">
        <v>7</v>
      </c>
      <c r="C118" t="s">
        <v>1549</v>
      </c>
      <c r="D118">
        <v>57.3</v>
      </c>
      <c r="E118">
        <v>1.7</v>
      </c>
      <c r="F118">
        <v>61</v>
      </c>
      <c r="G118">
        <v>300</v>
      </c>
      <c r="H118">
        <v>2425</v>
      </c>
      <c r="I118">
        <v>22226</v>
      </c>
      <c r="J118">
        <v>46.453749999999999</v>
      </c>
      <c r="K118">
        <v>1.61375</v>
      </c>
      <c r="L118">
        <v>61</v>
      </c>
      <c r="M118">
        <v>1659.5</v>
      </c>
      <c r="N118">
        <v>35.735999999999997</v>
      </c>
      <c r="O118">
        <v>147350000</v>
      </c>
      <c r="P118">
        <v>0.52103999999999995</v>
      </c>
      <c r="Q118">
        <v>45.65</v>
      </c>
      <c r="R118">
        <v>217</v>
      </c>
      <c r="S118">
        <v>0.5</v>
      </c>
      <c r="T118">
        <v>16315</v>
      </c>
      <c r="U118">
        <f t="shared" si="1"/>
        <v>1.3623046276432731</v>
      </c>
    </row>
    <row r="119" spans="1:21" x14ac:dyDescent="0.35">
      <c r="A119">
        <v>3351</v>
      </c>
      <c r="B119" t="s">
        <v>7</v>
      </c>
      <c r="C119" t="s">
        <v>255</v>
      </c>
      <c r="D119">
        <v>605</v>
      </c>
      <c r="E119">
        <v>14.4</v>
      </c>
      <c r="F119">
        <v>130</v>
      </c>
      <c r="G119">
        <v>425</v>
      </c>
      <c r="H119">
        <v>1075</v>
      </c>
      <c r="I119">
        <v>20705</v>
      </c>
      <c r="J119">
        <v>46.39875</v>
      </c>
      <c r="K119">
        <v>5.6662499999999998</v>
      </c>
      <c r="L119">
        <v>130</v>
      </c>
      <c r="M119">
        <v>569.21</v>
      </c>
      <c r="N119">
        <v>75.816000000000003</v>
      </c>
      <c r="O119">
        <v>312650000</v>
      </c>
      <c r="P119">
        <v>0.64641999999999999</v>
      </c>
      <c r="Q119">
        <v>41.347000000000001</v>
      </c>
      <c r="R119">
        <v>416</v>
      </c>
      <c r="S119">
        <v>0.5</v>
      </c>
      <c r="T119">
        <v>7298</v>
      </c>
      <c r="U119">
        <f t="shared" si="1"/>
        <v>2.8370786516853932</v>
      </c>
    </row>
    <row r="120" spans="1:21" x14ac:dyDescent="0.35">
      <c r="A120">
        <v>3361</v>
      </c>
      <c r="B120" t="s">
        <v>7</v>
      </c>
      <c r="C120" t="s">
        <v>1560</v>
      </c>
      <c r="D120">
        <v>36</v>
      </c>
      <c r="E120">
        <v>3</v>
      </c>
      <c r="F120">
        <v>48</v>
      </c>
      <c r="G120">
        <v>205</v>
      </c>
      <c r="H120">
        <v>1785</v>
      </c>
      <c r="I120">
        <v>33506</v>
      </c>
      <c r="J120">
        <v>46.295417</v>
      </c>
      <c r="K120">
        <v>5.59375</v>
      </c>
      <c r="L120">
        <v>48</v>
      </c>
      <c r="M120">
        <v>180</v>
      </c>
      <c r="N120">
        <v>43.271999999999998</v>
      </c>
      <c r="O120">
        <v>178670000</v>
      </c>
      <c r="P120">
        <v>0.54761000000000004</v>
      </c>
      <c r="Q120">
        <v>65.408000000000001</v>
      </c>
      <c r="R120">
        <v>410</v>
      </c>
      <c r="S120">
        <v>0.5</v>
      </c>
      <c r="T120">
        <v>12090</v>
      </c>
      <c r="U120">
        <f t="shared" si="1"/>
        <v>2.771381306865178</v>
      </c>
    </row>
    <row r="121" spans="1:21" x14ac:dyDescent="0.35">
      <c r="A121">
        <v>3364</v>
      </c>
      <c r="B121" t="s">
        <v>7</v>
      </c>
      <c r="C121" t="s">
        <v>1557</v>
      </c>
      <c r="D121">
        <v>25.8</v>
      </c>
      <c r="E121">
        <v>0.6</v>
      </c>
      <c r="F121">
        <v>50</v>
      </c>
      <c r="G121">
        <v>98</v>
      </c>
      <c r="H121">
        <v>1555</v>
      </c>
      <c r="I121">
        <v>14598</v>
      </c>
      <c r="J121">
        <v>46.240417000000001</v>
      </c>
      <c r="K121">
        <v>2.5329169999999999</v>
      </c>
      <c r="L121">
        <v>50</v>
      </c>
      <c r="M121">
        <v>540</v>
      </c>
      <c r="N121">
        <v>15.523999999999999</v>
      </c>
      <c r="O121">
        <v>66407000</v>
      </c>
      <c r="P121">
        <v>0.98965999999999998</v>
      </c>
      <c r="Q121">
        <v>25.19</v>
      </c>
      <c r="R121">
        <v>363</v>
      </c>
      <c r="S121">
        <v>0.5</v>
      </c>
      <c r="T121">
        <v>10487</v>
      </c>
      <c r="U121">
        <f t="shared" si="1"/>
        <v>1.392009154190903</v>
      </c>
    </row>
    <row r="122" spans="1:21" x14ac:dyDescent="0.35">
      <c r="A122">
        <v>3365</v>
      </c>
      <c r="B122" t="s">
        <v>7</v>
      </c>
      <c r="C122" t="s">
        <v>1582</v>
      </c>
      <c r="D122">
        <v>14.5</v>
      </c>
      <c r="E122">
        <v>0.5</v>
      </c>
      <c r="F122">
        <v>29</v>
      </c>
      <c r="G122">
        <v>155</v>
      </c>
      <c r="H122">
        <v>2435</v>
      </c>
      <c r="I122">
        <v>44323</v>
      </c>
      <c r="J122">
        <v>46.210417</v>
      </c>
      <c r="K122">
        <v>5.4662499999999996</v>
      </c>
      <c r="L122">
        <v>29</v>
      </c>
      <c r="M122">
        <v>180</v>
      </c>
      <c r="N122">
        <v>34.118000000000002</v>
      </c>
      <c r="O122">
        <v>140490000</v>
      </c>
      <c r="P122">
        <v>0.17599999999999999</v>
      </c>
      <c r="Q122">
        <v>87.156999999999996</v>
      </c>
      <c r="R122">
        <v>313</v>
      </c>
      <c r="S122">
        <v>0.5</v>
      </c>
      <c r="T122">
        <v>16474</v>
      </c>
      <c r="U122">
        <f t="shared" si="1"/>
        <v>2.6904819715915989</v>
      </c>
    </row>
    <row r="123" spans="1:21" x14ac:dyDescent="0.35">
      <c r="A123">
        <v>3369</v>
      </c>
      <c r="B123" t="s">
        <v>7</v>
      </c>
      <c r="C123" t="s">
        <v>1571</v>
      </c>
      <c r="D123">
        <v>19</v>
      </c>
      <c r="E123">
        <v>1.2</v>
      </c>
      <c r="F123">
        <v>41</v>
      </c>
      <c r="G123">
        <v>229</v>
      </c>
      <c r="H123">
        <v>2501</v>
      </c>
      <c r="I123">
        <v>45380</v>
      </c>
      <c r="J123">
        <v>46.116250000000001</v>
      </c>
      <c r="K123">
        <v>5.4212499999999997</v>
      </c>
      <c r="L123">
        <v>41</v>
      </c>
      <c r="M123">
        <v>360</v>
      </c>
      <c r="N123">
        <v>49.921999999999997</v>
      </c>
      <c r="O123">
        <v>205410000</v>
      </c>
      <c r="P123">
        <v>0.29470000000000002</v>
      </c>
      <c r="Q123">
        <v>88.816999999999993</v>
      </c>
      <c r="R123">
        <v>331</v>
      </c>
      <c r="S123">
        <v>0.5</v>
      </c>
      <c r="T123">
        <v>16951</v>
      </c>
      <c r="U123">
        <f t="shared" si="1"/>
        <v>2.6771281930269599</v>
      </c>
    </row>
    <row r="124" spans="1:21" x14ac:dyDescent="0.35">
      <c r="A124">
        <v>3373</v>
      </c>
      <c r="B124" t="s">
        <v>7</v>
      </c>
      <c r="C124" t="s">
        <v>1527</v>
      </c>
      <c r="D124">
        <v>56</v>
      </c>
      <c r="E124">
        <v>3.3</v>
      </c>
      <c r="F124">
        <v>104</v>
      </c>
      <c r="G124">
        <v>235</v>
      </c>
      <c r="H124">
        <v>10878</v>
      </c>
      <c r="I124">
        <v>337012</v>
      </c>
      <c r="J124">
        <v>46.053750000000001</v>
      </c>
      <c r="K124">
        <v>5.8129169999999997</v>
      </c>
      <c r="L124">
        <v>104</v>
      </c>
      <c r="M124">
        <v>649</v>
      </c>
      <c r="N124">
        <v>294.33</v>
      </c>
      <c r="O124">
        <v>1527900000</v>
      </c>
      <c r="P124">
        <v>8.4530999999999992</v>
      </c>
      <c r="Q124">
        <v>292.17</v>
      </c>
      <c r="R124">
        <v>439</v>
      </c>
      <c r="S124">
        <v>0.5</v>
      </c>
      <c r="T124">
        <v>73253</v>
      </c>
      <c r="U124">
        <f t="shared" si="1"/>
        <v>4.6006579935292748</v>
      </c>
    </row>
    <row r="125" spans="1:21" x14ac:dyDescent="0.35">
      <c r="A125">
        <v>3375</v>
      </c>
      <c r="B125" t="s">
        <v>7</v>
      </c>
      <c r="C125" t="s">
        <v>1601</v>
      </c>
      <c r="D125">
        <v>22</v>
      </c>
      <c r="E125">
        <v>2.8</v>
      </c>
      <c r="F125">
        <v>-99</v>
      </c>
      <c r="G125">
        <v>-99</v>
      </c>
      <c r="H125">
        <v>80</v>
      </c>
      <c r="I125">
        <v>772</v>
      </c>
      <c r="J125">
        <v>46.052917000000001</v>
      </c>
      <c r="K125">
        <v>1.26875</v>
      </c>
      <c r="L125">
        <v>24</v>
      </c>
      <c r="M125">
        <v>540</v>
      </c>
      <c r="N125">
        <v>0.44827</v>
      </c>
      <c r="O125">
        <v>1754100</v>
      </c>
      <c r="P125">
        <v>3.0491000000000001</v>
      </c>
      <c r="Q125">
        <v>1.3874</v>
      </c>
      <c r="R125">
        <v>392</v>
      </c>
      <c r="S125">
        <v>3.6055999999999999</v>
      </c>
      <c r="T125">
        <v>534</v>
      </c>
      <c r="U125">
        <f t="shared" si="1"/>
        <v>1.4456928838951311</v>
      </c>
    </row>
    <row r="126" spans="1:21" x14ac:dyDescent="0.35">
      <c r="A126">
        <v>3380</v>
      </c>
      <c r="B126" t="s">
        <v>7</v>
      </c>
      <c r="C126" t="s">
        <v>1542</v>
      </c>
      <c r="D126">
        <v>138</v>
      </c>
      <c r="E126">
        <v>4</v>
      </c>
      <c r="F126">
        <v>70</v>
      </c>
      <c r="G126">
        <v>470</v>
      </c>
      <c r="H126">
        <v>6551</v>
      </c>
      <c r="I126">
        <v>78361</v>
      </c>
      <c r="J126">
        <v>45.985416999999998</v>
      </c>
      <c r="K126">
        <v>4.0445830000000003</v>
      </c>
      <c r="L126">
        <v>70</v>
      </c>
      <c r="M126">
        <v>1537.9</v>
      </c>
      <c r="N126">
        <v>92.566000000000003</v>
      </c>
      <c r="O126">
        <v>405240000</v>
      </c>
      <c r="P126">
        <v>2.0495999999999999</v>
      </c>
      <c r="Q126">
        <v>99.49</v>
      </c>
      <c r="R126">
        <v>318</v>
      </c>
      <c r="S126">
        <v>0.5</v>
      </c>
      <c r="T126">
        <v>43453</v>
      </c>
      <c r="U126">
        <f t="shared" si="1"/>
        <v>1.8033507467838814</v>
      </c>
    </row>
    <row r="127" spans="1:21" x14ac:dyDescent="0.35">
      <c r="A127">
        <v>3381</v>
      </c>
      <c r="B127" t="s">
        <v>7</v>
      </c>
      <c r="C127" t="s">
        <v>1544</v>
      </c>
      <c r="D127">
        <v>69</v>
      </c>
      <c r="E127">
        <v>2.4</v>
      </c>
      <c r="F127">
        <v>68</v>
      </c>
      <c r="G127">
        <v>235</v>
      </c>
      <c r="H127">
        <v>1295</v>
      </c>
      <c r="I127">
        <v>14461</v>
      </c>
      <c r="J127">
        <v>45.974583000000003</v>
      </c>
      <c r="K127">
        <v>2.7962500000000001</v>
      </c>
      <c r="L127">
        <v>68</v>
      </c>
      <c r="M127">
        <v>569.21</v>
      </c>
      <c r="N127">
        <v>23.646000000000001</v>
      </c>
      <c r="O127">
        <v>97908000</v>
      </c>
      <c r="P127">
        <v>0.58038999999999996</v>
      </c>
      <c r="Q127">
        <v>25.439</v>
      </c>
      <c r="R127">
        <v>579</v>
      </c>
      <c r="S127">
        <v>0.5</v>
      </c>
      <c r="T127">
        <v>8655</v>
      </c>
      <c r="U127">
        <f t="shared" si="1"/>
        <v>1.6708261120739456</v>
      </c>
    </row>
    <row r="128" spans="1:21" x14ac:dyDescent="0.35">
      <c r="A128">
        <v>3383</v>
      </c>
      <c r="B128" t="s">
        <v>7</v>
      </c>
      <c r="C128" t="s">
        <v>1565</v>
      </c>
      <c r="D128">
        <v>20</v>
      </c>
      <c r="E128">
        <v>0.6</v>
      </c>
      <c r="F128">
        <v>45</v>
      </c>
      <c r="G128">
        <v>170</v>
      </c>
      <c r="H128">
        <v>966</v>
      </c>
      <c r="I128">
        <v>9699</v>
      </c>
      <c r="J128">
        <v>45.928750000000001</v>
      </c>
      <c r="K128">
        <v>1.4579169999999999</v>
      </c>
      <c r="L128">
        <v>45</v>
      </c>
      <c r="M128">
        <v>360</v>
      </c>
      <c r="N128">
        <v>13.422000000000001</v>
      </c>
      <c r="O128">
        <v>54015000</v>
      </c>
      <c r="P128">
        <v>0.25863000000000003</v>
      </c>
      <c r="Q128">
        <v>22.265999999999998</v>
      </c>
      <c r="R128">
        <v>306</v>
      </c>
      <c r="S128">
        <v>0.5</v>
      </c>
      <c r="T128">
        <v>6472</v>
      </c>
      <c r="U128">
        <f t="shared" si="1"/>
        <v>1.4986093943139678</v>
      </c>
    </row>
    <row r="129" spans="1:21" x14ac:dyDescent="0.35">
      <c r="A129">
        <v>3387</v>
      </c>
      <c r="B129" t="s">
        <v>7</v>
      </c>
      <c r="C129" t="s">
        <v>1592</v>
      </c>
      <c r="D129">
        <v>21.4</v>
      </c>
      <c r="E129">
        <v>1.9</v>
      </c>
      <c r="F129">
        <v>22</v>
      </c>
      <c r="G129">
        <v>250</v>
      </c>
      <c r="H129">
        <v>46</v>
      </c>
      <c r="I129">
        <v>487</v>
      </c>
      <c r="J129">
        <v>45.857083000000003</v>
      </c>
      <c r="K129">
        <v>1.9537500000000001</v>
      </c>
      <c r="L129">
        <v>22</v>
      </c>
      <c r="M129">
        <v>360</v>
      </c>
      <c r="N129">
        <v>0.33765000000000001</v>
      </c>
      <c r="O129">
        <v>1352100</v>
      </c>
      <c r="P129">
        <v>2.8331</v>
      </c>
      <c r="Q129">
        <v>1.1189</v>
      </c>
      <c r="R129">
        <v>685</v>
      </c>
      <c r="S129">
        <v>1</v>
      </c>
      <c r="T129">
        <v>306</v>
      </c>
      <c r="U129">
        <f t="shared" si="1"/>
        <v>1.5915032679738561</v>
      </c>
    </row>
    <row r="130" spans="1:21" x14ac:dyDescent="0.35">
      <c r="A130">
        <v>3390</v>
      </c>
      <c r="B130" t="s">
        <v>7</v>
      </c>
      <c r="C130" t="s">
        <v>1576</v>
      </c>
      <c r="D130">
        <v>107</v>
      </c>
      <c r="E130">
        <v>8.1999999999999993</v>
      </c>
      <c r="F130">
        <v>38</v>
      </c>
      <c r="G130">
        <v>230</v>
      </c>
      <c r="H130">
        <v>73</v>
      </c>
      <c r="I130">
        <v>778</v>
      </c>
      <c r="J130">
        <v>45.814582999999999</v>
      </c>
      <c r="K130">
        <v>1.85375</v>
      </c>
      <c r="L130">
        <v>38</v>
      </c>
      <c r="M130">
        <v>649</v>
      </c>
      <c r="N130">
        <v>0.96143999999999996</v>
      </c>
      <c r="O130">
        <v>3857400</v>
      </c>
      <c r="P130">
        <v>2.5097999999999998</v>
      </c>
      <c r="Q130">
        <v>1.847</v>
      </c>
      <c r="R130">
        <v>669</v>
      </c>
      <c r="S130">
        <v>4</v>
      </c>
      <c r="T130">
        <v>486</v>
      </c>
      <c r="U130">
        <f t="shared" ref="U130:U193" si="2">I130/T130</f>
        <v>1.6008230452674896</v>
      </c>
    </row>
    <row r="131" spans="1:21" x14ac:dyDescent="0.35">
      <c r="A131">
        <v>3392</v>
      </c>
      <c r="B131" t="s">
        <v>7</v>
      </c>
      <c r="C131" t="s">
        <v>1562</v>
      </c>
      <c r="D131">
        <v>50</v>
      </c>
      <c r="E131">
        <v>0.4</v>
      </c>
      <c r="F131">
        <v>48</v>
      </c>
      <c r="G131">
        <v>507</v>
      </c>
      <c r="H131">
        <v>4</v>
      </c>
      <c r="I131">
        <v>101</v>
      </c>
      <c r="J131">
        <v>45.762917000000002</v>
      </c>
      <c r="K131">
        <v>6.6454170000000001</v>
      </c>
      <c r="L131">
        <v>48</v>
      </c>
      <c r="M131">
        <v>402.49</v>
      </c>
      <c r="N131">
        <v>5.6195000000000002E-2</v>
      </c>
      <c r="O131">
        <v>235080</v>
      </c>
      <c r="P131">
        <v>32.726999999999997</v>
      </c>
      <c r="Q131">
        <v>0.11259</v>
      </c>
      <c r="R131">
        <v>1791</v>
      </c>
      <c r="S131">
        <v>0.5</v>
      </c>
      <c r="T131">
        <v>25</v>
      </c>
      <c r="U131">
        <f t="shared" si="2"/>
        <v>4.04</v>
      </c>
    </row>
    <row r="132" spans="1:21" x14ac:dyDescent="0.35">
      <c r="A132">
        <v>3393</v>
      </c>
      <c r="B132" t="s">
        <v>7</v>
      </c>
      <c r="C132" t="s">
        <v>1547</v>
      </c>
      <c r="D132">
        <v>13.7</v>
      </c>
      <c r="E132">
        <v>0.2</v>
      </c>
      <c r="F132">
        <v>67</v>
      </c>
      <c r="G132">
        <v>165</v>
      </c>
      <c r="H132">
        <v>21</v>
      </c>
      <c r="I132">
        <v>584</v>
      </c>
      <c r="J132">
        <v>45.712083</v>
      </c>
      <c r="K132">
        <v>6.6495829999999998</v>
      </c>
      <c r="L132">
        <v>67</v>
      </c>
      <c r="M132">
        <v>180</v>
      </c>
      <c r="N132">
        <v>0.44827</v>
      </c>
      <c r="O132">
        <v>1875300</v>
      </c>
      <c r="P132">
        <v>3.5074000000000001</v>
      </c>
      <c r="Q132">
        <v>0.64402000000000004</v>
      </c>
      <c r="R132">
        <v>1776</v>
      </c>
      <c r="S132">
        <v>1</v>
      </c>
      <c r="T132">
        <v>143</v>
      </c>
      <c r="U132">
        <f t="shared" si="2"/>
        <v>4.0839160839160842</v>
      </c>
    </row>
    <row r="133" spans="1:21" x14ac:dyDescent="0.35">
      <c r="A133">
        <v>3394</v>
      </c>
      <c r="B133" t="s">
        <v>7</v>
      </c>
      <c r="C133" t="s">
        <v>1520</v>
      </c>
      <c r="D133">
        <v>187</v>
      </c>
      <c r="E133">
        <v>2</v>
      </c>
      <c r="F133">
        <v>150</v>
      </c>
      <c r="G133">
        <v>806</v>
      </c>
      <c r="H133">
        <v>41</v>
      </c>
      <c r="I133">
        <v>1099</v>
      </c>
      <c r="J133">
        <v>45.686250000000001</v>
      </c>
      <c r="K133">
        <v>6.6245830000000003</v>
      </c>
      <c r="L133">
        <v>150</v>
      </c>
      <c r="M133">
        <v>1440</v>
      </c>
      <c r="N133">
        <v>1.9047000000000001</v>
      </c>
      <c r="O133">
        <v>7967800</v>
      </c>
      <c r="P133">
        <v>24.698</v>
      </c>
      <c r="Q133">
        <v>1.2204999999999999</v>
      </c>
      <c r="R133">
        <v>1497</v>
      </c>
      <c r="S133">
        <v>2</v>
      </c>
      <c r="T133">
        <v>271</v>
      </c>
      <c r="U133">
        <f t="shared" si="2"/>
        <v>4.0553505535055354</v>
      </c>
    </row>
    <row r="134" spans="1:21" x14ac:dyDescent="0.35">
      <c r="A134">
        <v>3397</v>
      </c>
      <c r="B134" t="s">
        <v>7</v>
      </c>
      <c r="C134" t="s">
        <v>1577</v>
      </c>
      <c r="D134">
        <v>20.5</v>
      </c>
      <c r="E134">
        <v>1.3</v>
      </c>
      <c r="F134">
        <v>34</v>
      </c>
      <c r="G134">
        <v>123</v>
      </c>
      <c r="H134">
        <v>192</v>
      </c>
      <c r="I134">
        <v>2169</v>
      </c>
      <c r="J134">
        <v>45.587083</v>
      </c>
      <c r="K134">
        <v>1.882917</v>
      </c>
      <c r="L134">
        <v>34</v>
      </c>
      <c r="M134">
        <v>1049.5999999999999</v>
      </c>
      <c r="N134">
        <v>2.0648</v>
      </c>
      <c r="O134">
        <v>8266100</v>
      </c>
      <c r="P134">
        <v>2.0200999999999998</v>
      </c>
      <c r="Q134">
        <v>4.4287999999999998</v>
      </c>
      <c r="R134">
        <v>667</v>
      </c>
      <c r="S134">
        <v>4.1231</v>
      </c>
      <c r="T134">
        <v>1217</v>
      </c>
      <c r="U134">
        <f t="shared" si="2"/>
        <v>1.7822514379622021</v>
      </c>
    </row>
    <row r="135" spans="1:21" x14ac:dyDescent="0.35">
      <c r="A135">
        <v>3398</v>
      </c>
      <c r="B135" t="s">
        <v>7</v>
      </c>
      <c r="C135" t="s">
        <v>246</v>
      </c>
      <c r="D135">
        <v>235</v>
      </c>
      <c r="E135">
        <v>2.4</v>
      </c>
      <c r="F135">
        <v>180</v>
      </c>
      <c r="G135">
        <v>-99</v>
      </c>
      <c r="H135">
        <v>173</v>
      </c>
      <c r="I135">
        <v>5284</v>
      </c>
      <c r="J135">
        <v>45.494582999999999</v>
      </c>
      <c r="K135">
        <v>6.9312500000000004</v>
      </c>
      <c r="L135">
        <v>180</v>
      </c>
      <c r="M135">
        <v>1537.9</v>
      </c>
      <c r="N135">
        <v>6.0601000000000003</v>
      </c>
      <c r="O135">
        <v>24227000</v>
      </c>
      <c r="P135">
        <v>12.215</v>
      </c>
      <c r="Q135">
        <v>2.823</v>
      </c>
      <c r="R135">
        <v>1716</v>
      </c>
      <c r="S135">
        <v>0.5</v>
      </c>
      <c r="T135">
        <v>1150</v>
      </c>
      <c r="U135">
        <f t="shared" si="2"/>
        <v>4.5947826086956525</v>
      </c>
    </row>
    <row r="136" spans="1:21" x14ac:dyDescent="0.35">
      <c r="A136">
        <v>3400</v>
      </c>
      <c r="B136" t="s">
        <v>7</v>
      </c>
      <c r="C136" t="s">
        <v>1580</v>
      </c>
      <c r="D136">
        <v>10.5</v>
      </c>
      <c r="E136">
        <v>0.3</v>
      </c>
      <c r="F136">
        <v>30</v>
      </c>
      <c r="G136">
        <v>300</v>
      </c>
      <c r="H136">
        <v>11</v>
      </c>
      <c r="I136">
        <v>344</v>
      </c>
      <c r="J136">
        <v>45.484583000000001</v>
      </c>
      <c r="K136">
        <v>7.0070829999999997</v>
      </c>
      <c r="L136">
        <v>30</v>
      </c>
      <c r="M136">
        <v>509.12</v>
      </c>
      <c r="N136">
        <v>7.8951999999999994E-2</v>
      </c>
      <c r="O136">
        <v>302820</v>
      </c>
      <c r="P136">
        <v>15.055999999999999</v>
      </c>
      <c r="Q136">
        <v>0.19073000000000001</v>
      </c>
      <c r="R136">
        <v>2450</v>
      </c>
      <c r="S136">
        <v>5.0990000000000002</v>
      </c>
      <c r="T136">
        <v>73</v>
      </c>
      <c r="U136">
        <f t="shared" si="2"/>
        <v>4.7123287671232879</v>
      </c>
    </row>
    <row r="137" spans="1:21" x14ac:dyDescent="0.35">
      <c r="A137">
        <v>3401</v>
      </c>
      <c r="B137" t="s">
        <v>7</v>
      </c>
      <c r="C137" t="s">
        <v>1554</v>
      </c>
      <c r="D137">
        <v>57.4</v>
      </c>
      <c r="E137">
        <v>2.2999999999999998</v>
      </c>
      <c r="F137">
        <v>55</v>
      </c>
      <c r="G137">
        <v>200</v>
      </c>
      <c r="H137">
        <v>3749</v>
      </c>
      <c r="I137">
        <v>47331</v>
      </c>
      <c r="J137">
        <v>45.463749999999997</v>
      </c>
      <c r="K137">
        <v>4.2529170000000001</v>
      </c>
      <c r="L137">
        <v>55</v>
      </c>
      <c r="M137">
        <v>804.98</v>
      </c>
      <c r="N137">
        <v>45.002000000000002</v>
      </c>
      <c r="O137">
        <v>199080000</v>
      </c>
      <c r="P137">
        <v>1.6087</v>
      </c>
      <c r="Q137">
        <v>62.685000000000002</v>
      </c>
      <c r="R137">
        <v>450</v>
      </c>
      <c r="S137">
        <v>1</v>
      </c>
      <c r="T137">
        <v>24760</v>
      </c>
      <c r="U137">
        <f t="shared" si="2"/>
        <v>1.9115912762520193</v>
      </c>
    </row>
    <row r="138" spans="1:21" x14ac:dyDescent="0.35">
      <c r="A138">
        <v>3404</v>
      </c>
      <c r="B138" t="s">
        <v>7</v>
      </c>
      <c r="C138" t="s">
        <v>1524</v>
      </c>
      <c r="D138">
        <v>477.2</v>
      </c>
      <c r="E138">
        <v>8</v>
      </c>
      <c r="F138">
        <v>125</v>
      </c>
      <c r="G138">
        <v>390</v>
      </c>
      <c r="H138">
        <v>997</v>
      </c>
      <c r="I138">
        <v>12059</v>
      </c>
      <c r="J138">
        <v>45.414583</v>
      </c>
      <c r="K138">
        <v>2.4962499999999999</v>
      </c>
      <c r="L138">
        <v>125</v>
      </c>
      <c r="M138">
        <v>2421.6999999999998</v>
      </c>
      <c r="N138">
        <v>38.279000000000003</v>
      </c>
      <c r="O138">
        <v>155680000</v>
      </c>
      <c r="P138">
        <v>1.6659999999999999</v>
      </c>
      <c r="Q138">
        <v>21.998000000000001</v>
      </c>
      <c r="R138">
        <v>582</v>
      </c>
      <c r="S138">
        <v>0.5</v>
      </c>
      <c r="T138">
        <v>6640</v>
      </c>
      <c r="U138">
        <f t="shared" si="2"/>
        <v>1.8161144578313253</v>
      </c>
    </row>
    <row r="139" spans="1:21" x14ac:dyDescent="0.35">
      <c r="A139">
        <v>3405</v>
      </c>
      <c r="B139" t="s">
        <v>7</v>
      </c>
      <c r="C139" t="s">
        <v>1531</v>
      </c>
      <c r="D139">
        <v>47</v>
      </c>
      <c r="E139">
        <v>0.8</v>
      </c>
      <c r="F139">
        <v>90</v>
      </c>
      <c r="G139">
        <v>198</v>
      </c>
      <c r="H139">
        <v>2527</v>
      </c>
      <c r="I139">
        <v>31107</v>
      </c>
      <c r="J139">
        <v>45.395417000000002</v>
      </c>
      <c r="K139">
        <v>2.36375</v>
      </c>
      <c r="L139">
        <v>90</v>
      </c>
      <c r="M139">
        <v>360</v>
      </c>
      <c r="N139">
        <v>78.989000000000004</v>
      </c>
      <c r="O139">
        <v>320710000</v>
      </c>
      <c r="P139">
        <v>0.22503000000000001</v>
      </c>
      <c r="Q139">
        <v>63.162999999999997</v>
      </c>
      <c r="R139">
        <v>435</v>
      </c>
      <c r="S139">
        <v>0.5</v>
      </c>
      <c r="T139">
        <v>16793</v>
      </c>
      <c r="U139">
        <f t="shared" si="2"/>
        <v>1.852378967426904</v>
      </c>
    </row>
    <row r="140" spans="1:21" x14ac:dyDescent="0.35">
      <c r="A140">
        <v>3406</v>
      </c>
      <c r="B140" t="s">
        <v>7</v>
      </c>
      <c r="C140" t="s">
        <v>1585</v>
      </c>
      <c r="D140">
        <v>23.6</v>
      </c>
      <c r="E140">
        <v>2.2999999999999998</v>
      </c>
      <c r="F140">
        <v>27</v>
      </c>
      <c r="G140">
        <v>145</v>
      </c>
      <c r="H140">
        <v>124</v>
      </c>
      <c r="I140">
        <v>1483</v>
      </c>
      <c r="J140">
        <v>45.378749999999997</v>
      </c>
      <c r="K140">
        <v>2.2962500000000001</v>
      </c>
      <c r="L140">
        <v>27</v>
      </c>
      <c r="M140">
        <v>917.82</v>
      </c>
      <c r="N140">
        <v>1.1395999999999999</v>
      </c>
      <c r="O140">
        <v>4529200</v>
      </c>
      <c r="P140">
        <v>1.7988</v>
      </c>
      <c r="Q140">
        <v>3.0222000000000002</v>
      </c>
      <c r="R140">
        <v>588</v>
      </c>
      <c r="S140">
        <v>2.2361</v>
      </c>
      <c r="T140">
        <v>824</v>
      </c>
      <c r="U140">
        <f t="shared" si="2"/>
        <v>1.799757281553398</v>
      </c>
    </row>
    <row r="141" spans="1:21" x14ac:dyDescent="0.35">
      <c r="A141">
        <v>3409</v>
      </c>
      <c r="B141" t="s">
        <v>7</v>
      </c>
      <c r="C141" t="s">
        <v>1559</v>
      </c>
      <c r="D141">
        <v>31.3</v>
      </c>
      <c r="E141">
        <v>1.2</v>
      </c>
      <c r="F141">
        <v>50</v>
      </c>
      <c r="G141">
        <v>163</v>
      </c>
      <c r="H141">
        <v>141</v>
      </c>
      <c r="I141">
        <v>1658</v>
      </c>
      <c r="J141">
        <v>45.249583000000001</v>
      </c>
      <c r="K141">
        <v>1.99875</v>
      </c>
      <c r="L141">
        <v>50</v>
      </c>
      <c r="M141">
        <v>569.21</v>
      </c>
      <c r="N141">
        <v>2.5724999999999998</v>
      </c>
      <c r="O141">
        <v>10163000</v>
      </c>
      <c r="P141">
        <v>2.7850000000000001</v>
      </c>
      <c r="Q141">
        <v>3.6217999999999999</v>
      </c>
      <c r="R141">
        <v>520</v>
      </c>
      <c r="S141">
        <v>4</v>
      </c>
      <c r="T141">
        <v>935</v>
      </c>
      <c r="U141">
        <f t="shared" si="2"/>
        <v>1.7732620320855614</v>
      </c>
    </row>
    <row r="142" spans="1:21" x14ac:dyDescent="0.35">
      <c r="A142">
        <v>3410</v>
      </c>
      <c r="B142" t="s">
        <v>7</v>
      </c>
      <c r="C142" t="s">
        <v>1530</v>
      </c>
      <c r="D142">
        <v>225</v>
      </c>
      <c r="E142">
        <v>4.5999999999999996</v>
      </c>
      <c r="F142">
        <v>92</v>
      </c>
      <c r="G142">
        <v>290</v>
      </c>
      <c r="H142">
        <v>3256</v>
      </c>
      <c r="I142">
        <v>40281</v>
      </c>
      <c r="J142">
        <v>45.245417000000003</v>
      </c>
      <c r="K142">
        <v>2.2262499999999998</v>
      </c>
      <c r="L142">
        <v>92</v>
      </c>
      <c r="M142">
        <v>402.49</v>
      </c>
      <c r="N142">
        <v>106.07</v>
      </c>
      <c r="O142">
        <v>429360000</v>
      </c>
      <c r="P142">
        <v>0.30279</v>
      </c>
      <c r="Q142">
        <v>82.822999999999993</v>
      </c>
      <c r="R142">
        <v>457</v>
      </c>
      <c r="S142">
        <v>1</v>
      </c>
      <c r="T142">
        <v>21627</v>
      </c>
      <c r="U142">
        <f t="shared" si="2"/>
        <v>1.8625329449299486</v>
      </c>
    </row>
    <row r="143" spans="1:21" x14ac:dyDescent="0.35">
      <c r="A143">
        <v>3411</v>
      </c>
      <c r="B143" t="s">
        <v>7</v>
      </c>
      <c r="C143" t="s">
        <v>1525</v>
      </c>
      <c r="D143">
        <v>332.2</v>
      </c>
      <c r="E143">
        <v>3.8</v>
      </c>
      <c r="F143">
        <v>120</v>
      </c>
      <c r="G143">
        <v>1400</v>
      </c>
      <c r="H143">
        <v>48</v>
      </c>
      <c r="I143">
        <v>1366</v>
      </c>
      <c r="J143">
        <v>45.228749999999998</v>
      </c>
      <c r="K143">
        <v>6.94625</v>
      </c>
      <c r="L143">
        <v>120</v>
      </c>
      <c r="M143">
        <v>1707.6</v>
      </c>
      <c r="N143">
        <v>0.96621999999999997</v>
      </c>
      <c r="O143">
        <v>3780400</v>
      </c>
      <c r="P143">
        <v>41.39</v>
      </c>
      <c r="Q143">
        <v>0.73704999999999998</v>
      </c>
      <c r="R143">
        <v>1940</v>
      </c>
      <c r="S143">
        <v>3</v>
      </c>
      <c r="T143">
        <v>320</v>
      </c>
      <c r="U143">
        <f t="shared" si="2"/>
        <v>4.2687499999999998</v>
      </c>
    </row>
    <row r="144" spans="1:21" x14ac:dyDescent="0.35">
      <c r="A144">
        <v>3412</v>
      </c>
      <c r="B144" t="s">
        <v>7</v>
      </c>
      <c r="C144" t="s">
        <v>1518</v>
      </c>
      <c r="D144">
        <v>137</v>
      </c>
      <c r="E144">
        <v>1</v>
      </c>
      <c r="F144">
        <v>160</v>
      </c>
      <c r="G144">
        <v>550</v>
      </c>
      <c r="H144">
        <v>43</v>
      </c>
      <c r="I144">
        <v>870</v>
      </c>
      <c r="J144">
        <v>45.207082999999997</v>
      </c>
      <c r="K144">
        <v>6.1195830000000004</v>
      </c>
      <c r="L144">
        <v>160</v>
      </c>
      <c r="M144">
        <v>917.82</v>
      </c>
      <c r="N144">
        <v>1.9038999999999999</v>
      </c>
      <c r="O144">
        <v>8503100</v>
      </c>
      <c r="P144">
        <v>16.603000000000002</v>
      </c>
      <c r="Q144">
        <v>0.98019999999999996</v>
      </c>
      <c r="R144">
        <v>1776</v>
      </c>
      <c r="S144">
        <v>2</v>
      </c>
      <c r="T144">
        <v>286</v>
      </c>
      <c r="U144">
        <f t="shared" si="2"/>
        <v>3.0419580419580421</v>
      </c>
    </row>
    <row r="145" spans="1:21" x14ac:dyDescent="0.35">
      <c r="A145">
        <v>3413</v>
      </c>
      <c r="B145" t="s">
        <v>7</v>
      </c>
      <c r="C145" t="s">
        <v>1548</v>
      </c>
      <c r="D145">
        <v>39.5</v>
      </c>
      <c r="E145">
        <v>1</v>
      </c>
      <c r="F145">
        <v>63</v>
      </c>
      <c r="G145">
        <v>545</v>
      </c>
      <c r="H145">
        <v>22</v>
      </c>
      <c r="I145">
        <v>545</v>
      </c>
      <c r="J145">
        <v>45.180416999999998</v>
      </c>
      <c r="K145">
        <v>6.5795830000000004</v>
      </c>
      <c r="L145">
        <v>63</v>
      </c>
      <c r="M145">
        <v>720</v>
      </c>
      <c r="N145">
        <v>0.23283000000000001</v>
      </c>
      <c r="O145">
        <v>910960</v>
      </c>
      <c r="P145">
        <v>23.465</v>
      </c>
      <c r="Q145">
        <v>0.33857999999999999</v>
      </c>
      <c r="R145">
        <v>2061</v>
      </c>
      <c r="S145">
        <v>1</v>
      </c>
      <c r="T145">
        <v>147</v>
      </c>
      <c r="U145">
        <f t="shared" si="2"/>
        <v>3.7074829931972788</v>
      </c>
    </row>
    <row r="146" spans="1:21" x14ac:dyDescent="0.35">
      <c r="A146">
        <v>3414</v>
      </c>
      <c r="B146" t="s">
        <v>7</v>
      </c>
      <c r="C146" t="s">
        <v>1533</v>
      </c>
      <c r="D146">
        <v>187</v>
      </c>
      <c r="E146">
        <v>4.9000000000000004</v>
      </c>
      <c r="F146">
        <v>85</v>
      </c>
      <c r="G146">
        <v>300</v>
      </c>
      <c r="H146">
        <v>4084</v>
      </c>
      <c r="I146">
        <v>50278</v>
      </c>
      <c r="J146">
        <v>45.153750000000002</v>
      </c>
      <c r="K146">
        <v>2.0095830000000001</v>
      </c>
      <c r="L146">
        <v>85</v>
      </c>
      <c r="M146">
        <v>402.49</v>
      </c>
      <c r="N146">
        <v>123.59</v>
      </c>
      <c r="O146">
        <v>497940000</v>
      </c>
      <c r="P146">
        <v>7.5796000000000002E-2</v>
      </c>
      <c r="Q146">
        <v>104.38</v>
      </c>
      <c r="R146">
        <v>247</v>
      </c>
      <c r="S146">
        <v>0.5</v>
      </c>
      <c r="T146">
        <v>27111</v>
      </c>
      <c r="U146">
        <f t="shared" si="2"/>
        <v>1.8545239939507949</v>
      </c>
    </row>
    <row r="147" spans="1:21" x14ac:dyDescent="0.35">
      <c r="A147">
        <v>3415</v>
      </c>
      <c r="B147" t="s">
        <v>7</v>
      </c>
      <c r="C147" t="s">
        <v>1552</v>
      </c>
      <c r="D147">
        <v>41</v>
      </c>
      <c r="E147">
        <v>1.7</v>
      </c>
      <c r="F147">
        <v>60</v>
      </c>
      <c r="G147">
        <v>507</v>
      </c>
      <c r="H147">
        <v>342</v>
      </c>
      <c r="I147">
        <v>4091</v>
      </c>
      <c r="J147">
        <v>45.149583</v>
      </c>
      <c r="K147">
        <v>4.21875</v>
      </c>
      <c r="L147">
        <v>60</v>
      </c>
      <c r="M147">
        <v>1548.4</v>
      </c>
      <c r="N147">
        <v>4.4805000000000001</v>
      </c>
      <c r="O147">
        <v>19778000</v>
      </c>
      <c r="P147">
        <v>2.9662000000000002</v>
      </c>
      <c r="Q147">
        <v>5.6275000000000004</v>
      </c>
      <c r="R147">
        <v>821</v>
      </c>
      <c r="S147">
        <v>4.1231</v>
      </c>
      <c r="T147">
        <v>2254</v>
      </c>
      <c r="U147">
        <f t="shared" si="2"/>
        <v>1.8149955634427684</v>
      </c>
    </row>
    <row r="148" spans="1:21" x14ac:dyDescent="0.35">
      <c r="A148">
        <v>3416</v>
      </c>
      <c r="B148" t="s">
        <v>7</v>
      </c>
      <c r="C148" t="s">
        <v>1567</v>
      </c>
      <c r="D148">
        <v>15.6</v>
      </c>
      <c r="E148">
        <v>0.5</v>
      </c>
      <c r="F148">
        <v>44</v>
      </c>
      <c r="G148">
        <v>430</v>
      </c>
      <c r="H148">
        <v>162</v>
      </c>
      <c r="I148">
        <v>3121</v>
      </c>
      <c r="J148">
        <v>45.132916999999999</v>
      </c>
      <c r="K148">
        <v>6.0445830000000003</v>
      </c>
      <c r="L148">
        <v>44</v>
      </c>
      <c r="M148">
        <v>402.49</v>
      </c>
      <c r="N148">
        <v>1.9482999999999999</v>
      </c>
      <c r="O148">
        <v>8754400</v>
      </c>
      <c r="P148">
        <v>0.96238999999999997</v>
      </c>
      <c r="Q148">
        <v>3.6882000000000001</v>
      </c>
      <c r="R148">
        <v>803</v>
      </c>
      <c r="S148">
        <v>0.5</v>
      </c>
      <c r="T148">
        <v>1073</v>
      </c>
      <c r="U148">
        <f t="shared" si="2"/>
        <v>2.9086672879776327</v>
      </c>
    </row>
    <row r="149" spans="1:21" x14ac:dyDescent="0.35">
      <c r="A149">
        <v>3417</v>
      </c>
      <c r="B149" t="s">
        <v>7</v>
      </c>
      <c r="C149" t="s">
        <v>1545</v>
      </c>
      <c r="D149">
        <v>92.7</v>
      </c>
      <c r="E149">
        <v>2.1</v>
      </c>
      <c r="F149">
        <v>68</v>
      </c>
      <c r="G149">
        <v>230</v>
      </c>
      <c r="H149">
        <v>465</v>
      </c>
      <c r="I149">
        <v>5818</v>
      </c>
      <c r="J149">
        <v>45.078749999999999</v>
      </c>
      <c r="K149">
        <v>2.19625</v>
      </c>
      <c r="L149">
        <v>68</v>
      </c>
      <c r="M149">
        <v>360</v>
      </c>
      <c r="N149">
        <v>11.923</v>
      </c>
      <c r="O149">
        <v>47576000</v>
      </c>
      <c r="P149">
        <v>0.75546000000000002</v>
      </c>
      <c r="Q149">
        <v>12.387</v>
      </c>
      <c r="R149">
        <v>561</v>
      </c>
      <c r="S149">
        <v>0.5</v>
      </c>
      <c r="T149">
        <v>3067</v>
      </c>
      <c r="U149">
        <f t="shared" si="2"/>
        <v>1.8969677208999023</v>
      </c>
    </row>
    <row r="150" spans="1:21" x14ac:dyDescent="0.35">
      <c r="A150">
        <v>3418</v>
      </c>
      <c r="B150" t="s">
        <v>7</v>
      </c>
      <c r="C150" t="s">
        <v>1553</v>
      </c>
      <c r="D150">
        <v>27</v>
      </c>
      <c r="E150">
        <v>1</v>
      </c>
      <c r="F150">
        <v>57</v>
      </c>
      <c r="G150">
        <v>253</v>
      </c>
      <c r="H150">
        <v>780</v>
      </c>
      <c r="I150">
        <v>9585</v>
      </c>
      <c r="J150">
        <v>45.066249999999997</v>
      </c>
      <c r="K150">
        <v>1.99875</v>
      </c>
      <c r="L150">
        <v>57</v>
      </c>
      <c r="M150">
        <v>254.56</v>
      </c>
      <c r="N150">
        <v>16.626999999999999</v>
      </c>
      <c r="O150">
        <v>66093000</v>
      </c>
      <c r="P150">
        <v>0.17165</v>
      </c>
      <c r="Q150">
        <v>20.643999999999998</v>
      </c>
      <c r="R150">
        <v>352</v>
      </c>
      <c r="S150">
        <v>1</v>
      </c>
      <c r="T150">
        <v>5144</v>
      </c>
      <c r="U150">
        <f t="shared" si="2"/>
        <v>1.8633359253499222</v>
      </c>
    </row>
    <row r="151" spans="1:21" x14ac:dyDescent="0.35">
      <c r="A151">
        <v>3419</v>
      </c>
      <c r="B151" t="s">
        <v>7</v>
      </c>
      <c r="C151" t="s">
        <v>1521</v>
      </c>
      <c r="D151">
        <v>54</v>
      </c>
      <c r="E151">
        <v>0.8</v>
      </c>
      <c r="F151">
        <v>136</v>
      </c>
      <c r="G151">
        <v>294</v>
      </c>
      <c r="H151">
        <v>251</v>
      </c>
      <c r="I151">
        <v>5325</v>
      </c>
      <c r="J151">
        <v>45.045417</v>
      </c>
      <c r="K151">
        <v>6.1387499999999999</v>
      </c>
      <c r="L151">
        <v>136</v>
      </c>
      <c r="M151">
        <v>969.33</v>
      </c>
      <c r="N151">
        <v>9.0251999999999999</v>
      </c>
      <c r="O151">
        <v>41146000</v>
      </c>
      <c r="P151">
        <v>2.7656999999999998</v>
      </c>
      <c r="Q151">
        <v>5.6676000000000002</v>
      </c>
      <c r="R151">
        <v>1113</v>
      </c>
      <c r="S151">
        <v>0.5</v>
      </c>
      <c r="T151">
        <v>1656</v>
      </c>
      <c r="U151">
        <f t="shared" si="2"/>
        <v>3.2155797101449277</v>
      </c>
    </row>
    <row r="152" spans="1:21" x14ac:dyDescent="0.35">
      <c r="A152">
        <v>3420</v>
      </c>
      <c r="B152" t="s">
        <v>7</v>
      </c>
      <c r="C152" t="s">
        <v>1572</v>
      </c>
      <c r="D152">
        <v>34</v>
      </c>
      <c r="E152">
        <v>1.4</v>
      </c>
      <c r="F152">
        <v>40</v>
      </c>
      <c r="G152">
        <v>350</v>
      </c>
      <c r="H152">
        <v>2036</v>
      </c>
      <c r="I152">
        <v>33792</v>
      </c>
      <c r="J152">
        <v>45.005417000000001</v>
      </c>
      <c r="K152">
        <v>5.6887499999999998</v>
      </c>
      <c r="L152">
        <v>40</v>
      </c>
      <c r="M152">
        <v>509.12</v>
      </c>
      <c r="N152">
        <v>21.611000000000001</v>
      </c>
      <c r="O152">
        <v>98241000</v>
      </c>
      <c r="P152">
        <v>0.12057</v>
      </c>
      <c r="Q152">
        <v>45.226999999999997</v>
      </c>
      <c r="R152">
        <v>396</v>
      </c>
      <c r="S152">
        <v>1</v>
      </c>
      <c r="T152">
        <v>13365</v>
      </c>
      <c r="U152">
        <f t="shared" si="2"/>
        <v>2.528395061728395</v>
      </c>
    </row>
    <row r="153" spans="1:21" x14ac:dyDescent="0.35">
      <c r="A153">
        <v>3421</v>
      </c>
      <c r="B153" t="s">
        <v>7</v>
      </c>
      <c r="C153" t="s">
        <v>1519</v>
      </c>
      <c r="D153">
        <v>275</v>
      </c>
      <c r="E153">
        <v>3.3</v>
      </c>
      <c r="F153">
        <v>155</v>
      </c>
      <c r="G153">
        <v>215</v>
      </c>
      <c r="H153">
        <v>2013</v>
      </c>
      <c r="I153">
        <v>33476</v>
      </c>
      <c r="J153">
        <v>44.96125</v>
      </c>
      <c r="K153">
        <v>5.6904170000000001</v>
      </c>
      <c r="L153">
        <v>155</v>
      </c>
      <c r="M153">
        <v>540</v>
      </c>
      <c r="N153">
        <v>84.448999999999998</v>
      </c>
      <c r="O153">
        <v>384030000</v>
      </c>
      <c r="P153">
        <v>0.31763000000000002</v>
      </c>
      <c r="Q153">
        <v>44.726999999999997</v>
      </c>
      <c r="R153">
        <v>618</v>
      </c>
      <c r="S153">
        <v>0.5</v>
      </c>
      <c r="T153">
        <v>13218</v>
      </c>
      <c r="U153">
        <f t="shared" si="2"/>
        <v>2.5326070509910728</v>
      </c>
    </row>
    <row r="154" spans="1:21" x14ac:dyDescent="0.35">
      <c r="A154">
        <v>3422</v>
      </c>
      <c r="B154" t="s">
        <v>7</v>
      </c>
      <c r="C154" t="s">
        <v>1535</v>
      </c>
      <c r="D154">
        <v>135</v>
      </c>
      <c r="E154">
        <v>3.8</v>
      </c>
      <c r="F154">
        <v>75</v>
      </c>
      <c r="G154">
        <v>270</v>
      </c>
      <c r="H154">
        <v>695</v>
      </c>
      <c r="I154">
        <v>8683</v>
      </c>
      <c r="J154">
        <v>44.943750000000001</v>
      </c>
      <c r="K154">
        <v>2.2212499999999999</v>
      </c>
      <c r="L154">
        <v>75</v>
      </c>
      <c r="M154">
        <v>2577.1999999999998</v>
      </c>
      <c r="N154">
        <v>18.957999999999998</v>
      </c>
      <c r="O154">
        <v>75738000</v>
      </c>
      <c r="P154">
        <v>2.4051</v>
      </c>
      <c r="Q154">
        <v>18.035</v>
      </c>
      <c r="R154">
        <v>521</v>
      </c>
      <c r="S154">
        <v>0.5</v>
      </c>
      <c r="T154">
        <v>4577</v>
      </c>
      <c r="U154">
        <f t="shared" si="2"/>
        <v>1.8970941664845968</v>
      </c>
    </row>
    <row r="155" spans="1:21" x14ac:dyDescent="0.35">
      <c r="A155">
        <v>3423</v>
      </c>
      <c r="B155" t="s">
        <v>7</v>
      </c>
      <c r="C155" t="s">
        <v>1532</v>
      </c>
      <c r="D155">
        <v>292</v>
      </c>
      <c r="E155">
        <v>6</v>
      </c>
      <c r="F155">
        <v>88</v>
      </c>
      <c r="G155">
        <v>400</v>
      </c>
      <c r="H155">
        <v>1779</v>
      </c>
      <c r="I155">
        <v>25737</v>
      </c>
      <c r="J155">
        <v>44.920417</v>
      </c>
      <c r="K155">
        <v>3.0754169999999998</v>
      </c>
      <c r="L155">
        <v>88</v>
      </c>
      <c r="M155">
        <v>742.16</v>
      </c>
      <c r="N155">
        <v>37.698</v>
      </c>
      <c r="O155">
        <v>166480000</v>
      </c>
      <c r="P155">
        <v>0.68089</v>
      </c>
      <c r="Q155">
        <v>34.662999999999997</v>
      </c>
      <c r="R155">
        <v>793</v>
      </c>
      <c r="S155">
        <v>0.5</v>
      </c>
      <c r="T155">
        <v>11706</v>
      </c>
      <c r="U155">
        <f t="shared" si="2"/>
        <v>2.1986160943106099</v>
      </c>
    </row>
    <row r="156" spans="1:21" x14ac:dyDescent="0.35">
      <c r="A156">
        <v>3424</v>
      </c>
      <c r="B156" t="s">
        <v>7</v>
      </c>
      <c r="C156" t="s">
        <v>1579</v>
      </c>
      <c r="D156">
        <v>18</v>
      </c>
      <c r="E156">
        <v>0.9</v>
      </c>
      <c r="F156">
        <v>32</v>
      </c>
      <c r="G156">
        <v>178</v>
      </c>
      <c r="H156">
        <v>1834</v>
      </c>
      <c r="I156">
        <v>26510</v>
      </c>
      <c r="J156">
        <v>44.892916999999997</v>
      </c>
      <c r="K156">
        <v>3.0037500000000001</v>
      </c>
      <c r="L156">
        <v>32</v>
      </c>
      <c r="M156">
        <v>509.12</v>
      </c>
      <c r="N156">
        <v>13.843999999999999</v>
      </c>
      <c r="O156">
        <v>61139000</v>
      </c>
      <c r="P156">
        <v>0.18486</v>
      </c>
      <c r="Q156">
        <v>35.723999999999997</v>
      </c>
      <c r="R156">
        <v>755</v>
      </c>
      <c r="S156">
        <v>0.5</v>
      </c>
      <c r="T156">
        <v>12054</v>
      </c>
      <c r="U156">
        <f t="shared" si="2"/>
        <v>2.1992699518831924</v>
      </c>
    </row>
    <row r="157" spans="1:21" x14ac:dyDescent="0.35">
      <c r="A157">
        <v>3425</v>
      </c>
      <c r="B157" t="s">
        <v>7</v>
      </c>
      <c r="C157" t="s">
        <v>1534</v>
      </c>
      <c r="D157">
        <v>28</v>
      </c>
      <c r="E157">
        <v>0.8</v>
      </c>
      <c r="F157">
        <v>80</v>
      </c>
      <c r="G157">
        <v>130</v>
      </c>
      <c r="H157">
        <v>1109</v>
      </c>
      <c r="I157">
        <v>19634</v>
      </c>
      <c r="J157">
        <v>44.876249999999999</v>
      </c>
      <c r="K157">
        <v>5.8062500000000004</v>
      </c>
      <c r="L157">
        <v>80</v>
      </c>
      <c r="M157">
        <v>649</v>
      </c>
      <c r="N157">
        <v>24.236000000000001</v>
      </c>
      <c r="O157">
        <v>106930000</v>
      </c>
      <c r="P157">
        <v>0.33083000000000001</v>
      </c>
      <c r="Q157">
        <v>24.64</v>
      </c>
      <c r="R157">
        <v>656</v>
      </c>
      <c r="S157">
        <v>0.5</v>
      </c>
      <c r="T157">
        <v>7277</v>
      </c>
      <c r="U157">
        <f t="shared" si="2"/>
        <v>2.6980898722000823</v>
      </c>
    </row>
    <row r="158" spans="1:21" x14ac:dyDescent="0.35">
      <c r="A158">
        <v>3426</v>
      </c>
      <c r="B158" t="s">
        <v>7</v>
      </c>
      <c r="C158" t="s">
        <v>237</v>
      </c>
      <c r="D158">
        <v>296.3</v>
      </c>
      <c r="E158">
        <v>5.8</v>
      </c>
      <c r="F158">
        <v>113</v>
      </c>
      <c r="G158">
        <v>220</v>
      </c>
      <c r="H158">
        <v>2382</v>
      </c>
      <c r="I158">
        <v>33925</v>
      </c>
      <c r="J158">
        <v>44.832917000000002</v>
      </c>
      <c r="K158">
        <v>2.73875</v>
      </c>
      <c r="L158">
        <v>113</v>
      </c>
      <c r="M158">
        <v>1938.7</v>
      </c>
      <c r="N158">
        <v>74.334999999999994</v>
      </c>
      <c r="O158">
        <v>318420000</v>
      </c>
      <c r="P158">
        <v>0.53568000000000005</v>
      </c>
      <c r="Q158">
        <v>51.106999999999999</v>
      </c>
      <c r="R158">
        <v>618</v>
      </c>
      <c r="S158">
        <v>0.5</v>
      </c>
      <c r="T158">
        <v>15652</v>
      </c>
      <c r="U158">
        <f t="shared" si="2"/>
        <v>2.167454638384871</v>
      </c>
    </row>
    <row r="159" spans="1:21" x14ac:dyDescent="0.35">
      <c r="A159">
        <v>3427</v>
      </c>
      <c r="B159" t="s">
        <v>7</v>
      </c>
      <c r="C159" t="s">
        <v>1523</v>
      </c>
      <c r="D159">
        <v>130</v>
      </c>
      <c r="E159">
        <v>2</v>
      </c>
      <c r="F159">
        <v>126</v>
      </c>
      <c r="G159">
        <v>80</v>
      </c>
      <c r="H159">
        <v>984</v>
      </c>
      <c r="I159">
        <v>17616</v>
      </c>
      <c r="J159">
        <v>44.817082999999997</v>
      </c>
      <c r="K159">
        <v>5.912083</v>
      </c>
      <c r="L159">
        <v>126</v>
      </c>
      <c r="M159">
        <v>2340</v>
      </c>
      <c r="N159">
        <v>33.715000000000003</v>
      </c>
      <c r="O159">
        <v>148270000</v>
      </c>
      <c r="P159">
        <v>1.7845</v>
      </c>
      <c r="Q159">
        <v>21.885000000000002</v>
      </c>
      <c r="R159">
        <v>894</v>
      </c>
      <c r="S159">
        <v>0.5</v>
      </c>
      <c r="T159">
        <v>6456</v>
      </c>
      <c r="U159">
        <f t="shared" si="2"/>
        <v>2.7286245353159853</v>
      </c>
    </row>
    <row r="160" spans="1:21" x14ac:dyDescent="0.35">
      <c r="A160">
        <v>3428</v>
      </c>
      <c r="B160" t="s">
        <v>7</v>
      </c>
      <c r="C160" t="s">
        <v>1556</v>
      </c>
      <c r="D160">
        <v>190</v>
      </c>
      <c r="E160">
        <v>9</v>
      </c>
      <c r="F160">
        <v>51</v>
      </c>
      <c r="G160">
        <v>240</v>
      </c>
      <c r="H160">
        <v>52</v>
      </c>
      <c r="I160">
        <v>773</v>
      </c>
      <c r="J160">
        <v>44.747083000000003</v>
      </c>
      <c r="K160">
        <v>3.82125</v>
      </c>
      <c r="L160">
        <v>51</v>
      </c>
      <c r="M160">
        <v>917.82</v>
      </c>
      <c r="N160">
        <v>0.74731000000000003</v>
      </c>
      <c r="O160">
        <v>3308900</v>
      </c>
      <c r="P160">
        <v>6.0290999999999997</v>
      </c>
      <c r="Q160">
        <v>1.1235999999999999</v>
      </c>
      <c r="R160">
        <v>942</v>
      </c>
      <c r="S160">
        <v>1.4141999999999999</v>
      </c>
      <c r="T160">
        <v>338</v>
      </c>
      <c r="U160">
        <f t="shared" si="2"/>
        <v>2.2869822485207099</v>
      </c>
    </row>
    <row r="161" spans="1:21" x14ac:dyDescent="0.35">
      <c r="A161">
        <v>3429</v>
      </c>
      <c r="B161" t="s">
        <v>7</v>
      </c>
      <c r="C161" t="s">
        <v>1543</v>
      </c>
      <c r="D161">
        <v>56.1</v>
      </c>
      <c r="E161">
        <v>1.5</v>
      </c>
      <c r="F161">
        <v>70</v>
      </c>
      <c r="G161">
        <v>272</v>
      </c>
      <c r="H161">
        <v>2753</v>
      </c>
      <c r="I161">
        <v>38755</v>
      </c>
      <c r="J161">
        <v>44.699582999999997</v>
      </c>
      <c r="K161">
        <v>2.5862500000000002</v>
      </c>
      <c r="L161">
        <v>70</v>
      </c>
      <c r="M161">
        <v>254.56</v>
      </c>
      <c r="N161">
        <v>56.252000000000002</v>
      </c>
      <c r="O161">
        <v>237730000</v>
      </c>
      <c r="P161">
        <v>8.1577999999999998E-2</v>
      </c>
      <c r="Q161">
        <v>61.816000000000003</v>
      </c>
      <c r="R161">
        <v>366</v>
      </c>
      <c r="S161">
        <v>0.5</v>
      </c>
      <c r="T161">
        <v>18089</v>
      </c>
      <c r="U161">
        <f t="shared" si="2"/>
        <v>2.1424622698877771</v>
      </c>
    </row>
    <row r="162" spans="1:21" x14ac:dyDescent="0.35">
      <c r="A162">
        <v>3430</v>
      </c>
      <c r="B162" t="s">
        <v>7</v>
      </c>
      <c r="C162" t="s">
        <v>1540</v>
      </c>
      <c r="D162">
        <v>35.299999999999997</v>
      </c>
      <c r="E162">
        <v>1</v>
      </c>
      <c r="F162">
        <v>72</v>
      </c>
      <c r="G162">
        <v>193</v>
      </c>
      <c r="H162">
        <v>103</v>
      </c>
      <c r="I162">
        <v>1359</v>
      </c>
      <c r="J162">
        <v>44.662083000000003</v>
      </c>
      <c r="K162">
        <v>2.6670829999999999</v>
      </c>
      <c r="L162">
        <v>72</v>
      </c>
      <c r="M162">
        <v>402.49</v>
      </c>
      <c r="N162">
        <v>5.1734</v>
      </c>
      <c r="O162">
        <v>20563000</v>
      </c>
      <c r="P162">
        <v>0.86168</v>
      </c>
      <c r="Q162">
        <v>5.0533000000000001</v>
      </c>
      <c r="R162">
        <v>617</v>
      </c>
      <c r="S162">
        <v>1</v>
      </c>
      <c r="T162">
        <v>1150</v>
      </c>
      <c r="U162">
        <f t="shared" si="2"/>
        <v>1.1817391304347826</v>
      </c>
    </row>
    <row r="163" spans="1:21" x14ac:dyDescent="0.35">
      <c r="A163">
        <v>3432</v>
      </c>
      <c r="B163" t="s">
        <v>7</v>
      </c>
      <c r="C163" t="s">
        <v>1600</v>
      </c>
      <c r="D163">
        <v>40.799999999999997</v>
      </c>
      <c r="E163">
        <v>1.6</v>
      </c>
      <c r="F163">
        <v>-99</v>
      </c>
      <c r="G163">
        <v>-99</v>
      </c>
      <c r="H163">
        <v>1647</v>
      </c>
      <c r="I163">
        <v>24064</v>
      </c>
      <c r="J163">
        <v>44.509582999999999</v>
      </c>
      <c r="K163">
        <v>2.8704170000000002</v>
      </c>
      <c r="L163">
        <v>29</v>
      </c>
      <c r="M163">
        <v>569.21</v>
      </c>
      <c r="N163">
        <v>15.308</v>
      </c>
      <c r="O163">
        <v>63928000</v>
      </c>
      <c r="P163">
        <v>0.23669999999999999</v>
      </c>
      <c r="Q163">
        <v>40.021000000000001</v>
      </c>
      <c r="R163">
        <v>417</v>
      </c>
      <c r="S163">
        <v>0.5</v>
      </c>
      <c r="T163">
        <v>10396</v>
      </c>
      <c r="U163">
        <f t="shared" si="2"/>
        <v>2.3147364370911889</v>
      </c>
    </row>
    <row r="164" spans="1:21" x14ac:dyDescent="0.35">
      <c r="A164">
        <v>3433</v>
      </c>
      <c r="B164" t="s">
        <v>7</v>
      </c>
      <c r="C164" t="s">
        <v>1522</v>
      </c>
      <c r="D164">
        <v>1270</v>
      </c>
      <c r="E164">
        <v>17.600000000000001</v>
      </c>
      <c r="F164">
        <v>129</v>
      </c>
      <c r="G164">
        <v>600</v>
      </c>
      <c r="H164">
        <v>3564</v>
      </c>
      <c r="I164">
        <v>74963</v>
      </c>
      <c r="J164">
        <v>44.474583000000003</v>
      </c>
      <c r="K164">
        <v>6.275417</v>
      </c>
      <c r="L164">
        <v>129</v>
      </c>
      <c r="M164">
        <v>917.82</v>
      </c>
      <c r="N164">
        <v>80.659000000000006</v>
      </c>
      <c r="O164">
        <v>368360000</v>
      </c>
      <c r="P164">
        <v>0.83469000000000004</v>
      </c>
      <c r="Q164">
        <v>59.3</v>
      </c>
      <c r="R164">
        <v>878</v>
      </c>
      <c r="S164">
        <v>1</v>
      </c>
      <c r="T164">
        <v>23340</v>
      </c>
      <c r="U164">
        <f t="shared" si="2"/>
        <v>3.2117823479005998</v>
      </c>
    </row>
    <row r="165" spans="1:21" x14ac:dyDescent="0.35">
      <c r="A165">
        <v>3434</v>
      </c>
      <c r="B165" t="s">
        <v>7</v>
      </c>
      <c r="C165" t="s">
        <v>1536</v>
      </c>
      <c r="D165">
        <v>35.700000000000003</v>
      </c>
      <c r="E165">
        <v>0.7</v>
      </c>
      <c r="F165">
        <v>75</v>
      </c>
      <c r="G165">
        <v>225</v>
      </c>
      <c r="H165">
        <v>120</v>
      </c>
      <c r="I165">
        <v>1703</v>
      </c>
      <c r="J165">
        <v>44.449582999999997</v>
      </c>
      <c r="K165">
        <v>3.929583</v>
      </c>
      <c r="L165">
        <v>75</v>
      </c>
      <c r="M165">
        <v>742.16</v>
      </c>
      <c r="N165">
        <v>6.2861000000000002</v>
      </c>
      <c r="O165">
        <v>24053000</v>
      </c>
      <c r="P165">
        <v>1.3288</v>
      </c>
      <c r="Q165">
        <v>5.4911000000000003</v>
      </c>
      <c r="R165">
        <v>596</v>
      </c>
      <c r="S165">
        <v>4.4721000000000002</v>
      </c>
      <c r="T165">
        <v>782</v>
      </c>
      <c r="U165">
        <f t="shared" si="2"/>
        <v>2.1777493606138107</v>
      </c>
    </row>
    <row r="166" spans="1:21" x14ac:dyDescent="0.35">
      <c r="A166">
        <v>3435</v>
      </c>
      <c r="B166" t="s">
        <v>7</v>
      </c>
      <c r="C166" t="s">
        <v>1575</v>
      </c>
      <c r="D166">
        <v>20.6</v>
      </c>
      <c r="E166">
        <v>0.9</v>
      </c>
      <c r="F166">
        <v>38</v>
      </c>
      <c r="G166">
        <v>180</v>
      </c>
      <c r="H166">
        <v>184</v>
      </c>
      <c r="I166">
        <v>2293</v>
      </c>
      <c r="J166">
        <v>44.287083000000003</v>
      </c>
      <c r="K166">
        <v>2.7279170000000001</v>
      </c>
      <c r="L166">
        <v>38</v>
      </c>
      <c r="M166">
        <v>1610</v>
      </c>
      <c r="N166">
        <v>1.7322</v>
      </c>
      <c r="O166">
        <v>7082500</v>
      </c>
      <c r="P166">
        <v>3.1208999999999998</v>
      </c>
      <c r="Q166">
        <v>3.5447000000000002</v>
      </c>
      <c r="R166">
        <v>699</v>
      </c>
      <c r="S166">
        <v>1.4141999999999999</v>
      </c>
      <c r="T166">
        <v>1198</v>
      </c>
      <c r="U166">
        <f t="shared" si="2"/>
        <v>1.9140233722871451</v>
      </c>
    </row>
    <row r="167" spans="1:21" x14ac:dyDescent="0.35">
      <c r="A167">
        <v>3436</v>
      </c>
      <c r="B167" t="s">
        <v>7</v>
      </c>
      <c r="C167" t="s">
        <v>1563</v>
      </c>
      <c r="D167">
        <v>169.6</v>
      </c>
      <c r="E167">
        <v>10.199999999999999</v>
      </c>
      <c r="F167">
        <v>47</v>
      </c>
      <c r="G167">
        <v>232</v>
      </c>
      <c r="H167">
        <v>161</v>
      </c>
      <c r="I167">
        <v>1919</v>
      </c>
      <c r="J167">
        <v>44.212083</v>
      </c>
      <c r="K167">
        <v>2.712917</v>
      </c>
      <c r="L167">
        <v>47</v>
      </c>
      <c r="M167">
        <v>900</v>
      </c>
      <c r="N167">
        <v>1.8643000000000001</v>
      </c>
      <c r="O167">
        <v>7624100</v>
      </c>
      <c r="P167">
        <v>2.6901999999999999</v>
      </c>
      <c r="Q167">
        <v>3.0787</v>
      </c>
      <c r="R167">
        <v>799</v>
      </c>
      <c r="S167">
        <v>1</v>
      </c>
      <c r="T167">
        <v>1043</v>
      </c>
      <c r="U167">
        <f t="shared" si="2"/>
        <v>1.8398849472674976</v>
      </c>
    </row>
    <row r="168" spans="1:21" x14ac:dyDescent="0.35">
      <c r="A168">
        <v>3437</v>
      </c>
      <c r="B168" t="s">
        <v>7</v>
      </c>
      <c r="C168" t="s">
        <v>1584</v>
      </c>
      <c r="D168">
        <v>6.2</v>
      </c>
      <c r="E168">
        <v>0.4</v>
      </c>
      <c r="F168">
        <v>28</v>
      </c>
      <c r="G168">
        <v>77</v>
      </c>
      <c r="H168">
        <v>6302</v>
      </c>
      <c r="I168">
        <v>111329</v>
      </c>
      <c r="J168">
        <v>44.178750000000001</v>
      </c>
      <c r="K168">
        <v>5.9512499999999999</v>
      </c>
      <c r="L168">
        <v>28</v>
      </c>
      <c r="M168">
        <v>540</v>
      </c>
      <c r="N168">
        <v>34.220999999999997</v>
      </c>
      <c r="O168">
        <v>156350000</v>
      </c>
      <c r="P168">
        <v>0.15021000000000001</v>
      </c>
      <c r="Q168">
        <v>108.79</v>
      </c>
      <c r="R168">
        <v>455</v>
      </c>
      <c r="S168">
        <v>1.4141999999999999</v>
      </c>
      <c r="T168">
        <v>41201</v>
      </c>
      <c r="U168">
        <f t="shared" si="2"/>
        <v>2.702094609354142</v>
      </c>
    </row>
    <row r="169" spans="1:21" x14ac:dyDescent="0.35">
      <c r="A169">
        <v>3438</v>
      </c>
      <c r="B169" t="s">
        <v>7</v>
      </c>
      <c r="C169" t="s">
        <v>1590</v>
      </c>
      <c r="D169">
        <v>10.9</v>
      </c>
      <c r="E169">
        <v>1.5</v>
      </c>
      <c r="F169">
        <v>23</v>
      </c>
      <c r="G169">
        <v>332</v>
      </c>
      <c r="H169">
        <v>42</v>
      </c>
      <c r="I169">
        <v>475</v>
      </c>
      <c r="J169">
        <v>44.095416999999998</v>
      </c>
      <c r="K169">
        <v>2.6970830000000001</v>
      </c>
      <c r="L169">
        <v>23</v>
      </c>
      <c r="M169">
        <v>360</v>
      </c>
      <c r="N169">
        <v>0.23655999999999999</v>
      </c>
      <c r="O169">
        <v>967410</v>
      </c>
      <c r="P169">
        <v>7.2765000000000004</v>
      </c>
      <c r="Q169">
        <v>0.79993999999999998</v>
      </c>
      <c r="R169">
        <v>754</v>
      </c>
      <c r="S169">
        <v>1.4141999999999999</v>
      </c>
      <c r="T169">
        <v>271</v>
      </c>
      <c r="U169">
        <f t="shared" si="2"/>
        <v>1.7527675276752768</v>
      </c>
    </row>
    <row r="170" spans="1:21" x14ac:dyDescent="0.35">
      <c r="A170">
        <v>3439</v>
      </c>
      <c r="B170" t="s">
        <v>7</v>
      </c>
      <c r="C170" t="s">
        <v>1581</v>
      </c>
      <c r="D170">
        <v>15</v>
      </c>
      <c r="E170">
        <v>0.6</v>
      </c>
      <c r="F170">
        <v>29</v>
      </c>
      <c r="G170">
        <v>720</v>
      </c>
      <c r="H170">
        <v>6750</v>
      </c>
      <c r="I170">
        <v>116286</v>
      </c>
      <c r="J170">
        <v>44.087083</v>
      </c>
      <c r="K170">
        <v>6.0129169999999998</v>
      </c>
      <c r="L170">
        <v>29</v>
      </c>
      <c r="M170">
        <v>1080</v>
      </c>
      <c r="N170">
        <v>38.17</v>
      </c>
      <c r="O170">
        <v>174570000</v>
      </c>
      <c r="P170">
        <v>0.29243999999999998</v>
      </c>
      <c r="Q170">
        <v>116.07</v>
      </c>
      <c r="R170">
        <v>424</v>
      </c>
      <c r="S170">
        <v>1.4141999999999999</v>
      </c>
      <c r="T170">
        <v>44114</v>
      </c>
      <c r="U170">
        <f t="shared" si="2"/>
        <v>2.6360339121367367</v>
      </c>
    </row>
    <row r="171" spans="1:21" x14ac:dyDescent="0.35">
      <c r="A171">
        <v>3440</v>
      </c>
      <c r="B171" t="s">
        <v>7</v>
      </c>
      <c r="C171" t="s">
        <v>1564</v>
      </c>
      <c r="D171">
        <v>13.4</v>
      </c>
      <c r="E171">
        <v>0.2</v>
      </c>
      <c r="F171">
        <v>45</v>
      </c>
      <c r="G171">
        <v>175</v>
      </c>
      <c r="H171">
        <v>2593</v>
      </c>
      <c r="I171">
        <v>33606</v>
      </c>
      <c r="J171">
        <v>44.068750000000001</v>
      </c>
      <c r="K171">
        <v>2.8129170000000001</v>
      </c>
      <c r="L171">
        <v>45</v>
      </c>
      <c r="M171">
        <v>360</v>
      </c>
      <c r="N171">
        <v>51.097000000000001</v>
      </c>
      <c r="O171">
        <v>203830000</v>
      </c>
      <c r="P171">
        <v>1.5461</v>
      </c>
      <c r="Q171">
        <v>81.456000000000003</v>
      </c>
      <c r="R171">
        <v>506</v>
      </c>
      <c r="S171">
        <v>1</v>
      </c>
      <c r="T171">
        <v>16845</v>
      </c>
      <c r="U171">
        <f t="shared" si="2"/>
        <v>1.9950133570792521</v>
      </c>
    </row>
    <row r="172" spans="1:21" x14ac:dyDescent="0.35">
      <c r="A172">
        <v>3441</v>
      </c>
      <c r="B172" t="s">
        <v>7</v>
      </c>
      <c r="C172" t="s">
        <v>1566</v>
      </c>
      <c r="D172">
        <v>15</v>
      </c>
      <c r="E172">
        <v>0.4</v>
      </c>
      <c r="F172">
        <v>45</v>
      </c>
      <c r="G172">
        <v>167</v>
      </c>
      <c r="H172">
        <v>85</v>
      </c>
      <c r="I172">
        <v>869</v>
      </c>
      <c r="J172">
        <v>44.032916999999998</v>
      </c>
      <c r="K172">
        <v>2.3162500000000001</v>
      </c>
      <c r="L172">
        <v>45</v>
      </c>
      <c r="M172">
        <v>360</v>
      </c>
      <c r="N172">
        <v>0.64951999999999999</v>
      </c>
      <c r="O172">
        <v>2877200</v>
      </c>
      <c r="P172">
        <v>2.323</v>
      </c>
      <c r="Q172">
        <v>1.2804</v>
      </c>
      <c r="R172">
        <v>366</v>
      </c>
      <c r="S172">
        <v>4</v>
      </c>
      <c r="T172">
        <v>549</v>
      </c>
      <c r="U172">
        <f t="shared" si="2"/>
        <v>1.5828779599271403</v>
      </c>
    </row>
    <row r="173" spans="1:21" x14ac:dyDescent="0.35">
      <c r="A173">
        <v>3443</v>
      </c>
      <c r="B173" t="s">
        <v>7</v>
      </c>
      <c r="C173" t="s">
        <v>1528</v>
      </c>
      <c r="D173">
        <v>149</v>
      </c>
      <c r="E173">
        <v>3.3</v>
      </c>
      <c r="F173">
        <v>100</v>
      </c>
      <c r="G173">
        <v>200</v>
      </c>
      <c r="H173">
        <v>628</v>
      </c>
      <c r="I173">
        <v>9756</v>
      </c>
      <c r="J173">
        <v>43.882916999999999</v>
      </c>
      <c r="K173">
        <v>6.5337500000000004</v>
      </c>
      <c r="L173">
        <v>100</v>
      </c>
      <c r="M173">
        <v>1298</v>
      </c>
      <c r="N173">
        <v>14.393000000000001</v>
      </c>
      <c r="O173">
        <v>63984000</v>
      </c>
      <c r="P173">
        <v>1.7071000000000001</v>
      </c>
      <c r="Q173">
        <v>11.798</v>
      </c>
      <c r="R173">
        <v>900</v>
      </c>
      <c r="S173">
        <v>0.5</v>
      </c>
      <c r="T173">
        <v>4074</v>
      </c>
      <c r="U173">
        <f t="shared" si="2"/>
        <v>2.3946980854197348</v>
      </c>
    </row>
    <row r="174" spans="1:21" x14ac:dyDescent="0.35">
      <c r="A174">
        <v>3445</v>
      </c>
      <c r="B174" t="s">
        <v>7</v>
      </c>
      <c r="C174" t="s">
        <v>1538</v>
      </c>
      <c r="D174">
        <v>16</v>
      </c>
      <c r="E174">
        <v>0.3</v>
      </c>
      <c r="F174">
        <v>74</v>
      </c>
      <c r="G174">
        <v>95</v>
      </c>
      <c r="H174">
        <v>665</v>
      </c>
      <c r="I174">
        <v>10245</v>
      </c>
      <c r="J174">
        <v>43.849583000000003</v>
      </c>
      <c r="K174">
        <v>6.5454169999999996</v>
      </c>
      <c r="L174">
        <v>74</v>
      </c>
      <c r="M174">
        <v>254.56</v>
      </c>
      <c r="N174">
        <v>11.452</v>
      </c>
      <c r="O174">
        <v>50680000</v>
      </c>
      <c r="P174">
        <v>0.28462999999999999</v>
      </c>
      <c r="Q174">
        <v>12.574</v>
      </c>
      <c r="R174">
        <v>812</v>
      </c>
      <c r="S174">
        <v>0.5</v>
      </c>
      <c r="T174">
        <v>4314</v>
      </c>
      <c r="U174">
        <f t="shared" si="2"/>
        <v>2.3748261474269818</v>
      </c>
    </row>
    <row r="175" spans="1:21" x14ac:dyDescent="0.35">
      <c r="A175">
        <v>3446</v>
      </c>
      <c r="B175" t="s">
        <v>7</v>
      </c>
      <c r="C175" t="s">
        <v>1578</v>
      </c>
      <c r="D175">
        <v>13</v>
      </c>
      <c r="E175">
        <v>0.8</v>
      </c>
      <c r="F175">
        <v>34</v>
      </c>
      <c r="G175">
        <v>300</v>
      </c>
      <c r="H175">
        <v>199</v>
      </c>
      <c r="I175">
        <v>1976</v>
      </c>
      <c r="J175">
        <v>43.807082999999999</v>
      </c>
      <c r="K175">
        <v>2.3462499999999999</v>
      </c>
      <c r="L175">
        <v>34</v>
      </c>
      <c r="M175">
        <v>649</v>
      </c>
      <c r="N175">
        <v>1.8645</v>
      </c>
      <c r="O175">
        <v>7569200</v>
      </c>
      <c r="P175">
        <v>1.0281</v>
      </c>
      <c r="Q175">
        <v>4.2714999999999996</v>
      </c>
      <c r="R175">
        <v>345</v>
      </c>
      <c r="S175">
        <v>8.4853000000000005</v>
      </c>
      <c r="T175">
        <v>1286</v>
      </c>
      <c r="U175">
        <f t="shared" si="2"/>
        <v>1.536547433903577</v>
      </c>
    </row>
    <row r="176" spans="1:21" x14ac:dyDescent="0.35">
      <c r="A176">
        <v>3447</v>
      </c>
      <c r="B176" t="s">
        <v>7</v>
      </c>
      <c r="C176" t="s">
        <v>1604</v>
      </c>
      <c r="D176">
        <v>10.9</v>
      </c>
      <c r="E176">
        <v>0.7</v>
      </c>
      <c r="F176">
        <v>-99</v>
      </c>
      <c r="G176">
        <v>-99</v>
      </c>
      <c r="H176">
        <v>35</v>
      </c>
      <c r="I176">
        <v>334</v>
      </c>
      <c r="J176">
        <v>43.778750000000002</v>
      </c>
      <c r="K176">
        <v>2.2604169999999999</v>
      </c>
      <c r="L176">
        <v>28</v>
      </c>
      <c r="M176">
        <v>360</v>
      </c>
      <c r="N176">
        <v>0.21965999999999999</v>
      </c>
      <c r="O176">
        <v>954620</v>
      </c>
      <c r="P176">
        <v>4.5709999999999997</v>
      </c>
      <c r="Q176">
        <v>0.66374999999999995</v>
      </c>
      <c r="R176">
        <v>338</v>
      </c>
      <c r="S176">
        <v>7</v>
      </c>
      <c r="T176">
        <v>229</v>
      </c>
      <c r="U176">
        <f t="shared" si="2"/>
        <v>1.4585152838427948</v>
      </c>
    </row>
    <row r="177" spans="1:21" x14ac:dyDescent="0.35">
      <c r="A177">
        <v>3449</v>
      </c>
      <c r="B177" t="s">
        <v>7</v>
      </c>
      <c r="C177" t="s">
        <v>1546</v>
      </c>
      <c r="D177">
        <v>80</v>
      </c>
      <c r="E177">
        <v>2.1</v>
      </c>
      <c r="F177">
        <v>67</v>
      </c>
      <c r="G177">
        <v>220</v>
      </c>
      <c r="H177">
        <v>1780</v>
      </c>
      <c r="I177">
        <v>22693</v>
      </c>
      <c r="J177">
        <v>43.750416999999999</v>
      </c>
      <c r="K177">
        <v>5.92875</v>
      </c>
      <c r="L177">
        <v>67</v>
      </c>
      <c r="M177">
        <v>540</v>
      </c>
      <c r="N177">
        <v>29.690999999999999</v>
      </c>
      <c r="O177">
        <v>124470000</v>
      </c>
      <c r="P177">
        <v>0.38523000000000002</v>
      </c>
      <c r="Q177">
        <v>32.902999999999999</v>
      </c>
      <c r="R177">
        <v>424</v>
      </c>
      <c r="S177">
        <v>0.5</v>
      </c>
      <c r="T177">
        <v>11508</v>
      </c>
      <c r="U177">
        <f t="shared" si="2"/>
        <v>1.971932568647897</v>
      </c>
    </row>
    <row r="178" spans="1:21" x14ac:dyDescent="0.35">
      <c r="A178">
        <v>3450</v>
      </c>
      <c r="B178" t="s">
        <v>7</v>
      </c>
      <c r="C178" t="s">
        <v>1529</v>
      </c>
      <c r="D178">
        <v>767</v>
      </c>
      <c r="E178">
        <v>18.7</v>
      </c>
      <c r="F178">
        <v>95</v>
      </c>
      <c r="G178">
        <v>138</v>
      </c>
      <c r="H178">
        <v>1563</v>
      </c>
      <c r="I178">
        <v>20759</v>
      </c>
      <c r="J178">
        <v>43.737082999999998</v>
      </c>
      <c r="K178">
        <v>6.1404170000000002</v>
      </c>
      <c r="L178">
        <v>95</v>
      </c>
      <c r="M178">
        <v>180</v>
      </c>
      <c r="N178">
        <v>37.436</v>
      </c>
      <c r="O178">
        <v>158020000</v>
      </c>
      <c r="P178">
        <v>0.21973999999999999</v>
      </c>
      <c r="Q178">
        <v>29.295000000000002</v>
      </c>
      <c r="R178">
        <v>621</v>
      </c>
      <c r="S178">
        <v>2.2361</v>
      </c>
      <c r="T178">
        <v>10107</v>
      </c>
      <c r="U178">
        <f t="shared" si="2"/>
        <v>2.0539230236469774</v>
      </c>
    </row>
    <row r="179" spans="1:21" x14ac:dyDescent="0.35">
      <c r="A179">
        <v>3451</v>
      </c>
      <c r="B179" t="s">
        <v>7</v>
      </c>
      <c r="C179" t="s">
        <v>1599</v>
      </c>
      <c r="D179">
        <v>19.5</v>
      </c>
      <c r="E179">
        <v>1.6</v>
      </c>
      <c r="F179">
        <v>-99</v>
      </c>
      <c r="G179">
        <v>-99</v>
      </c>
      <c r="H179">
        <v>1648</v>
      </c>
      <c r="I179">
        <v>21543</v>
      </c>
      <c r="J179">
        <v>43.698749999999997</v>
      </c>
      <c r="K179">
        <v>6.05375</v>
      </c>
      <c r="L179">
        <v>44</v>
      </c>
      <c r="M179">
        <v>180</v>
      </c>
      <c r="N179">
        <v>18.035</v>
      </c>
      <c r="O179">
        <v>75890000</v>
      </c>
      <c r="P179">
        <v>0.10596999999999999</v>
      </c>
      <c r="Q179">
        <v>30.747</v>
      </c>
      <c r="R179">
        <v>393</v>
      </c>
      <c r="S179">
        <v>0.5</v>
      </c>
      <c r="T179">
        <v>10652</v>
      </c>
      <c r="U179">
        <f t="shared" si="2"/>
        <v>2.0224371010138942</v>
      </c>
    </row>
    <row r="180" spans="1:21" x14ac:dyDescent="0.35">
      <c r="A180">
        <v>3453</v>
      </c>
      <c r="B180" t="s">
        <v>7</v>
      </c>
      <c r="C180" t="s">
        <v>1555</v>
      </c>
      <c r="D180">
        <v>45.1</v>
      </c>
      <c r="E180">
        <v>2</v>
      </c>
      <c r="F180">
        <v>52</v>
      </c>
      <c r="G180">
        <v>290</v>
      </c>
      <c r="H180">
        <v>142</v>
      </c>
      <c r="I180">
        <v>1428</v>
      </c>
      <c r="J180">
        <v>43.637082999999997</v>
      </c>
      <c r="K180">
        <v>2.755417</v>
      </c>
      <c r="L180">
        <v>52</v>
      </c>
      <c r="M180">
        <v>569.21</v>
      </c>
      <c r="N180">
        <v>2.7605</v>
      </c>
      <c r="O180">
        <v>10341000</v>
      </c>
      <c r="P180">
        <v>2.39</v>
      </c>
      <c r="Q180">
        <v>3.6922000000000001</v>
      </c>
      <c r="R180">
        <v>863</v>
      </c>
      <c r="S180">
        <v>3</v>
      </c>
      <c r="T180">
        <v>913</v>
      </c>
      <c r="U180">
        <f t="shared" si="2"/>
        <v>1.5640744797371304</v>
      </c>
    </row>
    <row r="181" spans="1:21" x14ac:dyDescent="0.35">
      <c r="A181">
        <v>3455</v>
      </c>
      <c r="B181" t="s">
        <v>7</v>
      </c>
      <c r="C181" t="s">
        <v>1568</v>
      </c>
      <c r="D181">
        <v>44.9</v>
      </c>
      <c r="E181">
        <v>3.2</v>
      </c>
      <c r="F181">
        <v>43</v>
      </c>
      <c r="G181">
        <v>207</v>
      </c>
      <c r="H181">
        <v>355</v>
      </c>
      <c r="I181">
        <v>3507</v>
      </c>
      <c r="J181">
        <v>43.594583</v>
      </c>
      <c r="K181">
        <v>2.5962499999999999</v>
      </c>
      <c r="L181">
        <v>43</v>
      </c>
      <c r="M181">
        <v>649</v>
      </c>
      <c r="N181">
        <v>5.6852</v>
      </c>
      <c r="O181">
        <v>21297000</v>
      </c>
      <c r="P181">
        <v>1.0799000000000001</v>
      </c>
      <c r="Q181">
        <v>9.2485999999999997</v>
      </c>
      <c r="R181">
        <v>703</v>
      </c>
      <c r="S181">
        <v>12.369</v>
      </c>
      <c r="T181">
        <v>2287</v>
      </c>
      <c r="U181">
        <f t="shared" si="2"/>
        <v>1.5334499344118933</v>
      </c>
    </row>
    <row r="182" spans="1:21" x14ac:dyDescent="0.35">
      <c r="A182">
        <v>3458</v>
      </c>
      <c r="B182" t="s">
        <v>7</v>
      </c>
      <c r="C182" t="s">
        <v>1550</v>
      </c>
      <c r="D182">
        <v>34.700000000000003</v>
      </c>
      <c r="E182">
        <v>1.3</v>
      </c>
      <c r="F182">
        <v>61</v>
      </c>
      <c r="G182">
        <v>180</v>
      </c>
      <c r="H182">
        <v>124</v>
      </c>
      <c r="I182">
        <v>1160</v>
      </c>
      <c r="J182">
        <v>43.540416999999998</v>
      </c>
      <c r="K182">
        <v>2.4904169999999999</v>
      </c>
      <c r="L182">
        <v>61</v>
      </c>
      <c r="M182">
        <v>900</v>
      </c>
      <c r="N182">
        <v>2.7911000000000001</v>
      </c>
      <c r="O182">
        <v>10482000</v>
      </c>
      <c r="P182">
        <v>3.2953999999999999</v>
      </c>
      <c r="Q182">
        <v>3.1880000000000002</v>
      </c>
      <c r="R182">
        <v>722</v>
      </c>
      <c r="S182">
        <v>10</v>
      </c>
      <c r="T182">
        <v>794</v>
      </c>
      <c r="U182">
        <f t="shared" si="2"/>
        <v>1.4609571788413098</v>
      </c>
    </row>
    <row r="183" spans="1:21" x14ac:dyDescent="0.35">
      <c r="A183">
        <v>3459</v>
      </c>
      <c r="B183" t="s">
        <v>7</v>
      </c>
      <c r="C183" t="s">
        <v>1539</v>
      </c>
      <c r="D183">
        <v>18.8</v>
      </c>
      <c r="E183">
        <v>0.5</v>
      </c>
      <c r="F183">
        <v>74</v>
      </c>
      <c r="G183">
        <v>198</v>
      </c>
      <c r="H183">
        <v>32</v>
      </c>
      <c r="I183">
        <v>287</v>
      </c>
      <c r="J183">
        <v>43.40625</v>
      </c>
      <c r="K183">
        <v>2.0962499999999999</v>
      </c>
      <c r="L183">
        <v>74</v>
      </c>
      <c r="M183">
        <v>1049.5999999999999</v>
      </c>
      <c r="N183">
        <v>0.54330000000000001</v>
      </c>
      <c r="O183">
        <v>2128600</v>
      </c>
      <c r="P183">
        <v>19.399999999999999</v>
      </c>
      <c r="Q183">
        <v>0.55447999999999997</v>
      </c>
      <c r="R183">
        <v>575</v>
      </c>
      <c r="S183">
        <v>6</v>
      </c>
      <c r="T183">
        <v>203</v>
      </c>
      <c r="U183">
        <f t="shared" si="2"/>
        <v>1.4137931034482758</v>
      </c>
    </row>
    <row r="184" spans="1:21" x14ac:dyDescent="0.35">
      <c r="A184">
        <v>3460</v>
      </c>
      <c r="B184" t="s">
        <v>7</v>
      </c>
      <c r="C184" t="s">
        <v>1595</v>
      </c>
      <c r="D184">
        <v>10</v>
      </c>
      <c r="E184">
        <v>1.4</v>
      </c>
      <c r="F184">
        <v>20</v>
      </c>
      <c r="G184">
        <v>494</v>
      </c>
      <c r="H184">
        <v>48</v>
      </c>
      <c r="I184">
        <v>451</v>
      </c>
      <c r="J184">
        <v>43.390416999999999</v>
      </c>
      <c r="K184">
        <v>0.63375000000000004</v>
      </c>
      <c r="L184">
        <v>20</v>
      </c>
      <c r="M184">
        <v>804.98</v>
      </c>
      <c r="N184">
        <v>0.15690999999999999</v>
      </c>
      <c r="O184">
        <v>687310</v>
      </c>
      <c r="P184">
        <v>6.2717000000000001</v>
      </c>
      <c r="Q184">
        <v>0.65946000000000005</v>
      </c>
      <c r="R184">
        <v>246</v>
      </c>
      <c r="S184">
        <v>8.4853000000000005</v>
      </c>
      <c r="T184">
        <v>306</v>
      </c>
      <c r="U184">
        <f t="shared" si="2"/>
        <v>1.4738562091503269</v>
      </c>
    </row>
    <row r="185" spans="1:21" x14ac:dyDescent="0.35">
      <c r="A185">
        <v>3462</v>
      </c>
      <c r="B185" t="s">
        <v>7</v>
      </c>
      <c r="C185" t="s">
        <v>1583</v>
      </c>
      <c r="D185">
        <v>25</v>
      </c>
      <c r="E185">
        <v>2</v>
      </c>
      <c r="F185">
        <v>29</v>
      </c>
      <c r="G185">
        <v>616</v>
      </c>
      <c r="H185">
        <v>42</v>
      </c>
      <c r="I185">
        <v>402</v>
      </c>
      <c r="J185">
        <v>43.337083</v>
      </c>
      <c r="K185">
        <v>0.67541700000000005</v>
      </c>
      <c r="L185">
        <v>29</v>
      </c>
      <c r="M185">
        <v>917.82</v>
      </c>
      <c r="N185">
        <v>0.1993</v>
      </c>
      <c r="O185">
        <v>872980</v>
      </c>
      <c r="P185">
        <v>12.298</v>
      </c>
      <c r="Q185">
        <v>0.57540999999999998</v>
      </c>
      <c r="R185">
        <v>283</v>
      </c>
      <c r="S185">
        <v>1</v>
      </c>
      <c r="T185">
        <v>267</v>
      </c>
      <c r="U185">
        <f t="shared" si="2"/>
        <v>1.5056179775280898</v>
      </c>
    </row>
    <row r="186" spans="1:21" x14ac:dyDescent="0.35">
      <c r="A186">
        <v>3464</v>
      </c>
      <c r="B186" t="s">
        <v>7</v>
      </c>
      <c r="C186" t="s">
        <v>1570</v>
      </c>
      <c r="D186">
        <v>60</v>
      </c>
      <c r="E186">
        <v>4</v>
      </c>
      <c r="F186">
        <v>42</v>
      </c>
      <c r="G186">
        <v>270</v>
      </c>
      <c r="H186">
        <v>15</v>
      </c>
      <c r="I186">
        <v>151</v>
      </c>
      <c r="J186">
        <v>42.992916999999998</v>
      </c>
      <c r="K186">
        <v>1.95875</v>
      </c>
      <c r="L186">
        <v>42</v>
      </c>
      <c r="M186">
        <v>540</v>
      </c>
      <c r="N186">
        <v>0.14742</v>
      </c>
      <c r="O186">
        <v>571950</v>
      </c>
      <c r="P186">
        <v>15.492000000000001</v>
      </c>
      <c r="Q186">
        <v>0.23538000000000001</v>
      </c>
      <c r="R186">
        <v>395</v>
      </c>
      <c r="S186">
        <v>11.662000000000001</v>
      </c>
      <c r="T186">
        <v>94</v>
      </c>
      <c r="U186">
        <f t="shared" si="2"/>
        <v>1.6063829787234043</v>
      </c>
    </row>
    <row r="187" spans="1:21" x14ac:dyDescent="0.35">
      <c r="A187">
        <v>3467</v>
      </c>
      <c r="B187" t="s">
        <v>7</v>
      </c>
      <c r="C187" t="s">
        <v>1541</v>
      </c>
      <c r="D187">
        <v>28.5</v>
      </c>
      <c r="E187">
        <v>0.6</v>
      </c>
      <c r="F187">
        <v>72</v>
      </c>
      <c r="G187">
        <v>262</v>
      </c>
      <c r="H187">
        <v>16</v>
      </c>
      <c r="I187">
        <v>179</v>
      </c>
      <c r="J187">
        <v>42.702083000000002</v>
      </c>
      <c r="K187">
        <v>1.5295829999999999</v>
      </c>
      <c r="L187">
        <v>72</v>
      </c>
      <c r="M187">
        <v>402.49</v>
      </c>
      <c r="N187">
        <v>0.27877000000000002</v>
      </c>
      <c r="O187">
        <v>1084500</v>
      </c>
      <c r="P187">
        <v>14.256</v>
      </c>
      <c r="Q187">
        <v>0.25967000000000001</v>
      </c>
      <c r="R187">
        <v>1805</v>
      </c>
      <c r="S187">
        <v>5.0990000000000002</v>
      </c>
      <c r="T187">
        <v>103</v>
      </c>
      <c r="U187">
        <f t="shared" si="2"/>
        <v>1.7378640776699028</v>
      </c>
    </row>
    <row r="188" spans="1:21" x14ac:dyDescent="0.35">
      <c r="A188">
        <v>3468</v>
      </c>
      <c r="B188" t="s">
        <v>7</v>
      </c>
      <c r="C188" t="s">
        <v>1526</v>
      </c>
      <c r="D188">
        <v>16</v>
      </c>
      <c r="E188">
        <v>0.3</v>
      </c>
      <c r="F188">
        <v>106</v>
      </c>
      <c r="G188">
        <v>280</v>
      </c>
      <c r="H188">
        <v>36</v>
      </c>
      <c r="I188">
        <v>398</v>
      </c>
      <c r="J188">
        <v>42.676250000000003</v>
      </c>
      <c r="K188">
        <v>1.702083</v>
      </c>
      <c r="L188">
        <v>106</v>
      </c>
      <c r="M188">
        <v>360</v>
      </c>
      <c r="N188">
        <v>0.90788000000000002</v>
      </c>
      <c r="O188">
        <v>3522400</v>
      </c>
      <c r="P188">
        <v>7.7468000000000004</v>
      </c>
      <c r="Q188">
        <v>0.57342000000000004</v>
      </c>
      <c r="R188">
        <v>1623</v>
      </c>
      <c r="S188">
        <v>5.8310000000000004</v>
      </c>
      <c r="T188">
        <v>229</v>
      </c>
      <c r="U188">
        <f t="shared" si="2"/>
        <v>1.7379912663755459</v>
      </c>
    </row>
    <row r="189" spans="1:21" x14ac:dyDescent="0.35">
      <c r="A189">
        <v>3469</v>
      </c>
      <c r="B189" t="s">
        <v>7</v>
      </c>
      <c r="C189" t="s">
        <v>1603</v>
      </c>
      <c r="D189">
        <v>29.3</v>
      </c>
      <c r="E189">
        <v>0.5</v>
      </c>
      <c r="F189">
        <v>-99</v>
      </c>
      <c r="G189">
        <v>-99</v>
      </c>
      <c r="H189">
        <v>36</v>
      </c>
      <c r="I189">
        <v>401</v>
      </c>
      <c r="J189">
        <v>42.675417000000003</v>
      </c>
      <c r="K189">
        <v>1.4504170000000001</v>
      </c>
      <c r="L189">
        <v>30</v>
      </c>
      <c r="M189">
        <v>360</v>
      </c>
      <c r="N189">
        <v>0.30120999999999998</v>
      </c>
      <c r="O189">
        <v>1244100</v>
      </c>
      <c r="P189">
        <v>2.9005999999999998</v>
      </c>
      <c r="Q189">
        <v>0.71328999999999998</v>
      </c>
      <c r="R189">
        <v>1600</v>
      </c>
      <c r="S189">
        <v>4.4721000000000002</v>
      </c>
      <c r="T189">
        <v>231</v>
      </c>
      <c r="U189">
        <f t="shared" si="2"/>
        <v>1.7359307359307359</v>
      </c>
    </row>
    <row r="190" spans="1:21" x14ac:dyDescent="0.35">
      <c r="A190">
        <v>3470</v>
      </c>
      <c r="B190" t="s">
        <v>7</v>
      </c>
      <c r="C190" t="s">
        <v>1551</v>
      </c>
      <c r="D190">
        <v>43</v>
      </c>
      <c r="E190">
        <v>0.7</v>
      </c>
      <c r="F190">
        <v>61</v>
      </c>
      <c r="G190">
        <v>151</v>
      </c>
      <c r="H190">
        <v>9</v>
      </c>
      <c r="I190">
        <v>100</v>
      </c>
      <c r="J190">
        <v>42.660417000000002</v>
      </c>
      <c r="K190">
        <v>1.9170830000000001</v>
      </c>
      <c r="L190">
        <v>61</v>
      </c>
      <c r="M190">
        <v>360</v>
      </c>
      <c r="N190">
        <v>0.13686999999999999</v>
      </c>
      <c r="O190">
        <v>531040</v>
      </c>
      <c r="P190">
        <v>19.547999999999998</v>
      </c>
      <c r="Q190">
        <v>0.15024000000000001</v>
      </c>
      <c r="R190">
        <v>1851</v>
      </c>
      <c r="S190">
        <v>0.5</v>
      </c>
      <c r="T190">
        <v>60</v>
      </c>
      <c r="U190">
        <f t="shared" si="2"/>
        <v>1.6666666666666667</v>
      </c>
    </row>
    <row r="191" spans="1:21" x14ac:dyDescent="0.35">
      <c r="A191">
        <v>3474</v>
      </c>
      <c r="B191" t="s">
        <v>7</v>
      </c>
      <c r="C191" t="s">
        <v>1561</v>
      </c>
      <c r="D191">
        <v>73</v>
      </c>
      <c r="E191">
        <v>0.8</v>
      </c>
      <c r="F191">
        <v>48</v>
      </c>
      <c r="G191">
        <v>243</v>
      </c>
      <c r="H191">
        <v>16</v>
      </c>
      <c r="I191">
        <v>170</v>
      </c>
      <c r="J191">
        <v>42.582917000000002</v>
      </c>
      <c r="K191">
        <v>1.89625</v>
      </c>
      <c r="L191">
        <v>48</v>
      </c>
      <c r="M191">
        <v>649</v>
      </c>
      <c r="N191">
        <v>0.18467</v>
      </c>
      <c r="O191">
        <v>716490</v>
      </c>
      <c r="P191">
        <v>17.145</v>
      </c>
      <c r="Q191">
        <v>0.25791999999999998</v>
      </c>
      <c r="R191">
        <v>2187</v>
      </c>
      <c r="S191">
        <v>9.2195</v>
      </c>
      <c r="T191">
        <v>103</v>
      </c>
      <c r="U191">
        <f t="shared" si="2"/>
        <v>1.6504854368932038</v>
      </c>
    </row>
    <row r="192" spans="1:21" x14ac:dyDescent="0.35">
      <c r="A192">
        <v>3476</v>
      </c>
      <c r="B192" t="s">
        <v>7</v>
      </c>
      <c r="C192" t="s">
        <v>1589</v>
      </c>
      <c r="D192">
        <v>17.5</v>
      </c>
      <c r="E192">
        <v>1.2</v>
      </c>
      <c r="F192">
        <v>25</v>
      </c>
      <c r="G192">
        <v>384</v>
      </c>
      <c r="H192">
        <v>29</v>
      </c>
      <c r="I192">
        <v>298</v>
      </c>
      <c r="J192">
        <v>42.562083000000001</v>
      </c>
      <c r="K192">
        <v>2.0004170000000001</v>
      </c>
      <c r="L192">
        <v>25</v>
      </c>
      <c r="M192">
        <v>540</v>
      </c>
      <c r="N192">
        <v>0.16016</v>
      </c>
      <c r="O192">
        <v>620500</v>
      </c>
      <c r="P192">
        <v>5.9717000000000002</v>
      </c>
      <c r="Q192">
        <v>0.43542999999999998</v>
      </c>
      <c r="R192">
        <v>2008</v>
      </c>
      <c r="S192">
        <v>4.4721000000000002</v>
      </c>
      <c r="T192">
        <v>176</v>
      </c>
      <c r="U192">
        <f t="shared" si="2"/>
        <v>1.6931818181818181</v>
      </c>
    </row>
    <row r="193" spans="1:21" x14ac:dyDescent="0.35">
      <c r="A193">
        <v>6841</v>
      </c>
      <c r="B193" t="s">
        <v>7</v>
      </c>
      <c r="C193" t="s">
        <v>1586</v>
      </c>
      <c r="D193">
        <v>70</v>
      </c>
      <c r="E193">
        <v>12</v>
      </c>
      <c r="F193">
        <v>26</v>
      </c>
      <c r="G193">
        <v>212</v>
      </c>
      <c r="H193">
        <v>95032</v>
      </c>
      <c r="I193">
        <v>1592058</v>
      </c>
      <c r="J193">
        <v>43.84375</v>
      </c>
      <c r="K193">
        <v>4.6270829999999998</v>
      </c>
      <c r="L193">
        <v>26</v>
      </c>
      <c r="M193">
        <v>2174.9</v>
      </c>
      <c r="N193">
        <v>567.41</v>
      </c>
      <c r="O193">
        <v>2623900000</v>
      </c>
      <c r="P193">
        <v>0.90827000000000002</v>
      </c>
      <c r="Q193">
        <v>2064.6</v>
      </c>
      <c r="R193">
        <v>11</v>
      </c>
      <c r="S193">
        <v>1</v>
      </c>
      <c r="T193">
        <v>634390</v>
      </c>
      <c r="U193">
        <f t="shared" si="2"/>
        <v>2.5095887387884424</v>
      </c>
    </row>
    <row r="194" spans="1:21" x14ac:dyDescent="0.35">
      <c r="A194">
        <v>3190</v>
      </c>
      <c r="B194" t="s">
        <v>3</v>
      </c>
      <c r="C194" t="s">
        <v>1638</v>
      </c>
      <c r="D194">
        <v>20</v>
      </c>
      <c r="E194">
        <v>1</v>
      </c>
      <c r="F194">
        <v>46</v>
      </c>
      <c r="G194">
        <v>750</v>
      </c>
      <c r="H194">
        <v>96</v>
      </c>
      <c r="I194">
        <v>756</v>
      </c>
      <c r="J194">
        <v>51.915416999999998</v>
      </c>
      <c r="K194">
        <v>10.296250000000001</v>
      </c>
      <c r="L194">
        <v>46</v>
      </c>
      <c r="M194">
        <v>742.16</v>
      </c>
      <c r="N194">
        <v>1.5871</v>
      </c>
      <c r="O194">
        <v>6289400</v>
      </c>
      <c r="P194">
        <v>3.6720000000000002</v>
      </c>
      <c r="Q194">
        <v>2.4676999999999998</v>
      </c>
      <c r="R194">
        <v>307</v>
      </c>
      <c r="S194">
        <v>7.2111000000000001</v>
      </c>
      <c r="T194">
        <v>725</v>
      </c>
      <c r="U194">
        <f t="shared" ref="U194:U257" si="3">I194/T194</f>
        <v>1.0427586206896551</v>
      </c>
    </row>
    <row r="195" spans="1:21" x14ac:dyDescent="0.35">
      <c r="A195">
        <v>3191</v>
      </c>
      <c r="B195" t="s">
        <v>3</v>
      </c>
      <c r="C195" t="s">
        <v>1613</v>
      </c>
      <c r="D195">
        <v>46.4</v>
      </c>
      <c r="E195">
        <v>1.6</v>
      </c>
      <c r="F195">
        <v>67</v>
      </c>
      <c r="G195">
        <v>600</v>
      </c>
      <c r="H195">
        <v>23</v>
      </c>
      <c r="I195">
        <v>181</v>
      </c>
      <c r="J195">
        <v>51.911250000000003</v>
      </c>
      <c r="K195">
        <v>10.375417000000001</v>
      </c>
      <c r="L195">
        <v>67</v>
      </c>
      <c r="M195">
        <v>1451.2</v>
      </c>
      <c r="N195">
        <v>0.56706000000000001</v>
      </c>
      <c r="O195">
        <v>2247100</v>
      </c>
      <c r="P195">
        <v>22.053000000000001</v>
      </c>
      <c r="Q195">
        <v>0.60245000000000004</v>
      </c>
      <c r="R195">
        <v>300</v>
      </c>
      <c r="S195">
        <v>4</v>
      </c>
      <c r="T195">
        <v>177</v>
      </c>
      <c r="U195">
        <f t="shared" si="3"/>
        <v>1.0225988700564972</v>
      </c>
    </row>
    <row r="196" spans="1:21" x14ac:dyDescent="0.35">
      <c r="A196">
        <v>3192</v>
      </c>
      <c r="B196" t="s">
        <v>3</v>
      </c>
      <c r="C196" t="s">
        <v>1611</v>
      </c>
      <c r="D196">
        <v>47.4</v>
      </c>
      <c r="E196">
        <v>1.5</v>
      </c>
      <c r="F196">
        <v>73</v>
      </c>
      <c r="G196">
        <v>260</v>
      </c>
      <c r="H196">
        <v>85</v>
      </c>
      <c r="I196">
        <v>639</v>
      </c>
      <c r="J196">
        <v>51.850417</v>
      </c>
      <c r="K196">
        <v>10.45875</v>
      </c>
      <c r="L196">
        <v>73</v>
      </c>
      <c r="M196">
        <v>540</v>
      </c>
      <c r="N196">
        <v>2.2907999999999999</v>
      </c>
      <c r="O196">
        <v>9023000</v>
      </c>
      <c r="P196">
        <v>5.8959999999999999</v>
      </c>
      <c r="Q196">
        <v>2.2282000000000002</v>
      </c>
      <c r="R196">
        <v>486</v>
      </c>
      <c r="S196">
        <v>5</v>
      </c>
      <c r="T196">
        <v>642</v>
      </c>
      <c r="U196">
        <f t="shared" si="3"/>
        <v>0.99532710280373837</v>
      </c>
    </row>
    <row r="197" spans="1:21" x14ac:dyDescent="0.35">
      <c r="A197">
        <v>3194</v>
      </c>
      <c r="B197" t="s">
        <v>3</v>
      </c>
      <c r="C197" t="s">
        <v>1630</v>
      </c>
      <c r="D197">
        <v>25.5</v>
      </c>
      <c r="E197">
        <v>1</v>
      </c>
      <c r="F197">
        <v>56</v>
      </c>
      <c r="G197">
        <v>485</v>
      </c>
      <c r="H197">
        <v>52</v>
      </c>
      <c r="I197">
        <v>401</v>
      </c>
      <c r="J197">
        <v>51.741250000000001</v>
      </c>
      <c r="K197">
        <v>10.310416999999999</v>
      </c>
      <c r="L197">
        <v>56</v>
      </c>
      <c r="M197">
        <v>569.21</v>
      </c>
      <c r="N197">
        <v>1.0448999999999999</v>
      </c>
      <c r="O197">
        <v>4140800</v>
      </c>
      <c r="P197">
        <v>3.5501</v>
      </c>
      <c r="Q197">
        <v>1.3308</v>
      </c>
      <c r="R197">
        <v>355</v>
      </c>
      <c r="S197">
        <v>6.4031000000000002</v>
      </c>
      <c r="T197">
        <v>391</v>
      </c>
      <c r="U197">
        <f t="shared" si="3"/>
        <v>1.0255754475703325</v>
      </c>
    </row>
    <row r="198" spans="1:21" x14ac:dyDescent="0.35">
      <c r="A198">
        <v>3195</v>
      </c>
      <c r="B198" t="s">
        <v>3</v>
      </c>
      <c r="C198" t="s">
        <v>1608</v>
      </c>
      <c r="D198">
        <v>109.1</v>
      </c>
      <c r="E198">
        <v>2.2999999999999998</v>
      </c>
      <c r="F198">
        <v>106</v>
      </c>
      <c r="G198">
        <v>415</v>
      </c>
      <c r="H198">
        <v>116</v>
      </c>
      <c r="I198">
        <v>747</v>
      </c>
      <c r="J198">
        <v>51.739583000000003</v>
      </c>
      <c r="K198">
        <v>10.892083</v>
      </c>
      <c r="L198">
        <v>106</v>
      </c>
      <c r="M198">
        <v>1370.8</v>
      </c>
      <c r="N198">
        <v>15.074</v>
      </c>
      <c r="O198">
        <v>54731000</v>
      </c>
      <c r="P198">
        <v>3.2014999999999998</v>
      </c>
      <c r="Q198">
        <v>9.1260999999999992</v>
      </c>
      <c r="R198">
        <v>404</v>
      </c>
      <c r="S198">
        <v>1</v>
      </c>
      <c r="T198">
        <v>2323</v>
      </c>
      <c r="U198">
        <f t="shared" si="3"/>
        <v>0.32156693930262592</v>
      </c>
    </row>
    <row r="199" spans="1:21" x14ac:dyDescent="0.35">
      <c r="A199">
        <v>3197</v>
      </c>
      <c r="B199" t="s">
        <v>3</v>
      </c>
      <c r="C199" t="s">
        <v>1656</v>
      </c>
      <c r="D199">
        <v>42.7</v>
      </c>
      <c r="E199">
        <v>6</v>
      </c>
      <c r="F199">
        <v>20</v>
      </c>
      <c r="G199">
        <v>3700</v>
      </c>
      <c r="H199">
        <v>2207</v>
      </c>
      <c r="I199">
        <v>13029</v>
      </c>
      <c r="J199">
        <v>51.657916999999998</v>
      </c>
      <c r="K199">
        <v>14.392083</v>
      </c>
      <c r="L199">
        <v>20</v>
      </c>
      <c r="M199">
        <v>742.16</v>
      </c>
      <c r="N199">
        <v>6.3475000000000001</v>
      </c>
      <c r="O199">
        <v>25032000</v>
      </c>
      <c r="P199">
        <v>2.6972999999999998</v>
      </c>
      <c r="Q199">
        <v>22.614999999999998</v>
      </c>
      <c r="R199">
        <v>89</v>
      </c>
      <c r="S199">
        <v>4</v>
      </c>
      <c r="T199">
        <v>16437</v>
      </c>
      <c r="U199">
        <f t="shared" si="3"/>
        <v>0.79266289468881179</v>
      </c>
    </row>
    <row r="200" spans="1:21" x14ac:dyDescent="0.35">
      <c r="A200">
        <v>3198</v>
      </c>
      <c r="B200" t="s">
        <v>3</v>
      </c>
      <c r="C200" t="s">
        <v>1658</v>
      </c>
      <c r="D200">
        <v>135.5</v>
      </c>
      <c r="E200">
        <v>5.9</v>
      </c>
      <c r="F200">
        <v>19</v>
      </c>
      <c r="G200">
        <v>303</v>
      </c>
      <c r="H200">
        <v>71</v>
      </c>
      <c r="I200">
        <v>359</v>
      </c>
      <c r="J200">
        <v>51.65625</v>
      </c>
      <c r="K200">
        <v>12.357917</v>
      </c>
      <c r="L200">
        <v>19</v>
      </c>
      <c r="M200">
        <v>402.49</v>
      </c>
      <c r="N200">
        <v>0.11677999999999999</v>
      </c>
      <c r="O200">
        <v>456290</v>
      </c>
      <c r="P200">
        <v>55.991</v>
      </c>
      <c r="Q200">
        <v>0.43830999999999998</v>
      </c>
      <c r="R200">
        <v>75</v>
      </c>
      <c r="S200">
        <v>0.5</v>
      </c>
      <c r="T200">
        <v>535</v>
      </c>
      <c r="U200">
        <f t="shared" si="3"/>
        <v>0.67102803738317762</v>
      </c>
    </row>
    <row r="201" spans="1:21" x14ac:dyDescent="0.35">
      <c r="A201">
        <v>3199</v>
      </c>
      <c r="B201" t="s">
        <v>3</v>
      </c>
      <c r="C201" t="s">
        <v>1619</v>
      </c>
      <c r="D201">
        <v>30.6</v>
      </c>
      <c r="E201">
        <v>1</v>
      </c>
      <c r="F201">
        <v>62</v>
      </c>
      <c r="G201">
        <v>310</v>
      </c>
      <c r="H201">
        <v>56</v>
      </c>
      <c r="I201">
        <v>405</v>
      </c>
      <c r="J201">
        <v>51.64875</v>
      </c>
      <c r="K201">
        <v>10.507917000000001</v>
      </c>
      <c r="L201">
        <v>62</v>
      </c>
      <c r="M201">
        <v>742.16</v>
      </c>
      <c r="N201">
        <v>1.5873999999999999</v>
      </c>
      <c r="O201">
        <v>5763400</v>
      </c>
      <c r="P201">
        <v>3.8117000000000001</v>
      </c>
      <c r="Q201">
        <v>1.6420999999999999</v>
      </c>
      <c r="R201">
        <v>453</v>
      </c>
      <c r="S201">
        <v>1</v>
      </c>
      <c r="T201">
        <v>418</v>
      </c>
      <c r="U201">
        <f t="shared" si="3"/>
        <v>0.96889952153110048</v>
      </c>
    </row>
    <row r="202" spans="1:21" x14ac:dyDescent="0.35">
      <c r="A202">
        <v>3200</v>
      </c>
      <c r="B202" t="s">
        <v>3</v>
      </c>
      <c r="C202" t="s">
        <v>1643</v>
      </c>
      <c r="D202">
        <v>140.80000000000001</v>
      </c>
      <c r="E202">
        <v>8.6</v>
      </c>
      <c r="F202">
        <v>40</v>
      </c>
      <c r="G202">
        <v>650</v>
      </c>
      <c r="H202">
        <v>419</v>
      </c>
      <c r="I202">
        <v>4140</v>
      </c>
      <c r="J202">
        <v>51.487917000000003</v>
      </c>
      <c r="K202">
        <v>8.0562500000000004</v>
      </c>
      <c r="L202">
        <v>40</v>
      </c>
      <c r="M202">
        <v>763.68</v>
      </c>
      <c r="N202">
        <v>5.9680999999999997</v>
      </c>
      <c r="O202">
        <v>23176000</v>
      </c>
      <c r="P202">
        <v>4.8292000000000002</v>
      </c>
      <c r="Q202">
        <v>10.586</v>
      </c>
      <c r="R202">
        <v>236</v>
      </c>
      <c r="S202">
        <v>0.5</v>
      </c>
      <c r="T202">
        <v>3135</v>
      </c>
      <c r="U202">
        <f t="shared" si="3"/>
        <v>1.3205741626794258</v>
      </c>
    </row>
    <row r="203" spans="1:21" x14ac:dyDescent="0.35">
      <c r="A203">
        <v>3201</v>
      </c>
      <c r="B203" t="s">
        <v>3</v>
      </c>
      <c r="C203" t="s">
        <v>1662</v>
      </c>
      <c r="D203">
        <v>35.6</v>
      </c>
      <c r="E203">
        <v>5.9</v>
      </c>
      <c r="F203">
        <v>13</v>
      </c>
      <c r="G203">
        <v>4066</v>
      </c>
      <c r="H203">
        <v>686</v>
      </c>
      <c r="I203">
        <v>4517</v>
      </c>
      <c r="J203">
        <v>51.442082999999997</v>
      </c>
      <c r="K203">
        <v>11.008749999999999</v>
      </c>
      <c r="L203">
        <v>13</v>
      </c>
      <c r="M203">
        <v>720</v>
      </c>
      <c r="N203">
        <v>3.0659000000000001</v>
      </c>
      <c r="O203">
        <v>11163000</v>
      </c>
      <c r="P203">
        <v>4.0308999999999999</v>
      </c>
      <c r="Q203">
        <v>15.968999999999999</v>
      </c>
      <c r="R203">
        <v>152</v>
      </c>
      <c r="S203">
        <v>2</v>
      </c>
      <c r="T203">
        <v>5106</v>
      </c>
      <c r="U203">
        <f t="shared" si="3"/>
        <v>0.88464551508029765</v>
      </c>
    </row>
    <row r="204" spans="1:21" x14ac:dyDescent="0.35">
      <c r="A204">
        <v>3202</v>
      </c>
      <c r="B204" t="s">
        <v>3</v>
      </c>
      <c r="C204" t="s">
        <v>1654</v>
      </c>
      <c r="D204">
        <v>10.3</v>
      </c>
      <c r="E204">
        <v>0.6</v>
      </c>
      <c r="F204">
        <v>22</v>
      </c>
      <c r="G204">
        <v>280</v>
      </c>
      <c r="H204">
        <v>169</v>
      </c>
      <c r="I204">
        <v>1864</v>
      </c>
      <c r="J204">
        <v>51.383749999999999</v>
      </c>
      <c r="K204">
        <v>9.0629170000000006</v>
      </c>
      <c r="L204">
        <v>22</v>
      </c>
      <c r="M204">
        <v>540</v>
      </c>
      <c r="N204">
        <v>0.83123000000000002</v>
      </c>
      <c r="O204">
        <v>3132700</v>
      </c>
      <c r="P204">
        <v>2.2542</v>
      </c>
      <c r="Q204">
        <v>2.6021999999999998</v>
      </c>
      <c r="R204">
        <v>217</v>
      </c>
      <c r="S204">
        <v>6.3246000000000002</v>
      </c>
      <c r="T204">
        <v>1249</v>
      </c>
      <c r="U204">
        <f t="shared" si="3"/>
        <v>1.4923939151321057</v>
      </c>
    </row>
    <row r="205" spans="1:21" x14ac:dyDescent="0.35">
      <c r="A205">
        <v>3203</v>
      </c>
      <c r="B205" t="s">
        <v>3</v>
      </c>
      <c r="C205" t="s">
        <v>1641</v>
      </c>
      <c r="D205">
        <v>20.100000000000001</v>
      </c>
      <c r="E205">
        <v>1.2</v>
      </c>
      <c r="F205">
        <v>42</v>
      </c>
      <c r="G205">
        <v>194</v>
      </c>
      <c r="H205">
        <v>103</v>
      </c>
      <c r="I205">
        <v>1099</v>
      </c>
      <c r="J205">
        <v>51.377082999999999</v>
      </c>
      <c r="K205">
        <v>8.7262500000000003</v>
      </c>
      <c r="L205">
        <v>42</v>
      </c>
      <c r="M205">
        <v>540</v>
      </c>
      <c r="N205">
        <v>1.1418999999999999</v>
      </c>
      <c r="O205">
        <v>4303900</v>
      </c>
      <c r="P205">
        <v>2.9508000000000001</v>
      </c>
      <c r="Q205">
        <v>1.8743000000000001</v>
      </c>
      <c r="R205">
        <v>407</v>
      </c>
      <c r="S205">
        <v>5</v>
      </c>
      <c r="T205">
        <v>766</v>
      </c>
      <c r="U205">
        <f t="shared" si="3"/>
        <v>1.4347258485639687</v>
      </c>
    </row>
    <row r="206" spans="1:21" x14ac:dyDescent="0.35">
      <c r="A206">
        <v>3204</v>
      </c>
      <c r="B206" t="s">
        <v>3</v>
      </c>
      <c r="C206" t="s">
        <v>1612</v>
      </c>
      <c r="D206">
        <v>70</v>
      </c>
      <c r="E206">
        <v>3</v>
      </c>
      <c r="F206">
        <v>69</v>
      </c>
      <c r="G206">
        <v>700</v>
      </c>
      <c r="H206">
        <v>53</v>
      </c>
      <c r="I206">
        <v>482</v>
      </c>
      <c r="J206">
        <v>51.349583000000003</v>
      </c>
      <c r="K206">
        <v>7.9670829999999997</v>
      </c>
      <c r="L206">
        <v>69</v>
      </c>
      <c r="M206">
        <v>1272.8</v>
      </c>
      <c r="N206">
        <v>1.4339999999999999</v>
      </c>
      <c r="O206">
        <v>5509700</v>
      </c>
      <c r="P206">
        <v>13.286</v>
      </c>
      <c r="Q206">
        <v>1.4466000000000001</v>
      </c>
      <c r="R206">
        <v>253</v>
      </c>
      <c r="S206">
        <v>1</v>
      </c>
      <c r="T206">
        <v>424</v>
      </c>
      <c r="U206">
        <f t="shared" si="3"/>
        <v>1.1367924528301887</v>
      </c>
    </row>
    <row r="207" spans="1:21" x14ac:dyDescent="0.35">
      <c r="A207">
        <v>3206</v>
      </c>
      <c r="B207" t="s">
        <v>3</v>
      </c>
      <c r="C207" t="s">
        <v>1628</v>
      </c>
      <c r="D207">
        <v>38.4</v>
      </c>
      <c r="E207">
        <v>1.5</v>
      </c>
      <c r="F207">
        <v>58</v>
      </c>
      <c r="G207">
        <v>376</v>
      </c>
      <c r="H207">
        <v>57</v>
      </c>
      <c r="I207">
        <v>561</v>
      </c>
      <c r="J207">
        <v>51.335417</v>
      </c>
      <c r="K207">
        <v>8.2712500000000002</v>
      </c>
      <c r="L207">
        <v>58</v>
      </c>
      <c r="M207">
        <v>540</v>
      </c>
      <c r="N207">
        <v>1.3045</v>
      </c>
      <c r="O207">
        <v>5059800</v>
      </c>
      <c r="P207">
        <v>6.7742000000000004</v>
      </c>
      <c r="Q207">
        <v>1.5687</v>
      </c>
      <c r="R207">
        <v>402</v>
      </c>
      <c r="S207">
        <v>2</v>
      </c>
      <c r="T207">
        <v>422</v>
      </c>
      <c r="U207">
        <f t="shared" si="3"/>
        <v>1.3293838862559242</v>
      </c>
    </row>
    <row r="208" spans="1:21" x14ac:dyDescent="0.35">
      <c r="A208">
        <v>3207</v>
      </c>
      <c r="B208" t="s">
        <v>3</v>
      </c>
      <c r="C208" t="s">
        <v>1664</v>
      </c>
      <c r="D208">
        <v>22.5</v>
      </c>
      <c r="E208">
        <v>7.3</v>
      </c>
      <c r="F208">
        <v>12</v>
      </c>
      <c r="G208">
        <v>1500</v>
      </c>
      <c r="H208">
        <v>169</v>
      </c>
      <c r="I208">
        <v>1053</v>
      </c>
      <c r="J208">
        <v>51.282916999999998</v>
      </c>
      <c r="K208">
        <v>14.754583</v>
      </c>
      <c r="L208">
        <v>12</v>
      </c>
      <c r="M208">
        <v>254.56</v>
      </c>
      <c r="N208">
        <v>0.29348999999999997</v>
      </c>
      <c r="O208">
        <v>1162900</v>
      </c>
      <c r="P208">
        <v>10.38</v>
      </c>
      <c r="Q208">
        <v>1.7312000000000001</v>
      </c>
      <c r="R208">
        <v>158</v>
      </c>
      <c r="S208">
        <v>3</v>
      </c>
      <c r="T208">
        <v>1259</v>
      </c>
      <c r="U208">
        <f t="shared" si="3"/>
        <v>0.8363780778395552</v>
      </c>
    </row>
    <row r="209" spans="1:21" x14ac:dyDescent="0.35">
      <c r="A209">
        <v>3208</v>
      </c>
      <c r="B209" t="s">
        <v>3</v>
      </c>
      <c r="C209" t="s">
        <v>1657</v>
      </c>
      <c r="D209">
        <v>44.6</v>
      </c>
      <c r="E209">
        <v>2.7</v>
      </c>
      <c r="F209">
        <v>19</v>
      </c>
      <c r="G209">
        <v>2080</v>
      </c>
      <c r="H209">
        <v>320</v>
      </c>
      <c r="I209">
        <v>2012</v>
      </c>
      <c r="J209">
        <v>51.219583</v>
      </c>
      <c r="K209">
        <v>14.467083000000001</v>
      </c>
      <c r="L209">
        <v>19</v>
      </c>
      <c r="M209">
        <v>649</v>
      </c>
      <c r="N209">
        <v>0.95906999999999998</v>
      </c>
      <c r="O209">
        <v>3813800</v>
      </c>
      <c r="P209">
        <v>2.9823</v>
      </c>
      <c r="Q209">
        <v>3.5829</v>
      </c>
      <c r="R209">
        <v>164</v>
      </c>
      <c r="S209">
        <v>2</v>
      </c>
      <c r="T209">
        <v>2370</v>
      </c>
      <c r="U209">
        <f t="shared" si="3"/>
        <v>0.84894514767932494</v>
      </c>
    </row>
    <row r="210" spans="1:21" x14ac:dyDescent="0.35">
      <c r="A210">
        <v>3210</v>
      </c>
      <c r="B210" t="s">
        <v>3</v>
      </c>
      <c r="C210" t="s">
        <v>1644</v>
      </c>
      <c r="D210">
        <v>25.9</v>
      </c>
      <c r="E210">
        <v>1.7</v>
      </c>
      <c r="F210">
        <v>40</v>
      </c>
      <c r="G210">
        <v>320</v>
      </c>
      <c r="H210">
        <v>204</v>
      </c>
      <c r="I210">
        <v>1870</v>
      </c>
      <c r="J210">
        <v>51.198749999999997</v>
      </c>
      <c r="K210">
        <v>7.3020829999999997</v>
      </c>
      <c r="L210">
        <v>40</v>
      </c>
      <c r="M210">
        <v>742.16</v>
      </c>
      <c r="N210">
        <v>2.5405000000000002</v>
      </c>
      <c r="O210">
        <v>10110000</v>
      </c>
      <c r="P210">
        <v>22.222000000000001</v>
      </c>
      <c r="Q210">
        <v>4.6929999999999996</v>
      </c>
      <c r="R210">
        <v>266</v>
      </c>
      <c r="S210">
        <v>1.4141999999999999</v>
      </c>
      <c r="T210">
        <v>1516</v>
      </c>
      <c r="U210">
        <f t="shared" si="3"/>
        <v>1.2335092348284959</v>
      </c>
    </row>
    <row r="211" spans="1:21" x14ac:dyDescent="0.35">
      <c r="A211">
        <v>3211</v>
      </c>
      <c r="B211" t="s">
        <v>3</v>
      </c>
      <c r="C211" t="s">
        <v>1620</v>
      </c>
      <c r="D211">
        <v>32.799999999999997</v>
      </c>
      <c r="E211">
        <v>1.2</v>
      </c>
      <c r="F211">
        <v>62</v>
      </c>
      <c r="G211">
        <v>320</v>
      </c>
      <c r="H211">
        <v>25</v>
      </c>
      <c r="I211">
        <v>225</v>
      </c>
      <c r="J211">
        <v>51.192082999999997</v>
      </c>
      <c r="K211">
        <v>7.6837499999999999</v>
      </c>
      <c r="L211">
        <v>62</v>
      </c>
      <c r="M211">
        <v>742.16</v>
      </c>
      <c r="N211">
        <v>0.57169999999999999</v>
      </c>
      <c r="O211">
        <v>2196100</v>
      </c>
      <c r="P211">
        <v>10.363</v>
      </c>
      <c r="Q211">
        <v>0.64112999999999998</v>
      </c>
      <c r="R211">
        <v>381</v>
      </c>
      <c r="S211">
        <v>0.5</v>
      </c>
      <c r="T211">
        <v>188</v>
      </c>
      <c r="U211">
        <f t="shared" si="3"/>
        <v>1.196808510638298</v>
      </c>
    </row>
    <row r="212" spans="1:21" x14ac:dyDescent="0.35">
      <c r="A212">
        <v>3212</v>
      </c>
      <c r="B212" t="s">
        <v>3</v>
      </c>
      <c r="C212" t="s">
        <v>1642</v>
      </c>
      <c r="D212">
        <v>202.4</v>
      </c>
      <c r="E212">
        <v>9.1</v>
      </c>
      <c r="F212">
        <v>41</v>
      </c>
      <c r="G212">
        <v>399</v>
      </c>
      <c r="H212">
        <v>1422</v>
      </c>
      <c r="I212">
        <v>14642</v>
      </c>
      <c r="J212">
        <v>51.187083000000001</v>
      </c>
      <c r="K212">
        <v>9.0545829999999992</v>
      </c>
      <c r="L212">
        <v>41</v>
      </c>
      <c r="M212">
        <v>763.68</v>
      </c>
      <c r="N212">
        <v>16.29</v>
      </c>
      <c r="O212">
        <v>62134000</v>
      </c>
      <c r="P212">
        <v>2.5867</v>
      </c>
      <c r="Q212">
        <v>28.036000000000001</v>
      </c>
      <c r="R212">
        <v>258</v>
      </c>
      <c r="S212">
        <v>1</v>
      </c>
      <c r="T212">
        <v>10551</v>
      </c>
      <c r="U212">
        <f t="shared" si="3"/>
        <v>1.3877357596436357</v>
      </c>
    </row>
    <row r="213" spans="1:21" x14ac:dyDescent="0.35">
      <c r="A213">
        <v>3213</v>
      </c>
      <c r="B213" t="s">
        <v>3</v>
      </c>
      <c r="C213" t="s">
        <v>1661</v>
      </c>
      <c r="D213">
        <v>26</v>
      </c>
      <c r="E213">
        <v>2</v>
      </c>
      <c r="F213">
        <v>13</v>
      </c>
      <c r="G213">
        <v>1930</v>
      </c>
      <c r="H213">
        <v>2045</v>
      </c>
      <c r="I213">
        <v>13237</v>
      </c>
      <c r="J213">
        <v>51.153750000000002</v>
      </c>
      <c r="K213">
        <v>10.983750000000001</v>
      </c>
      <c r="L213">
        <v>13</v>
      </c>
      <c r="M213">
        <v>2401.5</v>
      </c>
      <c r="N213">
        <v>4.3951000000000002</v>
      </c>
      <c r="O213">
        <v>16542000</v>
      </c>
      <c r="P213">
        <v>3.52</v>
      </c>
      <c r="Q213">
        <v>24.079000000000001</v>
      </c>
      <c r="R213">
        <v>143</v>
      </c>
      <c r="S213">
        <v>3.6055999999999999</v>
      </c>
      <c r="T213">
        <v>15146</v>
      </c>
      <c r="U213">
        <f t="shared" si="3"/>
        <v>0.87396012148422031</v>
      </c>
    </row>
    <row r="214" spans="1:21" x14ac:dyDescent="0.35">
      <c r="A214">
        <v>3214</v>
      </c>
      <c r="B214" t="s">
        <v>3</v>
      </c>
      <c r="C214" t="s">
        <v>1637</v>
      </c>
      <c r="D214">
        <v>23.7</v>
      </c>
      <c r="E214">
        <v>1.6</v>
      </c>
      <c r="F214">
        <v>49</v>
      </c>
      <c r="G214">
        <v>520</v>
      </c>
      <c r="H214">
        <v>26</v>
      </c>
      <c r="I214">
        <v>239</v>
      </c>
      <c r="J214">
        <v>51.145417000000002</v>
      </c>
      <c r="K214">
        <v>7.3712499999999999</v>
      </c>
      <c r="L214">
        <v>49</v>
      </c>
      <c r="M214">
        <v>1879.3</v>
      </c>
      <c r="N214">
        <v>0.36798999999999998</v>
      </c>
      <c r="O214">
        <v>1474300</v>
      </c>
      <c r="P214">
        <v>29.088000000000001</v>
      </c>
      <c r="Q214">
        <v>0.55552000000000001</v>
      </c>
      <c r="R214">
        <v>292</v>
      </c>
      <c r="S214">
        <v>2.2361</v>
      </c>
      <c r="T214">
        <v>187</v>
      </c>
      <c r="U214">
        <f t="shared" si="3"/>
        <v>1.2780748663101604</v>
      </c>
    </row>
    <row r="215" spans="1:21" x14ac:dyDescent="0.35">
      <c r="A215">
        <v>3215</v>
      </c>
      <c r="B215" t="s">
        <v>3</v>
      </c>
      <c r="C215" t="s">
        <v>1635</v>
      </c>
      <c r="D215">
        <v>12.6</v>
      </c>
      <c r="E215">
        <v>0.5</v>
      </c>
      <c r="F215">
        <v>51</v>
      </c>
      <c r="G215">
        <v>330</v>
      </c>
      <c r="H215">
        <v>13</v>
      </c>
      <c r="I215">
        <v>122</v>
      </c>
      <c r="J215">
        <v>51.141249999999999</v>
      </c>
      <c r="K215">
        <v>7.3937499999999998</v>
      </c>
      <c r="L215">
        <v>51</v>
      </c>
      <c r="M215">
        <v>1620</v>
      </c>
      <c r="N215">
        <v>0.20297999999999999</v>
      </c>
      <c r="O215">
        <v>813240</v>
      </c>
      <c r="P215">
        <v>54.15</v>
      </c>
      <c r="Q215">
        <v>0.29409999999999997</v>
      </c>
      <c r="R215">
        <v>314</v>
      </c>
      <c r="S215">
        <v>3.1623000000000001</v>
      </c>
      <c r="T215">
        <v>99</v>
      </c>
      <c r="U215">
        <f t="shared" si="3"/>
        <v>1.2323232323232323</v>
      </c>
    </row>
    <row r="216" spans="1:21" x14ac:dyDescent="0.35">
      <c r="A216">
        <v>3216</v>
      </c>
      <c r="B216" t="s">
        <v>3</v>
      </c>
      <c r="C216" t="s">
        <v>1629</v>
      </c>
      <c r="D216">
        <v>171.7</v>
      </c>
      <c r="E216">
        <v>6.5</v>
      </c>
      <c r="F216">
        <v>57</v>
      </c>
      <c r="G216">
        <v>640</v>
      </c>
      <c r="H216">
        <v>310</v>
      </c>
      <c r="I216">
        <v>2744</v>
      </c>
      <c r="J216">
        <v>51.112917000000003</v>
      </c>
      <c r="K216">
        <v>7.8912500000000003</v>
      </c>
      <c r="L216">
        <v>57</v>
      </c>
      <c r="M216">
        <v>1440</v>
      </c>
      <c r="N216">
        <v>6.2291999999999996</v>
      </c>
      <c r="O216">
        <v>23800000</v>
      </c>
      <c r="P216">
        <v>12.076000000000001</v>
      </c>
      <c r="Q216">
        <v>7.5814000000000004</v>
      </c>
      <c r="R216">
        <v>309</v>
      </c>
      <c r="S216">
        <v>1</v>
      </c>
      <c r="T216">
        <v>2299</v>
      </c>
      <c r="U216">
        <f t="shared" si="3"/>
        <v>1.1935624184428013</v>
      </c>
    </row>
    <row r="217" spans="1:21" x14ac:dyDescent="0.35">
      <c r="A217">
        <v>3219</v>
      </c>
      <c r="B217" t="s">
        <v>3</v>
      </c>
      <c r="C217" t="s">
        <v>1618</v>
      </c>
      <c r="D217">
        <v>81</v>
      </c>
      <c r="E217">
        <v>4</v>
      </c>
      <c r="F217">
        <v>63</v>
      </c>
      <c r="G217">
        <v>380</v>
      </c>
      <c r="H217">
        <v>63</v>
      </c>
      <c r="I217">
        <v>587</v>
      </c>
      <c r="J217">
        <v>51.067917000000001</v>
      </c>
      <c r="K217">
        <v>7.1870830000000003</v>
      </c>
      <c r="L217">
        <v>63</v>
      </c>
      <c r="M217">
        <v>720</v>
      </c>
      <c r="N217">
        <v>1.1735</v>
      </c>
      <c r="O217">
        <v>4701700</v>
      </c>
      <c r="P217">
        <v>13.231999999999999</v>
      </c>
      <c r="Q217">
        <v>1.3784000000000001</v>
      </c>
      <c r="R217">
        <v>206</v>
      </c>
      <c r="S217">
        <v>1</v>
      </c>
      <c r="T217">
        <v>464</v>
      </c>
      <c r="U217">
        <f t="shared" si="3"/>
        <v>1.2650862068965518</v>
      </c>
    </row>
    <row r="218" spans="1:21" x14ac:dyDescent="0.35">
      <c r="A218">
        <v>3220</v>
      </c>
      <c r="B218" t="s">
        <v>3</v>
      </c>
      <c r="C218" t="s">
        <v>1640</v>
      </c>
      <c r="D218">
        <v>19.3</v>
      </c>
      <c r="E218">
        <v>0.9</v>
      </c>
      <c r="F218">
        <v>45</v>
      </c>
      <c r="G218">
        <v>225</v>
      </c>
      <c r="H218">
        <v>42</v>
      </c>
      <c r="I218">
        <v>377</v>
      </c>
      <c r="J218">
        <v>51.037083000000003</v>
      </c>
      <c r="K218">
        <v>7.6312499999999996</v>
      </c>
      <c r="L218">
        <v>45</v>
      </c>
      <c r="M218">
        <v>540</v>
      </c>
      <c r="N218">
        <v>0.68479000000000001</v>
      </c>
      <c r="O218">
        <v>2630500</v>
      </c>
      <c r="P218">
        <v>7.3766999999999996</v>
      </c>
      <c r="Q218">
        <v>1.0606</v>
      </c>
      <c r="R218">
        <v>282</v>
      </c>
      <c r="S218">
        <v>3.6055999999999999</v>
      </c>
      <c r="T218">
        <v>311</v>
      </c>
      <c r="U218">
        <f t="shared" si="3"/>
        <v>1.212218649517685</v>
      </c>
    </row>
    <row r="219" spans="1:21" x14ac:dyDescent="0.35">
      <c r="A219">
        <v>3221</v>
      </c>
      <c r="B219" t="s">
        <v>3</v>
      </c>
      <c r="C219" t="s">
        <v>1651</v>
      </c>
      <c r="D219">
        <v>11.7</v>
      </c>
      <c r="E219">
        <v>0.6</v>
      </c>
      <c r="F219">
        <v>28</v>
      </c>
      <c r="G219">
        <v>230</v>
      </c>
      <c r="H219">
        <v>1712</v>
      </c>
      <c r="I219">
        <v>9548</v>
      </c>
      <c r="J219">
        <v>51.035417000000002</v>
      </c>
      <c r="K219">
        <v>13.008749999999999</v>
      </c>
      <c r="L219">
        <v>28</v>
      </c>
      <c r="M219">
        <v>360</v>
      </c>
      <c r="N219">
        <v>9.8347999999999995</v>
      </c>
      <c r="O219">
        <v>43803000</v>
      </c>
      <c r="P219">
        <v>1.6637</v>
      </c>
      <c r="Q219">
        <v>29.001000000000001</v>
      </c>
      <c r="R219">
        <v>247</v>
      </c>
      <c r="S219">
        <v>1</v>
      </c>
      <c r="T219">
        <v>12586</v>
      </c>
      <c r="U219">
        <f t="shared" si="3"/>
        <v>0.75862068965517238</v>
      </c>
    </row>
    <row r="220" spans="1:21" x14ac:dyDescent="0.35">
      <c r="A220">
        <v>3222</v>
      </c>
      <c r="B220" t="s">
        <v>3</v>
      </c>
      <c r="C220" t="s">
        <v>1632</v>
      </c>
      <c r="D220">
        <v>31.5</v>
      </c>
      <c r="E220">
        <v>1.6</v>
      </c>
      <c r="F220">
        <v>53</v>
      </c>
      <c r="G220">
        <v>360</v>
      </c>
      <c r="H220">
        <v>46</v>
      </c>
      <c r="I220">
        <v>408</v>
      </c>
      <c r="J220">
        <v>50.937083000000001</v>
      </c>
      <c r="K220">
        <v>7.6670829999999999</v>
      </c>
      <c r="L220">
        <v>53</v>
      </c>
      <c r="M220">
        <v>1138.4000000000001</v>
      </c>
      <c r="N220">
        <v>0.76941999999999999</v>
      </c>
      <c r="O220">
        <v>2924000</v>
      </c>
      <c r="P220">
        <v>9.1648999999999994</v>
      </c>
      <c r="Q220">
        <v>1.0003</v>
      </c>
      <c r="R220">
        <v>270</v>
      </c>
      <c r="S220">
        <v>1</v>
      </c>
      <c r="T220">
        <v>335</v>
      </c>
      <c r="U220">
        <f t="shared" si="3"/>
        <v>1.2179104477611939</v>
      </c>
    </row>
    <row r="221" spans="1:21" x14ac:dyDescent="0.35">
      <c r="A221">
        <v>3223</v>
      </c>
      <c r="B221" t="s">
        <v>3</v>
      </c>
      <c r="C221" t="s">
        <v>1648</v>
      </c>
      <c r="D221">
        <v>16.399999999999999</v>
      </c>
      <c r="E221">
        <v>0.5</v>
      </c>
      <c r="F221">
        <v>36</v>
      </c>
      <c r="G221">
        <v>193</v>
      </c>
      <c r="H221">
        <v>105</v>
      </c>
      <c r="I221">
        <v>559</v>
      </c>
      <c r="J221">
        <v>50.925417000000003</v>
      </c>
      <c r="K221">
        <v>13.654583000000001</v>
      </c>
      <c r="L221">
        <v>36</v>
      </c>
      <c r="M221">
        <v>540</v>
      </c>
      <c r="N221">
        <v>0.72245999999999999</v>
      </c>
      <c r="O221">
        <v>3174400</v>
      </c>
      <c r="P221">
        <v>19.283000000000001</v>
      </c>
      <c r="Q221">
        <v>1.609</v>
      </c>
      <c r="R221">
        <v>339</v>
      </c>
      <c r="S221">
        <v>0.5</v>
      </c>
      <c r="T221">
        <v>776</v>
      </c>
      <c r="U221">
        <f t="shared" si="3"/>
        <v>0.72036082474226804</v>
      </c>
    </row>
    <row r="222" spans="1:21" x14ac:dyDescent="0.35">
      <c r="A222">
        <v>3224</v>
      </c>
      <c r="B222" t="s">
        <v>3</v>
      </c>
      <c r="C222" t="s">
        <v>1622</v>
      </c>
      <c r="D222">
        <v>14.9</v>
      </c>
      <c r="E222">
        <v>0.7</v>
      </c>
      <c r="F222">
        <v>60</v>
      </c>
      <c r="G222">
        <v>300</v>
      </c>
      <c r="H222">
        <v>13</v>
      </c>
      <c r="I222">
        <v>118</v>
      </c>
      <c r="J222">
        <v>50.917082999999998</v>
      </c>
      <c r="K222">
        <v>8.1412499999999994</v>
      </c>
      <c r="L222">
        <v>60</v>
      </c>
      <c r="M222">
        <v>402.49</v>
      </c>
      <c r="N222">
        <v>0.23951</v>
      </c>
      <c r="O222">
        <v>891360</v>
      </c>
      <c r="P222">
        <v>13.791</v>
      </c>
      <c r="Q222">
        <v>0.27361000000000002</v>
      </c>
      <c r="R222">
        <v>432</v>
      </c>
      <c r="S222">
        <v>1.4141999999999999</v>
      </c>
      <c r="T222">
        <v>99</v>
      </c>
      <c r="U222">
        <f t="shared" si="3"/>
        <v>1.1919191919191918</v>
      </c>
    </row>
    <row r="223" spans="1:21" x14ac:dyDescent="0.35">
      <c r="A223">
        <v>3225</v>
      </c>
      <c r="B223" t="s">
        <v>3</v>
      </c>
      <c r="C223" t="s">
        <v>1645</v>
      </c>
      <c r="D223">
        <v>16.399999999999999</v>
      </c>
      <c r="E223">
        <v>0.8</v>
      </c>
      <c r="F223">
        <v>40</v>
      </c>
      <c r="G223">
        <v>310</v>
      </c>
      <c r="H223">
        <v>91</v>
      </c>
      <c r="I223">
        <v>480</v>
      </c>
      <c r="J223">
        <v>50.90625</v>
      </c>
      <c r="K223">
        <v>13.535417000000001</v>
      </c>
      <c r="L223">
        <v>40</v>
      </c>
      <c r="M223">
        <v>569.21</v>
      </c>
      <c r="N223">
        <v>0.69501000000000002</v>
      </c>
      <c r="O223">
        <v>3053800</v>
      </c>
      <c r="P223">
        <v>2.7181999999999999</v>
      </c>
      <c r="Q223">
        <v>1.3913</v>
      </c>
      <c r="R223">
        <v>410</v>
      </c>
      <c r="S223">
        <v>2.8283999999999998</v>
      </c>
      <c r="T223">
        <v>671</v>
      </c>
      <c r="U223">
        <f t="shared" si="3"/>
        <v>0.71535022354694489</v>
      </c>
    </row>
    <row r="224" spans="1:21" x14ac:dyDescent="0.35">
      <c r="A224">
        <v>3226</v>
      </c>
      <c r="B224" t="s">
        <v>3</v>
      </c>
      <c r="C224" t="s">
        <v>1634</v>
      </c>
      <c r="D224">
        <v>21.9</v>
      </c>
      <c r="E224">
        <v>1</v>
      </c>
      <c r="F224">
        <v>51</v>
      </c>
      <c r="G224">
        <v>521</v>
      </c>
      <c r="H224">
        <v>60</v>
      </c>
      <c r="I224">
        <v>318</v>
      </c>
      <c r="J224">
        <v>50.832917000000002</v>
      </c>
      <c r="K224">
        <v>13.592083000000001</v>
      </c>
      <c r="L224">
        <v>51</v>
      </c>
      <c r="M224">
        <v>1913.4</v>
      </c>
      <c r="N224">
        <v>0.58911000000000002</v>
      </c>
      <c r="O224">
        <v>2588500</v>
      </c>
      <c r="P224">
        <v>15.071</v>
      </c>
      <c r="Q224">
        <v>0.92267999999999994</v>
      </c>
      <c r="R224">
        <v>520</v>
      </c>
      <c r="S224">
        <v>7.2111000000000001</v>
      </c>
      <c r="T224">
        <v>445</v>
      </c>
      <c r="U224">
        <f t="shared" si="3"/>
        <v>0.71460674157303372</v>
      </c>
    </row>
    <row r="225" spans="1:21" x14ac:dyDescent="0.35">
      <c r="A225">
        <v>3227</v>
      </c>
      <c r="B225" t="s">
        <v>3</v>
      </c>
      <c r="C225" t="s">
        <v>1631</v>
      </c>
      <c r="D225">
        <v>41.4</v>
      </c>
      <c r="E225">
        <v>1.6</v>
      </c>
      <c r="F225">
        <v>53</v>
      </c>
      <c r="G225">
        <v>379</v>
      </c>
      <c r="H225">
        <v>73</v>
      </c>
      <c r="I225">
        <v>666</v>
      </c>
      <c r="J225">
        <v>50.807917000000003</v>
      </c>
      <c r="K225">
        <v>7.2845829999999996</v>
      </c>
      <c r="L225">
        <v>53</v>
      </c>
      <c r="M225">
        <v>1298</v>
      </c>
      <c r="N225">
        <v>0.81352000000000002</v>
      </c>
      <c r="O225">
        <v>3279700</v>
      </c>
      <c r="P225">
        <v>20.707999999999998</v>
      </c>
      <c r="Q225">
        <v>1.1276999999999999</v>
      </c>
      <c r="R225">
        <v>142</v>
      </c>
      <c r="S225">
        <v>5</v>
      </c>
      <c r="T225">
        <v>540</v>
      </c>
      <c r="U225">
        <f t="shared" si="3"/>
        <v>1.2333333333333334</v>
      </c>
    </row>
    <row r="226" spans="1:21" x14ac:dyDescent="0.35">
      <c r="A226">
        <v>3228</v>
      </c>
      <c r="B226" t="s">
        <v>3</v>
      </c>
      <c r="C226" t="s">
        <v>1626</v>
      </c>
      <c r="D226">
        <v>17.5</v>
      </c>
      <c r="E226">
        <v>0.6</v>
      </c>
      <c r="F226">
        <v>59</v>
      </c>
      <c r="G226">
        <v>260</v>
      </c>
      <c r="H226">
        <v>35</v>
      </c>
      <c r="I226">
        <v>226</v>
      </c>
      <c r="J226">
        <v>50.765416999999999</v>
      </c>
      <c r="K226">
        <v>10.72125</v>
      </c>
      <c r="L226">
        <v>59</v>
      </c>
      <c r="M226">
        <v>360</v>
      </c>
      <c r="N226">
        <v>0.41815999999999998</v>
      </c>
      <c r="O226">
        <v>1597700</v>
      </c>
      <c r="P226">
        <v>6.5023999999999997</v>
      </c>
      <c r="Q226">
        <v>0.49021999999999999</v>
      </c>
      <c r="R226">
        <v>634</v>
      </c>
      <c r="S226">
        <v>9</v>
      </c>
      <c r="T226">
        <v>254</v>
      </c>
      <c r="U226">
        <f t="shared" si="3"/>
        <v>0.88976377952755903</v>
      </c>
    </row>
    <row r="227" spans="1:21" x14ac:dyDescent="0.35">
      <c r="A227">
        <v>3229</v>
      </c>
      <c r="B227" t="s">
        <v>3</v>
      </c>
      <c r="C227" t="s">
        <v>1636</v>
      </c>
      <c r="D227">
        <v>25.1</v>
      </c>
      <c r="E227">
        <v>1.1000000000000001</v>
      </c>
      <c r="F227">
        <v>49</v>
      </c>
      <c r="G227">
        <v>435</v>
      </c>
      <c r="H227">
        <v>43</v>
      </c>
      <c r="I227">
        <v>491</v>
      </c>
      <c r="J227">
        <v>50.754582999999997</v>
      </c>
      <c r="K227">
        <v>6.3395830000000002</v>
      </c>
      <c r="L227">
        <v>49</v>
      </c>
      <c r="M227">
        <v>1207.5</v>
      </c>
      <c r="N227">
        <v>0.49201</v>
      </c>
      <c r="O227">
        <v>1828100</v>
      </c>
      <c r="P227">
        <v>12.643000000000001</v>
      </c>
      <c r="Q227">
        <v>0.67439000000000004</v>
      </c>
      <c r="R227">
        <v>260</v>
      </c>
      <c r="S227">
        <v>7.8102</v>
      </c>
      <c r="T227">
        <v>314</v>
      </c>
      <c r="U227">
        <f t="shared" si="3"/>
        <v>1.5636942675159236</v>
      </c>
    </row>
    <row r="228" spans="1:21" x14ac:dyDescent="0.35">
      <c r="A228">
        <v>3230</v>
      </c>
      <c r="B228" t="s">
        <v>3</v>
      </c>
      <c r="C228" t="s">
        <v>1624</v>
      </c>
      <c r="D228">
        <v>22.4</v>
      </c>
      <c r="E228">
        <v>1.3</v>
      </c>
      <c r="F228">
        <v>59</v>
      </c>
      <c r="G228">
        <v>334</v>
      </c>
      <c r="H228">
        <v>62</v>
      </c>
      <c r="I228">
        <v>331</v>
      </c>
      <c r="J228">
        <v>50.732917</v>
      </c>
      <c r="K228">
        <v>13.220416999999999</v>
      </c>
      <c r="L228">
        <v>59</v>
      </c>
      <c r="M228">
        <v>969.33</v>
      </c>
      <c r="N228">
        <v>0.82604999999999995</v>
      </c>
      <c r="O228">
        <v>3720500</v>
      </c>
      <c r="P228">
        <v>11.577</v>
      </c>
      <c r="Q228">
        <v>1.1413</v>
      </c>
      <c r="R228">
        <v>445</v>
      </c>
      <c r="S228">
        <v>2.2361</v>
      </c>
      <c r="T228">
        <v>457</v>
      </c>
      <c r="U228">
        <f t="shared" si="3"/>
        <v>0.72428884026258211</v>
      </c>
    </row>
    <row r="229" spans="1:21" x14ac:dyDescent="0.35">
      <c r="A229">
        <v>3231</v>
      </c>
      <c r="B229" t="s">
        <v>3</v>
      </c>
      <c r="C229" t="s">
        <v>1650</v>
      </c>
      <c r="D229">
        <v>10.7</v>
      </c>
      <c r="E229">
        <v>0.6</v>
      </c>
      <c r="F229">
        <v>33</v>
      </c>
      <c r="G229">
        <v>167</v>
      </c>
      <c r="H229">
        <v>162</v>
      </c>
      <c r="I229">
        <v>1024</v>
      </c>
      <c r="J229">
        <v>50.707082999999997</v>
      </c>
      <c r="K229">
        <v>11.987916999999999</v>
      </c>
      <c r="L229">
        <v>33</v>
      </c>
      <c r="M229">
        <v>1018.2</v>
      </c>
      <c r="N229">
        <v>0.61495</v>
      </c>
      <c r="O229">
        <v>2679600</v>
      </c>
      <c r="P229">
        <v>4.2146999999999997</v>
      </c>
      <c r="Q229">
        <v>1.4537</v>
      </c>
      <c r="R229">
        <v>321</v>
      </c>
      <c r="S229">
        <v>3.6055999999999999</v>
      </c>
      <c r="T229">
        <v>1191</v>
      </c>
      <c r="U229">
        <f t="shared" si="3"/>
        <v>0.85978169605373633</v>
      </c>
    </row>
    <row r="230" spans="1:21" x14ac:dyDescent="0.35">
      <c r="A230">
        <v>3233</v>
      </c>
      <c r="B230" t="s">
        <v>3</v>
      </c>
      <c r="C230" t="s">
        <v>1649</v>
      </c>
      <c r="D230">
        <v>32.200000000000003</v>
      </c>
      <c r="E230">
        <v>2.1</v>
      </c>
      <c r="F230">
        <v>35</v>
      </c>
      <c r="G230">
        <v>307</v>
      </c>
      <c r="H230">
        <v>138</v>
      </c>
      <c r="I230">
        <v>873</v>
      </c>
      <c r="J230">
        <v>50.670417</v>
      </c>
      <c r="K230">
        <v>11.975417</v>
      </c>
      <c r="L230">
        <v>35</v>
      </c>
      <c r="M230">
        <v>900</v>
      </c>
      <c r="N230">
        <v>0.55691999999999997</v>
      </c>
      <c r="O230">
        <v>2426300</v>
      </c>
      <c r="P230">
        <v>6.3841000000000001</v>
      </c>
      <c r="Q230">
        <v>1.2394000000000001</v>
      </c>
      <c r="R230">
        <v>353</v>
      </c>
      <c r="S230">
        <v>0.5</v>
      </c>
      <c r="T230">
        <v>1012</v>
      </c>
      <c r="U230">
        <f t="shared" si="3"/>
        <v>0.86264822134387353</v>
      </c>
    </row>
    <row r="231" spans="1:21" x14ac:dyDescent="0.35">
      <c r="A231">
        <v>3234</v>
      </c>
      <c r="B231" t="s">
        <v>3</v>
      </c>
      <c r="C231" t="s">
        <v>1610</v>
      </c>
      <c r="D231">
        <v>181.8</v>
      </c>
      <c r="E231">
        <v>5.9</v>
      </c>
      <c r="F231">
        <v>77</v>
      </c>
      <c r="G231">
        <v>480</v>
      </c>
      <c r="H231">
        <v>657</v>
      </c>
      <c r="I231">
        <v>8493</v>
      </c>
      <c r="J231">
        <v>50.641249999999999</v>
      </c>
      <c r="K231">
        <v>6.4379169999999997</v>
      </c>
      <c r="L231">
        <v>77</v>
      </c>
      <c r="M231">
        <v>1049.5999999999999</v>
      </c>
      <c r="N231">
        <v>11.925000000000001</v>
      </c>
      <c r="O231">
        <v>44918000</v>
      </c>
      <c r="P231">
        <v>1.8240000000000001</v>
      </c>
      <c r="Q231">
        <v>10.712999999999999</v>
      </c>
      <c r="R231">
        <v>269</v>
      </c>
      <c r="S231">
        <v>0.5</v>
      </c>
      <c r="T231">
        <v>4818</v>
      </c>
      <c r="U231">
        <f t="shared" si="3"/>
        <v>1.7627646326276463</v>
      </c>
    </row>
    <row r="232" spans="1:21" x14ac:dyDescent="0.35">
      <c r="A232">
        <v>3236</v>
      </c>
      <c r="B232" t="s">
        <v>3</v>
      </c>
      <c r="C232" t="s">
        <v>372</v>
      </c>
      <c r="D232">
        <v>182</v>
      </c>
      <c r="E232">
        <v>5.3</v>
      </c>
      <c r="F232">
        <v>75</v>
      </c>
      <c r="G232">
        <v>412</v>
      </c>
      <c r="H232">
        <v>1646</v>
      </c>
      <c r="I232">
        <v>11260</v>
      </c>
      <c r="J232">
        <v>50.615417000000001</v>
      </c>
      <c r="K232">
        <v>11.494583</v>
      </c>
      <c r="L232">
        <v>75</v>
      </c>
      <c r="M232">
        <v>720</v>
      </c>
      <c r="N232">
        <v>24.814</v>
      </c>
      <c r="O232">
        <v>99269000</v>
      </c>
      <c r="P232">
        <v>0.43620999999999999</v>
      </c>
      <c r="Q232">
        <v>23.629000000000001</v>
      </c>
      <c r="R232">
        <v>336</v>
      </c>
      <c r="S232">
        <v>0.5</v>
      </c>
      <c r="T232">
        <v>12030</v>
      </c>
      <c r="U232">
        <f t="shared" si="3"/>
        <v>0.93599334995843719</v>
      </c>
    </row>
    <row r="233" spans="1:21" x14ac:dyDescent="0.35">
      <c r="A233">
        <v>3237</v>
      </c>
      <c r="B233" t="s">
        <v>3</v>
      </c>
      <c r="C233" t="s">
        <v>1627</v>
      </c>
      <c r="D233">
        <v>45.5</v>
      </c>
      <c r="E233">
        <v>1.4</v>
      </c>
      <c r="F233">
        <v>58</v>
      </c>
      <c r="G233">
        <v>226</v>
      </c>
      <c r="H233">
        <v>368</v>
      </c>
      <c r="I233">
        <v>4807</v>
      </c>
      <c r="J233">
        <v>50.603749999999998</v>
      </c>
      <c r="K233">
        <v>6.4212499999999997</v>
      </c>
      <c r="L233">
        <v>58</v>
      </c>
      <c r="M233">
        <v>649</v>
      </c>
      <c r="N233">
        <v>4.9238</v>
      </c>
      <c r="O233">
        <v>18612000</v>
      </c>
      <c r="P233">
        <v>8.1867000000000001</v>
      </c>
      <c r="Q233">
        <v>5.9151999999999996</v>
      </c>
      <c r="R233">
        <v>383</v>
      </c>
      <c r="S233">
        <v>4.2426000000000004</v>
      </c>
      <c r="T233">
        <v>2701</v>
      </c>
      <c r="U233">
        <f t="shared" si="3"/>
        <v>1.7797112180673824</v>
      </c>
    </row>
    <row r="234" spans="1:21" x14ac:dyDescent="0.35">
      <c r="A234">
        <v>3239</v>
      </c>
      <c r="B234" t="s">
        <v>3</v>
      </c>
      <c r="C234" t="s">
        <v>1623</v>
      </c>
      <c r="D234">
        <v>61.9</v>
      </c>
      <c r="E234">
        <v>3.3</v>
      </c>
      <c r="F234">
        <v>59</v>
      </c>
      <c r="G234">
        <v>312</v>
      </c>
      <c r="H234">
        <v>159</v>
      </c>
      <c r="I234">
        <v>1048</v>
      </c>
      <c r="J234">
        <v>50.550417000000003</v>
      </c>
      <c r="K234">
        <v>12.182083</v>
      </c>
      <c r="L234">
        <v>59</v>
      </c>
      <c r="M234">
        <v>1152.5999999999999</v>
      </c>
      <c r="N234">
        <v>1.548</v>
      </c>
      <c r="O234">
        <v>6321000</v>
      </c>
      <c r="P234">
        <v>17.126999999999999</v>
      </c>
      <c r="Q234">
        <v>1.8636999999999999</v>
      </c>
      <c r="R234">
        <v>379</v>
      </c>
      <c r="S234">
        <v>3.1623000000000001</v>
      </c>
      <c r="T234">
        <v>1161</v>
      </c>
      <c r="U234">
        <f t="shared" si="3"/>
        <v>0.90267011197243752</v>
      </c>
    </row>
    <row r="235" spans="1:21" x14ac:dyDescent="0.35">
      <c r="A235">
        <v>3240</v>
      </c>
      <c r="B235" t="s">
        <v>3</v>
      </c>
      <c r="C235" t="s">
        <v>1614</v>
      </c>
      <c r="D235">
        <v>23.9</v>
      </c>
      <c r="E235">
        <v>0.9</v>
      </c>
      <c r="F235">
        <v>67</v>
      </c>
      <c r="G235">
        <v>260</v>
      </c>
      <c r="H235">
        <v>32</v>
      </c>
      <c r="I235">
        <v>211</v>
      </c>
      <c r="J235">
        <v>50.545417</v>
      </c>
      <c r="K235">
        <v>10.879583</v>
      </c>
      <c r="L235">
        <v>67</v>
      </c>
      <c r="M235">
        <v>1049.5999999999999</v>
      </c>
      <c r="N235">
        <v>0.44141999999999998</v>
      </c>
      <c r="O235">
        <v>1686600</v>
      </c>
      <c r="P235">
        <v>20.434999999999999</v>
      </c>
      <c r="Q235">
        <v>0.45548</v>
      </c>
      <c r="R235">
        <v>529</v>
      </c>
      <c r="S235">
        <v>1.4141999999999999</v>
      </c>
      <c r="T235">
        <v>236</v>
      </c>
      <c r="U235">
        <f t="shared" si="3"/>
        <v>0.89406779661016944</v>
      </c>
    </row>
    <row r="236" spans="1:21" x14ac:dyDescent="0.35">
      <c r="A236">
        <v>3241</v>
      </c>
      <c r="B236" t="s">
        <v>3</v>
      </c>
      <c r="C236" t="s">
        <v>1615</v>
      </c>
      <c r="D236">
        <v>74.7</v>
      </c>
      <c r="E236">
        <v>2.8</v>
      </c>
      <c r="F236">
        <v>66</v>
      </c>
      <c r="G236">
        <v>308</v>
      </c>
      <c r="H236">
        <v>190</v>
      </c>
      <c r="I236">
        <v>1299</v>
      </c>
      <c r="J236">
        <v>50.53125</v>
      </c>
      <c r="K236">
        <v>12.59625</v>
      </c>
      <c r="L236">
        <v>66</v>
      </c>
      <c r="M236">
        <v>720</v>
      </c>
      <c r="N236">
        <v>2.3542000000000001</v>
      </c>
      <c r="O236">
        <v>9839000</v>
      </c>
      <c r="P236">
        <v>12.724</v>
      </c>
      <c r="Q236">
        <v>2.6808999999999998</v>
      </c>
      <c r="R236">
        <v>615</v>
      </c>
      <c r="S236">
        <v>3</v>
      </c>
      <c r="T236">
        <v>1392</v>
      </c>
      <c r="U236">
        <f t="shared" si="3"/>
        <v>0.93318965517241381</v>
      </c>
    </row>
    <row r="237" spans="1:21" x14ac:dyDescent="0.35">
      <c r="A237">
        <v>3242</v>
      </c>
      <c r="B237" t="s">
        <v>3</v>
      </c>
      <c r="C237" t="s">
        <v>1616</v>
      </c>
      <c r="D237">
        <v>215</v>
      </c>
      <c r="E237">
        <v>6.7</v>
      </c>
      <c r="F237">
        <v>65</v>
      </c>
      <c r="G237">
        <v>208</v>
      </c>
      <c r="H237">
        <v>1230</v>
      </c>
      <c r="I237">
        <v>8596</v>
      </c>
      <c r="J237">
        <v>50.52375</v>
      </c>
      <c r="K237">
        <v>11.712916999999999</v>
      </c>
      <c r="L237">
        <v>65</v>
      </c>
      <c r="M237">
        <v>2167.5</v>
      </c>
      <c r="N237">
        <v>17.917000000000002</v>
      </c>
      <c r="O237">
        <v>71258000</v>
      </c>
      <c r="P237">
        <v>1.5726</v>
      </c>
      <c r="Q237">
        <v>19.719000000000001</v>
      </c>
      <c r="R237">
        <v>406</v>
      </c>
      <c r="S237">
        <v>0.5</v>
      </c>
      <c r="T237">
        <v>8978</v>
      </c>
      <c r="U237">
        <f t="shared" si="3"/>
        <v>0.95745154822900425</v>
      </c>
    </row>
    <row r="238" spans="1:21" x14ac:dyDescent="0.35">
      <c r="A238">
        <v>3243</v>
      </c>
      <c r="B238" t="s">
        <v>3</v>
      </c>
      <c r="C238" t="s">
        <v>1625</v>
      </c>
      <c r="D238">
        <v>19.3</v>
      </c>
      <c r="E238">
        <v>0.8</v>
      </c>
      <c r="F238">
        <v>59</v>
      </c>
      <c r="G238">
        <v>282</v>
      </c>
      <c r="H238">
        <v>49</v>
      </c>
      <c r="I238">
        <v>659</v>
      </c>
      <c r="J238">
        <v>50.495417000000003</v>
      </c>
      <c r="K238">
        <v>6.4212499999999997</v>
      </c>
      <c r="L238">
        <v>59</v>
      </c>
      <c r="M238">
        <v>649</v>
      </c>
      <c r="N238">
        <v>0.78620999999999996</v>
      </c>
      <c r="O238">
        <v>3014200</v>
      </c>
      <c r="P238">
        <v>7.4408000000000003</v>
      </c>
      <c r="Q238">
        <v>0.94845999999999997</v>
      </c>
      <c r="R238">
        <v>476</v>
      </c>
      <c r="S238">
        <v>7.2801</v>
      </c>
      <c r="T238">
        <v>367</v>
      </c>
      <c r="U238">
        <f t="shared" si="3"/>
        <v>1.7956403269754768</v>
      </c>
    </row>
    <row r="239" spans="1:21" x14ac:dyDescent="0.35">
      <c r="A239">
        <v>3246</v>
      </c>
      <c r="B239" t="s">
        <v>3</v>
      </c>
      <c r="C239" t="s">
        <v>1653</v>
      </c>
      <c r="D239">
        <v>10</v>
      </c>
      <c r="E239">
        <v>1.2</v>
      </c>
      <c r="F239">
        <v>24</v>
      </c>
      <c r="G239">
        <v>250</v>
      </c>
      <c r="H239">
        <v>380</v>
      </c>
      <c r="I239">
        <v>2639</v>
      </c>
      <c r="J239">
        <v>50.428750000000001</v>
      </c>
      <c r="K239">
        <v>12.098750000000001</v>
      </c>
      <c r="L239">
        <v>24</v>
      </c>
      <c r="M239">
        <v>720</v>
      </c>
      <c r="N239">
        <v>1.6651</v>
      </c>
      <c r="O239">
        <v>6502000</v>
      </c>
      <c r="P239">
        <v>14.061999999999999</v>
      </c>
      <c r="Q239">
        <v>4.7649999999999997</v>
      </c>
      <c r="R239">
        <v>418</v>
      </c>
      <c r="S239">
        <v>6.4031000000000002</v>
      </c>
      <c r="T239">
        <v>2775</v>
      </c>
      <c r="U239">
        <f t="shared" si="3"/>
        <v>0.95099099099099094</v>
      </c>
    </row>
    <row r="240" spans="1:21" x14ac:dyDescent="0.35">
      <c r="A240">
        <v>3247</v>
      </c>
      <c r="B240" t="s">
        <v>3</v>
      </c>
      <c r="C240" t="s">
        <v>1633</v>
      </c>
      <c r="D240">
        <v>17.600000000000001</v>
      </c>
      <c r="E240">
        <v>1.1000000000000001</v>
      </c>
      <c r="F240">
        <v>52</v>
      </c>
      <c r="G240">
        <v>375</v>
      </c>
      <c r="H240">
        <v>52</v>
      </c>
      <c r="I240">
        <v>362</v>
      </c>
      <c r="J240">
        <v>50.397083000000002</v>
      </c>
      <c r="K240">
        <v>12.054582999999999</v>
      </c>
      <c r="L240">
        <v>52</v>
      </c>
      <c r="M240">
        <v>969.33</v>
      </c>
      <c r="N240">
        <v>0.53058000000000005</v>
      </c>
      <c r="O240">
        <v>2080000</v>
      </c>
      <c r="P240">
        <v>12.430999999999999</v>
      </c>
      <c r="Q240">
        <v>0.69811999999999996</v>
      </c>
      <c r="R240">
        <v>448</v>
      </c>
      <c r="S240">
        <v>12.728</v>
      </c>
      <c r="T240">
        <v>383</v>
      </c>
      <c r="U240">
        <f t="shared" si="3"/>
        <v>0.94516971279373363</v>
      </c>
    </row>
    <row r="241" spans="1:21" x14ac:dyDescent="0.35">
      <c r="A241">
        <v>3249</v>
      </c>
      <c r="B241" t="s">
        <v>3</v>
      </c>
      <c r="C241" t="s">
        <v>1621</v>
      </c>
      <c r="D241">
        <v>21</v>
      </c>
      <c r="E241">
        <v>0.5</v>
      </c>
      <c r="F241">
        <v>61</v>
      </c>
      <c r="G241">
        <v>290</v>
      </c>
      <c r="H241">
        <v>38</v>
      </c>
      <c r="I241">
        <v>267</v>
      </c>
      <c r="J241">
        <v>50.328749999999999</v>
      </c>
      <c r="K241">
        <v>11.48875</v>
      </c>
      <c r="L241">
        <v>61</v>
      </c>
      <c r="M241">
        <v>720</v>
      </c>
      <c r="N241">
        <v>0.54500999999999999</v>
      </c>
      <c r="O241">
        <v>2127500</v>
      </c>
      <c r="P241">
        <v>9.7317</v>
      </c>
      <c r="Q241">
        <v>0.62897999999999998</v>
      </c>
      <c r="R241">
        <v>454</v>
      </c>
      <c r="S241">
        <v>7.8102</v>
      </c>
      <c r="T241">
        <v>279</v>
      </c>
      <c r="U241">
        <f t="shared" si="3"/>
        <v>0.956989247311828</v>
      </c>
    </row>
    <row r="242" spans="1:21" x14ac:dyDescent="0.35">
      <c r="A242">
        <v>3264</v>
      </c>
      <c r="B242" t="s">
        <v>3</v>
      </c>
      <c r="C242" t="s">
        <v>1652</v>
      </c>
      <c r="D242">
        <v>19.3</v>
      </c>
      <c r="E242">
        <v>1.1000000000000001</v>
      </c>
      <c r="F242">
        <v>28</v>
      </c>
      <c r="G242">
        <v>130</v>
      </c>
      <c r="H242">
        <v>483</v>
      </c>
      <c r="I242">
        <v>4099</v>
      </c>
      <c r="J242">
        <v>49.356250000000003</v>
      </c>
      <c r="K242">
        <v>12.447917</v>
      </c>
      <c r="L242">
        <v>28</v>
      </c>
      <c r="M242">
        <v>360</v>
      </c>
      <c r="N242">
        <v>2.6825999999999999</v>
      </c>
      <c r="O242">
        <v>11397000</v>
      </c>
      <c r="P242">
        <v>4.5519999999999996</v>
      </c>
      <c r="Q242">
        <v>7.5937000000000001</v>
      </c>
      <c r="R242">
        <v>445</v>
      </c>
      <c r="S242">
        <v>1.4141999999999999</v>
      </c>
      <c r="T242">
        <v>3457</v>
      </c>
      <c r="U242">
        <f t="shared" si="3"/>
        <v>1.1857101533121204</v>
      </c>
    </row>
    <row r="243" spans="1:21" x14ac:dyDescent="0.35">
      <c r="A243">
        <v>3266</v>
      </c>
      <c r="B243" t="s">
        <v>3</v>
      </c>
      <c r="C243" t="s">
        <v>1659</v>
      </c>
      <c r="D243">
        <v>11.7</v>
      </c>
      <c r="E243">
        <v>1.9</v>
      </c>
      <c r="F243">
        <v>19</v>
      </c>
      <c r="G243">
        <v>1600</v>
      </c>
      <c r="H243">
        <v>35</v>
      </c>
      <c r="I243">
        <v>300</v>
      </c>
      <c r="J243">
        <v>49.216250000000002</v>
      </c>
      <c r="K243">
        <v>11.177083</v>
      </c>
      <c r="L243">
        <v>19</v>
      </c>
      <c r="M243">
        <v>900</v>
      </c>
      <c r="N243">
        <v>0.11042</v>
      </c>
      <c r="O243">
        <v>446520</v>
      </c>
      <c r="P243">
        <v>29.556999999999999</v>
      </c>
      <c r="Q243">
        <v>0.42458000000000001</v>
      </c>
      <c r="R243">
        <v>368</v>
      </c>
      <c r="S243">
        <v>4.4721000000000002</v>
      </c>
      <c r="T243">
        <v>253</v>
      </c>
      <c r="U243">
        <f t="shared" si="3"/>
        <v>1.1857707509881423</v>
      </c>
    </row>
    <row r="244" spans="1:21" x14ac:dyDescent="0.35">
      <c r="A244">
        <v>3268</v>
      </c>
      <c r="B244" t="s">
        <v>3</v>
      </c>
      <c r="C244" t="s">
        <v>1665</v>
      </c>
      <c r="D244">
        <v>13.9</v>
      </c>
      <c r="E244">
        <v>3.9</v>
      </c>
      <c r="F244">
        <v>6</v>
      </c>
      <c r="G244">
        <v>12500</v>
      </c>
      <c r="H244">
        <v>630</v>
      </c>
      <c r="I244">
        <v>5937</v>
      </c>
      <c r="J244">
        <v>49.128749999999997</v>
      </c>
      <c r="K244">
        <v>10.733750000000001</v>
      </c>
      <c r="L244">
        <v>6</v>
      </c>
      <c r="M244">
        <v>402.49</v>
      </c>
      <c r="N244">
        <v>0.61575000000000002</v>
      </c>
      <c r="O244">
        <v>2380200</v>
      </c>
      <c r="P244">
        <v>28.72</v>
      </c>
      <c r="Q244">
        <v>7.7039</v>
      </c>
      <c r="R244">
        <v>412</v>
      </c>
      <c r="S244">
        <v>2.8283999999999998</v>
      </c>
      <c r="T244">
        <v>4495</v>
      </c>
      <c r="U244">
        <f t="shared" si="3"/>
        <v>1.3208008898776418</v>
      </c>
    </row>
    <row r="245" spans="1:21" x14ac:dyDescent="0.35">
      <c r="A245">
        <v>3269</v>
      </c>
      <c r="B245" t="s">
        <v>3</v>
      </c>
      <c r="C245" t="s">
        <v>1646</v>
      </c>
      <c r="D245">
        <v>129</v>
      </c>
      <c r="E245">
        <v>8</v>
      </c>
      <c r="F245">
        <v>40</v>
      </c>
      <c r="G245">
        <v>1800</v>
      </c>
      <c r="H245">
        <v>58</v>
      </c>
      <c r="I245">
        <v>548</v>
      </c>
      <c r="J245">
        <v>49.128749999999997</v>
      </c>
      <c r="K245">
        <v>10.962916999999999</v>
      </c>
      <c r="L245">
        <v>40</v>
      </c>
      <c r="M245">
        <v>1659.5</v>
      </c>
      <c r="N245">
        <v>0.36337999999999998</v>
      </c>
      <c r="O245">
        <v>1408700</v>
      </c>
      <c r="P245">
        <v>24.478999999999999</v>
      </c>
      <c r="Q245">
        <v>0.61990999999999996</v>
      </c>
      <c r="R245">
        <v>400</v>
      </c>
      <c r="S245">
        <v>1</v>
      </c>
      <c r="T245">
        <v>413</v>
      </c>
      <c r="U245">
        <f t="shared" si="3"/>
        <v>1.3268765133171914</v>
      </c>
    </row>
    <row r="246" spans="1:21" x14ac:dyDescent="0.35">
      <c r="A246">
        <v>3270</v>
      </c>
      <c r="B246" t="s">
        <v>3</v>
      </c>
      <c r="C246" t="s">
        <v>1609</v>
      </c>
      <c r="D246">
        <v>20.3</v>
      </c>
      <c r="E246">
        <v>0.8</v>
      </c>
      <c r="F246">
        <v>86</v>
      </c>
      <c r="G246">
        <v>640</v>
      </c>
      <c r="H246">
        <v>30</v>
      </c>
      <c r="I246">
        <v>314</v>
      </c>
      <c r="J246">
        <v>49.015416999999999</v>
      </c>
      <c r="K246">
        <v>13.334583</v>
      </c>
      <c r="L246">
        <v>86</v>
      </c>
      <c r="M246">
        <v>900</v>
      </c>
      <c r="N246">
        <v>0.66363000000000005</v>
      </c>
      <c r="O246">
        <v>3043800</v>
      </c>
      <c r="P246">
        <v>15.211</v>
      </c>
      <c r="Q246">
        <v>0.64365000000000006</v>
      </c>
      <c r="R246">
        <v>803</v>
      </c>
      <c r="S246">
        <v>14.141999999999999</v>
      </c>
      <c r="T246">
        <v>222</v>
      </c>
      <c r="U246">
        <f t="shared" si="3"/>
        <v>1.4144144144144144</v>
      </c>
    </row>
    <row r="247" spans="1:21" x14ac:dyDescent="0.35">
      <c r="A247">
        <v>3276</v>
      </c>
      <c r="B247" t="s">
        <v>3</v>
      </c>
      <c r="C247" t="s">
        <v>1663</v>
      </c>
      <c r="D247">
        <v>13.1</v>
      </c>
      <c r="E247">
        <v>0.5</v>
      </c>
      <c r="F247">
        <v>13</v>
      </c>
      <c r="G247">
        <v>1100</v>
      </c>
      <c r="H247">
        <v>565</v>
      </c>
      <c r="I247">
        <v>8652</v>
      </c>
      <c r="J247">
        <v>48.420417</v>
      </c>
      <c r="K247">
        <v>12.89625</v>
      </c>
      <c r="L247">
        <v>13</v>
      </c>
      <c r="M247">
        <v>360</v>
      </c>
      <c r="N247">
        <v>1.518</v>
      </c>
      <c r="O247">
        <v>7407500</v>
      </c>
      <c r="P247">
        <v>35.542000000000002</v>
      </c>
      <c r="Q247">
        <v>10.246</v>
      </c>
      <c r="R247">
        <v>430</v>
      </c>
      <c r="S247">
        <v>2</v>
      </c>
      <c r="T247">
        <v>3961</v>
      </c>
      <c r="U247">
        <f t="shared" si="3"/>
        <v>2.1842968947235546</v>
      </c>
    </row>
    <row r="248" spans="1:21" x14ac:dyDescent="0.35">
      <c r="A248">
        <v>3280</v>
      </c>
      <c r="B248" t="s">
        <v>3</v>
      </c>
      <c r="C248" t="s">
        <v>1660</v>
      </c>
      <c r="D248">
        <v>14.5</v>
      </c>
      <c r="E248">
        <v>5.8</v>
      </c>
      <c r="F248">
        <v>14</v>
      </c>
      <c r="G248">
        <v>-99</v>
      </c>
      <c r="H248">
        <v>190</v>
      </c>
      <c r="I248">
        <v>2833</v>
      </c>
      <c r="J248">
        <v>48.220416999999998</v>
      </c>
      <c r="K248">
        <v>11.796250000000001</v>
      </c>
      <c r="L248">
        <v>14</v>
      </c>
      <c r="M248">
        <v>2174.9</v>
      </c>
      <c r="N248">
        <v>0.45718999999999999</v>
      </c>
      <c r="O248">
        <v>2414900</v>
      </c>
      <c r="P248">
        <v>24.739000000000001</v>
      </c>
      <c r="Q248">
        <v>3.0583</v>
      </c>
      <c r="R248">
        <v>495</v>
      </c>
      <c r="S248">
        <v>0.5</v>
      </c>
      <c r="T248">
        <v>1326</v>
      </c>
      <c r="U248">
        <f t="shared" si="3"/>
        <v>2.1365007541478129</v>
      </c>
    </row>
    <row r="249" spans="1:21" x14ac:dyDescent="0.35">
      <c r="A249">
        <v>3285</v>
      </c>
      <c r="B249" t="s">
        <v>3</v>
      </c>
      <c r="C249" t="s">
        <v>1617</v>
      </c>
      <c r="D249">
        <v>108</v>
      </c>
      <c r="E249">
        <v>4</v>
      </c>
      <c r="F249">
        <v>64</v>
      </c>
      <c r="G249">
        <v>250</v>
      </c>
      <c r="H249">
        <v>44</v>
      </c>
      <c r="I249">
        <v>873</v>
      </c>
      <c r="J249">
        <v>47.803750000000001</v>
      </c>
      <c r="K249">
        <v>8.1845829999999999</v>
      </c>
      <c r="L249">
        <v>64</v>
      </c>
      <c r="M249">
        <v>742.16</v>
      </c>
      <c r="N249">
        <v>1.0626</v>
      </c>
      <c r="O249">
        <v>4220000</v>
      </c>
      <c r="P249">
        <v>12.234999999999999</v>
      </c>
      <c r="Q249">
        <v>1.1599999999999999</v>
      </c>
      <c r="R249">
        <v>969</v>
      </c>
      <c r="S249">
        <v>3.1623000000000001</v>
      </c>
      <c r="T249">
        <v>306</v>
      </c>
      <c r="U249">
        <f t="shared" si="3"/>
        <v>2.8529411764705883</v>
      </c>
    </row>
    <row r="250" spans="1:21" x14ac:dyDescent="0.35">
      <c r="A250">
        <v>3287</v>
      </c>
      <c r="B250" t="s">
        <v>3</v>
      </c>
      <c r="C250" t="s">
        <v>290</v>
      </c>
      <c r="D250">
        <v>165</v>
      </c>
      <c r="E250">
        <v>12.3</v>
      </c>
      <c r="F250">
        <v>41</v>
      </c>
      <c r="G250">
        <v>320</v>
      </c>
      <c r="H250">
        <v>1577</v>
      </c>
      <c r="I250">
        <v>49829</v>
      </c>
      <c r="J250">
        <v>47.653750000000002</v>
      </c>
      <c r="K250">
        <v>10.742082999999999</v>
      </c>
      <c r="L250">
        <v>41</v>
      </c>
      <c r="M250">
        <v>1879.3</v>
      </c>
      <c r="N250">
        <v>20.295999999999999</v>
      </c>
      <c r="O250">
        <v>87520000</v>
      </c>
      <c r="P250">
        <v>3.0688</v>
      </c>
      <c r="Q250">
        <v>46.884</v>
      </c>
      <c r="R250">
        <v>809</v>
      </c>
      <c r="S250">
        <v>1</v>
      </c>
      <c r="T250">
        <v>10854</v>
      </c>
      <c r="U250">
        <f t="shared" si="3"/>
        <v>4.5908420858669619</v>
      </c>
    </row>
    <row r="251" spans="1:21" x14ac:dyDescent="0.35">
      <c r="A251">
        <v>3288</v>
      </c>
      <c r="B251" t="s">
        <v>3</v>
      </c>
      <c r="C251" t="s">
        <v>1647</v>
      </c>
      <c r="D251">
        <v>28.4</v>
      </c>
      <c r="E251">
        <v>2.5</v>
      </c>
      <c r="F251">
        <v>38</v>
      </c>
      <c r="G251">
        <v>190</v>
      </c>
      <c r="H251">
        <v>34</v>
      </c>
      <c r="I251">
        <v>821</v>
      </c>
      <c r="J251">
        <v>47.632916999999999</v>
      </c>
      <c r="K251">
        <v>10.362083</v>
      </c>
      <c r="L251">
        <v>38</v>
      </c>
      <c r="M251">
        <v>1610</v>
      </c>
      <c r="N251">
        <v>0.44286999999999999</v>
      </c>
      <c r="O251">
        <v>2326400</v>
      </c>
      <c r="P251">
        <v>9.4234000000000009</v>
      </c>
      <c r="Q251">
        <v>1.0469999999999999</v>
      </c>
      <c r="R251">
        <v>832</v>
      </c>
      <c r="S251">
        <v>5</v>
      </c>
      <c r="T251">
        <v>234</v>
      </c>
      <c r="U251">
        <f t="shared" si="3"/>
        <v>3.5085470085470085</v>
      </c>
    </row>
    <row r="252" spans="1:21" x14ac:dyDescent="0.35">
      <c r="A252">
        <v>3289</v>
      </c>
      <c r="B252" t="s">
        <v>3</v>
      </c>
      <c r="C252" t="s">
        <v>1655</v>
      </c>
      <c r="D252">
        <v>16</v>
      </c>
      <c r="E252">
        <v>1.1000000000000001</v>
      </c>
      <c r="F252">
        <v>21</v>
      </c>
      <c r="G252">
        <v>170</v>
      </c>
      <c r="H252">
        <v>81</v>
      </c>
      <c r="I252">
        <v>2127</v>
      </c>
      <c r="J252">
        <v>47.619582999999999</v>
      </c>
      <c r="K252">
        <v>10.45875</v>
      </c>
      <c r="L252">
        <v>21</v>
      </c>
      <c r="M252">
        <v>1451.2</v>
      </c>
      <c r="N252">
        <v>0.56511999999999996</v>
      </c>
      <c r="O252">
        <v>2968600</v>
      </c>
      <c r="P252">
        <v>7.9501999999999997</v>
      </c>
      <c r="Q252">
        <v>2.4430000000000001</v>
      </c>
      <c r="R252">
        <v>887</v>
      </c>
      <c r="S252">
        <v>1</v>
      </c>
      <c r="T252">
        <v>546</v>
      </c>
      <c r="U252">
        <f t="shared" si="3"/>
        <v>3.8956043956043955</v>
      </c>
    </row>
    <row r="253" spans="1:21" x14ac:dyDescent="0.35">
      <c r="A253">
        <v>3290</v>
      </c>
      <c r="B253" t="s">
        <v>3</v>
      </c>
      <c r="C253" t="s">
        <v>1639</v>
      </c>
      <c r="D253">
        <v>104</v>
      </c>
      <c r="E253">
        <v>1.7</v>
      </c>
      <c r="F253">
        <v>45</v>
      </c>
      <c r="G253">
        <v>180</v>
      </c>
      <c r="H253">
        <v>1133</v>
      </c>
      <c r="I253">
        <v>26320</v>
      </c>
      <c r="J253">
        <v>47.585417</v>
      </c>
      <c r="K253">
        <v>11.550416999999999</v>
      </c>
      <c r="L253">
        <v>45</v>
      </c>
      <c r="M253">
        <v>254.56</v>
      </c>
      <c r="N253">
        <v>16.007999999999999</v>
      </c>
      <c r="O253">
        <v>75055000</v>
      </c>
      <c r="P253">
        <v>0.13097</v>
      </c>
      <c r="Q253">
        <v>29.779</v>
      </c>
      <c r="R253">
        <v>766</v>
      </c>
      <c r="S253">
        <v>19.105</v>
      </c>
      <c r="T253">
        <v>7856</v>
      </c>
      <c r="U253">
        <f t="shared" si="3"/>
        <v>3.3503054989816698</v>
      </c>
    </row>
    <row r="254" spans="1:21" x14ac:dyDescent="0.35">
      <c r="A254">
        <v>3803</v>
      </c>
      <c r="B254" t="s">
        <v>1377</v>
      </c>
      <c r="C254" t="s">
        <v>1669</v>
      </c>
      <c r="D254">
        <v>5.2</v>
      </c>
      <c r="E254">
        <v>1.2</v>
      </c>
      <c r="F254">
        <v>12</v>
      </c>
      <c r="G254">
        <v>840</v>
      </c>
      <c r="H254">
        <v>225</v>
      </c>
      <c r="I254">
        <v>1485</v>
      </c>
      <c r="J254">
        <v>48.449582999999997</v>
      </c>
      <c r="K254">
        <v>20.764582999999998</v>
      </c>
      <c r="L254">
        <v>12</v>
      </c>
      <c r="M254">
        <v>804.98</v>
      </c>
      <c r="N254">
        <v>0.21046999999999999</v>
      </c>
      <c r="O254">
        <v>1085600</v>
      </c>
      <c r="P254">
        <v>3.8502999999999998</v>
      </c>
      <c r="Q254">
        <v>1.5973999999999999</v>
      </c>
      <c r="R254">
        <v>144</v>
      </c>
      <c r="S254">
        <v>16.030999999999999</v>
      </c>
      <c r="T254">
        <v>1590</v>
      </c>
      <c r="U254">
        <f t="shared" si="3"/>
        <v>0.93396226415094341</v>
      </c>
    </row>
    <row r="255" spans="1:21" x14ac:dyDescent="0.35">
      <c r="A255">
        <v>3810</v>
      </c>
      <c r="B255" t="s">
        <v>1377</v>
      </c>
      <c r="C255" t="s">
        <v>1667</v>
      </c>
      <c r="D255">
        <v>8.3000000000000007</v>
      </c>
      <c r="E255">
        <v>1.5</v>
      </c>
      <c r="F255">
        <v>17</v>
      </c>
      <c r="G255">
        <v>312</v>
      </c>
      <c r="H255">
        <v>14</v>
      </c>
      <c r="I255">
        <v>100</v>
      </c>
      <c r="J255">
        <v>47.812083000000001</v>
      </c>
      <c r="K255">
        <v>20.079583</v>
      </c>
      <c r="L255">
        <v>17</v>
      </c>
      <c r="M255">
        <v>569.21</v>
      </c>
      <c r="N255">
        <v>1.555E-2</v>
      </c>
      <c r="O255">
        <v>80036</v>
      </c>
      <c r="P255">
        <v>54.070999999999998</v>
      </c>
      <c r="Q255">
        <v>8.4344000000000002E-2</v>
      </c>
      <c r="R255">
        <v>165</v>
      </c>
      <c r="S255">
        <v>3</v>
      </c>
      <c r="T255">
        <v>95</v>
      </c>
      <c r="U255">
        <f t="shared" si="3"/>
        <v>1.0526315789473684</v>
      </c>
    </row>
    <row r="256" spans="1:21" x14ac:dyDescent="0.35">
      <c r="A256">
        <v>3814</v>
      </c>
      <c r="B256" t="s">
        <v>1377</v>
      </c>
      <c r="C256" t="s">
        <v>1666</v>
      </c>
      <c r="D256">
        <v>228.6</v>
      </c>
      <c r="E256">
        <v>119</v>
      </c>
      <c r="F256">
        <v>26</v>
      </c>
      <c r="G256">
        <v>341</v>
      </c>
      <c r="H256">
        <v>65561</v>
      </c>
      <c r="I256">
        <v>520327</v>
      </c>
      <c r="J256">
        <v>47.499583000000001</v>
      </c>
      <c r="K256">
        <v>20.518750000000001</v>
      </c>
      <c r="L256">
        <v>26</v>
      </c>
      <c r="M256">
        <v>720</v>
      </c>
      <c r="N256">
        <v>161.22999999999999</v>
      </c>
      <c r="O256">
        <v>859790000</v>
      </c>
      <c r="P256">
        <v>3.2915999999999999</v>
      </c>
      <c r="Q256">
        <v>688.93</v>
      </c>
      <c r="R256">
        <v>87</v>
      </c>
      <c r="S256">
        <v>1</v>
      </c>
      <c r="T256">
        <v>457250</v>
      </c>
      <c r="U256">
        <f t="shared" si="3"/>
        <v>1.1379486057955166</v>
      </c>
    </row>
    <row r="257" spans="1:21" x14ac:dyDescent="0.35">
      <c r="A257">
        <v>3817</v>
      </c>
      <c r="B257" t="s">
        <v>1377</v>
      </c>
      <c r="C257" t="s">
        <v>1668</v>
      </c>
      <c r="D257">
        <v>14.3</v>
      </c>
      <c r="E257">
        <v>1.3</v>
      </c>
      <c r="F257">
        <v>14</v>
      </c>
      <c r="G257">
        <v>108</v>
      </c>
      <c r="H257">
        <v>261</v>
      </c>
      <c r="I257">
        <v>537</v>
      </c>
      <c r="J257">
        <v>47.282916999999998</v>
      </c>
      <c r="K257">
        <v>18.250416999999999</v>
      </c>
      <c r="L257">
        <v>14</v>
      </c>
      <c r="M257">
        <v>180</v>
      </c>
      <c r="N257">
        <v>0.26355000000000001</v>
      </c>
      <c r="O257">
        <v>1262100</v>
      </c>
      <c r="P257">
        <v>20.009</v>
      </c>
      <c r="Q257">
        <v>1.6298999999999999</v>
      </c>
      <c r="R257">
        <v>223</v>
      </c>
      <c r="S257">
        <v>0.5</v>
      </c>
      <c r="T257">
        <v>1794</v>
      </c>
      <c r="U257">
        <f t="shared" si="3"/>
        <v>0.29933110367892979</v>
      </c>
    </row>
    <row r="258" spans="1:21" x14ac:dyDescent="0.35">
      <c r="A258">
        <v>3334</v>
      </c>
      <c r="B258" t="s">
        <v>9</v>
      </c>
      <c r="C258" t="s">
        <v>1674</v>
      </c>
      <c r="D258">
        <v>64.3</v>
      </c>
      <c r="E258">
        <v>2.7</v>
      </c>
      <c r="F258">
        <v>92</v>
      </c>
      <c r="G258">
        <v>970</v>
      </c>
      <c r="H258">
        <v>43</v>
      </c>
      <c r="I258">
        <v>1778</v>
      </c>
      <c r="J258">
        <v>46.520417000000002</v>
      </c>
      <c r="K258">
        <v>10.317083</v>
      </c>
      <c r="L258">
        <v>92</v>
      </c>
      <c r="M258">
        <v>509.12</v>
      </c>
      <c r="N258">
        <v>0.79332999999999998</v>
      </c>
      <c r="O258">
        <v>2471500</v>
      </c>
      <c r="P258">
        <v>12.057</v>
      </c>
      <c r="Q258">
        <v>0.85734999999999995</v>
      </c>
      <c r="R258">
        <v>1911</v>
      </c>
      <c r="S258">
        <v>4.1231</v>
      </c>
      <c r="T258">
        <v>292</v>
      </c>
      <c r="U258">
        <f t="shared" ref="U258:U321" si="4">I258/T258</f>
        <v>6.0890410958904111</v>
      </c>
    </row>
    <row r="259" spans="1:21" x14ac:dyDescent="0.35">
      <c r="A259">
        <v>3338</v>
      </c>
      <c r="B259" t="s">
        <v>9</v>
      </c>
      <c r="C259" t="s">
        <v>1678</v>
      </c>
      <c r="D259">
        <v>32.6</v>
      </c>
      <c r="E259">
        <v>0.6</v>
      </c>
      <c r="F259">
        <v>75</v>
      </c>
      <c r="G259">
        <v>245</v>
      </c>
      <c r="H259">
        <v>23</v>
      </c>
      <c r="I259">
        <v>943</v>
      </c>
      <c r="J259">
        <v>46.478749999999998</v>
      </c>
      <c r="K259">
        <v>9.3462499999999995</v>
      </c>
      <c r="L259">
        <v>75</v>
      </c>
      <c r="M259">
        <v>917.82</v>
      </c>
      <c r="N259">
        <v>0.79139999999999999</v>
      </c>
      <c r="O259">
        <v>3150000</v>
      </c>
      <c r="P259">
        <v>11.747999999999999</v>
      </c>
      <c r="Q259">
        <v>0.79554999999999998</v>
      </c>
      <c r="R259">
        <v>1875</v>
      </c>
      <c r="S259">
        <v>4.1231</v>
      </c>
      <c r="T259">
        <v>152</v>
      </c>
      <c r="U259">
        <f t="shared" si="4"/>
        <v>6.2039473684210522</v>
      </c>
    </row>
    <row r="260" spans="1:21" x14ac:dyDescent="0.35">
      <c r="A260">
        <v>3344</v>
      </c>
      <c r="B260" t="s">
        <v>9</v>
      </c>
      <c r="C260" t="s">
        <v>1686</v>
      </c>
      <c r="D260">
        <v>15.7</v>
      </c>
      <c r="E260">
        <v>0.4</v>
      </c>
      <c r="F260">
        <v>46</v>
      </c>
      <c r="G260">
        <v>199</v>
      </c>
      <c r="H260">
        <v>9</v>
      </c>
      <c r="I260">
        <v>384</v>
      </c>
      <c r="J260">
        <v>46.441249999999997</v>
      </c>
      <c r="K260">
        <v>8.4337499999999999</v>
      </c>
      <c r="L260">
        <v>46</v>
      </c>
      <c r="M260">
        <v>1138.4000000000001</v>
      </c>
      <c r="N260">
        <v>0.20760000000000001</v>
      </c>
      <c r="O260">
        <v>759210</v>
      </c>
      <c r="P260">
        <v>25.646000000000001</v>
      </c>
      <c r="Q260">
        <v>0.37679000000000001</v>
      </c>
      <c r="R260">
        <v>2212</v>
      </c>
      <c r="S260">
        <v>1</v>
      </c>
      <c r="T260">
        <v>61</v>
      </c>
      <c r="U260">
        <f t="shared" si="4"/>
        <v>6.2950819672131146</v>
      </c>
    </row>
    <row r="261" spans="1:21" x14ac:dyDescent="0.35">
      <c r="A261">
        <v>3347</v>
      </c>
      <c r="B261" t="s">
        <v>9</v>
      </c>
      <c r="C261" t="s">
        <v>1680</v>
      </c>
      <c r="D261">
        <v>17.600000000000001</v>
      </c>
      <c r="E261">
        <v>0.4</v>
      </c>
      <c r="F261">
        <v>59</v>
      </c>
      <c r="G261">
        <v>565</v>
      </c>
      <c r="H261">
        <v>33</v>
      </c>
      <c r="I261">
        <v>1416</v>
      </c>
      <c r="J261">
        <v>46.426250000000003</v>
      </c>
      <c r="K261">
        <v>8.3962500000000002</v>
      </c>
      <c r="L261">
        <v>59</v>
      </c>
      <c r="M261">
        <v>569.21</v>
      </c>
      <c r="N261">
        <v>0.96802999999999995</v>
      </c>
      <c r="O261">
        <v>3540200</v>
      </c>
      <c r="P261">
        <v>4.3975</v>
      </c>
      <c r="Q261">
        <v>1.3713</v>
      </c>
      <c r="R261">
        <v>1797</v>
      </c>
      <c r="S261">
        <v>0.5</v>
      </c>
      <c r="T261">
        <v>222</v>
      </c>
      <c r="U261">
        <f t="shared" si="4"/>
        <v>6.3783783783783781</v>
      </c>
    </row>
    <row r="262" spans="1:21" x14ac:dyDescent="0.35">
      <c r="A262">
        <v>3348</v>
      </c>
      <c r="B262" t="s">
        <v>9</v>
      </c>
      <c r="C262" t="s">
        <v>1692</v>
      </c>
      <c r="D262">
        <v>12</v>
      </c>
      <c r="E262">
        <v>0.2</v>
      </c>
      <c r="F262">
        <v>12</v>
      </c>
      <c r="G262">
        <v>268</v>
      </c>
      <c r="H262">
        <v>2</v>
      </c>
      <c r="I262">
        <v>69</v>
      </c>
      <c r="J262">
        <v>46.426250000000003</v>
      </c>
      <c r="K262">
        <v>8.4379170000000006</v>
      </c>
      <c r="L262">
        <v>12</v>
      </c>
      <c r="M262">
        <v>569.21</v>
      </c>
      <c r="N262">
        <v>1.0607E-2</v>
      </c>
      <c r="O262">
        <v>38790</v>
      </c>
      <c r="P262">
        <v>81.918999999999997</v>
      </c>
      <c r="Q262">
        <v>7.4121999999999993E-2</v>
      </c>
      <c r="R262">
        <v>2205</v>
      </c>
      <c r="S262">
        <v>1</v>
      </c>
      <c r="T262">
        <v>12</v>
      </c>
      <c r="U262">
        <f t="shared" si="4"/>
        <v>5.75</v>
      </c>
    </row>
    <row r="263" spans="1:21" x14ac:dyDescent="0.35">
      <c r="A263">
        <v>3350</v>
      </c>
      <c r="B263" t="s">
        <v>9</v>
      </c>
      <c r="C263" t="s">
        <v>1679</v>
      </c>
      <c r="D263">
        <v>44.8</v>
      </c>
      <c r="E263">
        <v>0.8</v>
      </c>
      <c r="F263">
        <v>64</v>
      </c>
      <c r="G263">
        <v>279</v>
      </c>
      <c r="H263">
        <v>14</v>
      </c>
      <c r="I263">
        <v>600</v>
      </c>
      <c r="J263">
        <v>46.422083000000001</v>
      </c>
      <c r="K263">
        <v>8.3462499999999995</v>
      </c>
      <c r="L263">
        <v>64</v>
      </c>
      <c r="M263">
        <v>569.21</v>
      </c>
      <c r="N263">
        <v>0.45008999999999999</v>
      </c>
      <c r="O263">
        <v>1646000</v>
      </c>
      <c r="P263">
        <v>10.75</v>
      </c>
      <c r="Q263">
        <v>0.58679999999999999</v>
      </c>
      <c r="R263">
        <v>2432</v>
      </c>
      <c r="S263">
        <v>5.0990000000000002</v>
      </c>
      <c r="T263">
        <v>95</v>
      </c>
      <c r="U263">
        <f t="shared" si="4"/>
        <v>6.3157894736842106</v>
      </c>
    </row>
    <row r="264" spans="1:21" x14ac:dyDescent="0.35">
      <c r="A264">
        <v>3352</v>
      </c>
      <c r="B264" t="s">
        <v>9</v>
      </c>
      <c r="C264" t="s">
        <v>1688</v>
      </c>
      <c r="D264">
        <v>10.1</v>
      </c>
      <c r="E264">
        <v>0.2</v>
      </c>
      <c r="F264">
        <v>39</v>
      </c>
      <c r="G264">
        <v>120</v>
      </c>
      <c r="H264">
        <v>11</v>
      </c>
      <c r="I264">
        <v>465</v>
      </c>
      <c r="J264">
        <v>46.382916999999999</v>
      </c>
      <c r="K264">
        <v>8.3612500000000001</v>
      </c>
      <c r="L264">
        <v>39</v>
      </c>
      <c r="M264">
        <v>360</v>
      </c>
      <c r="N264">
        <v>0.22478999999999999</v>
      </c>
      <c r="O264">
        <v>822100</v>
      </c>
      <c r="P264">
        <v>6.2882999999999996</v>
      </c>
      <c r="Q264">
        <v>0.48179</v>
      </c>
      <c r="R264">
        <v>2218</v>
      </c>
      <c r="S264">
        <v>5.8310000000000004</v>
      </c>
      <c r="T264">
        <v>78</v>
      </c>
      <c r="U264">
        <f t="shared" si="4"/>
        <v>5.9615384615384617</v>
      </c>
    </row>
    <row r="265" spans="1:21" x14ac:dyDescent="0.35">
      <c r="A265">
        <v>3353</v>
      </c>
      <c r="B265" t="s">
        <v>9</v>
      </c>
      <c r="C265" t="s">
        <v>1689</v>
      </c>
      <c r="D265">
        <v>20.8</v>
      </c>
      <c r="E265">
        <v>0.3</v>
      </c>
      <c r="F265">
        <v>35</v>
      </c>
      <c r="G265">
        <v>228</v>
      </c>
      <c r="H265">
        <v>8</v>
      </c>
      <c r="I265">
        <v>323</v>
      </c>
      <c r="J265">
        <v>46.362082999999998</v>
      </c>
      <c r="K265">
        <v>9.3137500000000006</v>
      </c>
      <c r="L265">
        <v>35</v>
      </c>
      <c r="M265">
        <v>540</v>
      </c>
      <c r="N265">
        <v>0.13505</v>
      </c>
      <c r="O265">
        <v>526970</v>
      </c>
      <c r="P265">
        <v>11.676</v>
      </c>
      <c r="Q265">
        <v>0.27744000000000002</v>
      </c>
      <c r="R265">
        <v>2063</v>
      </c>
      <c r="S265">
        <v>5</v>
      </c>
      <c r="T265">
        <v>52</v>
      </c>
      <c r="U265">
        <f t="shared" si="4"/>
        <v>6.2115384615384617</v>
      </c>
    </row>
    <row r="266" spans="1:21" x14ac:dyDescent="0.35">
      <c r="A266">
        <v>3356</v>
      </c>
      <c r="B266" t="s">
        <v>9</v>
      </c>
      <c r="C266" t="s">
        <v>1690</v>
      </c>
      <c r="D266">
        <v>16.5</v>
      </c>
      <c r="E266">
        <v>0.6</v>
      </c>
      <c r="F266">
        <v>33</v>
      </c>
      <c r="G266">
        <v>116</v>
      </c>
      <c r="H266">
        <v>27</v>
      </c>
      <c r="I266">
        <v>1146</v>
      </c>
      <c r="J266">
        <v>46.337083</v>
      </c>
      <c r="K266">
        <v>8.2845829999999996</v>
      </c>
      <c r="L266">
        <v>33</v>
      </c>
      <c r="M266">
        <v>509.12</v>
      </c>
      <c r="N266">
        <v>0.44241000000000003</v>
      </c>
      <c r="O266">
        <v>1618000</v>
      </c>
      <c r="P266">
        <v>3.3856000000000002</v>
      </c>
      <c r="Q266">
        <v>1.1242000000000001</v>
      </c>
      <c r="R266">
        <v>1889</v>
      </c>
      <c r="S266">
        <v>3.6055999999999999</v>
      </c>
      <c r="T266">
        <v>182</v>
      </c>
      <c r="U266">
        <f t="shared" si="4"/>
        <v>6.2967032967032965</v>
      </c>
    </row>
    <row r="267" spans="1:21" x14ac:dyDescent="0.35">
      <c r="A267">
        <v>3359</v>
      </c>
      <c r="B267" t="s">
        <v>9</v>
      </c>
      <c r="C267" t="s">
        <v>1670</v>
      </c>
      <c r="D267">
        <v>69.3</v>
      </c>
      <c r="E267">
        <v>0.5</v>
      </c>
      <c r="F267">
        <v>174</v>
      </c>
      <c r="G267">
        <v>528</v>
      </c>
      <c r="H267">
        <v>35</v>
      </c>
      <c r="I267">
        <v>1328</v>
      </c>
      <c r="J267">
        <v>46.316249999999997</v>
      </c>
      <c r="K267">
        <v>9.9445829999999997</v>
      </c>
      <c r="L267">
        <v>174</v>
      </c>
      <c r="M267">
        <v>804.98</v>
      </c>
      <c r="N267">
        <v>2.5476000000000001</v>
      </c>
      <c r="O267">
        <v>7984400</v>
      </c>
      <c r="P267">
        <v>18.016999999999999</v>
      </c>
      <c r="Q267">
        <v>1.0680000000000001</v>
      </c>
      <c r="R267">
        <v>2035</v>
      </c>
      <c r="S267">
        <v>1.4141999999999999</v>
      </c>
      <c r="T267">
        <v>234</v>
      </c>
      <c r="U267">
        <f t="shared" si="4"/>
        <v>5.6752136752136755</v>
      </c>
    </row>
    <row r="268" spans="1:21" x14ac:dyDescent="0.35">
      <c r="A268">
        <v>3362</v>
      </c>
      <c r="B268" t="s">
        <v>9</v>
      </c>
      <c r="C268" t="s">
        <v>1683</v>
      </c>
      <c r="D268">
        <v>20.100000000000001</v>
      </c>
      <c r="E268">
        <v>0.4</v>
      </c>
      <c r="F268">
        <v>57</v>
      </c>
      <c r="G268">
        <v>243</v>
      </c>
      <c r="H268">
        <v>11</v>
      </c>
      <c r="I268">
        <v>458</v>
      </c>
      <c r="J268">
        <v>46.295417</v>
      </c>
      <c r="K268">
        <v>8.3020829999999997</v>
      </c>
      <c r="L268">
        <v>57</v>
      </c>
      <c r="M268">
        <v>540</v>
      </c>
      <c r="N268">
        <v>0.29958000000000001</v>
      </c>
      <c r="O268">
        <v>1095600</v>
      </c>
      <c r="P268">
        <v>12.53</v>
      </c>
      <c r="Q268">
        <v>0.43856000000000001</v>
      </c>
      <c r="R268">
        <v>1602</v>
      </c>
      <c r="S268">
        <v>2.2361</v>
      </c>
      <c r="T268">
        <v>71</v>
      </c>
      <c r="U268">
        <f t="shared" si="4"/>
        <v>6.450704225352113</v>
      </c>
    </row>
    <row r="269" spans="1:21" x14ac:dyDescent="0.35">
      <c r="A269">
        <v>3370</v>
      </c>
      <c r="B269" t="s">
        <v>9</v>
      </c>
      <c r="C269" t="s">
        <v>1672</v>
      </c>
      <c r="D269">
        <v>51.8</v>
      </c>
      <c r="E269">
        <v>0.5</v>
      </c>
      <c r="F269">
        <v>138</v>
      </c>
      <c r="G269">
        <v>316</v>
      </c>
      <c r="H269">
        <v>28</v>
      </c>
      <c r="I269">
        <v>774</v>
      </c>
      <c r="J269">
        <v>46.100417</v>
      </c>
      <c r="K269">
        <v>10.133749999999999</v>
      </c>
      <c r="L269">
        <v>138</v>
      </c>
      <c r="M269">
        <v>649</v>
      </c>
      <c r="N269">
        <v>1.2766999999999999</v>
      </c>
      <c r="O269">
        <v>3974000</v>
      </c>
      <c r="P269">
        <v>19.361000000000001</v>
      </c>
      <c r="Q269">
        <v>0.71808000000000005</v>
      </c>
      <c r="R269">
        <v>1457</v>
      </c>
      <c r="S269">
        <v>4.4721000000000002</v>
      </c>
      <c r="T269">
        <v>187</v>
      </c>
      <c r="U269">
        <f t="shared" si="4"/>
        <v>4.1390374331550799</v>
      </c>
    </row>
    <row r="270" spans="1:21" x14ac:dyDescent="0.35">
      <c r="A270">
        <v>3374</v>
      </c>
      <c r="B270" t="s">
        <v>9</v>
      </c>
      <c r="C270" t="s">
        <v>1675</v>
      </c>
      <c r="D270">
        <v>60.7</v>
      </c>
      <c r="E270">
        <v>0.8</v>
      </c>
      <c r="F270">
        <v>84</v>
      </c>
      <c r="G270">
        <v>563</v>
      </c>
      <c r="H270">
        <v>51</v>
      </c>
      <c r="I270">
        <v>1269</v>
      </c>
      <c r="J270">
        <v>46.053750000000001</v>
      </c>
      <c r="K270">
        <v>10.519583000000001</v>
      </c>
      <c r="L270">
        <v>84</v>
      </c>
      <c r="M270">
        <v>1049.5999999999999</v>
      </c>
      <c r="N270">
        <v>1.3033999999999999</v>
      </c>
      <c r="O270">
        <v>3882600</v>
      </c>
      <c r="P270">
        <v>13.302</v>
      </c>
      <c r="Q270">
        <v>1.1814</v>
      </c>
      <c r="R270">
        <v>1738</v>
      </c>
      <c r="S270">
        <v>6</v>
      </c>
      <c r="T270">
        <v>335</v>
      </c>
      <c r="U270">
        <f t="shared" si="4"/>
        <v>3.7880597014925375</v>
      </c>
    </row>
    <row r="271" spans="1:21" x14ac:dyDescent="0.35">
      <c r="A271">
        <v>3377</v>
      </c>
      <c r="B271" t="s">
        <v>9</v>
      </c>
      <c r="C271" t="s">
        <v>1687</v>
      </c>
      <c r="D271">
        <v>38.799999999999997</v>
      </c>
      <c r="E271">
        <v>0.5</v>
      </c>
      <c r="F271">
        <v>40</v>
      </c>
      <c r="G271">
        <v>159</v>
      </c>
      <c r="H271">
        <v>14</v>
      </c>
      <c r="I271">
        <v>340</v>
      </c>
      <c r="J271">
        <v>46.046250000000001</v>
      </c>
      <c r="K271">
        <v>10.430417</v>
      </c>
      <c r="L271">
        <v>40</v>
      </c>
      <c r="M271">
        <v>254.56</v>
      </c>
      <c r="N271">
        <v>0.18154999999999999</v>
      </c>
      <c r="O271">
        <v>565120</v>
      </c>
      <c r="P271">
        <v>7.1351000000000004</v>
      </c>
      <c r="Q271">
        <v>0.35327999999999998</v>
      </c>
      <c r="R271">
        <v>1931</v>
      </c>
      <c r="S271">
        <v>8.0623000000000005</v>
      </c>
      <c r="T271">
        <v>92</v>
      </c>
      <c r="U271">
        <f t="shared" si="4"/>
        <v>3.6956521739130435</v>
      </c>
    </row>
    <row r="272" spans="1:21" x14ac:dyDescent="0.35">
      <c r="A272">
        <v>3378</v>
      </c>
      <c r="B272" t="s">
        <v>9</v>
      </c>
      <c r="C272" t="s">
        <v>1682</v>
      </c>
      <c r="D272">
        <v>12.9</v>
      </c>
      <c r="E272">
        <v>0.4</v>
      </c>
      <c r="F272">
        <v>57</v>
      </c>
      <c r="G272">
        <v>440</v>
      </c>
      <c r="H272">
        <v>102</v>
      </c>
      <c r="I272">
        <v>2469</v>
      </c>
      <c r="J272">
        <v>45.997917000000001</v>
      </c>
      <c r="K272">
        <v>10.52125</v>
      </c>
      <c r="L272">
        <v>57</v>
      </c>
      <c r="M272">
        <v>402.49</v>
      </c>
      <c r="N272">
        <v>1.9168000000000001</v>
      </c>
      <c r="O272">
        <v>6170100</v>
      </c>
      <c r="P272">
        <v>1.7846</v>
      </c>
      <c r="Q272">
        <v>2.4689999999999999</v>
      </c>
      <c r="R272">
        <v>1332</v>
      </c>
      <c r="S272">
        <v>0.5</v>
      </c>
      <c r="T272">
        <v>688</v>
      </c>
      <c r="U272">
        <f t="shared" si="4"/>
        <v>3.5886627906976742</v>
      </c>
    </row>
    <row r="273" spans="1:21" x14ac:dyDescent="0.35">
      <c r="A273">
        <v>3382</v>
      </c>
      <c r="B273" t="s">
        <v>9</v>
      </c>
      <c r="C273" t="s">
        <v>1685</v>
      </c>
      <c r="D273">
        <v>11.8</v>
      </c>
      <c r="E273">
        <v>0.3</v>
      </c>
      <c r="F273">
        <v>49</v>
      </c>
      <c r="G273">
        <v>368</v>
      </c>
      <c r="H273">
        <v>3</v>
      </c>
      <c r="I273">
        <v>133</v>
      </c>
      <c r="J273">
        <v>45.932917000000003</v>
      </c>
      <c r="K273">
        <v>7.6654169999999997</v>
      </c>
      <c r="L273">
        <v>49</v>
      </c>
      <c r="M273">
        <v>402.49</v>
      </c>
      <c r="N273">
        <v>0.13344</v>
      </c>
      <c r="O273">
        <v>545420</v>
      </c>
      <c r="P273">
        <v>14.673999999999999</v>
      </c>
      <c r="Q273">
        <v>0.26651999999999998</v>
      </c>
      <c r="R273">
        <v>2498</v>
      </c>
      <c r="S273">
        <v>0.5</v>
      </c>
      <c r="T273">
        <v>95</v>
      </c>
      <c r="U273">
        <f t="shared" si="4"/>
        <v>1.4</v>
      </c>
    </row>
    <row r="274" spans="1:21" x14ac:dyDescent="0.35">
      <c r="A274">
        <v>3385</v>
      </c>
      <c r="B274" t="s">
        <v>9</v>
      </c>
      <c r="C274" t="s">
        <v>1671</v>
      </c>
      <c r="D274">
        <v>107.8</v>
      </c>
      <c r="E274">
        <v>0.7</v>
      </c>
      <c r="F274">
        <v>155</v>
      </c>
      <c r="G274">
        <v>678</v>
      </c>
      <c r="H274">
        <v>76</v>
      </c>
      <c r="I274">
        <v>3041</v>
      </c>
      <c r="J274">
        <v>45.899583</v>
      </c>
      <c r="K274">
        <v>7.4945830000000004</v>
      </c>
      <c r="L274">
        <v>155</v>
      </c>
      <c r="M274">
        <v>569.21</v>
      </c>
      <c r="N274">
        <v>3.1294</v>
      </c>
      <c r="O274">
        <v>11062000</v>
      </c>
      <c r="P274">
        <v>7.5964999999999998</v>
      </c>
      <c r="Q274">
        <v>1.4843999999999999</v>
      </c>
      <c r="R274">
        <v>2099</v>
      </c>
      <c r="S274">
        <v>14</v>
      </c>
      <c r="T274">
        <v>514</v>
      </c>
      <c r="U274">
        <f t="shared" si="4"/>
        <v>5.9163424124513622</v>
      </c>
    </row>
    <row r="275" spans="1:21" x14ac:dyDescent="0.35">
      <c r="A275">
        <v>3386</v>
      </c>
      <c r="B275" t="s">
        <v>9</v>
      </c>
      <c r="C275" t="s">
        <v>1681</v>
      </c>
      <c r="D275">
        <v>16.100000000000001</v>
      </c>
      <c r="E275">
        <v>0.3</v>
      </c>
      <c r="F275">
        <v>58</v>
      </c>
      <c r="G275">
        <v>508</v>
      </c>
      <c r="H275">
        <v>12</v>
      </c>
      <c r="I275">
        <v>483</v>
      </c>
      <c r="J275">
        <v>45.881250000000001</v>
      </c>
      <c r="K275">
        <v>7.5920829999999997</v>
      </c>
      <c r="L275">
        <v>58</v>
      </c>
      <c r="M275">
        <v>900</v>
      </c>
      <c r="N275">
        <v>0.12313</v>
      </c>
      <c r="O275">
        <v>503270</v>
      </c>
      <c r="P275">
        <v>45.633000000000003</v>
      </c>
      <c r="Q275">
        <v>0.20760999999999999</v>
      </c>
      <c r="R275">
        <v>2153</v>
      </c>
      <c r="S275">
        <v>3.1623000000000001</v>
      </c>
      <c r="T275">
        <v>74</v>
      </c>
      <c r="U275">
        <f t="shared" si="4"/>
        <v>6.5270270270270272</v>
      </c>
    </row>
    <row r="276" spans="1:21" x14ac:dyDescent="0.35">
      <c r="A276">
        <v>3395</v>
      </c>
      <c r="B276" t="s">
        <v>9</v>
      </c>
      <c r="C276" t="s">
        <v>1691</v>
      </c>
      <c r="D276">
        <v>426</v>
      </c>
      <c r="E276">
        <v>208.2</v>
      </c>
      <c r="F276">
        <v>14</v>
      </c>
      <c r="G276">
        <v>200</v>
      </c>
      <c r="H276">
        <v>6750</v>
      </c>
      <c r="I276">
        <v>246377</v>
      </c>
      <c r="J276">
        <v>45.674582999999998</v>
      </c>
      <c r="K276">
        <v>8.6820830000000004</v>
      </c>
      <c r="L276">
        <v>14</v>
      </c>
      <c r="M276">
        <v>360</v>
      </c>
      <c r="N276">
        <v>41.387</v>
      </c>
      <c r="O276">
        <v>166280000</v>
      </c>
      <c r="P276">
        <v>7.5359999999999996</v>
      </c>
      <c r="Q276">
        <v>250.83</v>
      </c>
      <c r="R276">
        <v>211</v>
      </c>
      <c r="S276">
        <v>1</v>
      </c>
      <c r="T276">
        <v>45399</v>
      </c>
      <c r="U276">
        <f t="shared" si="4"/>
        <v>5.4269257032093217</v>
      </c>
    </row>
    <row r="277" spans="1:21" x14ac:dyDescent="0.35">
      <c r="A277">
        <v>3396</v>
      </c>
      <c r="B277" t="s">
        <v>9</v>
      </c>
      <c r="C277" t="s">
        <v>1673</v>
      </c>
      <c r="D277">
        <v>74</v>
      </c>
      <c r="E277">
        <v>0.5</v>
      </c>
      <c r="F277">
        <v>132</v>
      </c>
      <c r="G277">
        <v>394</v>
      </c>
      <c r="H277">
        <v>90</v>
      </c>
      <c r="I277">
        <v>2984</v>
      </c>
      <c r="J277">
        <v>45.617916999999998</v>
      </c>
      <c r="K277">
        <v>7.0587499999999999</v>
      </c>
      <c r="L277">
        <v>132</v>
      </c>
      <c r="M277">
        <v>509.12</v>
      </c>
      <c r="N277">
        <v>2.6383000000000001</v>
      </c>
      <c r="O277">
        <v>9996800</v>
      </c>
      <c r="P277">
        <v>5.6753999999999998</v>
      </c>
      <c r="Q277">
        <v>2.1221000000000001</v>
      </c>
      <c r="R277">
        <v>1747</v>
      </c>
      <c r="S277">
        <v>10.050000000000001</v>
      </c>
      <c r="T277">
        <v>619</v>
      </c>
      <c r="U277">
        <f t="shared" si="4"/>
        <v>4.8206785137318251</v>
      </c>
    </row>
    <row r="278" spans="1:21" x14ac:dyDescent="0.35">
      <c r="A278">
        <v>3399</v>
      </c>
      <c r="B278" t="s">
        <v>9</v>
      </c>
      <c r="C278" t="s">
        <v>1677</v>
      </c>
      <c r="D278">
        <v>24</v>
      </c>
      <c r="E278">
        <v>0.2</v>
      </c>
      <c r="F278">
        <v>80</v>
      </c>
      <c r="G278">
        <v>515</v>
      </c>
      <c r="H278">
        <v>16</v>
      </c>
      <c r="I278">
        <v>549</v>
      </c>
      <c r="J278">
        <v>45.487082999999998</v>
      </c>
      <c r="K278">
        <v>7.367083</v>
      </c>
      <c r="L278">
        <v>80</v>
      </c>
      <c r="M278">
        <v>900</v>
      </c>
      <c r="N278">
        <v>0.33718999999999999</v>
      </c>
      <c r="O278">
        <v>1213400</v>
      </c>
      <c r="P278">
        <v>33.258000000000003</v>
      </c>
      <c r="Q278">
        <v>0.33</v>
      </c>
      <c r="R278">
        <v>1906</v>
      </c>
      <c r="S278">
        <v>1</v>
      </c>
      <c r="T278">
        <v>109</v>
      </c>
      <c r="U278">
        <f t="shared" si="4"/>
        <v>5.0366972477064218</v>
      </c>
    </row>
    <row r="279" spans="1:21" x14ac:dyDescent="0.35">
      <c r="A279">
        <v>3402</v>
      </c>
      <c r="B279" t="s">
        <v>9</v>
      </c>
      <c r="C279" t="s">
        <v>1693</v>
      </c>
      <c r="D279">
        <v>14.5</v>
      </c>
      <c r="E279">
        <v>0.4</v>
      </c>
      <c r="F279">
        <v>-99</v>
      </c>
      <c r="G279">
        <v>-99</v>
      </c>
      <c r="H279">
        <v>9</v>
      </c>
      <c r="I279">
        <v>289</v>
      </c>
      <c r="J279">
        <v>45.462083</v>
      </c>
      <c r="K279">
        <v>7.1320829999999997</v>
      </c>
      <c r="L279">
        <v>22</v>
      </c>
      <c r="M279">
        <v>569.21</v>
      </c>
      <c r="N279">
        <v>4.7527E-2</v>
      </c>
      <c r="O279">
        <v>182290</v>
      </c>
      <c r="P279">
        <v>18.088000000000001</v>
      </c>
      <c r="Q279">
        <v>0.15676000000000001</v>
      </c>
      <c r="R279">
        <v>2314</v>
      </c>
      <c r="S279">
        <v>2</v>
      </c>
      <c r="T279">
        <v>60</v>
      </c>
      <c r="U279">
        <f t="shared" si="4"/>
        <v>4.8166666666666664</v>
      </c>
    </row>
    <row r="280" spans="1:21" x14ac:dyDescent="0.35">
      <c r="A280">
        <v>3403</v>
      </c>
      <c r="B280" t="s">
        <v>9</v>
      </c>
      <c r="C280" t="s">
        <v>1684</v>
      </c>
      <c r="D280">
        <v>34.1</v>
      </c>
      <c r="E280">
        <v>0.9</v>
      </c>
      <c r="F280">
        <v>52</v>
      </c>
      <c r="G280">
        <v>302</v>
      </c>
      <c r="H280">
        <v>86</v>
      </c>
      <c r="I280">
        <v>2749</v>
      </c>
      <c r="J280">
        <v>45.429583000000001</v>
      </c>
      <c r="K280">
        <v>7.2429170000000003</v>
      </c>
      <c r="L280">
        <v>52</v>
      </c>
      <c r="M280">
        <v>720</v>
      </c>
      <c r="N280">
        <v>0.99822999999999995</v>
      </c>
      <c r="O280">
        <v>3828700</v>
      </c>
      <c r="P280">
        <v>4.1368</v>
      </c>
      <c r="Q280">
        <v>1.3926000000000001</v>
      </c>
      <c r="R280">
        <v>1578</v>
      </c>
      <c r="S280">
        <v>0.5</v>
      </c>
      <c r="T280">
        <v>533</v>
      </c>
      <c r="U280">
        <f t="shared" si="4"/>
        <v>5.1575984990619137</v>
      </c>
    </row>
    <row r="281" spans="1:21" x14ac:dyDescent="0.35">
      <c r="A281">
        <v>3431</v>
      </c>
      <c r="B281" t="s">
        <v>9</v>
      </c>
      <c r="C281" t="s">
        <v>1676</v>
      </c>
      <c r="D281">
        <v>25</v>
      </c>
      <c r="E281">
        <v>0.6</v>
      </c>
      <c r="F281">
        <v>82</v>
      </c>
      <c r="G281">
        <v>260</v>
      </c>
      <c r="H281">
        <v>25</v>
      </c>
      <c r="I281">
        <v>455</v>
      </c>
      <c r="J281">
        <v>44.53875</v>
      </c>
      <c r="K281">
        <v>9.2045829999999995</v>
      </c>
      <c r="L281">
        <v>82</v>
      </c>
      <c r="M281">
        <v>540</v>
      </c>
      <c r="N281">
        <v>0.57064000000000004</v>
      </c>
      <c r="O281">
        <v>2418900</v>
      </c>
      <c r="P281">
        <v>10.722</v>
      </c>
      <c r="Q281">
        <v>0.54486000000000001</v>
      </c>
      <c r="R281">
        <v>768</v>
      </c>
      <c r="S281">
        <v>1</v>
      </c>
      <c r="T281">
        <v>162</v>
      </c>
      <c r="U281">
        <f t="shared" si="4"/>
        <v>2.808641975308642</v>
      </c>
    </row>
    <row r="282" spans="1:21" x14ac:dyDescent="0.35">
      <c r="A282">
        <v>3735</v>
      </c>
      <c r="B282" t="s">
        <v>10</v>
      </c>
      <c r="C282" t="s">
        <v>1695</v>
      </c>
      <c r="D282">
        <v>340</v>
      </c>
      <c r="E282">
        <v>36.299999999999997</v>
      </c>
      <c r="F282">
        <v>35</v>
      </c>
      <c r="G282">
        <v>146</v>
      </c>
      <c r="H282">
        <v>83581</v>
      </c>
      <c r="I282">
        <v>570308</v>
      </c>
      <c r="J282">
        <v>56.852083</v>
      </c>
      <c r="K282">
        <v>24.274583</v>
      </c>
      <c r="L282">
        <v>35</v>
      </c>
      <c r="M282">
        <v>1980</v>
      </c>
      <c r="N282">
        <v>278.52999999999997</v>
      </c>
      <c r="O282">
        <v>1412300000</v>
      </c>
      <c r="P282">
        <v>0.15751999999999999</v>
      </c>
      <c r="Q282">
        <v>928.08</v>
      </c>
      <c r="R282">
        <v>11</v>
      </c>
      <c r="S282">
        <v>1.4141999999999999</v>
      </c>
      <c r="T282">
        <v>693520</v>
      </c>
      <c r="U282">
        <f t="shared" si="4"/>
        <v>0.82233821663398321</v>
      </c>
    </row>
    <row r="283" spans="1:21" x14ac:dyDescent="0.35">
      <c r="A283">
        <v>3736</v>
      </c>
      <c r="B283" t="s">
        <v>10</v>
      </c>
      <c r="C283" t="s">
        <v>1696</v>
      </c>
      <c r="D283">
        <v>157</v>
      </c>
      <c r="E283">
        <v>15.3</v>
      </c>
      <c r="F283">
        <v>21</v>
      </c>
      <c r="G283">
        <v>508</v>
      </c>
      <c r="H283">
        <v>81526</v>
      </c>
      <c r="I283">
        <v>553324</v>
      </c>
      <c r="J283">
        <v>56.737082999999998</v>
      </c>
      <c r="K283">
        <v>24.712917000000001</v>
      </c>
      <c r="L283">
        <v>21</v>
      </c>
      <c r="M283">
        <v>402.49</v>
      </c>
      <c r="N283">
        <v>150.44</v>
      </c>
      <c r="O283">
        <v>766490000</v>
      </c>
      <c r="P283">
        <v>6.3203999999999996E-2</v>
      </c>
      <c r="Q283">
        <v>902.72</v>
      </c>
      <c r="R283">
        <v>29</v>
      </c>
      <c r="S283">
        <v>1</v>
      </c>
      <c r="T283">
        <v>676010</v>
      </c>
      <c r="U283">
        <f t="shared" si="4"/>
        <v>0.81851451901599093</v>
      </c>
    </row>
    <row r="284" spans="1:21" x14ac:dyDescent="0.35">
      <c r="A284">
        <v>3737</v>
      </c>
      <c r="B284" t="s">
        <v>10</v>
      </c>
      <c r="C284" t="s">
        <v>1694</v>
      </c>
      <c r="D284">
        <v>510</v>
      </c>
      <c r="E284">
        <v>25.4</v>
      </c>
      <c r="F284">
        <v>58</v>
      </c>
      <c r="G284">
        <v>214</v>
      </c>
      <c r="H284">
        <v>80778</v>
      </c>
      <c r="I284">
        <v>547532</v>
      </c>
      <c r="J284">
        <v>56.582082999999997</v>
      </c>
      <c r="K284">
        <v>25.240417000000001</v>
      </c>
      <c r="L284">
        <v>58</v>
      </c>
      <c r="M284">
        <v>12221</v>
      </c>
      <c r="N284">
        <v>458.12</v>
      </c>
      <c r="O284">
        <v>2338400000</v>
      </c>
      <c r="P284">
        <v>0.4844</v>
      </c>
      <c r="Q284">
        <v>893.67</v>
      </c>
      <c r="R284">
        <v>71</v>
      </c>
      <c r="S284">
        <v>1</v>
      </c>
      <c r="T284">
        <v>669670</v>
      </c>
      <c r="U284">
        <f t="shared" si="4"/>
        <v>0.81761464601968137</v>
      </c>
    </row>
    <row r="285" spans="1:21" x14ac:dyDescent="0.35">
      <c r="A285">
        <v>3738</v>
      </c>
      <c r="B285" t="s">
        <v>1378</v>
      </c>
      <c r="C285" t="s">
        <v>1698</v>
      </c>
      <c r="D285">
        <v>33.200000000000003</v>
      </c>
      <c r="E285">
        <v>7</v>
      </c>
      <c r="F285">
        <v>16</v>
      </c>
      <c r="G285">
        <v>600</v>
      </c>
      <c r="H285">
        <v>444</v>
      </c>
      <c r="I285">
        <v>3100</v>
      </c>
      <c r="J285">
        <v>55.853749999999998</v>
      </c>
      <c r="K285">
        <v>24.971250000000001</v>
      </c>
      <c r="L285">
        <v>16</v>
      </c>
      <c r="M285">
        <v>742.16</v>
      </c>
      <c r="N285">
        <v>0.85516999999999999</v>
      </c>
      <c r="O285">
        <v>3872800</v>
      </c>
      <c r="P285">
        <v>3.1173999999999999</v>
      </c>
      <c r="Q285">
        <v>4.6921999999999997</v>
      </c>
      <c r="R285">
        <v>73</v>
      </c>
      <c r="S285">
        <v>3</v>
      </c>
      <c r="T285">
        <v>3690</v>
      </c>
      <c r="U285">
        <f t="shared" si="4"/>
        <v>0.84010840108401086</v>
      </c>
    </row>
    <row r="286" spans="1:21" x14ac:dyDescent="0.35">
      <c r="A286">
        <v>3739</v>
      </c>
      <c r="B286" t="s">
        <v>1378</v>
      </c>
      <c r="C286" t="s">
        <v>1697</v>
      </c>
      <c r="D286">
        <v>462</v>
      </c>
      <c r="E286">
        <v>45.5</v>
      </c>
      <c r="F286">
        <v>16</v>
      </c>
      <c r="G286">
        <v>464</v>
      </c>
      <c r="H286">
        <v>44736</v>
      </c>
      <c r="I286">
        <v>252805</v>
      </c>
      <c r="J286">
        <v>54.874583000000001</v>
      </c>
      <c r="K286">
        <v>24.00375</v>
      </c>
      <c r="L286">
        <v>16</v>
      </c>
      <c r="M286">
        <v>540</v>
      </c>
      <c r="N286">
        <v>59.198</v>
      </c>
      <c r="O286">
        <v>301380000</v>
      </c>
      <c r="P286">
        <v>0.10775999999999999</v>
      </c>
      <c r="Q286">
        <v>434.52</v>
      </c>
      <c r="R286">
        <v>39</v>
      </c>
      <c r="S286">
        <v>0.5</v>
      </c>
      <c r="T286">
        <v>352050</v>
      </c>
      <c r="U286">
        <f t="shared" si="4"/>
        <v>0.71809402073569095</v>
      </c>
    </row>
    <row r="287" spans="1:21" x14ac:dyDescent="0.35">
      <c r="A287">
        <v>3259</v>
      </c>
      <c r="B287" t="s">
        <v>11</v>
      </c>
      <c r="C287" t="s">
        <v>1699</v>
      </c>
      <c r="D287">
        <v>62</v>
      </c>
      <c r="E287">
        <v>1.6</v>
      </c>
      <c r="F287">
        <v>49</v>
      </c>
      <c r="G287">
        <v>168</v>
      </c>
      <c r="H287">
        <v>426</v>
      </c>
      <c r="I287">
        <v>6584</v>
      </c>
      <c r="J287">
        <v>49.912083000000003</v>
      </c>
      <c r="K287">
        <v>5.9212499999999997</v>
      </c>
      <c r="L287">
        <v>49</v>
      </c>
      <c r="M287">
        <v>649</v>
      </c>
      <c r="N287">
        <v>5.6898</v>
      </c>
      <c r="O287">
        <v>21639000</v>
      </c>
      <c r="P287">
        <v>2.6524000000000001</v>
      </c>
      <c r="Q287">
        <v>8.6141000000000005</v>
      </c>
      <c r="R287">
        <v>354</v>
      </c>
      <c r="S287">
        <v>0.5</v>
      </c>
      <c r="T287">
        <v>3081</v>
      </c>
      <c r="U287">
        <f t="shared" si="4"/>
        <v>2.1369685167153523</v>
      </c>
    </row>
    <row r="288" spans="1:21" x14ac:dyDescent="0.35">
      <c r="A288">
        <v>3741</v>
      </c>
      <c r="B288" t="s">
        <v>14</v>
      </c>
      <c r="C288" t="s">
        <v>1714</v>
      </c>
      <c r="D288">
        <v>80.599999999999994</v>
      </c>
      <c r="E288">
        <v>8.8000000000000007</v>
      </c>
      <c r="F288">
        <v>25</v>
      </c>
      <c r="G288">
        <v>340</v>
      </c>
      <c r="H288">
        <v>3923</v>
      </c>
      <c r="I288">
        <v>26303</v>
      </c>
      <c r="J288">
        <v>53.332917000000002</v>
      </c>
      <c r="K288">
        <v>17.962917000000001</v>
      </c>
      <c r="L288">
        <v>25</v>
      </c>
      <c r="M288">
        <v>1260</v>
      </c>
      <c r="N288">
        <v>12.19</v>
      </c>
      <c r="O288">
        <v>47977000</v>
      </c>
      <c r="P288">
        <v>0.82221</v>
      </c>
      <c r="Q288">
        <v>34.24</v>
      </c>
      <c r="R288">
        <v>74</v>
      </c>
      <c r="S288">
        <v>3.1623000000000001</v>
      </c>
      <c r="T288">
        <v>30865</v>
      </c>
      <c r="U288">
        <f t="shared" si="4"/>
        <v>0.85219504292888382</v>
      </c>
    </row>
    <row r="289" spans="1:21" x14ac:dyDescent="0.35">
      <c r="A289">
        <v>3742</v>
      </c>
      <c r="B289" t="s">
        <v>14</v>
      </c>
      <c r="C289" t="s">
        <v>1715</v>
      </c>
      <c r="D289">
        <v>408</v>
      </c>
      <c r="E289">
        <v>56.8</v>
      </c>
      <c r="F289">
        <v>24</v>
      </c>
      <c r="G289">
        <v>1200</v>
      </c>
      <c r="H289">
        <v>170890</v>
      </c>
      <c r="I289">
        <v>967587</v>
      </c>
      <c r="J289">
        <v>52.662083000000003</v>
      </c>
      <c r="K289">
        <v>19.134582999999999</v>
      </c>
      <c r="L289">
        <v>24</v>
      </c>
      <c r="M289">
        <v>1260</v>
      </c>
      <c r="N289">
        <v>385.09</v>
      </c>
      <c r="O289">
        <v>1922400000</v>
      </c>
      <c r="P289">
        <v>6.1773000000000002E-2</v>
      </c>
      <c r="Q289">
        <v>1674.7</v>
      </c>
      <c r="R289">
        <v>40</v>
      </c>
      <c r="S289">
        <v>1</v>
      </c>
      <c r="T289">
        <v>1279500</v>
      </c>
      <c r="U289">
        <f t="shared" si="4"/>
        <v>0.75622274325908556</v>
      </c>
    </row>
    <row r="290" spans="1:21" x14ac:dyDescent="0.35">
      <c r="A290">
        <v>3743</v>
      </c>
      <c r="B290" t="s">
        <v>14</v>
      </c>
      <c r="C290" t="s">
        <v>1721</v>
      </c>
      <c r="D290">
        <v>94.3</v>
      </c>
      <c r="E290">
        <v>15.7</v>
      </c>
      <c r="F290">
        <v>19</v>
      </c>
      <c r="G290">
        <v>450</v>
      </c>
      <c r="H290">
        <v>68571</v>
      </c>
      <c r="I290">
        <v>332049</v>
      </c>
      <c r="J290">
        <v>52.490417000000001</v>
      </c>
      <c r="K290">
        <v>20.924582999999998</v>
      </c>
      <c r="L290">
        <v>19</v>
      </c>
      <c r="M290">
        <v>509.12</v>
      </c>
      <c r="N290">
        <v>107.01</v>
      </c>
      <c r="O290">
        <v>531380000</v>
      </c>
      <c r="P290">
        <v>2.3163999999999998</v>
      </c>
      <c r="Q290">
        <v>590.25</v>
      </c>
      <c r="R290">
        <v>77</v>
      </c>
      <c r="S290">
        <v>0.5</v>
      </c>
      <c r="T290">
        <v>523320</v>
      </c>
      <c r="U290">
        <f t="shared" si="4"/>
        <v>0.63450470075670717</v>
      </c>
    </row>
    <row r="291" spans="1:21" x14ac:dyDescent="0.35">
      <c r="A291">
        <v>3744</v>
      </c>
      <c r="B291" t="s">
        <v>14</v>
      </c>
      <c r="C291" t="s">
        <v>1720</v>
      </c>
      <c r="D291">
        <v>202.8</v>
      </c>
      <c r="E291">
        <v>35.799999999999997</v>
      </c>
      <c r="F291">
        <v>20</v>
      </c>
      <c r="G291">
        <v>2720</v>
      </c>
      <c r="H291">
        <v>9014</v>
      </c>
      <c r="I291">
        <v>46797</v>
      </c>
      <c r="J291">
        <v>51.856250000000003</v>
      </c>
      <c r="K291">
        <v>18.708749999999998</v>
      </c>
      <c r="L291">
        <v>20</v>
      </c>
      <c r="M291">
        <v>2346.9</v>
      </c>
      <c r="N291">
        <v>22.495999999999999</v>
      </c>
      <c r="O291">
        <v>99049000</v>
      </c>
      <c r="P291">
        <v>0.72202</v>
      </c>
      <c r="Q291">
        <v>89.040999999999997</v>
      </c>
      <c r="R291">
        <v>112</v>
      </c>
      <c r="S291">
        <v>7.0711000000000004</v>
      </c>
      <c r="T291">
        <v>66960</v>
      </c>
      <c r="U291">
        <f t="shared" si="4"/>
        <v>0.69887992831541224</v>
      </c>
    </row>
    <row r="292" spans="1:21" x14ac:dyDescent="0.35">
      <c r="A292">
        <v>3745</v>
      </c>
      <c r="B292" t="s">
        <v>14</v>
      </c>
      <c r="C292" t="s">
        <v>1718</v>
      </c>
      <c r="D292">
        <v>84.2</v>
      </c>
      <c r="E292">
        <v>17.100000000000001</v>
      </c>
      <c r="F292">
        <v>21</v>
      </c>
      <c r="G292">
        <v>1210</v>
      </c>
      <c r="H292">
        <v>4930</v>
      </c>
      <c r="I292">
        <v>28768</v>
      </c>
      <c r="J292">
        <v>51.473750000000003</v>
      </c>
      <c r="K292">
        <v>20.000416999999999</v>
      </c>
      <c r="L292">
        <v>21</v>
      </c>
      <c r="M292">
        <v>1152.5999999999999</v>
      </c>
      <c r="N292">
        <v>12.169</v>
      </c>
      <c r="O292">
        <v>55404000</v>
      </c>
      <c r="P292">
        <v>0.59997</v>
      </c>
      <c r="Q292">
        <v>46.966999999999999</v>
      </c>
      <c r="R292">
        <v>159</v>
      </c>
      <c r="S292">
        <v>2.2361</v>
      </c>
      <c r="T292">
        <v>36494</v>
      </c>
      <c r="U292">
        <f t="shared" si="4"/>
        <v>0.78829396613141889</v>
      </c>
    </row>
    <row r="293" spans="1:21" x14ac:dyDescent="0.35">
      <c r="A293">
        <v>3746</v>
      </c>
      <c r="B293" t="s">
        <v>14</v>
      </c>
      <c r="C293" t="s">
        <v>1719</v>
      </c>
      <c r="D293">
        <v>38.6</v>
      </c>
      <c r="E293">
        <v>2.8</v>
      </c>
      <c r="F293">
        <v>21</v>
      </c>
      <c r="G293">
        <v>940</v>
      </c>
      <c r="H293">
        <v>381</v>
      </c>
      <c r="I293">
        <v>2793</v>
      </c>
      <c r="J293">
        <v>51.099583000000003</v>
      </c>
      <c r="K293">
        <v>16.108750000000001</v>
      </c>
      <c r="L293">
        <v>21</v>
      </c>
      <c r="M293">
        <v>360</v>
      </c>
      <c r="N293">
        <v>1.1203000000000001</v>
      </c>
      <c r="O293">
        <v>5636300</v>
      </c>
      <c r="P293">
        <v>17.206</v>
      </c>
      <c r="Q293">
        <v>4.9111000000000002</v>
      </c>
      <c r="R293">
        <v>206</v>
      </c>
      <c r="S293">
        <v>1.4141999999999999</v>
      </c>
      <c r="T293">
        <v>2821</v>
      </c>
      <c r="U293">
        <f t="shared" si="4"/>
        <v>0.99007444168734493</v>
      </c>
    </row>
    <row r="294" spans="1:21" x14ac:dyDescent="0.35">
      <c r="A294">
        <v>3747</v>
      </c>
      <c r="B294" t="s">
        <v>14</v>
      </c>
      <c r="C294" t="s">
        <v>1705</v>
      </c>
      <c r="D294">
        <v>15</v>
      </c>
      <c r="E294">
        <v>0.8</v>
      </c>
      <c r="F294">
        <v>45</v>
      </c>
      <c r="G294">
        <v>130</v>
      </c>
      <c r="H294">
        <v>306</v>
      </c>
      <c r="I294">
        <v>2309</v>
      </c>
      <c r="J294">
        <v>51.032916999999998</v>
      </c>
      <c r="K294">
        <v>15.289583</v>
      </c>
      <c r="L294">
        <v>45</v>
      </c>
      <c r="M294">
        <v>1310.4000000000001</v>
      </c>
      <c r="N294">
        <v>3.3445</v>
      </c>
      <c r="O294">
        <v>15770000</v>
      </c>
      <c r="P294">
        <v>2.8957999999999999</v>
      </c>
      <c r="Q294">
        <v>6.4615999999999998</v>
      </c>
      <c r="R294">
        <v>302</v>
      </c>
      <c r="S294">
        <v>0.5</v>
      </c>
      <c r="T294">
        <v>2263</v>
      </c>
      <c r="U294">
        <f t="shared" si="4"/>
        <v>1.0203269995581088</v>
      </c>
    </row>
    <row r="295" spans="1:21" x14ac:dyDescent="0.35">
      <c r="A295">
        <v>3748</v>
      </c>
      <c r="B295" t="s">
        <v>14</v>
      </c>
      <c r="C295" t="s">
        <v>1710</v>
      </c>
      <c r="D295">
        <v>12.4</v>
      </c>
      <c r="E295">
        <v>0.7</v>
      </c>
      <c r="F295">
        <v>36</v>
      </c>
      <c r="G295">
        <v>168</v>
      </c>
      <c r="H295">
        <v>291</v>
      </c>
      <c r="I295">
        <v>2202</v>
      </c>
      <c r="J295">
        <v>51.022083000000002</v>
      </c>
      <c r="K295">
        <v>15.33375</v>
      </c>
      <c r="L295">
        <v>36</v>
      </c>
      <c r="M295">
        <v>509.12</v>
      </c>
      <c r="N295">
        <v>2.6193</v>
      </c>
      <c r="O295">
        <v>12282000</v>
      </c>
      <c r="P295">
        <v>2.7117</v>
      </c>
      <c r="Q295">
        <v>6.2896000000000001</v>
      </c>
      <c r="R295">
        <v>318</v>
      </c>
      <c r="S295">
        <v>2</v>
      </c>
      <c r="T295">
        <v>2161</v>
      </c>
      <c r="U295">
        <f t="shared" si="4"/>
        <v>1.018972697825081</v>
      </c>
    </row>
    <row r="296" spans="1:21" x14ac:dyDescent="0.35">
      <c r="A296">
        <v>3749</v>
      </c>
      <c r="B296" t="s">
        <v>14</v>
      </c>
      <c r="C296" t="s">
        <v>1713</v>
      </c>
      <c r="D296">
        <v>35</v>
      </c>
      <c r="E296">
        <v>2.2000000000000002</v>
      </c>
      <c r="F296">
        <v>26</v>
      </c>
      <c r="G296">
        <v>252</v>
      </c>
      <c r="H296">
        <v>617</v>
      </c>
      <c r="I296">
        <v>2975</v>
      </c>
      <c r="J296">
        <v>51.019582999999997</v>
      </c>
      <c r="K296">
        <v>21.196249999999999</v>
      </c>
      <c r="L296">
        <v>26</v>
      </c>
      <c r="M296">
        <v>720</v>
      </c>
      <c r="N296">
        <v>1.7089000000000001</v>
      </c>
      <c r="O296">
        <v>7472200</v>
      </c>
      <c r="P296">
        <v>36.381</v>
      </c>
      <c r="Q296">
        <v>5.1298000000000004</v>
      </c>
      <c r="R296">
        <v>217</v>
      </c>
      <c r="S296">
        <v>2.2361</v>
      </c>
      <c r="T296">
        <v>4578</v>
      </c>
      <c r="U296">
        <f t="shared" si="4"/>
        <v>0.64984709480122327</v>
      </c>
    </row>
    <row r="297" spans="1:21" x14ac:dyDescent="0.35">
      <c r="A297">
        <v>3750</v>
      </c>
      <c r="B297" t="s">
        <v>14</v>
      </c>
      <c r="C297" t="s">
        <v>1701</v>
      </c>
      <c r="D297">
        <v>54</v>
      </c>
      <c r="E297">
        <v>1.1000000000000001</v>
      </c>
      <c r="F297">
        <v>69</v>
      </c>
      <c r="G297">
        <v>270</v>
      </c>
      <c r="H297">
        <v>1201</v>
      </c>
      <c r="I297">
        <v>9811</v>
      </c>
      <c r="J297">
        <v>50.966250000000002</v>
      </c>
      <c r="K297">
        <v>15.647083</v>
      </c>
      <c r="L297">
        <v>69</v>
      </c>
      <c r="M297">
        <v>1138.4000000000001</v>
      </c>
      <c r="N297">
        <v>29.122</v>
      </c>
      <c r="O297">
        <v>142240000</v>
      </c>
      <c r="P297">
        <v>1.8294999999999999</v>
      </c>
      <c r="Q297">
        <v>40.051000000000002</v>
      </c>
      <c r="R297">
        <v>285</v>
      </c>
      <c r="S297">
        <v>0.5</v>
      </c>
      <c r="T297">
        <v>8856</v>
      </c>
      <c r="U297">
        <f t="shared" si="4"/>
        <v>1.1078364950316171</v>
      </c>
    </row>
    <row r="298" spans="1:21" x14ac:dyDescent="0.35">
      <c r="A298">
        <v>3751</v>
      </c>
      <c r="B298" t="s">
        <v>14</v>
      </c>
      <c r="C298" t="s">
        <v>1724</v>
      </c>
      <c r="D298">
        <v>70</v>
      </c>
      <c r="E298">
        <v>7.8</v>
      </c>
      <c r="F298">
        <v>17</v>
      </c>
      <c r="G298">
        <v>3220</v>
      </c>
      <c r="H298">
        <v>718</v>
      </c>
      <c r="I298">
        <v>5367</v>
      </c>
      <c r="J298">
        <v>50.953749999999999</v>
      </c>
      <c r="K298">
        <v>16.642083</v>
      </c>
      <c r="L298">
        <v>17</v>
      </c>
      <c r="M298">
        <v>649</v>
      </c>
      <c r="N298">
        <v>1.4599</v>
      </c>
      <c r="O298">
        <v>7590300</v>
      </c>
      <c r="P298">
        <v>1.1937</v>
      </c>
      <c r="Q298">
        <v>8.0913000000000004</v>
      </c>
      <c r="R298">
        <v>172</v>
      </c>
      <c r="S298">
        <v>2.8283999999999998</v>
      </c>
      <c r="T298">
        <v>5287</v>
      </c>
      <c r="U298">
        <f t="shared" si="4"/>
        <v>1.0151314545110648</v>
      </c>
    </row>
    <row r="299" spans="1:21" x14ac:dyDescent="0.35">
      <c r="A299">
        <v>3752</v>
      </c>
      <c r="B299" t="s">
        <v>14</v>
      </c>
      <c r="C299" t="s">
        <v>1712</v>
      </c>
      <c r="D299">
        <v>11.3</v>
      </c>
      <c r="E299">
        <v>0.9</v>
      </c>
      <c r="F299">
        <v>28</v>
      </c>
      <c r="G299">
        <v>528</v>
      </c>
      <c r="H299">
        <v>82</v>
      </c>
      <c r="I299">
        <v>641</v>
      </c>
      <c r="J299">
        <v>50.907083</v>
      </c>
      <c r="K299">
        <v>16.242083000000001</v>
      </c>
      <c r="L299">
        <v>28</v>
      </c>
      <c r="M299">
        <v>1138.4000000000001</v>
      </c>
      <c r="N299">
        <v>0.35911999999999999</v>
      </c>
      <c r="O299">
        <v>1817900</v>
      </c>
      <c r="P299">
        <v>5.1311999999999998</v>
      </c>
      <c r="Q299">
        <v>1.1720999999999999</v>
      </c>
      <c r="R299">
        <v>303</v>
      </c>
      <c r="S299">
        <v>2.2361</v>
      </c>
      <c r="T299">
        <v>605</v>
      </c>
      <c r="U299">
        <f t="shared" si="4"/>
        <v>1.0595041322314049</v>
      </c>
    </row>
    <row r="300" spans="1:21" x14ac:dyDescent="0.35">
      <c r="A300">
        <v>3753</v>
      </c>
      <c r="B300" t="s">
        <v>14</v>
      </c>
      <c r="C300" t="s">
        <v>1726</v>
      </c>
      <c r="D300">
        <v>19.5</v>
      </c>
      <c r="E300">
        <v>4.4000000000000004</v>
      </c>
      <c r="F300">
        <v>13</v>
      </c>
      <c r="G300">
        <v>-99</v>
      </c>
      <c r="H300">
        <v>1373</v>
      </c>
      <c r="I300">
        <v>6483</v>
      </c>
      <c r="J300">
        <v>50.804583000000001</v>
      </c>
      <c r="K300">
        <v>23.033750000000001</v>
      </c>
      <c r="L300">
        <v>13</v>
      </c>
      <c r="M300">
        <v>1370.8</v>
      </c>
      <c r="N300">
        <v>1.2289000000000001</v>
      </c>
      <c r="O300">
        <v>6912600</v>
      </c>
      <c r="P300">
        <v>2.2259000000000002</v>
      </c>
      <c r="Q300">
        <v>10.202999999999999</v>
      </c>
      <c r="R300">
        <v>190</v>
      </c>
      <c r="S300">
        <v>1.4141999999999999</v>
      </c>
      <c r="T300">
        <v>10102</v>
      </c>
      <c r="U300">
        <f t="shared" si="4"/>
        <v>0.64175410809740641</v>
      </c>
    </row>
    <row r="301" spans="1:21" x14ac:dyDescent="0.35">
      <c r="A301">
        <v>3755</v>
      </c>
      <c r="B301" t="s">
        <v>14</v>
      </c>
      <c r="C301" t="s">
        <v>1707</v>
      </c>
      <c r="D301">
        <v>16.8</v>
      </c>
      <c r="E301">
        <v>1.3</v>
      </c>
      <c r="F301">
        <v>38</v>
      </c>
      <c r="G301">
        <v>300</v>
      </c>
      <c r="H301">
        <v>60</v>
      </c>
      <c r="I301">
        <v>503</v>
      </c>
      <c r="J301">
        <v>50.716250000000002</v>
      </c>
      <c r="K301">
        <v>15.950417</v>
      </c>
      <c r="L301">
        <v>38</v>
      </c>
      <c r="M301">
        <v>1152.5999999999999</v>
      </c>
      <c r="N301">
        <v>0.96921000000000002</v>
      </c>
      <c r="O301">
        <v>4722800</v>
      </c>
      <c r="P301">
        <v>3.3227000000000002</v>
      </c>
      <c r="Q301">
        <v>2.4302000000000001</v>
      </c>
      <c r="R301">
        <v>532</v>
      </c>
      <c r="S301">
        <v>5.0990000000000002</v>
      </c>
      <c r="T301">
        <v>439</v>
      </c>
      <c r="U301">
        <f t="shared" si="4"/>
        <v>1.1457858769931664</v>
      </c>
    </row>
    <row r="302" spans="1:21" x14ac:dyDescent="0.35">
      <c r="A302">
        <v>3756</v>
      </c>
      <c r="B302" t="s">
        <v>14</v>
      </c>
      <c r="C302" t="s">
        <v>1717</v>
      </c>
      <c r="D302">
        <v>20.6</v>
      </c>
      <c r="E302">
        <v>2.9</v>
      </c>
      <c r="F302">
        <v>22</v>
      </c>
      <c r="G302">
        <v>412</v>
      </c>
      <c r="H302">
        <v>476</v>
      </c>
      <c r="I302">
        <v>2450</v>
      </c>
      <c r="J302">
        <v>50.632916999999999</v>
      </c>
      <c r="K302">
        <v>21.054583000000001</v>
      </c>
      <c r="L302">
        <v>22</v>
      </c>
      <c r="M302">
        <v>720</v>
      </c>
      <c r="N302">
        <v>1.1752</v>
      </c>
      <c r="O302">
        <v>5162000</v>
      </c>
      <c r="P302">
        <v>2.5230999999999999</v>
      </c>
      <c r="Q302">
        <v>4.1285999999999996</v>
      </c>
      <c r="R302">
        <v>211</v>
      </c>
      <c r="S302">
        <v>2</v>
      </c>
      <c r="T302">
        <v>3504</v>
      </c>
      <c r="U302">
        <f t="shared" si="4"/>
        <v>0.69920091324200917</v>
      </c>
    </row>
    <row r="303" spans="1:21" x14ac:dyDescent="0.35">
      <c r="A303">
        <v>3757</v>
      </c>
      <c r="B303" t="s">
        <v>14</v>
      </c>
      <c r="C303" t="s">
        <v>1716</v>
      </c>
      <c r="D303">
        <v>116.8</v>
      </c>
      <c r="E303">
        <v>13.6</v>
      </c>
      <c r="F303">
        <v>22</v>
      </c>
      <c r="G303">
        <v>5750</v>
      </c>
      <c r="H303">
        <v>2945</v>
      </c>
      <c r="I303">
        <v>22599</v>
      </c>
      <c r="J303">
        <v>50.465417000000002</v>
      </c>
      <c r="K303">
        <v>17.304583000000001</v>
      </c>
      <c r="L303">
        <v>22</v>
      </c>
      <c r="M303">
        <v>2880</v>
      </c>
      <c r="N303">
        <v>10.993</v>
      </c>
      <c r="O303">
        <v>55745000</v>
      </c>
      <c r="P303">
        <v>0.78315999999999997</v>
      </c>
      <c r="Q303">
        <v>47.526000000000003</v>
      </c>
      <c r="R303">
        <v>189</v>
      </c>
      <c r="S303">
        <v>4</v>
      </c>
      <c r="T303">
        <v>21537</v>
      </c>
      <c r="U303">
        <f t="shared" si="4"/>
        <v>1.0493104889260343</v>
      </c>
    </row>
    <row r="304" spans="1:21" x14ac:dyDescent="0.35">
      <c r="A304">
        <v>3758</v>
      </c>
      <c r="B304" t="s">
        <v>14</v>
      </c>
      <c r="C304" t="s">
        <v>1723</v>
      </c>
      <c r="D304">
        <v>124.5</v>
      </c>
      <c r="E304">
        <v>13.3</v>
      </c>
      <c r="F304">
        <v>17</v>
      </c>
      <c r="G304">
        <v>6500</v>
      </c>
      <c r="H304">
        <v>2548</v>
      </c>
      <c r="I304">
        <v>19755</v>
      </c>
      <c r="J304">
        <v>50.462083</v>
      </c>
      <c r="K304">
        <v>17.150417000000001</v>
      </c>
      <c r="L304">
        <v>17</v>
      </c>
      <c r="M304">
        <v>720</v>
      </c>
      <c r="N304">
        <v>6.6364999999999998</v>
      </c>
      <c r="O304">
        <v>34425000</v>
      </c>
      <c r="P304">
        <v>0.47477000000000003</v>
      </c>
      <c r="Q304">
        <v>38.734000000000002</v>
      </c>
      <c r="R304">
        <v>202</v>
      </c>
      <c r="S304">
        <v>2.2361</v>
      </c>
      <c r="T304">
        <v>18636</v>
      </c>
      <c r="U304">
        <f t="shared" si="4"/>
        <v>1.0600450740502254</v>
      </c>
    </row>
    <row r="305" spans="1:21" x14ac:dyDescent="0.35">
      <c r="A305">
        <v>3759</v>
      </c>
      <c r="B305" t="s">
        <v>14</v>
      </c>
      <c r="C305" t="s">
        <v>1728</v>
      </c>
      <c r="D305">
        <v>15.8</v>
      </c>
      <c r="E305">
        <v>4.2</v>
      </c>
      <c r="F305">
        <v>8</v>
      </c>
      <c r="G305">
        <v>-99</v>
      </c>
      <c r="H305">
        <v>200</v>
      </c>
      <c r="I305">
        <v>1438</v>
      </c>
      <c r="J305">
        <v>50.416249999999998</v>
      </c>
      <c r="K305">
        <v>18.975417</v>
      </c>
      <c r="L305">
        <v>8</v>
      </c>
      <c r="M305">
        <v>402.49</v>
      </c>
      <c r="N305">
        <v>0.23960999999999999</v>
      </c>
      <c r="O305">
        <v>1119200</v>
      </c>
      <c r="P305">
        <v>4.4743000000000004</v>
      </c>
      <c r="Q305">
        <v>2.4687999999999999</v>
      </c>
      <c r="R305">
        <v>270</v>
      </c>
      <c r="S305">
        <v>1.4141999999999999</v>
      </c>
      <c r="T305">
        <v>1470</v>
      </c>
      <c r="U305">
        <f t="shared" si="4"/>
        <v>0.9782312925170068</v>
      </c>
    </row>
    <row r="306" spans="1:21" x14ac:dyDescent="0.35">
      <c r="A306">
        <v>3761</v>
      </c>
      <c r="B306" t="s">
        <v>14</v>
      </c>
      <c r="C306" t="s">
        <v>1727</v>
      </c>
      <c r="D306">
        <v>52.5</v>
      </c>
      <c r="E306">
        <v>6.8</v>
      </c>
      <c r="F306">
        <v>9</v>
      </c>
      <c r="G306">
        <v>-99</v>
      </c>
      <c r="H306">
        <v>2100</v>
      </c>
      <c r="I306">
        <v>16736</v>
      </c>
      <c r="J306">
        <v>50.112082999999998</v>
      </c>
      <c r="K306">
        <v>19.233750000000001</v>
      </c>
      <c r="L306">
        <v>9</v>
      </c>
      <c r="M306">
        <v>720</v>
      </c>
      <c r="N306">
        <v>2.6869999999999998</v>
      </c>
      <c r="O306">
        <v>12779000</v>
      </c>
      <c r="P306">
        <v>1.7517</v>
      </c>
      <c r="Q306">
        <v>26.606000000000002</v>
      </c>
      <c r="R306">
        <v>231</v>
      </c>
      <c r="S306">
        <v>1</v>
      </c>
      <c r="T306">
        <v>15334</v>
      </c>
      <c r="U306">
        <f t="shared" si="4"/>
        <v>1.091430807356202</v>
      </c>
    </row>
    <row r="307" spans="1:21" x14ac:dyDescent="0.35">
      <c r="A307">
        <v>3762</v>
      </c>
      <c r="B307" t="s">
        <v>14</v>
      </c>
      <c r="C307" t="s">
        <v>1725</v>
      </c>
      <c r="D307">
        <v>168.4</v>
      </c>
      <c r="E307">
        <v>25.6</v>
      </c>
      <c r="F307">
        <v>16</v>
      </c>
      <c r="G307">
        <v>3000</v>
      </c>
      <c r="H307">
        <v>534</v>
      </c>
      <c r="I307">
        <v>6273</v>
      </c>
      <c r="J307">
        <v>49.932917000000003</v>
      </c>
      <c r="K307">
        <v>18.929583000000001</v>
      </c>
      <c r="L307">
        <v>16</v>
      </c>
      <c r="M307">
        <v>402.49</v>
      </c>
      <c r="N307">
        <v>1.8969</v>
      </c>
      <c r="O307">
        <v>10290000</v>
      </c>
      <c r="P307">
        <v>6.0233999999999996</v>
      </c>
      <c r="Q307">
        <v>11.804</v>
      </c>
      <c r="R307">
        <v>246</v>
      </c>
      <c r="S307">
        <v>1.4141999999999999</v>
      </c>
      <c r="T307">
        <v>3851</v>
      </c>
      <c r="U307">
        <f t="shared" si="4"/>
        <v>1.6289275512853805</v>
      </c>
    </row>
    <row r="308" spans="1:21" x14ac:dyDescent="0.35">
      <c r="A308">
        <v>3764</v>
      </c>
      <c r="B308" t="s">
        <v>14</v>
      </c>
      <c r="C308" t="s">
        <v>1706</v>
      </c>
      <c r="D308">
        <v>127</v>
      </c>
      <c r="E308">
        <v>8.8000000000000007</v>
      </c>
      <c r="F308">
        <v>41</v>
      </c>
      <c r="G308">
        <v>728</v>
      </c>
      <c r="H308">
        <v>761</v>
      </c>
      <c r="I308">
        <v>8641</v>
      </c>
      <c r="J308">
        <v>49.876249999999999</v>
      </c>
      <c r="K308">
        <v>20.079583</v>
      </c>
      <c r="L308">
        <v>41</v>
      </c>
      <c r="M308">
        <v>1260</v>
      </c>
      <c r="N308">
        <v>5.5669000000000004</v>
      </c>
      <c r="O308">
        <v>29532000</v>
      </c>
      <c r="P308">
        <v>3.0379999999999998</v>
      </c>
      <c r="Q308">
        <v>12.747999999999999</v>
      </c>
      <c r="R308">
        <v>264</v>
      </c>
      <c r="S308">
        <v>1.4141999999999999</v>
      </c>
      <c r="T308">
        <v>5480</v>
      </c>
      <c r="U308">
        <f t="shared" si="4"/>
        <v>1.5768248175182482</v>
      </c>
    </row>
    <row r="309" spans="1:21" x14ac:dyDescent="0.35">
      <c r="A309">
        <v>3767</v>
      </c>
      <c r="B309" t="s">
        <v>14</v>
      </c>
      <c r="C309" t="s">
        <v>1722</v>
      </c>
      <c r="D309">
        <v>12</v>
      </c>
      <c r="E309">
        <v>1.7</v>
      </c>
      <c r="F309">
        <v>19</v>
      </c>
      <c r="G309">
        <v>430</v>
      </c>
      <c r="H309">
        <v>5269</v>
      </c>
      <c r="I309">
        <v>54962</v>
      </c>
      <c r="J309">
        <v>49.808750000000003</v>
      </c>
      <c r="K309">
        <v>20.679583000000001</v>
      </c>
      <c r="L309">
        <v>19</v>
      </c>
      <c r="M309">
        <v>569.21</v>
      </c>
      <c r="N309">
        <v>21.068000000000001</v>
      </c>
      <c r="O309">
        <v>101360000</v>
      </c>
      <c r="P309">
        <v>2.0287999999999999</v>
      </c>
      <c r="Q309">
        <v>113.08</v>
      </c>
      <c r="R309">
        <v>280</v>
      </c>
      <c r="S309">
        <v>4.1231</v>
      </c>
      <c r="T309">
        <v>37723</v>
      </c>
      <c r="U309">
        <f t="shared" si="4"/>
        <v>1.4569891047901811</v>
      </c>
    </row>
    <row r="310" spans="1:21" x14ac:dyDescent="0.35">
      <c r="A310">
        <v>3768</v>
      </c>
      <c r="B310" t="s">
        <v>14</v>
      </c>
      <c r="C310" t="s">
        <v>1708</v>
      </c>
      <c r="D310">
        <v>26.6</v>
      </c>
      <c r="E310">
        <v>2.5</v>
      </c>
      <c r="F310">
        <v>37</v>
      </c>
      <c r="G310">
        <v>260</v>
      </c>
      <c r="H310">
        <v>1102</v>
      </c>
      <c r="I310">
        <v>14728</v>
      </c>
      <c r="J310">
        <v>49.807082999999999</v>
      </c>
      <c r="K310">
        <v>19.200417000000002</v>
      </c>
      <c r="L310">
        <v>37</v>
      </c>
      <c r="M310">
        <v>360</v>
      </c>
      <c r="N310">
        <v>8.4013000000000009</v>
      </c>
      <c r="O310">
        <v>46202000</v>
      </c>
      <c r="P310">
        <v>6.21</v>
      </c>
      <c r="Q310">
        <v>22.811</v>
      </c>
      <c r="R310">
        <v>402</v>
      </c>
      <c r="S310">
        <v>0.5</v>
      </c>
      <c r="T310">
        <v>7921</v>
      </c>
      <c r="U310">
        <f t="shared" si="4"/>
        <v>1.8593611917687161</v>
      </c>
    </row>
    <row r="311" spans="1:21" x14ac:dyDescent="0.35">
      <c r="A311">
        <v>3770</v>
      </c>
      <c r="B311" t="s">
        <v>14</v>
      </c>
      <c r="C311" t="s">
        <v>1704</v>
      </c>
      <c r="D311">
        <v>167</v>
      </c>
      <c r="E311">
        <v>12.7</v>
      </c>
      <c r="F311">
        <v>49</v>
      </c>
      <c r="G311">
        <v>550</v>
      </c>
      <c r="H311">
        <v>4809</v>
      </c>
      <c r="I311">
        <v>50602</v>
      </c>
      <c r="J311">
        <v>49.759582999999999</v>
      </c>
      <c r="K311">
        <v>20.667083000000002</v>
      </c>
      <c r="L311">
        <v>49</v>
      </c>
      <c r="M311">
        <v>1620</v>
      </c>
      <c r="N311">
        <v>53.68</v>
      </c>
      <c r="O311">
        <v>255850000</v>
      </c>
      <c r="P311">
        <v>1.5501</v>
      </c>
      <c r="Q311">
        <v>106.21</v>
      </c>
      <c r="R311">
        <v>276</v>
      </c>
      <c r="S311">
        <v>0.5</v>
      </c>
      <c r="T311">
        <v>34410</v>
      </c>
      <c r="U311">
        <f t="shared" si="4"/>
        <v>1.4705608834641093</v>
      </c>
    </row>
    <row r="312" spans="1:21" x14ac:dyDescent="0.35">
      <c r="A312">
        <v>3771</v>
      </c>
      <c r="B312" t="s">
        <v>14</v>
      </c>
      <c r="C312" t="s">
        <v>1709</v>
      </c>
      <c r="D312">
        <v>102.7</v>
      </c>
      <c r="E312">
        <v>7.5</v>
      </c>
      <c r="F312">
        <v>37</v>
      </c>
      <c r="G312">
        <v>312</v>
      </c>
      <c r="H312">
        <v>1047</v>
      </c>
      <c r="I312">
        <v>14022</v>
      </c>
      <c r="J312">
        <v>49.747083000000003</v>
      </c>
      <c r="K312">
        <v>19.208749999999998</v>
      </c>
      <c r="L312">
        <v>37</v>
      </c>
      <c r="M312">
        <v>509.12</v>
      </c>
      <c r="N312">
        <v>8.0416000000000007</v>
      </c>
      <c r="O312">
        <v>44235000</v>
      </c>
      <c r="P312">
        <v>3.5678000000000001</v>
      </c>
      <c r="Q312">
        <v>21.846</v>
      </c>
      <c r="R312">
        <v>357</v>
      </c>
      <c r="S312">
        <v>1.4141999999999999</v>
      </c>
      <c r="T312">
        <v>7582</v>
      </c>
      <c r="U312">
        <f t="shared" si="4"/>
        <v>1.84938011078871</v>
      </c>
    </row>
    <row r="313" spans="1:21" x14ac:dyDescent="0.35">
      <c r="A313">
        <v>3777</v>
      </c>
      <c r="B313" t="s">
        <v>14</v>
      </c>
      <c r="C313" t="s">
        <v>1711</v>
      </c>
      <c r="D313">
        <v>10</v>
      </c>
      <c r="E313">
        <v>1.1000000000000001</v>
      </c>
      <c r="F313">
        <v>30</v>
      </c>
      <c r="G313">
        <v>430</v>
      </c>
      <c r="H313">
        <v>1234</v>
      </c>
      <c r="I313">
        <v>11019</v>
      </c>
      <c r="J313">
        <v>49.431249999999999</v>
      </c>
      <c r="K313">
        <v>22.409583000000001</v>
      </c>
      <c r="L313">
        <v>30</v>
      </c>
      <c r="M313">
        <v>900</v>
      </c>
      <c r="N313">
        <v>7.2817999999999996</v>
      </c>
      <c r="O313">
        <v>37080000</v>
      </c>
      <c r="P313">
        <v>0.35196</v>
      </c>
      <c r="Q313">
        <v>22.672999999999998</v>
      </c>
      <c r="R313">
        <v>378</v>
      </c>
      <c r="S313">
        <v>2.8283999999999998</v>
      </c>
      <c r="T313">
        <v>8800</v>
      </c>
      <c r="U313">
        <f t="shared" si="4"/>
        <v>1.2521590909090909</v>
      </c>
    </row>
    <row r="314" spans="1:21" x14ac:dyDescent="0.35">
      <c r="A314">
        <v>3778</v>
      </c>
      <c r="B314" t="s">
        <v>14</v>
      </c>
      <c r="C314" t="s">
        <v>1702</v>
      </c>
      <c r="D314">
        <v>234.5</v>
      </c>
      <c r="E314">
        <v>10.199999999999999</v>
      </c>
      <c r="F314">
        <v>60</v>
      </c>
      <c r="G314">
        <v>404</v>
      </c>
      <c r="H314">
        <v>1140</v>
      </c>
      <c r="I314">
        <v>14422</v>
      </c>
      <c r="J314">
        <v>49.420417</v>
      </c>
      <c r="K314">
        <v>20.321249999999999</v>
      </c>
      <c r="L314">
        <v>60</v>
      </c>
      <c r="M314">
        <v>1260</v>
      </c>
      <c r="N314">
        <v>20.670999999999999</v>
      </c>
      <c r="O314">
        <v>95207000</v>
      </c>
      <c r="P314">
        <v>0.46283999999999997</v>
      </c>
      <c r="Q314">
        <v>32.137999999999998</v>
      </c>
      <c r="R314">
        <v>475</v>
      </c>
      <c r="S314">
        <v>0.5</v>
      </c>
      <c r="T314">
        <v>8159</v>
      </c>
      <c r="U314">
        <f t="shared" si="4"/>
        <v>1.7676185807084202</v>
      </c>
    </row>
    <row r="315" spans="1:21" x14ac:dyDescent="0.35">
      <c r="A315">
        <v>3780</v>
      </c>
      <c r="B315" t="s">
        <v>14</v>
      </c>
      <c r="C315" t="s">
        <v>1700</v>
      </c>
      <c r="D315">
        <v>474</v>
      </c>
      <c r="E315">
        <v>16.100000000000001</v>
      </c>
      <c r="F315">
        <v>82</v>
      </c>
      <c r="G315">
        <v>646</v>
      </c>
      <c r="H315">
        <v>1172</v>
      </c>
      <c r="I315">
        <v>10509</v>
      </c>
      <c r="J315">
        <v>49.395417000000002</v>
      </c>
      <c r="K315">
        <v>22.450417000000002</v>
      </c>
      <c r="L315">
        <v>82</v>
      </c>
      <c r="M315">
        <v>2545.6</v>
      </c>
      <c r="N315">
        <v>19.37</v>
      </c>
      <c r="O315">
        <v>98361000</v>
      </c>
      <c r="P315">
        <v>1.2798</v>
      </c>
      <c r="Q315">
        <v>21.603999999999999</v>
      </c>
      <c r="R315">
        <v>405</v>
      </c>
      <c r="S315">
        <v>0.5</v>
      </c>
      <c r="T315">
        <v>8355</v>
      </c>
      <c r="U315">
        <f t="shared" si="4"/>
        <v>1.2578096947935369</v>
      </c>
    </row>
    <row r="316" spans="1:21" x14ac:dyDescent="0.35">
      <c r="A316">
        <v>6833</v>
      </c>
      <c r="B316" t="s">
        <v>14</v>
      </c>
      <c r="C316" t="s">
        <v>1703</v>
      </c>
      <c r="D316">
        <v>161</v>
      </c>
      <c r="E316">
        <v>10.4</v>
      </c>
      <c r="F316">
        <v>50</v>
      </c>
      <c r="G316">
        <v>620</v>
      </c>
      <c r="H316">
        <v>807</v>
      </c>
      <c r="I316">
        <v>10075</v>
      </c>
      <c r="J316">
        <v>49.84375</v>
      </c>
      <c r="K316">
        <v>19.518750000000001</v>
      </c>
      <c r="L316">
        <v>50</v>
      </c>
      <c r="M316">
        <v>720</v>
      </c>
      <c r="N316">
        <v>7.4034000000000004</v>
      </c>
      <c r="O316">
        <v>39620000</v>
      </c>
      <c r="P316">
        <v>0.75853999999999999</v>
      </c>
      <c r="Q316">
        <v>14.125</v>
      </c>
      <c r="R316">
        <v>274</v>
      </c>
      <c r="S316">
        <v>2</v>
      </c>
      <c r="T316">
        <v>5815</v>
      </c>
      <c r="U316">
        <f t="shared" si="4"/>
        <v>1.7325881341358556</v>
      </c>
    </row>
    <row r="317" spans="1:21" x14ac:dyDescent="0.35">
      <c r="A317">
        <v>2724</v>
      </c>
      <c r="B317" t="s">
        <v>15</v>
      </c>
      <c r="C317" t="s">
        <v>1745</v>
      </c>
      <c r="D317">
        <v>54.5</v>
      </c>
      <c r="E317">
        <v>3.4</v>
      </c>
      <c r="F317">
        <v>56</v>
      </c>
      <c r="G317">
        <v>551</v>
      </c>
      <c r="H317">
        <v>97</v>
      </c>
      <c r="I317">
        <v>1075</v>
      </c>
      <c r="J317">
        <v>41.557917000000003</v>
      </c>
      <c r="K317">
        <v>-6.8912500000000003</v>
      </c>
      <c r="L317">
        <v>56</v>
      </c>
      <c r="M317">
        <v>1620</v>
      </c>
      <c r="N317">
        <v>1.0491999999999999</v>
      </c>
      <c r="O317">
        <v>3638500</v>
      </c>
      <c r="P317">
        <v>12.257</v>
      </c>
      <c r="Q317">
        <v>1.5485</v>
      </c>
      <c r="R317">
        <v>556</v>
      </c>
      <c r="S317">
        <v>3.6055999999999999</v>
      </c>
      <c r="T317">
        <v>607</v>
      </c>
      <c r="U317">
        <f t="shared" si="4"/>
        <v>1.7710049423393739</v>
      </c>
    </row>
    <row r="318" spans="1:21" x14ac:dyDescent="0.35">
      <c r="A318">
        <v>2727</v>
      </c>
      <c r="B318" t="s">
        <v>15</v>
      </c>
      <c r="C318" t="s">
        <v>1734</v>
      </c>
      <c r="D318">
        <v>28</v>
      </c>
      <c r="E318">
        <v>0.2</v>
      </c>
      <c r="F318">
        <v>80</v>
      </c>
      <c r="G318">
        <v>263</v>
      </c>
      <c r="H318">
        <v>63328</v>
      </c>
      <c r="I318">
        <v>321411</v>
      </c>
      <c r="J318">
        <v>41.493749999999999</v>
      </c>
      <c r="K318">
        <v>-6.2662500000000003</v>
      </c>
      <c r="L318">
        <v>80</v>
      </c>
      <c r="M318">
        <v>900</v>
      </c>
      <c r="N318">
        <v>426.27</v>
      </c>
      <c r="O318">
        <v>1664200000</v>
      </c>
      <c r="P318">
        <v>0.11554</v>
      </c>
      <c r="Q318">
        <v>432.57</v>
      </c>
      <c r="R318">
        <v>561</v>
      </c>
      <c r="S318">
        <v>0.5</v>
      </c>
      <c r="T318">
        <v>396350</v>
      </c>
      <c r="U318">
        <f t="shared" si="4"/>
        <v>0.81092721079853669</v>
      </c>
    </row>
    <row r="319" spans="1:21" x14ac:dyDescent="0.35">
      <c r="A319">
        <v>2730</v>
      </c>
      <c r="B319" t="s">
        <v>15</v>
      </c>
      <c r="C319" t="s">
        <v>1731</v>
      </c>
      <c r="D319">
        <v>63.8</v>
      </c>
      <c r="E319">
        <v>0.5</v>
      </c>
      <c r="F319">
        <v>100</v>
      </c>
      <c r="G319">
        <v>139</v>
      </c>
      <c r="H319">
        <v>63681</v>
      </c>
      <c r="I319">
        <v>323165</v>
      </c>
      <c r="J319">
        <v>41.379582999999997</v>
      </c>
      <c r="K319">
        <v>-6.3479169999999998</v>
      </c>
      <c r="L319">
        <v>100</v>
      </c>
      <c r="M319">
        <v>804.98</v>
      </c>
      <c r="N319">
        <v>539.28</v>
      </c>
      <c r="O319">
        <v>2104400000</v>
      </c>
      <c r="P319">
        <v>7.0458999999999994E-2</v>
      </c>
      <c r="Q319">
        <v>435.33</v>
      </c>
      <c r="R319">
        <v>531</v>
      </c>
      <c r="S319">
        <v>1</v>
      </c>
      <c r="T319">
        <v>398520</v>
      </c>
      <c r="U319">
        <f t="shared" si="4"/>
        <v>0.81091287764729503</v>
      </c>
    </row>
    <row r="320" spans="1:21" x14ac:dyDescent="0.35">
      <c r="A320">
        <v>2732</v>
      </c>
      <c r="B320" t="s">
        <v>15</v>
      </c>
      <c r="C320" t="s">
        <v>1733</v>
      </c>
      <c r="D320">
        <v>128.80000000000001</v>
      </c>
      <c r="E320">
        <v>2.2000000000000002</v>
      </c>
      <c r="F320">
        <v>87</v>
      </c>
      <c r="G320">
        <v>297</v>
      </c>
      <c r="H320">
        <v>63837</v>
      </c>
      <c r="I320">
        <v>324064</v>
      </c>
      <c r="J320">
        <v>41.302083000000003</v>
      </c>
      <c r="K320">
        <v>-6.4695830000000001</v>
      </c>
      <c r="L320">
        <v>87</v>
      </c>
      <c r="M320">
        <v>540</v>
      </c>
      <c r="N320">
        <v>468.55</v>
      </c>
      <c r="O320">
        <v>1828000000</v>
      </c>
      <c r="P320">
        <v>4.0458000000000001E-2</v>
      </c>
      <c r="Q320">
        <v>436.55</v>
      </c>
      <c r="R320">
        <v>433</v>
      </c>
      <c r="S320">
        <v>0.5</v>
      </c>
      <c r="T320">
        <v>399490</v>
      </c>
      <c r="U320">
        <f t="shared" si="4"/>
        <v>0.81119427269768951</v>
      </c>
    </row>
    <row r="321" spans="1:21" x14ac:dyDescent="0.35">
      <c r="A321">
        <v>2736</v>
      </c>
      <c r="B321" t="s">
        <v>15</v>
      </c>
      <c r="C321" t="s">
        <v>1750</v>
      </c>
      <c r="D321">
        <v>97</v>
      </c>
      <c r="E321">
        <v>5</v>
      </c>
      <c r="F321">
        <v>48</v>
      </c>
      <c r="G321">
        <v>380</v>
      </c>
      <c r="H321">
        <v>85202</v>
      </c>
      <c r="I321">
        <v>476889</v>
      </c>
      <c r="J321">
        <v>41.159582999999998</v>
      </c>
      <c r="K321">
        <v>-7.3745830000000003</v>
      </c>
      <c r="L321">
        <v>48</v>
      </c>
      <c r="M321">
        <v>360</v>
      </c>
      <c r="N321">
        <v>377.62</v>
      </c>
      <c r="O321">
        <v>1414500000</v>
      </c>
      <c r="P321">
        <v>3.4229000000000002E-2</v>
      </c>
      <c r="Q321">
        <v>651.01</v>
      </c>
      <c r="R321">
        <v>111</v>
      </c>
      <c r="S321">
        <v>0.5</v>
      </c>
      <c r="T321">
        <v>531250</v>
      </c>
      <c r="U321">
        <f t="shared" si="4"/>
        <v>0.89767341176470583</v>
      </c>
    </row>
    <row r="322" spans="1:21" x14ac:dyDescent="0.35">
      <c r="A322">
        <v>2737</v>
      </c>
      <c r="B322" t="s">
        <v>15</v>
      </c>
      <c r="C322" t="s">
        <v>1739</v>
      </c>
      <c r="D322">
        <v>110</v>
      </c>
      <c r="E322">
        <v>14.1</v>
      </c>
      <c r="F322">
        <v>60</v>
      </c>
      <c r="G322">
        <v>470</v>
      </c>
      <c r="H322">
        <v>97238</v>
      </c>
      <c r="I322">
        <v>671469</v>
      </c>
      <c r="J322">
        <v>41.147917</v>
      </c>
      <c r="K322">
        <v>-8.6429170000000006</v>
      </c>
      <c r="L322">
        <v>60</v>
      </c>
      <c r="M322">
        <v>540</v>
      </c>
      <c r="N322">
        <v>657.75</v>
      </c>
      <c r="O322">
        <v>2402500000</v>
      </c>
      <c r="P322">
        <v>0.58518000000000003</v>
      </c>
      <c r="Q322">
        <v>887.9</v>
      </c>
      <c r="R322">
        <v>41</v>
      </c>
      <c r="S322">
        <v>1.4141999999999999</v>
      </c>
      <c r="T322">
        <v>606010</v>
      </c>
      <c r="U322">
        <f t="shared" ref="U322:U385" si="5">I322/T322</f>
        <v>1.1080163693668421</v>
      </c>
    </row>
    <row r="323" spans="1:21" x14ac:dyDescent="0.35">
      <c r="A323">
        <v>2738</v>
      </c>
      <c r="B323" t="s">
        <v>15</v>
      </c>
      <c r="C323" t="s">
        <v>1752</v>
      </c>
      <c r="D323">
        <v>95</v>
      </c>
      <c r="E323">
        <v>8.6999999999999993</v>
      </c>
      <c r="F323">
        <v>42</v>
      </c>
      <c r="G323">
        <v>310</v>
      </c>
      <c r="H323">
        <v>90567</v>
      </c>
      <c r="I323">
        <v>555014</v>
      </c>
      <c r="J323">
        <v>41.147083000000002</v>
      </c>
      <c r="K323">
        <v>-7.7395829999999997</v>
      </c>
      <c r="L323">
        <v>42</v>
      </c>
      <c r="M323">
        <v>360</v>
      </c>
      <c r="N323">
        <v>364.36</v>
      </c>
      <c r="O323">
        <v>1355400000</v>
      </c>
      <c r="P323">
        <v>4.1348000000000003E-2</v>
      </c>
      <c r="Q323">
        <v>729.18</v>
      </c>
      <c r="R323">
        <v>138</v>
      </c>
      <c r="S323">
        <v>0.5</v>
      </c>
      <c r="T323">
        <v>564620</v>
      </c>
      <c r="U323">
        <f t="shared" si="5"/>
        <v>0.98298678757394353</v>
      </c>
    </row>
    <row r="324" spans="1:21" x14ac:dyDescent="0.35">
      <c r="A324">
        <v>2739</v>
      </c>
      <c r="B324" t="s">
        <v>15</v>
      </c>
      <c r="C324" t="s">
        <v>1749</v>
      </c>
      <c r="D324">
        <v>83.1</v>
      </c>
      <c r="E324">
        <v>5</v>
      </c>
      <c r="F324">
        <v>49</v>
      </c>
      <c r="G324">
        <v>430</v>
      </c>
      <c r="H324">
        <v>80803</v>
      </c>
      <c r="I324">
        <v>433337</v>
      </c>
      <c r="J324">
        <v>41.135416999999997</v>
      </c>
      <c r="K324">
        <v>-7.1129170000000004</v>
      </c>
      <c r="L324">
        <v>49</v>
      </c>
      <c r="M324">
        <v>540</v>
      </c>
      <c r="N324">
        <v>360.57</v>
      </c>
      <c r="O324">
        <v>1354600000</v>
      </c>
      <c r="P324">
        <v>3.6172999999999997E-2</v>
      </c>
      <c r="Q324">
        <v>600.61</v>
      </c>
      <c r="R324">
        <v>168</v>
      </c>
      <c r="S324">
        <v>0.5</v>
      </c>
      <c r="T324">
        <v>503880</v>
      </c>
      <c r="U324">
        <f t="shared" si="5"/>
        <v>0.8600003969199016</v>
      </c>
    </row>
    <row r="325" spans="1:21" x14ac:dyDescent="0.35">
      <c r="A325">
        <v>2740</v>
      </c>
      <c r="B325" t="s">
        <v>15</v>
      </c>
      <c r="C325" t="s">
        <v>1735</v>
      </c>
      <c r="D325">
        <v>14.5</v>
      </c>
      <c r="E325">
        <v>0.2</v>
      </c>
      <c r="F325">
        <v>76</v>
      </c>
      <c r="G325">
        <v>213</v>
      </c>
      <c r="H325">
        <v>305</v>
      </c>
      <c r="I325">
        <v>4788</v>
      </c>
      <c r="J325">
        <v>41.119582999999999</v>
      </c>
      <c r="K325">
        <v>-7.7762500000000001</v>
      </c>
      <c r="L325">
        <v>76</v>
      </c>
      <c r="M325">
        <v>540</v>
      </c>
      <c r="N325">
        <v>6.1966999999999999</v>
      </c>
      <c r="O325">
        <v>20876000</v>
      </c>
      <c r="P325">
        <v>1.1984999999999999</v>
      </c>
      <c r="Q325">
        <v>5.9015000000000004</v>
      </c>
      <c r="R325">
        <v>273</v>
      </c>
      <c r="S325">
        <v>2</v>
      </c>
      <c r="T325">
        <v>1882</v>
      </c>
      <c r="U325">
        <f t="shared" si="5"/>
        <v>2.5441020191285868</v>
      </c>
    </row>
    <row r="326" spans="1:21" x14ac:dyDescent="0.35">
      <c r="A326">
        <v>2741</v>
      </c>
      <c r="B326" t="s">
        <v>15</v>
      </c>
      <c r="C326" t="s">
        <v>1737</v>
      </c>
      <c r="D326">
        <v>124</v>
      </c>
      <c r="E326">
        <v>2.2999999999999998</v>
      </c>
      <c r="F326">
        <v>69</v>
      </c>
      <c r="G326">
        <v>218</v>
      </c>
      <c r="H326">
        <v>3273</v>
      </c>
      <c r="I326">
        <v>60087</v>
      </c>
      <c r="J326">
        <v>41.097917000000002</v>
      </c>
      <c r="K326">
        <v>-8.2595829999999992</v>
      </c>
      <c r="L326">
        <v>69</v>
      </c>
      <c r="M326">
        <v>900</v>
      </c>
      <c r="N326">
        <v>72.305999999999997</v>
      </c>
      <c r="O326">
        <v>247530000</v>
      </c>
      <c r="P326">
        <v>1.165</v>
      </c>
      <c r="Q326">
        <v>77.774000000000001</v>
      </c>
      <c r="R326">
        <v>125</v>
      </c>
      <c r="S326">
        <v>0.5</v>
      </c>
      <c r="T326">
        <v>20396</v>
      </c>
      <c r="U326">
        <f t="shared" si="5"/>
        <v>2.9460188272210237</v>
      </c>
    </row>
    <row r="327" spans="1:21" x14ac:dyDescent="0.35">
      <c r="A327">
        <v>2742</v>
      </c>
      <c r="B327" t="s">
        <v>15</v>
      </c>
      <c r="C327" t="s">
        <v>1743</v>
      </c>
      <c r="D327">
        <v>148.4</v>
      </c>
      <c r="E327">
        <v>8</v>
      </c>
      <c r="F327">
        <v>57</v>
      </c>
      <c r="G327">
        <v>450</v>
      </c>
      <c r="H327">
        <v>91905</v>
      </c>
      <c r="I327">
        <v>577506</v>
      </c>
      <c r="J327">
        <v>41.087083</v>
      </c>
      <c r="K327">
        <v>-8.1312499999999996</v>
      </c>
      <c r="L327">
        <v>57</v>
      </c>
      <c r="M327">
        <v>804.98</v>
      </c>
      <c r="N327">
        <v>524.86</v>
      </c>
      <c r="O327">
        <v>1945500000</v>
      </c>
      <c r="P327">
        <v>8.4266999999999995E-2</v>
      </c>
      <c r="Q327">
        <v>756.81</v>
      </c>
      <c r="R327">
        <v>88</v>
      </c>
      <c r="S327">
        <v>1</v>
      </c>
      <c r="T327">
        <v>572890</v>
      </c>
      <c r="U327">
        <f t="shared" si="5"/>
        <v>1.008057393216848</v>
      </c>
    </row>
    <row r="328" spans="1:21" x14ac:dyDescent="0.35">
      <c r="A328">
        <v>2748</v>
      </c>
      <c r="B328" t="s">
        <v>15</v>
      </c>
      <c r="C328" t="s">
        <v>1741</v>
      </c>
      <c r="D328">
        <v>99.8</v>
      </c>
      <c r="E328">
        <v>5.7</v>
      </c>
      <c r="F328">
        <v>58</v>
      </c>
      <c r="G328">
        <v>240</v>
      </c>
      <c r="H328">
        <v>363</v>
      </c>
      <c r="I328">
        <v>4853</v>
      </c>
      <c r="J328">
        <v>40.986249999999998</v>
      </c>
      <c r="K328">
        <v>-7.5362499999999999</v>
      </c>
      <c r="L328">
        <v>58</v>
      </c>
      <c r="M328">
        <v>900</v>
      </c>
      <c r="N328">
        <v>4.0338000000000003</v>
      </c>
      <c r="O328">
        <v>13501000</v>
      </c>
      <c r="P328">
        <v>2.3073000000000001</v>
      </c>
      <c r="Q328">
        <v>5.1952999999999996</v>
      </c>
      <c r="R328">
        <v>547</v>
      </c>
      <c r="S328">
        <v>7.0711000000000004</v>
      </c>
      <c r="T328">
        <v>2234</v>
      </c>
      <c r="U328">
        <f t="shared" si="5"/>
        <v>2.1723366159355417</v>
      </c>
    </row>
    <row r="329" spans="1:21" x14ac:dyDescent="0.35">
      <c r="A329">
        <v>2775</v>
      </c>
      <c r="B329" t="s">
        <v>15</v>
      </c>
      <c r="C329" t="s">
        <v>1742</v>
      </c>
      <c r="D329">
        <v>114.3</v>
      </c>
      <c r="E329">
        <v>1.8</v>
      </c>
      <c r="F329">
        <v>58</v>
      </c>
      <c r="G329">
        <v>1005</v>
      </c>
      <c r="H329">
        <v>126</v>
      </c>
      <c r="I329">
        <v>1078</v>
      </c>
      <c r="J329">
        <v>40.332917000000002</v>
      </c>
      <c r="K329">
        <v>-7.0912499999999996</v>
      </c>
      <c r="L329">
        <v>58</v>
      </c>
      <c r="M329">
        <v>1853.2</v>
      </c>
      <c r="N329">
        <v>2.2056</v>
      </c>
      <c r="O329">
        <v>6671300</v>
      </c>
      <c r="P329">
        <v>7.3613999999999997</v>
      </c>
      <c r="Q329">
        <v>2.2930000000000001</v>
      </c>
      <c r="R329">
        <v>778</v>
      </c>
      <c r="S329">
        <v>0.5</v>
      </c>
      <c r="T329">
        <v>781</v>
      </c>
      <c r="U329">
        <f t="shared" si="5"/>
        <v>1.380281690140845</v>
      </c>
    </row>
    <row r="330" spans="1:21" x14ac:dyDescent="0.35">
      <c r="A330">
        <v>2777</v>
      </c>
      <c r="B330" t="s">
        <v>15</v>
      </c>
      <c r="C330" t="s">
        <v>1744</v>
      </c>
      <c r="D330">
        <v>40.9</v>
      </c>
      <c r="E330">
        <v>1.4</v>
      </c>
      <c r="F330">
        <v>56</v>
      </c>
      <c r="G330">
        <v>656</v>
      </c>
      <c r="H330">
        <v>62</v>
      </c>
      <c r="I330">
        <v>539</v>
      </c>
      <c r="J330">
        <v>40.262082999999997</v>
      </c>
      <c r="K330">
        <v>-7.1420830000000004</v>
      </c>
      <c r="L330">
        <v>56</v>
      </c>
      <c r="M330">
        <v>900</v>
      </c>
      <c r="N330">
        <v>1.1174999999999999</v>
      </c>
      <c r="O330">
        <v>3385000</v>
      </c>
      <c r="P330">
        <v>7.1904000000000003</v>
      </c>
      <c r="Q330">
        <v>1.1922999999999999</v>
      </c>
      <c r="R330">
        <v>531</v>
      </c>
      <c r="S330">
        <v>2</v>
      </c>
      <c r="T330">
        <v>381</v>
      </c>
      <c r="U330">
        <f t="shared" si="5"/>
        <v>1.4146981627296589</v>
      </c>
    </row>
    <row r="331" spans="1:21" x14ac:dyDescent="0.35">
      <c r="A331">
        <v>2784</v>
      </c>
      <c r="B331" t="s">
        <v>15</v>
      </c>
      <c r="C331" t="s">
        <v>1736</v>
      </c>
      <c r="D331">
        <v>53.7</v>
      </c>
      <c r="E331">
        <v>1.4</v>
      </c>
      <c r="F331">
        <v>76</v>
      </c>
      <c r="G331">
        <v>178</v>
      </c>
      <c r="H331">
        <v>51</v>
      </c>
      <c r="I331">
        <v>457</v>
      </c>
      <c r="J331">
        <v>40.090417000000002</v>
      </c>
      <c r="K331">
        <v>-7.8587499999999997</v>
      </c>
      <c r="L331">
        <v>76</v>
      </c>
      <c r="M331">
        <v>402.49</v>
      </c>
      <c r="N331">
        <v>1.3431999999999999</v>
      </c>
      <c r="O331">
        <v>4160800</v>
      </c>
      <c r="P331">
        <v>4.5552000000000001</v>
      </c>
      <c r="Q331">
        <v>1.0954999999999999</v>
      </c>
      <c r="R331">
        <v>679</v>
      </c>
      <c r="S331">
        <v>5.0990000000000002</v>
      </c>
      <c r="T331">
        <v>310</v>
      </c>
      <c r="U331">
        <f t="shared" si="5"/>
        <v>1.4741935483870967</v>
      </c>
    </row>
    <row r="332" spans="1:21" x14ac:dyDescent="0.35">
      <c r="A332">
        <v>2790</v>
      </c>
      <c r="B332" t="s">
        <v>15</v>
      </c>
      <c r="C332" t="s">
        <v>1746</v>
      </c>
      <c r="D332">
        <v>77.8</v>
      </c>
      <c r="E332">
        <v>3.4</v>
      </c>
      <c r="F332">
        <v>54</v>
      </c>
      <c r="G332">
        <v>140</v>
      </c>
      <c r="H332">
        <v>362</v>
      </c>
      <c r="I332">
        <v>3210</v>
      </c>
      <c r="J332">
        <v>39.949582999999997</v>
      </c>
      <c r="K332">
        <v>-7.1979170000000003</v>
      </c>
      <c r="L332">
        <v>54</v>
      </c>
      <c r="M332">
        <v>540</v>
      </c>
      <c r="N332">
        <v>5.5057999999999998</v>
      </c>
      <c r="O332">
        <v>16568000</v>
      </c>
      <c r="P332">
        <v>1.0031000000000001</v>
      </c>
      <c r="Q332">
        <v>6.0975999999999999</v>
      </c>
      <c r="R332">
        <v>306</v>
      </c>
      <c r="S332">
        <v>26.42</v>
      </c>
      <c r="T332">
        <v>2201</v>
      </c>
      <c r="U332">
        <f t="shared" si="5"/>
        <v>1.4584279872785098</v>
      </c>
    </row>
    <row r="333" spans="1:21" x14ac:dyDescent="0.35">
      <c r="A333">
        <v>2791</v>
      </c>
      <c r="B333" t="s">
        <v>15</v>
      </c>
      <c r="C333" t="s">
        <v>1729</v>
      </c>
      <c r="D333">
        <v>720</v>
      </c>
      <c r="E333">
        <v>5.7</v>
      </c>
      <c r="F333">
        <v>136</v>
      </c>
      <c r="G333">
        <v>290</v>
      </c>
      <c r="H333">
        <v>2430</v>
      </c>
      <c r="I333">
        <v>22017</v>
      </c>
      <c r="J333">
        <v>39.920417</v>
      </c>
      <c r="K333">
        <v>-8.1312499999999996</v>
      </c>
      <c r="L333">
        <v>136</v>
      </c>
      <c r="M333">
        <v>763.68</v>
      </c>
      <c r="N333">
        <v>104.55</v>
      </c>
      <c r="O333">
        <v>320500000</v>
      </c>
      <c r="P333">
        <v>0.67186000000000001</v>
      </c>
      <c r="Q333">
        <v>47.296999999999997</v>
      </c>
      <c r="R333">
        <v>314</v>
      </c>
      <c r="S333">
        <v>0.5</v>
      </c>
      <c r="T333">
        <v>14821</v>
      </c>
      <c r="U333">
        <f t="shared" si="5"/>
        <v>1.4855272923554417</v>
      </c>
    </row>
    <row r="334" spans="1:21" x14ac:dyDescent="0.35">
      <c r="A334">
        <v>2792</v>
      </c>
      <c r="B334" t="s">
        <v>15</v>
      </c>
      <c r="C334" t="s">
        <v>1738</v>
      </c>
      <c r="D334">
        <v>49</v>
      </c>
      <c r="E334">
        <v>1.5</v>
      </c>
      <c r="F334">
        <v>65</v>
      </c>
      <c r="G334">
        <v>175</v>
      </c>
      <c r="H334">
        <v>2619</v>
      </c>
      <c r="I334">
        <v>23693</v>
      </c>
      <c r="J334">
        <v>39.852083</v>
      </c>
      <c r="K334">
        <v>-8.2179169999999999</v>
      </c>
      <c r="L334">
        <v>65</v>
      </c>
      <c r="M334">
        <v>649</v>
      </c>
      <c r="N334">
        <v>52.52</v>
      </c>
      <c r="O334">
        <v>161180000</v>
      </c>
      <c r="P334">
        <v>0.23496</v>
      </c>
      <c r="Q334">
        <v>50.429000000000002</v>
      </c>
      <c r="R334">
        <v>279</v>
      </c>
      <c r="S334">
        <v>0.5</v>
      </c>
      <c r="T334">
        <v>15967</v>
      </c>
      <c r="U334">
        <f t="shared" si="5"/>
        <v>1.4838729880378281</v>
      </c>
    </row>
    <row r="335" spans="1:21" x14ac:dyDescent="0.35">
      <c r="A335">
        <v>2806</v>
      </c>
      <c r="B335" t="s">
        <v>15</v>
      </c>
      <c r="C335" t="s">
        <v>1740</v>
      </c>
      <c r="D335">
        <v>116.5</v>
      </c>
      <c r="E335">
        <v>2.4</v>
      </c>
      <c r="F335">
        <v>60</v>
      </c>
      <c r="G335">
        <v>255</v>
      </c>
      <c r="H335">
        <v>1426</v>
      </c>
      <c r="I335">
        <v>11322</v>
      </c>
      <c r="J335">
        <v>39.566249999999997</v>
      </c>
      <c r="K335">
        <v>-7.8104170000000002</v>
      </c>
      <c r="L335">
        <v>60</v>
      </c>
      <c r="M335">
        <v>649</v>
      </c>
      <c r="N335">
        <v>18.401</v>
      </c>
      <c r="O335">
        <v>53305000</v>
      </c>
      <c r="P335">
        <v>0.57799999999999996</v>
      </c>
      <c r="Q335">
        <v>17.992999999999999</v>
      </c>
      <c r="R335">
        <v>185</v>
      </c>
      <c r="S335">
        <v>2.2361</v>
      </c>
      <c r="T335">
        <v>8649</v>
      </c>
      <c r="U335">
        <f t="shared" si="5"/>
        <v>1.3090530697190426</v>
      </c>
    </row>
    <row r="336" spans="1:21" x14ac:dyDescent="0.35">
      <c r="A336">
        <v>2808</v>
      </c>
      <c r="B336" t="s">
        <v>15</v>
      </c>
      <c r="C336" t="s">
        <v>1730</v>
      </c>
      <c r="D336">
        <v>1095</v>
      </c>
      <c r="E336">
        <v>19.600000000000001</v>
      </c>
      <c r="F336">
        <v>115</v>
      </c>
      <c r="G336">
        <v>402</v>
      </c>
      <c r="H336">
        <v>3962</v>
      </c>
      <c r="I336">
        <v>34506</v>
      </c>
      <c r="J336">
        <v>39.544583000000003</v>
      </c>
      <c r="K336">
        <v>-8.3187499999999996</v>
      </c>
      <c r="L336">
        <v>115</v>
      </c>
      <c r="M336">
        <v>2545.6</v>
      </c>
      <c r="N336">
        <v>129.97</v>
      </c>
      <c r="O336">
        <v>398810000</v>
      </c>
      <c r="P336">
        <v>0.77353000000000005</v>
      </c>
      <c r="Q336">
        <v>71.247</v>
      </c>
      <c r="R336">
        <v>155</v>
      </c>
      <c r="S336">
        <v>0.5</v>
      </c>
      <c r="T336">
        <v>24112</v>
      </c>
      <c r="U336">
        <f t="shared" si="5"/>
        <v>1.4310716655607167</v>
      </c>
    </row>
    <row r="337" spans="1:21" x14ac:dyDescent="0.35">
      <c r="A337">
        <v>2809</v>
      </c>
      <c r="B337" t="s">
        <v>15</v>
      </c>
      <c r="C337" t="s">
        <v>1751</v>
      </c>
      <c r="D337">
        <v>92.5</v>
      </c>
      <c r="E337">
        <v>4.4000000000000004</v>
      </c>
      <c r="F337">
        <v>43</v>
      </c>
      <c r="G337">
        <v>240</v>
      </c>
      <c r="H337">
        <v>59133</v>
      </c>
      <c r="I337">
        <v>261905</v>
      </c>
      <c r="J337">
        <v>39.543750000000003</v>
      </c>
      <c r="K337">
        <v>-7.8012499999999996</v>
      </c>
      <c r="L337">
        <v>43</v>
      </c>
      <c r="M337">
        <v>540</v>
      </c>
      <c r="N337">
        <v>305.52999999999997</v>
      </c>
      <c r="O337">
        <v>999580000</v>
      </c>
      <c r="P337">
        <v>6.4176999999999998E-2</v>
      </c>
      <c r="Q337">
        <v>488.1</v>
      </c>
      <c r="R337">
        <v>146</v>
      </c>
      <c r="S337">
        <v>0.5</v>
      </c>
      <c r="T337">
        <v>360530</v>
      </c>
      <c r="U337">
        <f t="shared" si="5"/>
        <v>0.72644440129808896</v>
      </c>
    </row>
    <row r="338" spans="1:21" x14ac:dyDescent="0.35">
      <c r="A338">
        <v>2829</v>
      </c>
      <c r="B338" t="s">
        <v>15</v>
      </c>
      <c r="C338" t="s">
        <v>1748</v>
      </c>
      <c r="D338">
        <v>203</v>
      </c>
      <c r="E338">
        <v>10.1</v>
      </c>
      <c r="F338">
        <v>52</v>
      </c>
      <c r="G338">
        <v>460</v>
      </c>
      <c r="H338">
        <v>588</v>
      </c>
      <c r="I338">
        <v>4471</v>
      </c>
      <c r="J338">
        <v>39.003749999999997</v>
      </c>
      <c r="K338">
        <v>-7.1445829999999999</v>
      </c>
      <c r="L338">
        <v>52</v>
      </c>
      <c r="M338">
        <v>3245</v>
      </c>
      <c r="N338">
        <v>5.5273000000000003</v>
      </c>
      <c r="O338">
        <v>15565000</v>
      </c>
      <c r="P338">
        <v>4.6913999999999998</v>
      </c>
      <c r="Q338">
        <v>5.6971999999999996</v>
      </c>
      <c r="R338">
        <v>203</v>
      </c>
      <c r="S338">
        <v>12</v>
      </c>
      <c r="T338">
        <v>3530</v>
      </c>
      <c r="U338">
        <f t="shared" si="5"/>
        <v>1.2665722379603399</v>
      </c>
    </row>
    <row r="339" spans="1:21" x14ac:dyDescent="0.35">
      <c r="A339">
        <v>2841</v>
      </c>
      <c r="B339" t="s">
        <v>15</v>
      </c>
      <c r="C339" t="s">
        <v>1754</v>
      </c>
      <c r="D339">
        <v>16.7</v>
      </c>
      <c r="E339">
        <v>0.6</v>
      </c>
      <c r="F339">
        <v>30</v>
      </c>
      <c r="G339">
        <v>300</v>
      </c>
      <c r="H339">
        <v>127</v>
      </c>
      <c r="I339">
        <v>708</v>
      </c>
      <c r="J339">
        <v>38.541249999999998</v>
      </c>
      <c r="K339">
        <v>-7.6070830000000003</v>
      </c>
      <c r="L339">
        <v>30</v>
      </c>
      <c r="M339">
        <v>1853.2</v>
      </c>
      <c r="N339">
        <v>0.52941000000000005</v>
      </c>
      <c r="O339">
        <v>1535700</v>
      </c>
      <c r="P339">
        <v>11.175000000000001</v>
      </c>
      <c r="Q339">
        <v>1.0642</v>
      </c>
      <c r="R339">
        <v>221</v>
      </c>
      <c r="S339">
        <v>22.091000000000001</v>
      </c>
      <c r="T339">
        <v>758</v>
      </c>
      <c r="U339">
        <f t="shared" si="5"/>
        <v>0.93403693931398413</v>
      </c>
    </row>
    <row r="340" spans="1:21" x14ac:dyDescent="0.35">
      <c r="A340">
        <v>2845</v>
      </c>
      <c r="B340" t="s">
        <v>15</v>
      </c>
      <c r="C340" t="s">
        <v>1753</v>
      </c>
      <c r="D340">
        <v>15.3</v>
      </c>
      <c r="E340">
        <v>1.4</v>
      </c>
      <c r="F340">
        <v>30</v>
      </c>
      <c r="G340">
        <v>160</v>
      </c>
      <c r="H340">
        <v>292</v>
      </c>
      <c r="I340">
        <v>1622</v>
      </c>
      <c r="J340">
        <v>38.516249999999999</v>
      </c>
      <c r="K340">
        <v>-7.7162499999999996</v>
      </c>
      <c r="L340">
        <v>30</v>
      </c>
      <c r="M340">
        <v>1537.9</v>
      </c>
      <c r="N340">
        <v>1.22</v>
      </c>
      <c r="O340">
        <v>3533900</v>
      </c>
      <c r="P340">
        <v>7.3247</v>
      </c>
      <c r="Q340">
        <v>2.4666000000000001</v>
      </c>
      <c r="R340">
        <v>205</v>
      </c>
      <c r="S340">
        <v>10</v>
      </c>
      <c r="T340">
        <v>1742</v>
      </c>
      <c r="U340">
        <f t="shared" si="5"/>
        <v>0.93111366245694605</v>
      </c>
    </row>
    <row r="341" spans="1:21" x14ac:dyDescent="0.35">
      <c r="A341">
        <v>2857</v>
      </c>
      <c r="B341" t="s">
        <v>15</v>
      </c>
      <c r="C341" t="s">
        <v>1732</v>
      </c>
      <c r="D341">
        <v>4150</v>
      </c>
      <c r="E341">
        <v>244</v>
      </c>
      <c r="F341">
        <v>96</v>
      </c>
      <c r="G341">
        <v>458</v>
      </c>
      <c r="H341">
        <v>55045</v>
      </c>
      <c r="I341">
        <v>175332</v>
      </c>
      <c r="J341">
        <v>38.195416999999999</v>
      </c>
      <c r="K341">
        <v>-7.4954169999999998</v>
      </c>
      <c r="L341">
        <v>96</v>
      </c>
      <c r="M341">
        <v>742.16</v>
      </c>
      <c r="N341">
        <v>408.73</v>
      </c>
      <c r="O341">
        <v>1324100000</v>
      </c>
      <c r="P341">
        <v>1.0257000000000001</v>
      </c>
      <c r="Q341">
        <v>295.23</v>
      </c>
      <c r="R341">
        <v>123</v>
      </c>
      <c r="S341">
        <v>0.5</v>
      </c>
      <c r="T341">
        <v>329950</v>
      </c>
      <c r="U341">
        <f t="shared" si="5"/>
        <v>0.53138960448552808</v>
      </c>
    </row>
    <row r="342" spans="1:21" x14ac:dyDescent="0.35">
      <c r="A342">
        <v>2903</v>
      </c>
      <c r="B342" t="s">
        <v>15</v>
      </c>
      <c r="C342" t="s">
        <v>1747</v>
      </c>
      <c r="D342">
        <v>48</v>
      </c>
      <c r="E342">
        <v>1.7</v>
      </c>
      <c r="F342">
        <v>54</v>
      </c>
      <c r="G342">
        <v>527</v>
      </c>
      <c r="H342">
        <v>96</v>
      </c>
      <c r="I342">
        <v>481</v>
      </c>
      <c r="J342">
        <v>37.278750000000002</v>
      </c>
      <c r="K342">
        <v>-7.5120829999999996</v>
      </c>
      <c r="L342">
        <v>54</v>
      </c>
      <c r="M342">
        <v>1659.5</v>
      </c>
      <c r="N342">
        <v>0.71418999999999999</v>
      </c>
      <c r="O342">
        <v>1875800</v>
      </c>
      <c r="P342">
        <v>20.61</v>
      </c>
      <c r="Q342">
        <v>0.76397000000000004</v>
      </c>
      <c r="R342">
        <v>56</v>
      </c>
      <c r="S342">
        <v>1</v>
      </c>
      <c r="T342">
        <v>562</v>
      </c>
      <c r="U342">
        <f t="shared" si="5"/>
        <v>0.85587188612099641</v>
      </c>
    </row>
    <row r="343" spans="1:21" x14ac:dyDescent="0.35">
      <c r="A343">
        <v>3807</v>
      </c>
      <c r="B343" t="s">
        <v>16</v>
      </c>
      <c r="C343" t="s">
        <v>1825</v>
      </c>
      <c r="D343">
        <v>55.8</v>
      </c>
      <c r="E343">
        <v>6.4</v>
      </c>
      <c r="F343">
        <v>15</v>
      </c>
      <c r="G343">
        <v>3482</v>
      </c>
      <c r="H343">
        <v>1688</v>
      </c>
      <c r="I343">
        <v>16376</v>
      </c>
      <c r="J343">
        <v>47.937083000000001</v>
      </c>
      <c r="K343">
        <v>26.146249999999998</v>
      </c>
      <c r="L343">
        <v>15</v>
      </c>
      <c r="M343">
        <v>2846</v>
      </c>
      <c r="N343">
        <v>2.7507000000000001</v>
      </c>
      <c r="O343">
        <v>11893000</v>
      </c>
      <c r="P343">
        <v>0.91588999999999998</v>
      </c>
      <c r="Q343">
        <v>14.577999999999999</v>
      </c>
      <c r="R343">
        <v>290</v>
      </c>
      <c r="S343">
        <v>2.2361</v>
      </c>
      <c r="T343">
        <v>11770</v>
      </c>
      <c r="U343">
        <f t="shared" si="5"/>
        <v>1.3913338997451148</v>
      </c>
    </row>
    <row r="344" spans="1:21" x14ac:dyDescent="0.35">
      <c r="A344">
        <v>3808</v>
      </c>
      <c r="B344" t="s">
        <v>16</v>
      </c>
      <c r="C344" t="s">
        <v>1823</v>
      </c>
      <c r="D344">
        <v>29</v>
      </c>
      <c r="E344">
        <v>3.4</v>
      </c>
      <c r="F344">
        <v>16</v>
      </c>
      <c r="G344">
        <v>798</v>
      </c>
      <c r="H344">
        <v>375</v>
      </c>
      <c r="I344">
        <v>3439</v>
      </c>
      <c r="J344">
        <v>47.899583</v>
      </c>
      <c r="K344">
        <v>23.277083000000001</v>
      </c>
      <c r="L344">
        <v>16</v>
      </c>
      <c r="M344">
        <v>540</v>
      </c>
      <c r="N344">
        <v>0.68506</v>
      </c>
      <c r="O344">
        <v>3422800</v>
      </c>
      <c r="P344">
        <v>8.3034999999999997</v>
      </c>
      <c r="Q344">
        <v>4.0317999999999996</v>
      </c>
      <c r="R344">
        <v>209</v>
      </c>
      <c r="S344">
        <v>3.6055999999999999</v>
      </c>
      <c r="T344">
        <v>2609</v>
      </c>
      <c r="U344">
        <f t="shared" si="5"/>
        <v>1.3181295515523188</v>
      </c>
    </row>
    <row r="345" spans="1:21" x14ac:dyDescent="0.35">
      <c r="A345">
        <v>3809</v>
      </c>
      <c r="B345" t="s">
        <v>16</v>
      </c>
      <c r="C345" t="s">
        <v>1778</v>
      </c>
      <c r="D345">
        <v>1290</v>
      </c>
      <c r="E345">
        <v>41.3</v>
      </c>
      <c r="F345">
        <v>43</v>
      </c>
      <c r="G345">
        <v>3000</v>
      </c>
      <c r="H345">
        <v>12168</v>
      </c>
      <c r="I345">
        <v>114851</v>
      </c>
      <c r="J345">
        <v>47.841250000000002</v>
      </c>
      <c r="K345">
        <v>27.225417</v>
      </c>
      <c r="L345">
        <v>43</v>
      </c>
      <c r="M345">
        <v>2421.6999999999998</v>
      </c>
      <c r="N345">
        <v>61.027000000000001</v>
      </c>
      <c r="O345">
        <v>266210000</v>
      </c>
      <c r="P345">
        <v>0.24586</v>
      </c>
      <c r="Q345">
        <v>116.73</v>
      </c>
      <c r="R345">
        <v>62</v>
      </c>
      <c r="S345">
        <v>0.5</v>
      </c>
      <c r="T345">
        <v>85177</v>
      </c>
      <c r="U345">
        <f t="shared" si="5"/>
        <v>1.348380431337098</v>
      </c>
    </row>
    <row r="346" spans="1:21" x14ac:dyDescent="0.35">
      <c r="A346">
        <v>3811</v>
      </c>
      <c r="B346" t="s">
        <v>16</v>
      </c>
      <c r="C346" t="s">
        <v>1826</v>
      </c>
      <c r="D346">
        <v>17.5</v>
      </c>
      <c r="E346">
        <v>0.8</v>
      </c>
      <c r="F346">
        <v>15</v>
      </c>
      <c r="G346">
        <v>540</v>
      </c>
      <c r="H346">
        <v>157</v>
      </c>
      <c r="I346">
        <v>1162</v>
      </c>
      <c r="J346">
        <v>47.789583</v>
      </c>
      <c r="K346">
        <v>26.629583</v>
      </c>
      <c r="L346">
        <v>15</v>
      </c>
      <c r="M346">
        <v>569.21</v>
      </c>
      <c r="N346">
        <v>0.21054999999999999</v>
      </c>
      <c r="O346">
        <v>894000</v>
      </c>
      <c r="P346">
        <v>3.8016000000000001</v>
      </c>
      <c r="Q346">
        <v>1.0607</v>
      </c>
      <c r="R346">
        <v>113</v>
      </c>
      <c r="S346">
        <v>2</v>
      </c>
      <c r="T346">
        <v>1089</v>
      </c>
      <c r="U346">
        <f t="shared" si="5"/>
        <v>1.0670339761248853</v>
      </c>
    </row>
    <row r="347" spans="1:21" x14ac:dyDescent="0.35">
      <c r="A347">
        <v>3812</v>
      </c>
      <c r="B347" t="s">
        <v>16</v>
      </c>
      <c r="C347" t="s">
        <v>1832</v>
      </c>
      <c r="D347">
        <v>25</v>
      </c>
      <c r="E347">
        <v>2.2999999999999998</v>
      </c>
      <c r="F347">
        <v>12</v>
      </c>
      <c r="G347">
        <v>5682</v>
      </c>
      <c r="H347">
        <v>2128</v>
      </c>
      <c r="I347">
        <v>19575</v>
      </c>
      <c r="J347">
        <v>47.782916999999998</v>
      </c>
      <c r="K347">
        <v>26.367083000000001</v>
      </c>
      <c r="L347">
        <v>12</v>
      </c>
      <c r="M347">
        <v>3415.3</v>
      </c>
      <c r="N347">
        <v>2.6692999999999998</v>
      </c>
      <c r="O347">
        <v>11429000</v>
      </c>
      <c r="P347">
        <v>1.1393</v>
      </c>
      <c r="Q347">
        <v>17.657</v>
      </c>
      <c r="R347">
        <v>262</v>
      </c>
      <c r="S347">
        <v>2.8283999999999998</v>
      </c>
      <c r="T347">
        <v>14828</v>
      </c>
      <c r="U347">
        <f t="shared" si="5"/>
        <v>1.3201375775559752</v>
      </c>
    </row>
    <row r="348" spans="1:21" x14ac:dyDescent="0.35">
      <c r="A348">
        <v>3813</v>
      </c>
      <c r="B348" t="s">
        <v>16</v>
      </c>
      <c r="C348" t="s">
        <v>1813</v>
      </c>
      <c r="D348">
        <v>22.8</v>
      </c>
      <c r="E348">
        <v>1.1000000000000001</v>
      </c>
      <c r="F348">
        <v>21</v>
      </c>
      <c r="G348">
        <v>920</v>
      </c>
      <c r="H348">
        <v>24</v>
      </c>
      <c r="I348">
        <v>161</v>
      </c>
      <c r="J348">
        <v>47.699582999999997</v>
      </c>
      <c r="K348">
        <v>26.229583000000002</v>
      </c>
      <c r="L348">
        <v>21</v>
      </c>
      <c r="M348">
        <v>720</v>
      </c>
      <c r="N348">
        <v>4.7100000000000003E-2</v>
      </c>
      <c r="O348">
        <v>200180</v>
      </c>
      <c r="P348">
        <v>20.221</v>
      </c>
      <c r="Q348">
        <v>0.16735</v>
      </c>
      <c r="R348">
        <v>306</v>
      </c>
      <c r="S348">
        <v>3.1623000000000001</v>
      </c>
      <c r="T348">
        <v>165</v>
      </c>
      <c r="U348">
        <f t="shared" si="5"/>
        <v>0.97575757575757571</v>
      </c>
    </row>
    <row r="349" spans="1:21" x14ac:dyDescent="0.35">
      <c r="A349">
        <v>3815</v>
      </c>
      <c r="B349" t="s">
        <v>16</v>
      </c>
      <c r="C349" t="s">
        <v>1806</v>
      </c>
      <c r="D349">
        <v>9.4</v>
      </c>
      <c r="E349">
        <v>0.6</v>
      </c>
      <c r="F349">
        <v>25</v>
      </c>
      <c r="G349">
        <v>290</v>
      </c>
      <c r="H349">
        <v>100</v>
      </c>
      <c r="I349">
        <v>714</v>
      </c>
      <c r="J349">
        <v>47.452083000000002</v>
      </c>
      <c r="K349">
        <v>26.821249999999999</v>
      </c>
      <c r="L349">
        <v>25</v>
      </c>
      <c r="M349">
        <v>402.49</v>
      </c>
      <c r="N349">
        <v>0.2059</v>
      </c>
      <c r="O349">
        <v>908830</v>
      </c>
      <c r="P349">
        <v>4.0656999999999996</v>
      </c>
      <c r="Q349">
        <v>0.65773999999999999</v>
      </c>
      <c r="R349">
        <v>189</v>
      </c>
      <c r="S349">
        <v>15.811</v>
      </c>
      <c r="T349">
        <v>691</v>
      </c>
      <c r="U349">
        <f t="shared" si="5"/>
        <v>1.0332850940665701</v>
      </c>
    </row>
    <row r="350" spans="1:21" x14ac:dyDescent="0.35">
      <c r="A350">
        <v>3816</v>
      </c>
      <c r="B350" t="s">
        <v>16</v>
      </c>
      <c r="C350" t="s">
        <v>1834</v>
      </c>
      <c r="D350">
        <v>41.1</v>
      </c>
      <c r="E350">
        <v>3.4</v>
      </c>
      <c r="F350">
        <v>10</v>
      </c>
      <c r="G350">
        <v>1013</v>
      </c>
      <c r="H350">
        <v>689</v>
      </c>
      <c r="I350">
        <v>5702</v>
      </c>
      <c r="J350">
        <v>47.416249999999998</v>
      </c>
      <c r="K350">
        <v>27.287917</v>
      </c>
      <c r="L350">
        <v>10</v>
      </c>
      <c r="M350">
        <v>1484.3</v>
      </c>
      <c r="N350">
        <v>0.52407000000000004</v>
      </c>
      <c r="O350">
        <v>2289200</v>
      </c>
      <c r="P350">
        <v>3.0533000000000001</v>
      </c>
      <c r="Q350">
        <v>4.2648999999999999</v>
      </c>
      <c r="R350">
        <v>46</v>
      </c>
      <c r="S350">
        <v>2.2361</v>
      </c>
      <c r="T350">
        <v>4748</v>
      </c>
      <c r="U350">
        <f t="shared" si="5"/>
        <v>1.2009267059814659</v>
      </c>
    </row>
    <row r="351" spans="1:21" x14ac:dyDescent="0.35">
      <c r="A351">
        <v>3819</v>
      </c>
      <c r="B351" t="s">
        <v>16</v>
      </c>
      <c r="C351" t="s">
        <v>1828</v>
      </c>
      <c r="D351">
        <v>33</v>
      </c>
      <c r="E351">
        <v>2.2000000000000002</v>
      </c>
      <c r="F351">
        <v>14</v>
      </c>
      <c r="G351">
        <v>630</v>
      </c>
      <c r="H351">
        <v>524</v>
      </c>
      <c r="I351">
        <v>3891</v>
      </c>
      <c r="J351">
        <v>47.206249999999997</v>
      </c>
      <c r="K351">
        <v>27.250416999999999</v>
      </c>
      <c r="L351">
        <v>14</v>
      </c>
      <c r="M351">
        <v>1094.9000000000001</v>
      </c>
      <c r="N351">
        <v>0.57677999999999996</v>
      </c>
      <c r="O351">
        <v>2562900</v>
      </c>
      <c r="P351">
        <v>2.8283999999999998</v>
      </c>
      <c r="Q351">
        <v>3.4035000000000002</v>
      </c>
      <c r="R351">
        <v>64</v>
      </c>
      <c r="S351">
        <v>3</v>
      </c>
      <c r="T351">
        <v>3592</v>
      </c>
      <c r="U351">
        <f t="shared" si="5"/>
        <v>1.0832405345211582</v>
      </c>
    </row>
    <row r="352" spans="1:21" x14ac:dyDescent="0.35">
      <c r="A352">
        <v>3820</v>
      </c>
      <c r="B352" t="s">
        <v>16</v>
      </c>
      <c r="C352" t="s">
        <v>1822</v>
      </c>
      <c r="D352">
        <v>50.2</v>
      </c>
      <c r="E352">
        <v>3.2</v>
      </c>
      <c r="F352">
        <v>17</v>
      </c>
      <c r="G352">
        <v>2160</v>
      </c>
      <c r="H352">
        <v>326</v>
      </c>
      <c r="I352">
        <v>2094</v>
      </c>
      <c r="J352">
        <v>47.189582999999999</v>
      </c>
      <c r="K352">
        <v>22.917083000000002</v>
      </c>
      <c r="L352">
        <v>17</v>
      </c>
      <c r="M352">
        <v>2507.1</v>
      </c>
      <c r="N352">
        <v>0.46876000000000001</v>
      </c>
      <c r="O352">
        <v>2353500</v>
      </c>
      <c r="P352">
        <v>4.4905999999999997</v>
      </c>
      <c r="Q352">
        <v>2.4977999999999998</v>
      </c>
      <c r="R352">
        <v>235</v>
      </c>
      <c r="S352">
        <v>1</v>
      </c>
      <c r="T352">
        <v>2228</v>
      </c>
      <c r="U352">
        <f t="shared" si="5"/>
        <v>0.93985637342908435</v>
      </c>
    </row>
    <row r="353" spans="1:21" x14ac:dyDescent="0.35">
      <c r="A353">
        <v>3821</v>
      </c>
      <c r="B353" t="s">
        <v>16</v>
      </c>
      <c r="C353" t="s">
        <v>1766</v>
      </c>
      <c r="D353">
        <v>90</v>
      </c>
      <c r="E353">
        <v>3.1</v>
      </c>
      <c r="F353">
        <v>92</v>
      </c>
      <c r="G353">
        <v>250</v>
      </c>
      <c r="H353">
        <v>114</v>
      </c>
      <c r="I353">
        <v>850</v>
      </c>
      <c r="J353">
        <v>47.165416999999998</v>
      </c>
      <c r="K353">
        <v>24.877917</v>
      </c>
      <c r="L353">
        <v>92</v>
      </c>
      <c r="M353">
        <v>509.12</v>
      </c>
      <c r="N353">
        <v>1.5044999999999999</v>
      </c>
      <c r="O353">
        <v>6363600</v>
      </c>
      <c r="P353">
        <v>4.9123999999999999</v>
      </c>
      <c r="Q353">
        <v>1.4642999999999999</v>
      </c>
      <c r="R353">
        <v>904</v>
      </c>
      <c r="S353">
        <v>23.087</v>
      </c>
      <c r="T353">
        <v>782</v>
      </c>
      <c r="U353">
        <f t="shared" si="5"/>
        <v>1.0869565217391304</v>
      </c>
    </row>
    <row r="354" spans="1:21" x14ac:dyDescent="0.35">
      <c r="A354">
        <v>3822</v>
      </c>
      <c r="B354" t="s">
        <v>16</v>
      </c>
      <c r="C354" t="s">
        <v>1779</v>
      </c>
      <c r="D354">
        <v>52.9</v>
      </c>
      <c r="E354">
        <v>5.2</v>
      </c>
      <c r="F354">
        <v>37</v>
      </c>
      <c r="G354">
        <v>14246</v>
      </c>
      <c r="H354">
        <v>1852</v>
      </c>
      <c r="I354">
        <v>11180</v>
      </c>
      <c r="J354">
        <v>47.078749999999999</v>
      </c>
      <c r="K354">
        <v>22.207916999999998</v>
      </c>
      <c r="L354">
        <v>37</v>
      </c>
      <c r="M354">
        <v>1938.7</v>
      </c>
      <c r="N354">
        <v>18.163</v>
      </c>
      <c r="O354">
        <v>85944000</v>
      </c>
      <c r="P354">
        <v>0.41772999999999999</v>
      </c>
      <c r="Q354">
        <v>45.746000000000002</v>
      </c>
      <c r="R354">
        <v>177</v>
      </c>
      <c r="S354">
        <v>1</v>
      </c>
      <c r="T354">
        <v>12618</v>
      </c>
      <c r="U354">
        <f t="shared" si="5"/>
        <v>0.88603582184181329</v>
      </c>
    </row>
    <row r="355" spans="1:21" x14ac:dyDescent="0.35">
      <c r="A355">
        <v>3823</v>
      </c>
      <c r="B355" t="s">
        <v>16</v>
      </c>
      <c r="C355" t="s">
        <v>1800</v>
      </c>
      <c r="D355">
        <v>65.400000000000006</v>
      </c>
      <c r="E355">
        <v>4.5999999999999996</v>
      </c>
      <c r="F355">
        <v>29</v>
      </c>
      <c r="G355">
        <v>15666</v>
      </c>
      <c r="H355">
        <v>1766</v>
      </c>
      <c r="I355">
        <v>10776</v>
      </c>
      <c r="J355">
        <v>47.059583000000003</v>
      </c>
      <c r="K355">
        <v>22.303750000000001</v>
      </c>
      <c r="L355">
        <v>29</v>
      </c>
      <c r="M355">
        <v>1630</v>
      </c>
      <c r="N355">
        <v>13.879</v>
      </c>
      <c r="O355">
        <v>65624000</v>
      </c>
      <c r="P355">
        <v>0.44886999999999999</v>
      </c>
      <c r="Q355">
        <v>45.055</v>
      </c>
      <c r="R355">
        <v>208</v>
      </c>
      <c r="S355">
        <v>1</v>
      </c>
      <c r="T355">
        <v>12013</v>
      </c>
      <c r="U355">
        <f t="shared" si="5"/>
        <v>0.89702821942895195</v>
      </c>
    </row>
    <row r="356" spans="1:21" x14ac:dyDescent="0.35">
      <c r="A356">
        <v>3824</v>
      </c>
      <c r="B356" t="s">
        <v>16</v>
      </c>
      <c r="C356" t="s">
        <v>1757</v>
      </c>
      <c r="D356">
        <v>1230</v>
      </c>
      <c r="E356">
        <v>19.8</v>
      </c>
      <c r="F356">
        <v>127</v>
      </c>
      <c r="G356">
        <v>430</v>
      </c>
      <c r="H356">
        <v>4060</v>
      </c>
      <c r="I356">
        <v>30428</v>
      </c>
      <c r="J356">
        <v>46.941249999999997</v>
      </c>
      <c r="K356">
        <v>26.104583000000002</v>
      </c>
      <c r="L356">
        <v>127</v>
      </c>
      <c r="M356">
        <v>804.98</v>
      </c>
      <c r="N356">
        <v>81.209999999999994</v>
      </c>
      <c r="O356">
        <v>314150000</v>
      </c>
      <c r="P356">
        <v>0.54512000000000005</v>
      </c>
      <c r="Q356">
        <v>50.854999999999997</v>
      </c>
      <c r="R356">
        <v>610</v>
      </c>
      <c r="S356">
        <v>3.1623000000000001</v>
      </c>
      <c r="T356">
        <v>27861</v>
      </c>
      <c r="U356">
        <f t="shared" si="5"/>
        <v>1.092135960661857</v>
      </c>
    </row>
    <row r="357" spans="1:21" x14ac:dyDescent="0.35">
      <c r="A357">
        <v>3825</v>
      </c>
      <c r="B357" t="s">
        <v>16</v>
      </c>
      <c r="C357" t="s">
        <v>1820</v>
      </c>
      <c r="D357">
        <v>25</v>
      </c>
      <c r="E357">
        <v>2.5</v>
      </c>
      <c r="F357">
        <v>20</v>
      </c>
      <c r="G357">
        <v>750</v>
      </c>
      <c r="H357">
        <v>194</v>
      </c>
      <c r="I357">
        <v>1426</v>
      </c>
      <c r="J357">
        <v>46.941249999999997</v>
      </c>
      <c r="K357">
        <v>27.338750000000001</v>
      </c>
      <c r="L357">
        <v>20</v>
      </c>
      <c r="M357">
        <v>900</v>
      </c>
      <c r="N357">
        <v>0.29426000000000002</v>
      </c>
      <c r="O357">
        <v>1296400</v>
      </c>
      <c r="P357">
        <v>4.3170999999999999</v>
      </c>
      <c r="Q357">
        <v>1.1815</v>
      </c>
      <c r="R357">
        <v>150</v>
      </c>
      <c r="S357">
        <v>4</v>
      </c>
      <c r="T357">
        <v>1324</v>
      </c>
      <c r="U357">
        <f t="shared" si="5"/>
        <v>1.0770392749244713</v>
      </c>
    </row>
    <row r="358" spans="1:21" x14ac:dyDescent="0.35">
      <c r="A358">
        <v>3826</v>
      </c>
      <c r="B358" t="s">
        <v>16</v>
      </c>
      <c r="C358" t="s">
        <v>1802</v>
      </c>
      <c r="D358">
        <v>10</v>
      </c>
      <c r="E358">
        <v>1.6</v>
      </c>
      <c r="F358">
        <v>27</v>
      </c>
      <c r="G358">
        <v>920</v>
      </c>
      <c r="H358">
        <v>5329</v>
      </c>
      <c r="I358">
        <v>38320</v>
      </c>
      <c r="J358">
        <v>46.932917000000003</v>
      </c>
      <c r="K358">
        <v>26.337917000000001</v>
      </c>
      <c r="L358">
        <v>27</v>
      </c>
      <c r="M358">
        <v>360</v>
      </c>
      <c r="N358">
        <v>20.303999999999998</v>
      </c>
      <c r="O358">
        <v>79015000</v>
      </c>
      <c r="P358">
        <v>0.77085000000000004</v>
      </c>
      <c r="Q358">
        <v>62.746000000000002</v>
      </c>
      <c r="R358">
        <v>504</v>
      </c>
      <c r="S358">
        <v>1</v>
      </c>
      <c r="T358">
        <v>36501</v>
      </c>
      <c r="U358">
        <f t="shared" si="5"/>
        <v>1.0498342511164078</v>
      </c>
    </row>
    <row r="359" spans="1:21" x14ac:dyDescent="0.35">
      <c r="A359">
        <v>3827</v>
      </c>
      <c r="B359" t="s">
        <v>16</v>
      </c>
      <c r="C359" t="s">
        <v>1827</v>
      </c>
      <c r="D359">
        <v>21.1</v>
      </c>
      <c r="E359">
        <v>1.4</v>
      </c>
      <c r="F359">
        <v>15</v>
      </c>
      <c r="G359">
        <v>870</v>
      </c>
      <c r="H359">
        <v>188</v>
      </c>
      <c r="I359">
        <v>1429</v>
      </c>
      <c r="J359">
        <v>46.862082999999998</v>
      </c>
      <c r="K359">
        <v>27.487916999999999</v>
      </c>
      <c r="L359">
        <v>15</v>
      </c>
      <c r="M359">
        <v>1094.9000000000001</v>
      </c>
      <c r="N359">
        <v>0.20113</v>
      </c>
      <c r="O359">
        <v>877480</v>
      </c>
      <c r="P359">
        <v>4.9123000000000001</v>
      </c>
      <c r="Q359">
        <v>1.0699000000000001</v>
      </c>
      <c r="R359">
        <v>124</v>
      </c>
      <c r="S359">
        <v>2</v>
      </c>
      <c r="T359">
        <v>1282</v>
      </c>
      <c r="U359">
        <f t="shared" si="5"/>
        <v>1.1146645865834632</v>
      </c>
    </row>
    <row r="360" spans="1:21" x14ac:dyDescent="0.35">
      <c r="A360">
        <v>3828</v>
      </c>
      <c r="B360" t="s">
        <v>16</v>
      </c>
      <c r="C360" t="s">
        <v>1761</v>
      </c>
      <c r="D360">
        <v>112</v>
      </c>
      <c r="E360">
        <v>1.7</v>
      </c>
      <c r="F360">
        <v>120</v>
      </c>
      <c r="G360">
        <v>424</v>
      </c>
      <c r="H360">
        <v>154</v>
      </c>
      <c r="I360">
        <v>973</v>
      </c>
      <c r="J360">
        <v>46.791249999999998</v>
      </c>
      <c r="K360">
        <v>22.712917000000001</v>
      </c>
      <c r="L360">
        <v>120</v>
      </c>
      <c r="M360">
        <v>1080</v>
      </c>
      <c r="N360">
        <v>6.5513000000000003</v>
      </c>
      <c r="O360">
        <v>31130000</v>
      </c>
      <c r="P360">
        <v>3.2404000000000002</v>
      </c>
      <c r="Q360">
        <v>5.1031000000000004</v>
      </c>
      <c r="R360">
        <v>841</v>
      </c>
      <c r="S360">
        <v>5.8310000000000004</v>
      </c>
      <c r="T360">
        <v>1049</v>
      </c>
      <c r="U360">
        <f t="shared" si="5"/>
        <v>0.92755004766444238</v>
      </c>
    </row>
    <row r="361" spans="1:21" x14ac:dyDescent="0.35">
      <c r="A361">
        <v>3829</v>
      </c>
      <c r="B361" t="s">
        <v>16</v>
      </c>
      <c r="C361" t="s">
        <v>1829</v>
      </c>
      <c r="D361">
        <v>47</v>
      </c>
      <c r="E361">
        <v>4.0999999999999996</v>
      </c>
      <c r="F361">
        <v>14</v>
      </c>
      <c r="G361">
        <v>964</v>
      </c>
      <c r="H361">
        <v>420</v>
      </c>
      <c r="I361">
        <v>3397</v>
      </c>
      <c r="J361">
        <v>46.791249999999998</v>
      </c>
      <c r="K361">
        <v>27.787917</v>
      </c>
      <c r="L361">
        <v>14</v>
      </c>
      <c r="M361">
        <v>720</v>
      </c>
      <c r="N361">
        <v>0.36108000000000001</v>
      </c>
      <c r="O361">
        <v>1641500</v>
      </c>
      <c r="P361">
        <v>2.319</v>
      </c>
      <c r="Q361">
        <v>2.2111000000000001</v>
      </c>
      <c r="R361">
        <v>109</v>
      </c>
      <c r="S361">
        <v>0.5</v>
      </c>
      <c r="T361">
        <v>2866</v>
      </c>
      <c r="U361">
        <f t="shared" si="5"/>
        <v>1.1852756454989533</v>
      </c>
    </row>
    <row r="362" spans="1:21" x14ac:dyDescent="0.35">
      <c r="A362">
        <v>3830</v>
      </c>
      <c r="B362" t="s">
        <v>16</v>
      </c>
      <c r="C362" t="s">
        <v>1764</v>
      </c>
      <c r="D362">
        <v>74</v>
      </c>
      <c r="E362">
        <v>1.4</v>
      </c>
      <c r="F362">
        <v>97</v>
      </c>
      <c r="G362">
        <v>237</v>
      </c>
      <c r="H362">
        <v>480</v>
      </c>
      <c r="I362">
        <v>3302</v>
      </c>
      <c r="J362">
        <v>46.727083</v>
      </c>
      <c r="K362">
        <v>23.296250000000001</v>
      </c>
      <c r="L362">
        <v>97</v>
      </c>
      <c r="M362">
        <v>540</v>
      </c>
      <c r="N362">
        <v>13.044</v>
      </c>
      <c r="O362">
        <v>59549000</v>
      </c>
      <c r="P362">
        <v>0.62627999999999995</v>
      </c>
      <c r="Q362">
        <v>11.821</v>
      </c>
      <c r="R362">
        <v>621</v>
      </c>
      <c r="S362">
        <v>1</v>
      </c>
      <c r="T362">
        <v>3256</v>
      </c>
      <c r="U362">
        <f t="shared" si="5"/>
        <v>1.0141277641277642</v>
      </c>
    </row>
    <row r="363" spans="1:21" x14ac:dyDescent="0.35">
      <c r="A363">
        <v>3831</v>
      </c>
      <c r="B363" t="s">
        <v>16</v>
      </c>
      <c r="C363" t="s">
        <v>1816</v>
      </c>
      <c r="D363">
        <v>8.6999999999999993</v>
      </c>
      <c r="E363">
        <v>1</v>
      </c>
      <c r="F363">
        <v>20</v>
      </c>
      <c r="G363">
        <v>7380</v>
      </c>
      <c r="H363">
        <v>6685</v>
      </c>
      <c r="I363">
        <v>45081</v>
      </c>
      <c r="J363">
        <v>46.695416999999999</v>
      </c>
      <c r="K363">
        <v>26.712917000000001</v>
      </c>
      <c r="L363">
        <v>20</v>
      </c>
      <c r="M363">
        <v>3054.7</v>
      </c>
      <c r="N363">
        <v>17.219000000000001</v>
      </c>
      <c r="O363">
        <v>67665000</v>
      </c>
      <c r="P363">
        <v>0.35165999999999997</v>
      </c>
      <c r="Q363">
        <v>72.988</v>
      </c>
      <c r="R363">
        <v>203</v>
      </c>
      <c r="S363">
        <v>1</v>
      </c>
      <c r="T363">
        <v>45740</v>
      </c>
      <c r="U363">
        <f t="shared" si="5"/>
        <v>0.98559247923043292</v>
      </c>
    </row>
    <row r="364" spans="1:21" x14ac:dyDescent="0.35">
      <c r="A364">
        <v>3833</v>
      </c>
      <c r="B364" t="s">
        <v>16</v>
      </c>
      <c r="C364" t="s">
        <v>1765</v>
      </c>
      <c r="D364">
        <v>225</v>
      </c>
      <c r="E364">
        <v>4.0999999999999996</v>
      </c>
      <c r="F364">
        <v>92</v>
      </c>
      <c r="G364">
        <v>400</v>
      </c>
      <c r="H364">
        <v>325</v>
      </c>
      <c r="I364">
        <v>2214</v>
      </c>
      <c r="J364">
        <v>46.667082999999998</v>
      </c>
      <c r="K364">
        <v>23.05875</v>
      </c>
      <c r="L364">
        <v>92</v>
      </c>
      <c r="M364">
        <v>763.68</v>
      </c>
      <c r="N364">
        <v>9.9405999999999999</v>
      </c>
      <c r="O364">
        <v>46811000</v>
      </c>
      <c r="P364">
        <v>1.1333</v>
      </c>
      <c r="Q364">
        <v>9.9831000000000003</v>
      </c>
      <c r="R364">
        <v>1034</v>
      </c>
      <c r="S364">
        <v>14.318</v>
      </c>
      <c r="T364">
        <v>2204</v>
      </c>
      <c r="U364">
        <f t="shared" si="5"/>
        <v>1.0045372050816697</v>
      </c>
    </row>
    <row r="365" spans="1:21" x14ac:dyDescent="0.35">
      <c r="A365">
        <v>3836</v>
      </c>
      <c r="B365" t="s">
        <v>16</v>
      </c>
      <c r="C365" t="s">
        <v>1830</v>
      </c>
      <c r="D365">
        <v>40.9</v>
      </c>
      <c r="E365">
        <v>2.7</v>
      </c>
      <c r="F365">
        <v>14</v>
      </c>
      <c r="G365">
        <v>865</v>
      </c>
      <c r="H365">
        <v>402</v>
      </c>
      <c r="I365">
        <v>3058</v>
      </c>
      <c r="J365">
        <v>46.566249999999997</v>
      </c>
      <c r="K365">
        <v>27.840416999999999</v>
      </c>
      <c r="L365">
        <v>14</v>
      </c>
      <c r="M365">
        <v>1049.5999999999999</v>
      </c>
      <c r="N365">
        <v>0.31324000000000002</v>
      </c>
      <c r="O365">
        <v>1415200</v>
      </c>
      <c r="P365">
        <v>2.5808</v>
      </c>
      <c r="Q365">
        <v>1.9448000000000001</v>
      </c>
      <c r="R365">
        <v>91</v>
      </c>
      <c r="S365">
        <v>0.5</v>
      </c>
      <c r="T365">
        <v>2740</v>
      </c>
      <c r="U365">
        <f t="shared" si="5"/>
        <v>1.1160583941605839</v>
      </c>
    </row>
    <row r="366" spans="1:21" x14ac:dyDescent="0.35">
      <c r="A366">
        <v>3837</v>
      </c>
      <c r="B366" t="s">
        <v>16</v>
      </c>
      <c r="C366" t="s">
        <v>1775</v>
      </c>
      <c r="D366">
        <v>44</v>
      </c>
      <c r="E366">
        <v>1</v>
      </c>
      <c r="F366">
        <v>48</v>
      </c>
      <c r="G366">
        <v>520</v>
      </c>
      <c r="H366">
        <v>317</v>
      </c>
      <c r="I366">
        <v>2058</v>
      </c>
      <c r="J366">
        <v>46.466250000000002</v>
      </c>
      <c r="K366">
        <v>25.400417000000001</v>
      </c>
      <c r="L366">
        <v>48</v>
      </c>
      <c r="M366">
        <v>763.68</v>
      </c>
      <c r="N366">
        <v>1.9198999999999999</v>
      </c>
      <c r="O366">
        <v>7640500</v>
      </c>
      <c r="P366">
        <v>1.9782</v>
      </c>
      <c r="Q366">
        <v>3.5287000000000002</v>
      </c>
      <c r="R366">
        <v>619</v>
      </c>
      <c r="S366">
        <v>15.032999999999999</v>
      </c>
      <c r="T366">
        <v>2150</v>
      </c>
      <c r="U366">
        <f t="shared" si="5"/>
        <v>0.95720930232558143</v>
      </c>
    </row>
    <row r="367" spans="1:21" x14ac:dyDescent="0.35">
      <c r="A367">
        <v>3838</v>
      </c>
      <c r="B367" t="s">
        <v>16</v>
      </c>
      <c r="C367" t="s">
        <v>1807</v>
      </c>
      <c r="D367">
        <v>39.6</v>
      </c>
      <c r="E367">
        <v>5.6</v>
      </c>
      <c r="F367">
        <v>24</v>
      </c>
      <c r="G367">
        <v>20942</v>
      </c>
      <c r="H367">
        <v>19474</v>
      </c>
      <c r="I367">
        <v>134745</v>
      </c>
      <c r="J367">
        <v>46.457917000000002</v>
      </c>
      <c r="K367">
        <v>26.952082999999998</v>
      </c>
      <c r="L367">
        <v>24</v>
      </c>
      <c r="M367">
        <v>5043.2</v>
      </c>
      <c r="N367">
        <v>53.363999999999997</v>
      </c>
      <c r="O367">
        <v>217390000</v>
      </c>
      <c r="P367">
        <v>0.29679</v>
      </c>
      <c r="Q367">
        <v>183.29</v>
      </c>
      <c r="R367">
        <v>131</v>
      </c>
      <c r="S367">
        <v>0.5</v>
      </c>
      <c r="T367">
        <v>133940</v>
      </c>
      <c r="U367">
        <f t="shared" si="5"/>
        <v>1.0060101538002091</v>
      </c>
    </row>
    <row r="368" spans="1:21" x14ac:dyDescent="0.35">
      <c r="A368">
        <v>3839</v>
      </c>
      <c r="B368" t="s">
        <v>16</v>
      </c>
      <c r="C368" t="s">
        <v>1797</v>
      </c>
      <c r="D368">
        <v>103.7</v>
      </c>
      <c r="E368">
        <v>11.8</v>
      </c>
      <c r="F368">
        <v>29</v>
      </c>
      <c r="G368">
        <v>12722</v>
      </c>
      <c r="H368">
        <v>19929</v>
      </c>
      <c r="I368">
        <v>136701</v>
      </c>
      <c r="J368">
        <v>46.337083</v>
      </c>
      <c r="K368">
        <v>27.046250000000001</v>
      </c>
      <c r="L368">
        <v>29</v>
      </c>
      <c r="M368">
        <v>1659.5</v>
      </c>
      <c r="N368">
        <v>66.370999999999995</v>
      </c>
      <c r="O368">
        <v>270330000</v>
      </c>
      <c r="P368">
        <v>0.13016</v>
      </c>
      <c r="Q368">
        <v>185.83</v>
      </c>
      <c r="R368">
        <v>114</v>
      </c>
      <c r="S368">
        <v>3</v>
      </c>
      <c r="T368">
        <v>137020</v>
      </c>
      <c r="U368">
        <f t="shared" si="5"/>
        <v>0.99767187271931101</v>
      </c>
    </row>
    <row r="369" spans="1:21" x14ac:dyDescent="0.35">
      <c r="A369">
        <v>3840</v>
      </c>
      <c r="B369" t="s">
        <v>16</v>
      </c>
      <c r="C369" t="s">
        <v>1768</v>
      </c>
      <c r="D369">
        <v>90</v>
      </c>
      <c r="E369">
        <v>2.2000000000000002</v>
      </c>
      <c r="F369">
        <v>82</v>
      </c>
      <c r="G369">
        <v>500</v>
      </c>
      <c r="H369">
        <v>383</v>
      </c>
      <c r="I369">
        <v>2557</v>
      </c>
      <c r="J369">
        <v>46.33625</v>
      </c>
      <c r="K369">
        <v>26.389582999999998</v>
      </c>
      <c r="L369">
        <v>82</v>
      </c>
      <c r="M369">
        <v>763.68</v>
      </c>
      <c r="N369">
        <v>2.593</v>
      </c>
      <c r="O369">
        <v>10523000</v>
      </c>
      <c r="P369">
        <v>3.5062000000000002</v>
      </c>
      <c r="Q369">
        <v>2.3635000000000002</v>
      </c>
      <c r="R369">
        <v>554</v>
      </c>
      <c r="S369">
        <v>12.728</v>
      </c>
      <c r="T369">
        <v>2585</v>
      </c>
      <c r="U369">
        <f t="shared" si="5"/>
        <v>0.98916827852998068</v>
      </c>
    </row>
    <row r="370" spans="1:21" x14ac:dyDescent="0.35">
      <c r="A370">
        <v>3843</v>
      </c>
      <c r="B370" t="s">
        <v>16</v>
      </c>
      <c r="C370" t="s">
        <v>1795</v>
      </c>
      <c r="D370">
        <v>120</v>
      </c>
      <c r="E370">
        <v>18</v>
      </c>
      <c r="F370">
        <v>29</v>
      </c>
      <c r="G370">
        <v>14322</v>
      </c>
      <c r="H370">
        <v>20290</v>
      </c>
      <c r="I370">
        <v>138225</v>
      </c>
      <c r="J370">
        <v>46.187083000000001</v>
      </c>
      <c r="K370">
        <v>27.18375</v>
      </c>
      <c r="L370">
        <v>29</v>
      </c>
      <c r="M370">
        <v>2930.2</v>
      </c>
      <c r="N370">
        <v>67.108999999999995</v>
      </c>
      <c r="O370">
        <v>273360000</v>
      </c>
      <c r="P370">
        <v>0.14158999999999999</v>
      </c>
      <c r="Q370">
        <v>187.8</v>
      </c>
      <c r="R370">
        <v>94</v>
      </c>
      <c r="S370">
        <v>0.5</v>
      </c>
      <c r="T370">
        <v>139450</v>
      </c>
      <c r="U370">
        <f t="shared" si="5"/>
        <v>0.99121548942273219</v>
      </c>
    </row>
    <row r="371" spans="1:21" x14ac:dyDescent="0.35">
      <c r="A371">
        <v>3844</v>
      </c>
      <c r="B371" t="s">
        <v>16</v>
      </c>
      <c r="C371" t="s">
        <v>1810</v>
      </c>
      <c r="D371">
        <v>13</v>
      </c>
      <c r="E371">
        <v>0.2</v>
      </c>
      <c r="F371">
        <v>22</v>
      </c>
      <c r="G371">
        <v>1003</v>
      </c>
      <c r="H371">
        <v>683</v>
      </c>
      <c r="I371">
        <v>5670</v>
      </c>
      <c r="J371">
        <v>45.904583000000002</v>
      </c>
      <c r="K371">
        <v>23.559583</v>
      </c>
      <c r="L371">
        <v>22</v>
      </c>
      <c r="M371">
        <v>1370.8</v>
      </c>
      <c r="N371">
        <v>2.2519999999999998</v>
      </c>
      <c r="O371">
        <v>9399900</v>
      </c>
      <c r="P371">
        <v>0.86997999999999998</v>
      </c>
      <c r="Q371">
        <v>8.2360000000000007</v>
      </c>
      <c r="R371">
        <v>290</v>
      </c>
      <c r="S371">
        <v>0.5</v>
      </c>
      <c r="T371">
        <v>4550</v>
      </c>
      <c r="U371">
        <f t="shared" si="5"/>
        <v>1.2461538461538462</v>
      </c>
    </row>
    <row r="372" spans="1:21" x14ac:dyDescent="0.35">
      <c r="A372">
        <v>3845</v>
      </c>
      <c r="B372" t="s">
        <v>16</v>
      </c>
      <c r="C372" t="s">
        <v>1812</v>
      </c>
      <c r="D372">
        <v>12.3</v>
      </c>
      <c r="E372">
        <v>1.9</v>
      </c>
      <c r="F372">
        <v>21</v>
      </c>
      <c r="G372">
        <v>11961</v>
      </c>
      <c r="H372">
        <v>9448</v>
      </c>
      <c r="I372">
        <v>67747</v>
      </c>
      <c r="J372">
        <v>45.835417</v>
      </c>
      <c r="K372">
        <v>24.860417000000002</v>
      </c>
      <c r="L372">
        <v>21</v>
      </c>
      <c r="M372">
        <v>540</v>
      </c>
      <c r="N372">
        <v>19.779</v>
      </c>
      <c r="O372">
        <v>85411000</v>
      </c>
      <c r="P372">
        <v>1.1008</v>
      </c>
      <c r="Q372">
        <v>79.783000000000001</v>
      </c>
      <c r="R372">
        <v>416</v>
      </c>
      <c r="S372">
        <v>1</v>
      </c>
      <c r="T372">
        <v>63326</v>
      </c>
      <c r="U372">
        <f t="shared" si="5"/>
        <v>1.0698133468085778</v>
      </c>
    </row>
    <row r="373" spans="1:21" x14ac:dyDescent="0.35">
      <c r="A373">
        <v>3846</v>
      </c>
      <c r="B373" t="s">
        <v>16</v>
      </c>
      <c r="C373" t="s">
        <v>1815</v>
      </c>
      <c r="D373">
        <v>4.3</v>
      </c>
      <c r="E373">
        <v>1.2</v>
      </c>
      <c r="F373">
        <v>20</v>
      </c>
      <c r="G373">
        <v>7093</v>
      </c>
      <c r="H373">
        <v>9865</v>
      </c>
      <c r="I373">
        <v>70358</v>
      </c>
      <c r="J373">
        <v>45.808750000000003</v>
      </c>
      <c r="K373">
        <v>24.749583000000001</v>
      </c>
      <c r="L373">
        <v>20</v>
      </c>
      <c r="M373">
        <v>804.98</v>
      </c>
      <c r="N373">
        <v>20.117999999999999</v>
      </c>
      <c r="O373">
        <v>86959000</v>
      </c>
      <c r="P373">
        <v>0.26634000000000002</v>
      </c>
      <c r="Q373">
        <v>85.572999999999993</v>
      </c>
      <c r="R373">
        <v>407</v>
      </c>
      <c r="S373">
        <v>1</v>
      </c>
      <c r="T373">
        <v>66115</v>
      </c>
      <c r="U373">
        <f t="shared" si="5"/>
        <v>1.0641760568706042</v>
      </c>
    </row>
    <row r="374" spans="1:21" x14ac:dyDescent="0.35">
      <c r="A374">
        <v>3847</v>
      </c>
      <c r="B374" t="s">
        <v>16</v>
      </c>
      <c r="C374" t="s">
        <v>1814</v>
      </c>
      <c r="D374">
        <v>7.3</v>
      </c>
      <c r="E374">
        <v>2.1</v>
      </c>
      <c r="F374">
        <v>20</v>
      </c>
      <c r="G374">
        <v>10093</v>
      </c>
      <c r="H374">
        <v>10161</v>
      </c>
      <c r="I374">
        <v>72279</v>
      </c>
      <c r="J374">
        <v>45.793750000000003</v>
      </c>
      <c r="K374">
        <v>24.595417000000001</v>
      </c>
      <c r="L374">
        <v>20</v>
      </c>
      <c r="M374">
        <v>1207.5</v>
      </c>
      <c r="N374">
        <v>21.068000000000001</v>
      </c>
      <c r="O374">
        <v>91120000</v>
      </c>
      <c r="P374">
        <v>0.20202000000000001</v>
      </c>
      <c r="Q374">
        <v>89.673000000000002</v>
      </c>
      <c r="R374">
        <v>402</v>
      </c>
      <c r="S374">
        <v>1</v>
      </c>
      <c r="T374">
        <v>68090</v>
      </c>
      <c r="U374">
        <f t="shared" si="5"/>
        <v>1.0615215156410633</v>
      </c>
    </row>
    <row r="375" spans="1:21" x14ac:dyDescent="0.35">
      <c r="A375">
        <v>3848</v>
      </c>
      <c r="B375" t="s">
        <v>16</v>
      </c>
      <c r="C375" t="s">
        <v>1809</v>
      </c>
      <c r="D375">
        <v>5.2</v>
      </c>
      <c r="E375">
        <v>1.5</v>
      </c>
      <c r="F375">
        <v>22</v>
      </c>
      <c r="G375">
        <v>5593</v>
      </c>
      <c r="H375">
        <v>10532</v>
      </c>
      <c r="I375">
        <v>74616</v>
      </c>
      <c r="J375">
        <v>45.778750000000002</v>
      </c>
      <c r="K375">
        <v>24.512917000000002</v>
      </c>
      <c r="L375">
        <v>22</v>
      </c>
      <c r="M375">
        <v>1260</v>
      </c>
      <c r="N375">
        <v>24.65</v>
      </c>
      <c r="O375">
        <v>106690000</v>
      </c>
      <c r="P375">
        <v>0.15067</v>
      </c>
      <c r="Q375">
        <v>94.813999999999993</v>
      </c>
      <c r="R375">
        <v>387</v>
      </c>
      <c r="S375">
        <v>1</v>
      </c>
      <c r="T375">
        <v>70566</v>
      </c>
      <c r="U375">
        <f t="shared" si="5"/>
        <v>1.0573930788198282</v>
      </c>
    </row>
    <row r="376" spans="1:21" x14ac:dyDescent="0.35">
      <c r="A376">
        <v>3849</v>
      </c>
      <c r="B376" t="s">
        <v>16</v>
      </c>
      <c r="C376" t="s">
        <v>1808</v>
      </c>
      <c r="D376">
        <v>10.8</v>
      </c>
      <c r="E376">
        <v>2.6</v>
      </c>
      <c r="F376">
        <v>23</v>
      </c>
      <c r="G376">
        <v>20060</v>
      </c>
      <c r="H376">
        <v>10713</v>
      </c>
      <c r="I376">
        <v>75838</v>
      </c>
      <c r="J376">
        <v>45.745417000000003</v>
      </c>
      <c r="K376">
        <v>24.391249999999999</v>
      </c>
      <c r="L376">
        <v>23</v>
      </c>
      <c r="M376">
        <v>1772.8</v>
      </c>
      <c r="N376">
        <v>26.382000000000001</v>
      </c>
      <c r="O376">
        <v>114380000</v>
      </c>
      <c r="P376">
        <v>0.2225</v>
      </c>
      <c r="Q376">
        <v>96.906000000000006</v>
      </c>
      <c r="R376">
        <v>383</v>
      </c>
      <c r="S376">
        <v>0.5</v>
      </c>
      <c r="T376">
        <v>71777</v>
      </c>
      <c r="U376">
        <f t="shared" si="5"/>
        <v>1.0565780124552433</v>
      </c>
    </row>
    <row r="377" spans="1:21" x14ac:dyDescent="0.35">
      <c r="A377">
        <v>3850</v>
      </c>
      <c r="B377" t="s">
        <v>16</v>
      </c>
      <c r="C377" t="s">
        <v>1770</v>
      </c>
      <c r="D377">
        <v>17.5</v>
      </c>
      <c r="E377">
        <v>0.3</v>
      </c>
      <c r="F377">
        <v>74</v>
      </c>
      <c r="G377">
        <v>330</v>
      </c>
      <c r="H377">
        <v>149</v>
      </c>
      <c r="I377">
        <v>1249</v>
      </c>
      <c r="J377">
        <v>45.714582999999998</v>
      </c>
      <c r="K377">
        <v>23.925416999999999</v>
      </c>
      <c r="L377">
        <v>74</v>
      </c>
      <c r="M377">
        <v>360</v>
      </c>
      <c r="N377">
        <v>1.6877</v>
      </c>
      <c r="O377">
        <v>7036700</v>
      </c>
      <c r="P377">
        <v>2.1594000000000002</v>
      </c>
      <c r="Q377">
        <v>1.7952999999999999</v>
      </c>
      <c r="R377">
        <v>795</v>
      </c>
      <c r="S377">
        <v>8</v>
      </c>
      <c r="T377">
        <v>996</v>
      </c>
      <c r="U377">
        <f t="shared" si="5"/>
        <v>1.2540160642570282</v>
      </c>
    </row>
    <row r="378" spans="1:21" x14ac:dyDescent="0.35">
      <c r="A378">
        <v>3851</v>
      </c>
      <c r="B378" t="s">
        <v>16</v>
      </c>
      <c r="C378" t="s">
        <v>1776</v>
      </c>
      <c r="D378">
        <v>43</v>
      </c>
      <c r="E378">
        <v>1.4</v>
      </c>
      <c r="F378">
        <v>48</v>
      </c>
      <c r="G378">
        <v>220</v>
      </c>
      <c r="H378">
        <v>300</v>
      </c>
      <c r="I378">
        <v>1879</v>
      </c>
      <c r="J378">
        <v>45.700417000000002</v>
      </c>
      <c r="K378">
        <v>22.875416999999999</v>
      </c>
      <c r="L378">
        <v>48</v>
      </c>
      <c r="M378">
        <v>742.16</v>
      </c>
      <c r="N378">
        <v>1.1114999999999999</v>
      </c>
      <c r="O378">
        <v>5475300</v>
      </c>
      <c r="P378">
        <v>2.7294999999999998</v>
      </c>
      <c r="Q378">
        <v>2.0333000000000001</v>
      </c>
      <c r="R378">
        <v>325</v>
      </c>
      <c r="S378">
        <v>1</v>
      </c>
      <c r="T378">
        <v>2001</v>
      </c>
      <c r="U378">
        <f t="shared" si="5"/>
        <v>0.93903048475762119</v>
      </c>
    </row>
    <row r="379" spans="1:21" x14ac:dyDescent="0.35">
      <c r="A379">
        <v>3852</v>
      </c>
      <c r="B379" t="s">
        <v>16</v>
      </c>
      <c r="C379" t="s">
        <v>1789</v>
      </c>
      <c r="D379">
        <v>12.5</v>
      </c>
      <c r="E379">
        <v>0.9</v>
      </c>
      <c r="F379">
        <v>32</v>
      </c>
      <c r="G379">
        <v>3769</v>
      </c>
      <c r="H379">
        <v>524</v>
      </c>
      <c r="I379">
        <v>2683</v>
      </c>
      <c r="J379">
        <v>45.591250000000002</v>
      </c>
      <c r="K379">
        <v>22.958749999999998</v>
      </c>
      <c r="L379">
        <v>32</v>
      </c>
      <c r="M379">
        <v>3240</v>
      </c>
      <c r="N379">
        <v>3.2115999999999998</v>
      </c>
      <c r="O379">
        <v>13503000</v>
      </c>
      <c r="P379">
        <v>2.3448000000000002</v>
      </c>
      <c r="Q379">
        <v>8.4365000000000006</v>
      </c>
      <c r="R379">
        <v>326</v>
      </c>
      <c r="S379">
        <v>1</v>
      </c>
      <c r="T379">
        <v>3474</v>
      </c>
      <c r="U379">
        <f t="shared" si="5"/>
        <v>0.77230857800805985</v>
      </c>
    </row>
    <row r="380" spans="1:21" x14ac:dyDescent="0.35">
      <c r="A380">
        <v>3853</v>
      </c>
      <c r="B380" t="s">
        <v>16</v>
      </c>
      <c r="C380" t="s">
        <v>1767</v>
      </c>
      <c r="D380">
        <v>136</v>
      </c>
      <c r="E380">
        <v>1.5</v>
      </c>
      <c r="F380">
        <v>91</v>
      </c>
      <c r="G380">
        <v>300</v>
      </c>
      <c r="H380">
        <v>184</v>
      </c>
      <c r="I380">
        <v>1533</v>
      </c>
      <c r="J380">
        <v>45.587083</v>
      </c>
      <c r="K380">
        <v>23.625416999999999</v>
      </c>
      <c r="L380">
        <v>91</v>
      </c>
      <c r="M380">
        <v>804.98</v>
      </c>
      <c r="N380">
        <v>2.5928</v>
      </c>
      <c r="O380">
        <v>10853000</v>
      </c>
      <c r="P380">
        <v>4.2668999999999997</v>
      </c>
      <c r="Q380">
        <v>2.2406999999999999</v>
      </c>
      <c r="R380">
        <v>1269</v>
      </c>
      <c r="S380">
        <v>10.44</v>
      </c>
      <c r="T380">
        <v>1224</v>
      </c>
      <c r="U380">
        <f t="shared" si="5"/>
        <v>1.2524509803921569</v>
      </c>
    </row>
    <row r="381" spans="1:21" x14ac:dyDescent="0.35">
      <c r="A381">
        <v>3854</v>
      </c>
      <c r="B381" t="s">
        <v>16</v>
      </c>
      <c r="C381" t="s">
        <v>1777</v>
      </c>
      <c r="D381">
        <v>18.3</v>
      </c>
      <c r="E381">
        <v>0.5</v>
      </c>
      <c r="F381">
        <v>45</v>
      </c>
      <c r="G381">
        <v>709</v>
      </c>
      <c r="H381">
        <v>182</v>
      </c>
      <c r="I381">
        <v>1314</v>
      </c>
      <c r="J381">
        <v>45.582082999999997</v>
      </c>
      <c r="K381">
        <v>25.765416999999999</v>
      </c>
      <c r="L381">
        <v>45</v>
      </c>
      <c r="M381">
        <v>1138.4000000000001</v>
      </c>
      <c r="N381">
        <v>0.98187999999999998</v>
      </c>
      <c r="O381">
        <v>4514600</v>
      </c>
      <c r="P381">
        <v>4.2789000000000001</v>
      </c>
      <c r="Q381">
        <v>1.8418000000000001</v>
      </c>
      <c r="R381">
        <v>744</v>
      </c>
      <c r="S381">
        <v>0.5</v>
      </c>
      <c r="T381">
        <v>1207</v>
      </c>
      <c r="U381">
        <f t="shared" si="5"/>
        <v>1.0886495443247721</v>
      </c>
    </row>
    <row r="382" spans="1:21" x14ac:dyDescent="0.35">
      <c r="A382">
        <v>3855</v>
      </c>
      <c r="B382" t="s">
        <v>16</v>
      </c>
      <c r="C382" t="s">
        <v>1759</v>
      </c>
      <c r="D382">
        <v>155</v>
      </c>
      <c r="E382">
        <v>1.1000000000000001</v>
      </c>
      <c r="F382">
        <v>122</v>
      </c>
      <c r="G382">
        <v>570</v>
      </c>
      <c r="H382">
        <v>697</v>
      </c>
      <c r="I382">
        <v>5755</v>
      </c>
      <c r="J382">
        <v>45.495417000000003</v>
      </c>
      <c r="K382">
        <v>26.250416999999999</v>
      </c>
      <c r="L382">
        <v>122</v>
      </c>
      <c r="M382">
        <v>742.16</v>
      </c>
      <c r="N382">
        <v>10.016999999999999</v>
      </c>
      <c r="O382">
        <v>44102000</v>
      </c>
      <c r="P382">
        <v>1.7239</v>
      </c>
      <c r="Q382">
        <v>6.9134000000000002</v>
      </c>
      <c r="R382">
        <v>564</v>
      </c>
      <c r="S382">
        <v>18.358000000000001</v>
      </c>
      <c r="T382">
        <v>4640</v>
      </c>
      <c r="U382">
        <f t="shared" si="5"/>
        <v>1.240301724137931</v>
      </c>
    </row>
    <row r="383" spans="1:21" x14ac:dyDescent="0.35">
      <c r="A383">
        <v>3856</v>
      </c>
      <c r="B383" t="s">
        <v>16</v>
      </c>
      <c r="C383" t="s">
        <v>1760</v>
      </c>
      <c r="D383">
        <v>340</v>
      </c>
      <c r="E383">
        <v>4.5999999999999996</v>
      </c>
      <c r="F383">
        <v>121</v>
      </c>
      <c r="G383">
        <v>350</v>
      </c>
      <c r="H383">
        <v>161</v>
      </c>
      <c r="I383">
        <v>1316</v>
      </c>
      <c r="J383">
        <v>45.447082999999999</v>
      </c>
      <c r="K383">
        <v>23.767083</v>
      </c>
      <c r="L383">
        <v>121</v>
      </c>
      <c r="M383">
        <v>649</v>
      </c>
      <c r="N383">
        <v>3.1154000000000002</v>
      </c>
      <c r="O383">
        <v>13586000</v>
      </c>
      <c r="P383">
        <v>4.5415000000000001</v>
      </c>
      <c r="Q383">
        <v>2.1082999999999998</v>
      </c>
      <c r="R383">
        <v>1308</v>
      </c>
      <c r="S383">
        <v>9.2195</v>
      </c>
      <c r="T383">
        <v>1067</v>
      </c>
      <c r="U383">
        <f t="shared" si="5"/>
        <v>1.2333645735707592</v>
      </c>
    </row>
    <row r="384" spans="1:21" x14ac:dyDescent="0.35">
      <c r="A384">
        <v>3857</v>
      </c>
      <c r="B384" t="s">
        <v>16</v>
      </c>
      <c r="C384" t="s">
        <v>1758</v>
      </c>
      <c r="D384">
        <v>96</v>
      </c>
      <c r="E384">
        <v>0.6</v>
      </c>
      <c r="F384">
        <v>125</v>
      </c>
      <c r="G384">
        <v>425</v>
      </c>
      <c r="H384">
        <v>209</v>
      </c>
      <c r="I384">
        <v>924</v>
      </c>
      <c r="J384">
        <v>45.426250000000003</v>
      </c>
      <c r="K384">
        <v>22.477083</v>
      </c>
      <c r="L384">
        <v>125</v>
      </c>
      <c r="M384">
        <v>720</v>
      </c>
      <c r="N384">
        <v>5.4016000000000002</v>
      </c>
      <c r="O384">
        <v>23104000</v>
      </c>
      <c r="P384">
        <v>3.1680999999999999</v>
      </c>
      <c r="Q384">
        <v>3.5861000000000001</v>
      </c>
      <c r="R384">
        <v>725</v>
      </c>
      <c r="S384">
        <v>10</v>
      </c>
      <c r="T384">
        <v>1386</v>
      </c>
      <c r="U384">
        <f t="shared" si="5"/>
        <v>0.66666666666666663</v>
      </c>
    </row>
    <row r="385" spans="1:21" x14ac:dyDescent="0.35">
      <c r="A385">
        <v>3858</v>
      </c>
      <c r="B385" t="s">
        <v>16</v>
      </c>
      <c r="C385" t="s">
        <v>1756</v>
      </c>
      <c r="D385">
        <v>469</v>
      </c>
      <c r="E385">
        <v>5.3</v>
      </c>
      <c r="F385">
        <v>166</v>
      </c>
      <c r="G385">
        <v>305</v>
      </c>
      <c r="H385">
        <v>284</v>
      </c>
      <c r="I385">
        <v>1896</v>
      </c>
      <c r="J385">
        <v>45.370417000000003</v>
      </c>
      <c r="K385">
        <v>24.629583</v>
      </c>
      <c r="L385">
        <v>166</v>
      </c>
      <c r="M385">
        <v>720</v>
      </c>
      <c r="N385">
        <v>6.8693</v>
      </c>
      <c r="O385">
        <v>31433000</v>
      </c>
      <c r="P385">
        <v>3.8052000000000001</v>
      </c>
      <c r="Q385">
        <v>3.5062000000000002</v>
      </c>
      <c r="R385">
        <v>773</v>
      </c>
      <c r="S385">
        <v>3</v>
      </c>
      <c r="T385">
        <v>1885</v>
      </c>
      <c r="U385">
        <f t="shared" si="5"/>
        <v>1.0058355437665782</v>
      </c>
    </row>
    <row r="386" spans="1:21" x14ac:dyDescent="0.35">
      <c r="A386">
        <v>3859</v>
      </c>
      <c r="B386" t="s">
        <v>16</v>
      </c>
      <c r="C386" t="s">
        <v>1755</v>
      </c>
      <c r="D386">
        <v>210</v>
      </c>
      <c r="E386">
        <v>4.0999999999999996</v>
      </c>
      <c r="F386">
        <v>168</v>
      </c>
      <c r="G386">
        <v>464</v>
      </c>
      <c r="H386">
        <v>225</v>
      </c>
      <c r="I386">
        <v>1029</v>
      </c>
      <c r="J386">
        <v>45.337083</v>
      </c>
      <c r="K386">
        <v>22.717082999999999</v>
      </c>
      <c r="L386">
        <v>168</v>
      </c>
      <c r="M386">
        <v>1310.4000000000001</v>
      </c>
      <c r="N386">
        <v>7.8075999999999999</v>
      </c>
      <c r="O386">
        <v>32876000</v>
      </c>
      <c r="P386">
        <v>6.7184999999999997</v>
      </c>
      <c r="Q386">
        <v>3.9064999999999999</v>
      </c>
      <c r="R386">
        <v>986</v>
      </c>
      <c r="S386">
        <v>19.416</v>
      </c>
      <c r="T386">
        <v>1493</v>
      </c>
      <c r="U386">
        <f t="shared" ref="U386:U449" si="6">I386/T386</f>
        <v>0.68921634293369061</v>
      </c>
    </row>
    <row r="387" spans="1:21" x14ac:dyDescent="0.35">
      <c r="A387">
        <v>3860</v>
      </c>
      <c r="B387" t="s">
        <v>16</v>
      </c>
      <c r="C387" t="s">
        <v>1769</v>
      </c>
      <c r="D387">
        <v>60</v>
      </c>
      <c r="E387">
        <v>0.6</v>
      </c>
      <c r="F387">
        <v>75</v>
      </c>
      <c r="G387">
        <v>750</v>
      </c>
      <c r="H387">
        <v>247</v>
      </c>
      <c r="I387">
        <v>1720</v>
      </c>
      <c r="J387">
        <v>45.332917000000002</v>
      </c>
      <c r="K387">
        <v>25.987916999999999</v>
      </c>
      <c r="L387">
        <v>75</v>
      </c>
      <c r="M387">
        <v>1152.5999999999999</v>
      </c>
      <c r="N387">
        <v>2.4508999999999999</v>
      </c>
      <c r="O387">
        <v>11482000</v>
      </c>
      <c r="P387">
        <v>4.0846999999999998</v>
      </c>
      <c r="Q387">
        <v>2.835</v>
      </c>
      <c r="R387">
        <v>571</v>
      </c>
      <c r="S387">
        <v>1</v>
      </c>
      <c r="T387">
        <v>1637</v>
      </c>
      <c r="U387">
        <f t="shared" si="6"/>
        <v>1.0507025045815517</v>
      </c>
    </row>
    <row r="388" spans="1:21" x14ac:dyDescent="0.35">
      <c r="A388">
        <v>3861</v>
      </c>
      <c r="B388" t="s">
        <v>16</v>
      </c>
      <c r="C388" t="s">
        <v>1763</v>
      </c>
      <c r="D388">
        <v>53.7</v>
      </c>
      <c r="E388">
        <v>0.9</v>
      </c>
      <c r="F388">
        <v>108</v>
      </c>
      <c r="G388">
        <v>460</v>
      </c>
      <c r="H388">
        <v>336</v>
      </c>
      <c r="I388">
        <v>2240</v>
      </c>
      <c r="J388">
        <v>45.249583000000001</v>
      </c>
      <c r="K388">
        <v>25.735417000000002</v>
      </c>
      <c r="L388">
        <v>108</v>
      </c>
      <c r="M388">
        <v>900</v>
      </c>
      <c r="N388">
        <v>5.4002999999999997</v>
      </c>
      <c r="O388">
        <v>25334000</v>
      </c>
      <c r="P388">
        <v>2.8849</v>
      </c>
      <c r="Q388">
        <v>4.3685</v>
      </c>
      <c r="R388">
        <v>592</v>
      </c>
      <c r="S388">
        <v>1</v>
      </c>
      <c r="T388">
        <v>2228</v>
      </c>
      <c r="U388">
        <f t="shared" si="6"/>
        <v>1.0053859964093357</v>
      </c>
    </row>
    <row r="389" spans="1:21" x14ac:dyDescent="0.35">
      <c r="A389">
        <v>3862</v>
      </c>
      <c r="B389" t="s">
        <v>16</v>
      </c>
      <c r="C389" t="s">
        <v>1799</v>
      </c>
      <c r="D389">
        <v>11.2</v>
      </c>
      <c r="E389">
        <v>2.4</v>
      </c>
      <c r="F389">
        <v>29</v>
      </c>
      <c r="G389">
        <v>2918</v>
      </c>
      <c r="H389">
        <v>15242</v>
      </c>
      <c r="I389">
        <v>109172</v>
      </c>
      <c r="J389">
        <v>45.178750000000001</v>
      </c>
      <c r="K389">
        <v>24.369582999999999</v>
      </c>
      <c r="L389">
        <v>29</v>
      </c>
      <c r="M389">
        <v>1451.2</v>
      </c>
      <c r="N389">
        <v>47.960999999999999</v>
      </c>
      <c r="O389">
        <v>216800000</v>
      </c>
      <c r="P389">
        <v>0.11966</v>
      </c>
      <c r="Q389">
        <v>145.99</v>
      </c>
      <c r="R389">
        <v>249</v>
      </c>
      <c r="S389">
        <v>10.44</v>
      </c>
      <c r="T389">
        <v>101950</v>
      </c>
      <c r="U389">
        <f t="shared" si="6"/>
        <v>1.0708386463952919</v>
      </c>
    </row>
    <row r="390" spans="1:21" x14ac:dyDescent="0.35">
      <c r="A390">
        <v>3863</v>
      </c>
      <c r="B390" t="s">
        <v>16</v>
      </c>
      <c r="C390" t="s">
        <v>1762</v>
      </c>
      <c r="D390">
        <v>124</v>
      </c>
      <c r="E390">
        <v>1.7</v>
      </c>
      <c r="F390">
        <v>110</v>
      </c>
      <c r="G390">
        <v>342</v>
      </c>
      <c r="H390">
        <v>132</v>
      </c>
      <c r="I390">
        <v>561</v>
      </c>
      <c r="J390">
        <v>45.162083000000003</v>
      </c>
      <c r="K390">
        <v>22.732917</v>
      </c>
      <c r="L390">
        <v>110</v>
      </c>
      <c r="M390">
        <v>900</v>
      </c>
      <c r="N390">
        <v>2.9769999999999999</v>
      </c>
      <c r="O390">
        <v>12535000</v>
      </c>
      <c r="P390">
        <v>5.7864000000000004</v>
      </c>
      <c r="Q390">
        <v>2.2764000000000002</v>
      </c>
      <c r="R390">
        <v>766</v>
      </c>
      <c r="S390">
        <v>30.48</v>
      </c>
      <c r="T390">
        <v>870</v>
      </c>
      <c r="U390">
        <f t="shared" si="6"/>
        <v>0.64482758620689651</v>
      </c>
    </row>
    <row r="391" spans="1:21" x14ac:dyDescent="0.35">
      <c r="A391">
        <v>3864</v>
      </c>
      <c r="B391" t="s">
        <v>16</v>
      </c>
      <c r="C391" t="s">
        <v>1783</v>
      </c>
      <c r="D391">
        <v>19</v>
      </c>
      <c r="E391">
        <v>2.9</v>
      </c>
      <c r="F391">
        <v>34</v>
      </c>
      <c r="G391">
        <v>2530</v>
      </c>
      <c r="H391">
        <v>15332</v>
      </c>
      <c r="I391">
        <v>109817</v>
      </c>
      <c r="J391">
        <v>45.120417000000003</v>
      </c>
      <c r="K391">
        <v>24.375416999999999</v>
      </c>
      <c r="L391">
        <v>34</v>
      </c>
      <c r="M391">
        <v>2706</v>
      </c>
      <c r="N391">
        <v>57.018000000000001</v>
      </c>
      <c r="O391">
        <v>258010000</v>
      </c>
      <c r="P391">
        <v>0.28536</v>
      </c>
      <c r="Q391">
        <v>146.97</v>
      </c>
      <c r="R391">
        <v>237</v>
      </c>
      <c r="S391">
        <v>4.1231</v>
      </c>
      <c r="T391">
        <v>102540</v>
      </c>
      <c r="U391">
        <f t="shared" si="6"/>
        <v>1.0709674273454262</v>
      </c>
    </row>
    <row r="392" spans="1:21" x14ac:dyDescent="0.35">
      <c r="A392">
        <v>3865</v>
      </c>
      <c r="B392" t="s">
        <v>16</v>
      </c>
      <c r="C392" t="s">
        <v>1801</v>
      </c>
      <c r="D392">
        <v>13.3</v>
      </c>
      <c r="E392">
        <v>1.5</v>
      </c>
      <c r="F392">
        <v>29</v>
      </c>
      <c r="G392">
        <v>2850</v>
      </c>
      <c r="H392">
        <v>637</v>
      </c>
      <c r="I392">
        <v>4165</v>
      </c>
      <c r="J392">
        <v>45.082917000000002</v>
      </c>
      <c r="K392">
        <v>24.662917</v>
      </c>
      <c r="L392">
        <v>29</v>
      </c>
      <c r="M392">
        <v>1440</v>
      </c>
      <c r="N392">
        <v>2.3616000000000001</v>
      </c>
      <c r="O392">
        <v>11130000</v>
      </c>
      <c r="P392">
        <v>1.4488000000000001</v>
      </c>
      <c r="Q392">
        <v>7.3777999999999997</v>
      </c>
      <c r="R392">
        <v>376</v>
      </c>
      <c r="S392">
        <v>2</v>
      </c>
      <c r="T392">
        <v>4220</v>
      </c>
      <c r="U392">
        <f t="shared" si="6"/>
        <v>0.98696682464454977</v>
      </c>
    </row>
    <row r="393" spans="1:21" x14ac:dyDescent="0.35">
      <c r="A393">
        <v>3866</v>
      </c>
      <c r="B393" t="s">
        <v>16</v>
      </c>
      <c r="C393" t="s">
        <v>1798</v>
      </c>
      <c r="D393">
        <v>4.5999999999999996</v>
      </c>
      <c r="E393">
        <v>2.1</v>
      </c>
      <c r="F393">
        <v>29</v>
      </c>
      <c r="G393">
        <v>8138</v>
      </c>
      <c r="H393">
        <v>15675</v>
      </c>
      <c r="I393">
        <v>112374</v>
      </c>
      <c r="J393">
        <v>45.074582999999997</v>
      </c>
      <c r="K393">
        <v>24.364583</v>
      </c>
      <c r="L393">
        <v>29</v>
      </c>
      <c r="M393">
        <v>2800.1</v>
      </c>
      <c r="N393">
        <v>49.125999999999998</v>
      </c>
      <c r="O393">
        <v>223150000</v>
      </c>
      <c r="P393">
        <v>0.63934999999999997</v>
      </c>
      <c r="Q393">
        <v>150.71</v>
      </c>
      <c r="R393">
        <v>223</v>
      </c>
      <c r="S393">
        <v>0.5</v>
      </c>
      <c r="T393">
        <v>104810</v>
      </c>
      <c r="U393">
        <f t="shared" si="6"/>
        <v>1.0721686861940654</v>
      </c>
    </row>
    <row r="394" spans="1:21" x14ac:dyDescent="0.35">
      <c r="A394">
        <v>3867</v>
      </c>
      <c r="B394" t="s">
        <v>16</v>
      </c>
      <c r="C394" t="s">
        <v>1805</v>
      </c>
      <c r="D394">
        <v>4.8</v>
      </c>
      <c r="E394">
        <v>1</v>
      </c>
      <c r="F394">
        <v>25</v>
      </c>
      <c r="G394">
        <v>3559</v>
      </c>
      <c r="H394">
        <v>1441</v>
      </c>
      <c r="I394">
        <v>9571</v>
      </c>
      <c r="J394">
        <v>45.057917000000003</v>
      </c>
      <c r="K394">
        <v>23.267917000000001</v>
      </c>
      <c r="L394">
        <v>25</v>
      </c>
      <c r="M394">
        <v>649</v>
      </c>
      <c r="N394">
        <v>5.0998000000000001</v>
      </c>
      <c r="O394">
        <v>23308000</v>
      </c>
      <c r="P394">
        <v>0.83465</v>
      </c>
      <c r="Q394">
        <v>16.972000000000001</v>
      </c>
      <c r="R394">
        <v>206</v>
      </c>
      <c r="S394">
        <v>0.5</v>
      </c>
      <c r="T394">
        <v>9550</v>
      </c>
      <c r="U394">
        <f t="shared" si="6"/>
        <v>1.0021989528795812</v>
      </c>
    </row>
    <row r="395" spans="1:21" x14ac:dyDescent="0.35">
      <c r="A395">
        <v>3868</v>
      </c>
      <c r="B395" t="s">
        <v>16</v>
      </c>
      <c r="C395" t="s">
        <v>1804</v>
      </c>
      <c r="D395">
        <v>18.5</v>
      </c>
      <c r="E395">
        <v>4.0999999999999996</v>
      </c>
      <c r="F395">
        <v>26</v>
      </c>
      <c r="G395">
        <v>3837</v>
      </c>
      <c r="H395">
        <v>15775</v>
      </c>
      <c r="I395">
        <v>113087</v>
      </c>
      <c r="J395">
        <v>45.012082999999997</v>
      </c>
      <c r="K395">
        <v>24.296250000000001</v>
      </c>
      <c r="L395">
        <v>26</v>
      </c>
      <c r="M395">
        <v>2012.5</v>
      </c>
      <c r="N395">
        <v>43.970999999999997</v>
      </c>
      <c r="O395">
        <v>199950000</v>
      </c>
      <c r="P395">
        <v>0.40688999999999997</v>
      </c>
      <c r="Q395">
        <v>151.80000000000001</v>
      </c>
      <c r="R395">
        <v>211</v>
      </c>
      <c r="S395">
        <v>0.5</v>
      </c>
      <c r="T395">
        <v>105470</v>
      </c>
      <c r="U395">
        <f t="shared" si="6"/>
        <v>1.0722195885085806</v>
      </c>
    </row>
    <row r="396" spans="1:21" x14ac:dyDescent="0.35">
      <c r="A396">
        <v>3869</v>
      </c>
      <c r="B396" t="s">
        <v>16</v>
      </c>
      <c r="C396" t="s">
        <v>1780</v>
      </c>
      <c r="D396">
        <v>54.8</v>
      </c>
      <c r="E396">
        <v>4</v>
      </c>
      <c r="F396">
        <v>35</v>
      </c>
      <c r="G396">
        <v>5696</v>
      </c>
      <c r="H396">
        <v>741</v>
      </c>
      <c r="I396">
        <v>4786</v>
      </c>
      <c r="J396">
        <v>44.982917</v>
      </c>
      <c r="K396">
        <v>24.742083000000001</v>
      </c>
      <c r="L396">
        <v>35</v>
      </c>
      <c r="M396">
        <v>1772.8</v>
      </c>
      <c r="N396">
        <v>3.2465000000000002</v>
      </c>
      <c r="O396">
        <v>15386000</v>
      </c>
      <c r="P396">
        <v>1.5271999999999999</v>
      </c>
      <c r="Q396">
        <v>8.4388000000000005</v>
      </c>
      <c r="R396">
        <v>324</v>
      </c>
      <c r="S396">
        <v>1.4141999999999999</v>
      </c>
      <c r="T396">
        <v>4910</v>
      </c>
      <c r="U396">
        <f t="shared" si="6"/>
        <v>0.97474541751527499</v>
      </c>
    </row>
    <row r="397" spans="1:21" x14ac:dyDescent="0.35">
      <c r="A397">
        <v>3870</v>
      </c>
      <c r="B397" t="s">
        <v>16</v>
      </c>
      <c r="C397" t="s">
        <v>1772</v>
      </c>
      <c r="D397">
        <v>15.8</v>
      </c>
      <c r="E397">
        <v>0.3</v>
      </c>
      <c r="F397">
        <v>58</v>
      </c>
      <c r="G397">
        <v>190</v>
      </c>
      <c r="H397">
        <v>467</v>
      </c>
      <c r="I397">
        <v>1614</v>
      </c>
      <c r="J397">
        <v>44.932917000000003</v>
      </c>
      <c r="K397">
        <v>22.451250000000002</v>
      </c>
      <c r="L397">
        <v>58</v>
      </c>
      <c r="M397">
        <v>649</v>
      </c>
      <c r="N397">
        <v>5.3174999999999999</v>
      </c>
      <c r="O397">
        <v>22550000</v>
      </c>
      <c r="P397">
        <v>0.81840000000000002</v>
      </c>
      <c r="Q397">
        <v>7.5789999999999997</v>
      </c>
      <c r="R397">
        <v>342</v>
      </c>
      <c r="S397">
        <v>8.9443000000000001</v>
      </c>
      <c r="T397">
        <v>3082</v>
      </c>
      <c r="U397">
        <f t="shared" si="6"/>
        <v>0.5236859182349124</v>
      </c>
    </row>
    <row r="398" spans="1:21" x14ac:dyDescent="0.35">
      <c r="A398">
        <v>3871</v>
      </c>
      <c r="B398" t="s">
        <v>16</v>
      </c>
      <c r="C398" t="s">
        <v>1785</v>
      </c>
      <c r="D398">
        <v>59.7</v>
      </c>
      <c r="E398">
        <v>8.5</v>
      </c>
      <c r="F398">
        <v>33</v>
      </c>
      <c r="G398">
        <v>19808</v>
      </c>
      <c r="H398">
        <v>16910</v>
      </c>
      <c r="I398">
        <v>121190</v>
      </c>
      <c r="J398">
        <v>44.920417</v>
      </c>
      <c r="K398">
        <v>24.250416999999999</v>
      </c>
      <c r="L398">
        <v>33</v>
      </c>
      <c r="M398">
        <v>5591.6</v>
      </c>
      <c r="N398">
        <v>60.253999999999998</v>
      </c>
      <c r="O398">
        <v>276470000</v>
      </c>
      <c r="P398">
        <v>0.29131000000000001</v>
      </c>
      <c r="Q398">
        <v>163.77000000000001</v>
      </c>
      <c r="R398">
        <v>184</v>
      </c>
      <c r="S398">
        <v>2</v>
      </c>
      <c r="T398">
        <v>112970</v>
      </c>
      <c r="U398">
        <f t="shared" si="6"/>
        <v>1.0727626803576171</v>
      </c>
    </row>
    <row r="399" spans="1:21" x14ac:dyDescent="0.35">
      <c r="A399">
        <v>3872</v>
      </c>
      <c r="B399" t="s">
        <v>16</v>
      </c>
      <c r="C399" t="s">
        <v>1786</v>
      </c>
      <c r="D399">
        <v>54.9</v>
      </c>
      <c r="E399">
        <v>3.6</v>
      </c>
      <c r="F399">
        <v>33</v>
      </c>
      <c r="G399">
        <v>5615</v>
      </c>
      <c r="H399">
        <v>1155</v>
      </c>
      <c r="I399">
        <v>7296</v>
      </c>
      <c r="J399">
        <v>44.916249999999998</v>
      </c>
      <c r="K399">
        <v>24.821249999999999</v>
      </c>
      <c r="L399">
        <v>33</v>
      </c>
      <c r="M399">
        <v>2675.9</v>
      </c>
      <c r="N399">
        <v>4.5564999999999998</v>
      </c>
      <c r="O399">
        <v>21781000</v>
      </c>
      <c r="P399">
        <v>1.4488000000000001</v>
      </c>
      <c r="Q399">
        <v>12.712999999999999</v>
      </c>
      <c r="R399">
        <v>284</v>
      </c>
      <c r="S399">
        <v>1</v>
      </c>
      <c r="T399">
        <v>7646</v>
      </c>
      <c r="U399">
        <f t="shared" si="6"/>
        <v>0.95422443107507193</v>
      </c>
    </row>
    <row r="400" spans="1:21" x14ac:dyDescent="0.35">
      <c r="A400">
        <v>3873</v>
      </c>
      <c r="B400" t="s">
        <v>16</v>
      </c>
      <c r="C400" t="s">
        <v>1782</v>
      </c>
      <c r="D400">
        <v>24.9</v>
      </c>
      <c r="E400">
        <v>4.5999999999999996</v>
      </c>
      <c r="F400">
        <v>34</v>
      </c>
      <c r="G400">
        <v>14638</v>
      </c>
      <c r="H400">
        <v>17305</v>
      </c>
      <c r="I400">
        <v>124068</v>
      </c>
      <c r="J400">
        <v>44.857917</v>
      </c>
      <c r="K400">
        <v>24.24625</v>
      </c>
      <c r="L400">
        <v>34</v>
      </c>
      <c r="M400">
        <v>3245</v>
      </c>
      <c r="N400">
        <v>63.345999999999997</v>
      </c>
      <c r="O400">
        <v>291710000</v>
      </c>
      <c r="P400">
        <v>0.21006</v>
      </c>
      <c r="Q400">
        <v>167.65</v>
      </c>
      <c r="R400">
        <v>172</v>
      </c>
      <c r="S400">
        <v>0.5</v>
      </c>
      <c r="T400">
        <v>115570</v>
      </c>
      <c r="U400">
        <f t="shared" si="6"/>
        <v>1.0735311932162326</v>
      </c>
    </row>
    <row r="401" spans="1:21" x14ac:dyDescent="0.35">
      <c r="A401">
        <v>3874</v>
      </c>
      <c r="B401" t="s">
        <v>16</v>
      </c>
      <c r="C401" t="s">
        <v>1818</v>
      </c>
      <c r="D401">
        <v>4.5</v>
      </c>
      <c r="E401">
        <v>0.7</v>
      </c>
      <c r="F401">
        <v>20</v>
      </c>
      <c r="G401">
        <v>6521</v>
      </c>
      <c r="H401">
        <v>3118</v>
      </c>
      <c r="I401">
        <v>19250</v>
      </c>
      <c r="J401">
        <v>44.848750000000003</v>
      </c>
      <c r="K401">
        <v>24.900417000000001</v>
      </c>
      <c r="L401">
        <v>20</v>
      </c>
      <c r="M401">
        <v>1272.8</v>
      </c>
      <c r="N401">
        <v>7.3723999999999998</v>
      </c>
      <c r="O401">
        <v>34940000</v>
      </c>
      <c r="P401">
        <v>2.0674000000000001</v>
      </c>
      <c r="Q401">
        <v>34.841000000000001</v>
      </c>
      <c r="R401">
        <v>265</v>
      </c>
      <c r="S401">
        <v>0.5</v>
      </c>
      <c r="T401">
        <v>20630</v>
      </c>
      <c r="U401">
        <f t="shared" si="6"/>
        <v>0.93310712554532238</v>
      </c>
    </row>
    <row r="402" spans="1:21" x14ac:dyDescent="0.35">
      <c r="A402">
        <v>3875</v>
      </c>
      <c r="B402" t="s">
        <v>16</v>
      </c>
      <c r="C402" t="s">
        <v>1788</v>
      </c>
      <c r="D402">
        <v>78.5</v>
      </c>
      <c r="E402">
        <v>5.9</v>
      </c>
      <c r="F402">
        <v>32</v>
      </c>
      <c r="G402">
        <v>7866</v>
      </c>
      <c r="H402">
        <v>3212</v>
      </c>
      <c r="I402">
        <v>19721</v>
      </c>
      <c r="J402">
        <v>44.812916999999999</v>
      </c>
      <c r="K402">
        <v>24.99625</v>
      </c>
      <c r="L402">
        <v>32</v>
      </c>
      <c r="M402">
        <v>3644.7</v>
      </c>
      <c r="N402">
        <v>12.243</v>
      </c>
      <c r="O402">
        <v>58094000</v>
      </c>
      <c r="P402">
        <v>1.1232</v>
      </c>
      <c r="Q402">
        <v>35.451000000000001</v>
      </c>
      <c r="R402">
        <v>239</v>
      </c>
      <c r="S402">
        <v>1</v>
      </c>
      <c r="T402">
        <v>21248</v>
      </c>
      <c r="U402">
        <f t="shared" si="6"/>
        <v>0.92813441265060237</v>
      </c>
    </row>
    <row r="403" spans="1:21" x14ac:dyDescent="0.35">
      <c r="A403">
        <v>3877</v>
      </c>
      <c r="B403" t="s">
        <v>16</v>
      </c>
      <c r="C403" t="s">
        <v>1793</v>
      </c>
      <c r="D403">
        <v>50</v>
      </c>
      <c r="E403">
        <v>10.9</v>
      </c>
      <c r="F403">
        <v>30</v>
      </c>
      <c r="G403">
        <v>16838</v>
      </c>
      <c r="H403">
        <v>17479</v>
      </c>
      <c r="I403">
        <v>125170</v>
      </c>
      <c r="J403">
        <v>44.774583</v>
      </c>
      <c r="K403">
        <v>24.271249999999998</v>
      </c>
      <c r="L403">
        <v>30</v>
      </c>
      <c r="M403">
        <v>6391.9</v>
      </c>
      <c r="N403">
        <v>55.92</v>
      </c>
      <c r="O403">
        <v>257620000</v>
      </c>
      <c r="P403">
        <v>0.28316999999999998</v>
      </c>
      <c r="Q403">
        <v>168.88</v>
      </c>
      <c r="R403">
        <v>155</v>
      </c>
      <c r="S403">
        <v>0.5</v>
      </c>
      <c r="T403">
        <v>116710</v>
      </c>
      <c r="U403">
        <f t="shared" si="6"/>
        <v>1.0724873618370319</v>
      </c>
    </row>
    <row r="404" spans="1:21" x14ac:dyDescent="0.35">
      <c r="A404">
        <v>3879</v>
      </c>
      <c r="B404" t="s">
        <v>16</v>
      </c>
      <c r="C404" t="s">
        <v>1787</v>
      </c>
      <c r="D404">
        <v>40</v>
      </c>
      <c r="E404">
        <v>12.2</v>
      </c>
      <c r="F404">
        <v>32</v>
      </c>
      <c r="G404">
        <v>18638</v>
      </c>
      <c r="H404">
        <v>17779</v>
      </c>
      <c r="I404">
        <v>126978</v>
      </c>
      <c r="J404">
        <v>44.682917000000003</v>
      </c>
      <c r="K404">
        <v>24.292083000000002</v>
      </c>
      <c r="L404">
        <v>32</v>
      </c>
      <c r="M404">
        <v>4673.1000000000004</v>
      </c>
      <c r="N404">
        <v>60.701999999999998</v>
      </c>
      <c r="O404">
        <v>279750000</v>
      </c>
      <c r="P404">
        <v>0.25296000000000002</v>
      </c>
      <c r="Q404">
        <v>171</v>
      </c>
      <c r="R404">
        <v>142</v>
      </c>
      <c r="S404">
        <v>1</v>
      </c>
      <c r="T404">
        <v>118680</v>
      </c>
      <c r="U404">
        <f t="shared" si="6"/>
        <v>1.0699191102123358</v>
      </c>
    </row>
    <row r="405" spans="1:21" x14ac:dyDescent="0.35">
      <c r="A405">
        <v>3880</v>
      </c>
      <c r="B405" t="s">
        <v>16</v>
      </c>
      <c r="C405" t="s">
        <v>1771</v>
      </c>
      <c r="D405">
        <v>2550</v>
      </c>
      <c r="E405">
        <v>118.6</v>
      </c>
      <c r="F405">
        <v>60</v>
      </c>
      <c r="G405">
        <v>1278</v>
      </c>
      <c r="H405">
        <v>560682</v>
      </c>
      <c r="I405">
        <v>5389304</v>
      </c>
      <c r="J405">
        <v>44.674582999999998</v>
      </c>
      <c r="K405">
        <v>22.529582999999999</v>
      </c>
      <c r="L405">
        <v>60</v>
      </c>
      <c r="M405">
        <v>969.33</v>
      </c>
      <c r="N405">
        <v>4077.2</v>
      </c>
      <c r="O405">
        <v>21809000000</v>
      </c>
      <c r="P405">
        <v>0.49546000000000001</v>
      </c>
      <c r="Q405">
        <v>7104.2</v>
      </c>
      <c r="R405">
        <v>40</v>
      </c>
      <c r="S405">
        <v>0.5</v>
      </c>
      <c r="T405">
        <v>3817300</v>
      </c>
      <c r="U405">
        <f t="shared" si="6"/>
        <v>1.4118104419353994</v>
      </c>
    </row>
    <row r="406" spans="1:21" x14ac:dyDescent="0.35">
      <c r="A406">
        <v>3881</v>
      </c>
      <c r="B406" t="s">
        <v>16</v>
      </c>
      <c r="C406" t="s">
        <v>1817</v>
      </c>
      <c r="D406">
        <v>16.100000000000001</v>
      </c>
      <c r="E406">
        <v>0.7</v>
      </c>
      <c r="F406">
        <v>20</v>
      </c>
      <c r="G406">
        <v>7553</v>
      </c>
      <c r="H406">
        <v>3794</v>
      </c>
      <c r="I406">
        <v>22573</v>
      </c>
      <c r="J406">
        <v>44.662083000000003</v>
      </c>
      <c r="K406">
        <v>25.383749999999999</v>
      </c>
      <c r="L406">
        <v>20</v>
      </c>
      <c r="M406">
        <v>3758.5</v>
      </c>
      <c r="N406">
        <v>8.3718000000000004</v>
      </c>
      <c r="O406">
        <v>40018000</v>
      </c>
      <c r="P406">
        <v>0.84997999999999996</v>
      </c>
      <c r="Q406">
        <v>39.654000000000003</v>
      </c>
      <c r="R406">
        <v>169</v>
      </c>
      <c r="S406">
        <v>5.8310000000000004</v>
      </c>
      <c r="T406">
        <v>25071</v>
      </c>
      <c r="U406">
        <f t="shared" si="6"/>
        <v>0.90036296916756409</v>
      </c>
    </row>
    <row r="407" spans="1:21" x14ac:dyDescent="0.35">
      <c r="A407">
        <v>3883</v>
      </c>
      <c r="B407" t="s">
        <v>16</v>
      </c>
      <c r="C407" t="s">
        <v>1784</v>
      </c>
      <c r="D407">
        <v>225</v>
      </c>
      <c r="E407">
        <v>23.2</v>
      </c>
      <c r="F407">
        <v>33</v>
      </c>
      <c r="G407">
        <v>24461</v>
      </c>
      <c r="H407">
        <v>18294</v>
      </c>
      <c r="I407">
        <v>129929</v>
      </c>
      <c r="J407">
        <v>44.537083000000003</v>
      </c>
      <c r="K407">
        <v>24.325417000000002</v>
      </c>
      <c r="L407">
        <v>33</v>
      </c>
      <c r="M407">
        <v>1980</v>
      </c>
      <c r="N407">
        <v>64.186999999999998</v>
      </c>
      <c r="O407">
        <v>295940000</v>
      </c>
      <c r="P407">
        <v>0.14304</v>
      </c>
      <c r="Q407">
        <v>174.65</v>
      </c>
      <c r="R407">
        <v>120</v>
      </c>
      <c r="S407">
        <v>6.0827999999999998</v>
      </c>
      <c r="T407">
        <v>122060</v>
      </c>
      <c r="U407">
        <f t="shared" si="6"/>
        <v>1.0644682942815009</v>
      </c>
    </row>
    <row r="408" spans="1:21" x14ac:dyDescent="0.35">
      <c r="A408">
        <v>3885</v>
      </c>
      <c r="B408" t="s">
        <v>16</v>
      </c>
      <c r="C408" t="s">
        <v>1791</v>
      </c>
      <c r="D408">
        <v>43.4</v>
      </c>
      <c r="E408">
        <v>8.9</v>
      </c>
      <c r="F408">
        <v>31</v>
      </c>
      <c r="G408">
        <v>18918</v>
      </c>
      <c r="H408">
        <v>18808</v>
      </c>
      <c r="I408">
        <v>132459</v>
      </c>
      <c r="J408">
        <v>44.449582999999997</v>
      </c>
      <c r="K408">
        <v>24.312916999999999</v>
      </c>
      <c r="L408">
        <v>31</v>
      </c>
      <c r="M408">
        <v>6214.6</v>
      </c>
      <c r="N408">
        <v>61.351999999999997</v>
      </c>
      <c r="O408">
        <v>283210000</v>
      </c>
      <c r="P408">
        <v>0.31241999999999998</v>
      </c>
      <c r="Q408">
        <v>178.2</v>
      </c>
      <c r="R408">
        <v>110</v>
      </c>
      <c r="S408">
        <v>1.4141999999999999</v>
      </c>
      <c r="T408">
        <v>125420</v>
      </c>
      <c r="U408">
        <f t="shared" si="6"/>
        <v>1.0561234252910221</v>
      </c>
    </row>
    <row r="409" spans="1:21" x14ac:dyDescent="0.35">
      <c r="A409">
        <v>3886</v>
      </c>
      <c r="B409" t="s">
        <v>16</v>
      </c>
      <c r="C409" t="s">
        <v>1803</v>
      </c>
      <c r="D409">
        <v>19.2</v>
      </c>
      <c r="E409">
        <v>5.5</v>
      </c>
      <c r="F409">
        <v>26</v>
      </c>
      <c r="G409">
        <v>17858</v>
      </c>
      <c r="H409">
        <v>18881</v>
      </c>
      <c r="I409">
        <v>132770</v>
      </c>
      <c r="J409">
        <v>44.407916999999998</v>
      </c>
      <c r="K409">
        <v>24.354583000000002</v>
      </c>
      <c r="L409">
        <v>26</v>
      </c>
      <c r="M409">
        <v>1018.2</v>
      </c>
      <c r="N409">
        <v>50.956000000000003</v>
      </c>
      <c r="O409">
        <v>235350000</v>
      </c>
      <c r="P409">
        <v>0.20132</v>
      </c>
      <c r="Q409">
        <v>178.65</v>
      </c>
      <c r="R409">
        <v>103</v>
      </c>
      <c r="S409">
        <v>5.3852000000000002</v>
      </c>
      <c r="T409">
        <v>125900</v>
      </c>
      <c r="U409">
        <f t="shared" si="6"/>
        <v>1.0545671167593329</v>
      </c>
    </row>
    <row r="410" spans="1:21" x14ac:dyDescent="0.35">
      <c r="A410">
        <v>3887</v>
      </c>
      <c r="B410" t="s">
        <v>16</v>
      </c>
      <c r="C410" t="s">
        <v>1819</v>
      </c>
      <c r="D410">
        <v>55.8</v>
      </c>
      <c r="E410">
        <v>4.8</v>
      </c>
      <c r="F410">
        <v>20</v>
      </c>
      <c r="G410">
        <v>840</v>
      </c>
      <c r="H410">
        <v>702</v>
      </c>
      <c r="I410">
        <v>263</v>
      </c>
      <c r="J410">
        <v>44.395417000000002</v>
      </c>
      <c r="K410">
        <v>26.687916999999999</v>
      </c>
      <c r="L410">
        <v>20</v>
      </c>
      <c r="M410">
        <v>720</v>
      </c>
      <c r="N410">
        <v>1.0789</v>
      </c>
      <c r="O410">
        <v>5109000</v>
      </c>
      <c r="P410">
        <v>3.5316999999999998</v>
      </c>
      <c r="Q410">
        <v>4.8353000000000002</v>
      </c>
      <c r="R410">
        <v>39</v>
      </c>
      <c r="S410">
        <v>1</v>
      </c>
      <c r="T410">
        <v>4588</v>
      </c>
      <c r="U410">
        <f t="shared" si="6"/>
        <v>5.7323452484742805E-2</v>
      </c>
    </row>
    <row r="411" spans="1:21" x14ac:dyDescent="0.35">
      <c r="A411">
        <v>3889</v>
      </c>
      <c r="B411" t="s">
        <v>16</v>
      </c>
      <c r="C411" t="s">
        <v>1821</v>
      </c>
      <c r="D411">
        <v>68</v>
      </c>
      <c r="E411">
        <v>10.3</v>
      </c>
      <c r="F411">
        <v>18</v>
      </c>
      <c r="G411">
        <v>-99</v>
      </c>
      <c r="H411">
        <v>4944</v>
      </c>
      <c r="I411">
        <v>26710</v>
      </c>
      <c r="J411">
        <v>44.333750000000002</v>
      </c>
      <c r="K411">
        <v>25.942083</v>
      </c>
      <c r="L411">
        <v>18</v>
      </c>
      <c r="M411">
        <v>4589.1000000000004</v>
      </c>
      <c r="N411">
        <v>8.8327000000000009</v>
      </c>
      <c r="O411">
        <v>42956000</v>
      </c>
      <c r="P411">
        <v>1.1348</v>
      </c>
      <c r="Q411">
        <v>47.192999999999998</v>
      </c>
      <c r="R411">
        <v>74</v>
      </c>
      <c r="S411">
        <v>0.5</v>
      </c>
      <c r="T411">
        <v>32607</v>
      </c>
      <c r="U411">
        <f t="shared" si="6"/>
        <v>0.81914926242831299</v>
      </c>
    </row>
    <row r="412" spans="1:21" x14ac:dyDescent="0.35">
      <c r="A412">
        <v>3890</v>
      </c>
      <c r="B412" t="s">
        <v>16</v>
      </c>
      <c r="C412" t="s">
        <v>1811</v>
      </c>
      <c r="D412">
        <v>142</v>
      </c>
      <c r="E412">
        <v>9.1</v>
      </c>
      <c r="F412">
        <v>22</v>
      </c>
      <c r="G412">
        <v>580</v>
      </c>
      <c r="H412">
        <v>1260</v>
      </c>
      <c r="I412">
        <v>1</v>
      </c>
      <c r="J412">
        <v>44.324582999999997</v>
      </c>
      <c r="K412">
        <v>26.817083</v>
      </c>
      <c r="L412">
        <v>22</v>
      </c>
      <c r="M412">
        <v>509.12</v>
      </c>
      <c r="N412">
        <v>2.0829</v>
      </c>
      <c r="O412">
        <v>9776400</v>
      </c>
      <c r="P412">
        <v>1.3246</v>
      </c>
      <c r="Q412">
        <v>8.4498999999999995</v>
      </c>
      <c r="R412">
        <v>16</v>
      </c>
      <c r="S412">
        <v>0.5</v>
      </c>
      <c r="T412">
        <v>8232</v>
      </c>
      <c r="U412">
        <f t="shared" si="6"/>
        <v>1.2147716229348882E-4</v>
      </c>
    </row>
    <row r="413" spans="1:21" x14ac:dyDescent="0.35">
      <c r="A413">
        <v>3891</v>
      </c>
      <c r="B413" t="s">
        <v>16</v>
      </c>
      <c r="C413" t="s">
        <v>1773</v>
      </c>
      <c r="D413">
        <v>868</v>
      </c>
      <c r="E413">
        <v>87.3</v>
      </c>
      <c r="F413">
        <v>54</v>
      </c>
      <c r="G413">
        <v>963</v>
      </c>
      <c r="H413">
        <v>562362</v>
      </c>
      <c r="I413">
        <v>5391696</v>
      </c>
      <c r="J413">
        <v>44.307917000000003</v>
      </c>
      <c r="K413">
        <v>22.567083</v>
      </c>
      <c r="L413">
        <v>54</v>
      </c>
      <c r="M413">
        <v>3495</v>
      </c>
      <c r="N413">
        <v>3621.1</v>
      </c>
      <c r="O413">
        <v>19373000000</v>
      </c>
      <c r="P413">
        <v>0.56828000000000001</v>
      </c>
      <c r="Q413">
        <v>7118.2</v>
      </c>
      <c r="R413">
        <v>35</v>
      </c>
      <c r="S413">
        <v>1.4141999999999999</v>
      </c>
      <c r="T413">
        <v>3828300</v>
      </c>
      <c r="U413">
        <f t="shared" si="6"/>
        <v>1.4083786537105243</v>
      </c>
    </row>
    <row r="414" spans="1:21" x14ac:dyDescent="0.35">
      <c r="A414">
        <v>3893</v>
      </c>
      <c r="B414" t="s">
        <v>16</v>
      </c>
      <c r="C414" t="s">
        <v>1831</v>
      </c>
      <c r="D414">
        <v>10.4</v>
      </c>
      <c r="E414">
        <v>0.4</v>
      </c>
      <c r="F414">
        <v>13</v>
      </c>
      <c r="G414">
        <v>1372</v>
      </c>
      <c r="H414">
        <v>70</v>
      </c>
      <c r="I414">
        <v>128</v>
      </c>
      <c r="J414">
        <v>44.295417</v>
      </c>
      <c r="K414">
        <v>25.835417</v>
      </c>
      <c r="L414">
        <v>13</v>
      </c>
      <c r="M414">
        <v>742.16</v>
      </c>
      <c r="N414">
        <v>6.8103999999999998E-2</v>
      </c>
      <c r="O414">
        <v>301610</v>
      </c>
      <c r="P414">
        <v>22.498999999999999</v>
      </c>
      <c r="Q414">
        <v>0.43419999999999997</v>
      </c>
      <c r="R414">
        <v>80</v>
      </c>
      <c r="S414">
        <v>3</v>
      </c>
      <c r="T414">
        <v>459</v>
      </c>
      <c r="U414">
        <f t="shared" si="6"/>
        <v>0.27886710239651419</v>
      </c>
    </row>
    <row r="415" spans="1:21" x14ac:dyDescent="0.35">
      <c r="A415">
        <v>3894</v>
      </c>
      <c r="B415" t="s">
        <v>16</v>
      </c>
      <c r="C415" t="s">
        <v>1790</v>
      </c>
      <c r="D415">
        <v>110</v>
      </c>
      <c r="E415">
        <v>16.8</v>
      </c>
      <c r="F415">
        <v>31</v>
      </c>
      <c r="G415">
        <v>30256</v>
      </c>
      <c r="H415">
        <v>19321</v>
      </c>
      <c r="I415">
        <v>134441</v>
      </c>
      <c r="J415">
        <v>44.266249999999999</v>
      </c>
      <c r="K415">
        <v>24.400417000000001</v>
      </c>
      <c r="L415">
        <v>31</v>
      </c>
      <c r="M415">
        <v>4965.5</v>
      </c>
      <c r="N415">
        <v>62.24</v>
      </c>
      <c r="O415">
        <v>288390000</v>
      </c>
      <c r="P415">
        <v>0.29668</v>
      </c>
      <c r="Q415">
        <v>181.35</v>
      </c>
      <c r="R415">
        <v>87</v>
      </c>
      <c r="S415">
        <v>5.8310000000000004</v>
      </c>
      <c r="T415">
        <v>128770</v>
      </c>
      <c r="U415">
        <f t="shared" si="6"/>
        <v>1.0440397608138541</v>
      </c>
    </row>
    <row r="416" spans="1:21" x14ac:dyDescent="0.35">
      <c r="A416">
        <v>3895</v>
      </c>
      <c r="B416" t="s">
        <v>16</v>
      </c>
      <c r="C416" t="s">
        <v>1833</v>
      </c>
      <c r="D416">
        <v>267</v>
      </c>
      <c r="E416">
        <v>28.3</v>
      </c>
      <c r="F416">
        <v>11</v>
      </c>
      <c r="G416">
        <v>2450</v>
      </c>
      <c r="H416">
        <v>1681</v>
      </c>
      <c r="I416">
        <v>1</v>
      </c>
      <c r="J416">
        <v>44.224583000000003</v>
      </c>
      <c r="K416">
        <v>26.929583000000001</v>
      </c>
      <c r="L416">
        <v>11</v>
      </c>
      <c r="M416">
        <v>540</v>
      </c>
      <c r="N416">
        <v>1.3705000000000001</v>
      </c>
      <c r="O416">
        <v>6372700</v>
      </c>
      <c r="P416">
        <v>2.4047999999999998</v>
      </c>
      <c r="Q416">
        <v>11.381</v>
      </c>
      <c r="R416">
        <v>10</v>
      </c>
      <c r="S416">
        <v>2</v>
      </c>
      <c r="T416">
        <v>10978</v>
      </c>
      <c r="U416">
        <f t="shared" si="6"/>
        <v>9.1091273456002917E-5</v>
      </c>
    </row>
    <row r="417" spans="1:21" x14ac:dyDescent="0.35">
      <c r="A417">
        <v>3896</v>
      </c>
      <c r="B417" t="s">
        <v>16</v>
      </c>
      <c r="C417" t="s">
        <v>1781</v>
      </c>
      <c r="D417">
        <v>76</v>
      </c>
      <c r="E417">
        <v>11.4</v>
      </c>
      <c r="F417">
        <v>34</v>
      </c>
      <c r="G417">
        <v>27656</v>
      </c>
      <c r="H417">
        <v>22109</v>
      </c>
      <c r="I417">
        <v>149198</v>
      </c>
      <c r="J417">
        <v>44.177917000000001</v>
      </c>
      <c r="K417">
        <v>24.483750000000001</v>
      </c>
      <c r="L417">
        <v>34</v>
      </c>
      <c r="M417">
        <v>5369.9</v>
      </c>
      <c r="N417">
        <v>76.849000000000004</v>
      </c>
      <c r="O417">
        <v>358180000</v>
      </c>
      <c r="P417">
        <v>0.34298000000000001</v>
      </c>
      <c r="Q417">
        <v>203.1</v>
      </c>
      <c r="R417">
        <v>75</v>
      </c>
      <c r="S417">
        <v>2.2361</v>
      </c>
      <c r="T417">
        <v>147040</v>
      </c>
      <c r="U417">
        <f t="shared" si="6"/>
        <v>1.0146762785636561</v>
      </c>
    </row>
    <row r="418" spans="1:21" x14ac:dyDescent="0.35">
      <c r="A418">
        <v>3897</v>
      </c>
      <c r="B418" t="s">
        <v>16</v>
      </c>
      <c r="C418" t="s">
        <v>1792</v>
      </c>
      <c r="D418">
        <v>96</v>
      </c>
      <c r="E418">
        <v>16.100000000000001</v>
      </c>
      <c r="F418">
        <v>30</v>
      </c>
      <c r="G418">
        <v>31556</v>
      </c>
      <c r="H418">
        <v>23073</v>
      </c>
      <c r="I418">
        <v>151318</v>
      </c>
      <c r="J418">
        <v>44.045417</v>
      </c>
      <c r="K418">
        <v>24.571249999999999</v>
      </c>
      <c r="L418">
        <v>30</v>
      </c>
      <c r="M418">
        <v>10045</v>
      </c>
      <c r="N418">
        <v>68.808000000000007</v>
      </c>
      <c r="O418">
        <v>322780000</v>
      </c>
      <c r="P418">
        <v>0.41082000000000002</v>
      </c>
      <c r="Q418">
        <v>208.99</v>
      </c>
      <c r="R418">
        <v>59</v>
      </c>
      <c r="S418">
        <v>17.463999999999999</v>
      </c>
      <c r="T418">
        <v>153300</v>
      </c>
      <c r="U418">
        <f t="shared" si="6"/>
        <v>0.98707110241356821</v>
      </c>
    </row>
    <row r="419" spans="1:21" x14ac:dyDescent="0.35">
      <c r="A419">
        <v>3899</v>
      </c>
      <c r="B419" t="s">
        <v>16</v>
      </c>
      <c r="C419" t="s">
        <v>1796</v>
      </c>
      <c r="D419">
        <v>78</v>
      </c>
      <c r="E419">
        <v>11.5</v>
      </c>
      <c r="F419">
        <v>29</v>
      </c>
      <c r="G419">
        <v>31156</v>
      </c>
      <c r="H419">
        <v>23471</v>
      </c>
      <c r="I419">
        <v>151726</v>
      </c>
      <c r="J419">
        <v>43.920417</v>
      </c>
      <c r="K419">
        <v>24.625416999999999</v>
      </c>
      <c r="L419">
        <v>29</v>
      </c>
      <c r="M419">
        <v>8790.6</v>
      </c>
      <c r="N419">
        <v>66.914000000000001</v>
      </c>
      <c r="O419">
        <v>314530000</v>
      </c>
      <c r="P419">
        <v>0.37206</v>
      </c>
      <c r="Q419">
        <v>211.14</v>
      </c>
      <c r="R419">
        <v>45</v>
      </c>
      <c r="S419">
        <v>10.77</v>
      </c>
      <c r="T419">
        <v>155880</v>
      </c>
      <c r="U419">
        <f t="shared" si="6"/>
        <v>0.97335129586861691</v>
      </c>
    </row>
    <row r="420" spans="1:21" x14ac:dyDescent="0.35">
      <c r="A420">
        <v>3906</v>
      </c>
      <c r="B420" t="s">
        <v>16</v>
      </c>
      <c r="C420" t="s">
        <v>1794</v>
      </c>
      <c r="D420">
        <v>74</v>
      </c>
      <c r="E420">
        <v>8</v>
      </c>
      <c r="F420">
        <v>29</v>
      </c>
      <c r="G420">
        <v>27636</v>
      </c>
      <c r="H420">
        <v>24026</v>
      </c>
      <c r="I420">
        <v>151851</v>
      </c>
      <c r="J420">
        <v>43.816249999999997</v>
      </c>
      <c r="K420">
        <v>24.696249999999999</v>
      </c>
      <c r="L420">
        <v>29</v>
      </c>
      <c r="M420">
        <v>5649.2</v>
      </c>
      <c r="N420">
        <v>67.611000000000004</v>
      </c>
      <c r="O420">
        <v>318350000</v>
      </c>
      <c r="P420">
        <v>0.36248000000000002</v>
      </c>
      <c r="Q420">
        <v>213.69</v>
      </c>
      <c r="R420">
        <v>35</v>
      </c>
      <c r="S420">
        <v>1</v>
      </c>
      <c r="T420">
        <v>159470</v>
      </c>
      <c r="U420">
        <f t="shared" si="6"/>
        <v>0.95222298864990285</v>
      </c>
    </row>
    <row r="421" spans="1:21" x14ac:dyDescent="0.35">
      <c r="A421">
        <v>6839</v>
      </c>
      <c r="B421" t="s">
        <v>16</v>
      </c>
      <c r="C421" t="s">
        <v>1774</v>
      </c>
      <c r="D421">
        <v>305</v>
      </c>
      <c r="E421">
        <v>10</v>
      </c>
      <c r="F421">
        <v>51</v>
      </c>
      <c r="G421">
        <v>7350</v>
      </c>
      <c r="H421">
        <v>1266</v>
      </c>
      <c r="I421">
        <v>8522</v>
      </c>
      <c r="J421">
        <v>45.185417000000001</v>
      </c>
      <c r="K421">
        <v>23.381250000000001</v>
      </c>
      <c r="L421">
        <v>51</v>
      </c>
      <c r="M421">
        <v>254.56</v>
      </c>
      <c r="N421">
        <v>9.3523999999999994</v>
      </c>
      <c r="O421">
        <v>42542000</v>
      </c>
      <c r="P421">
        <v>0.19807</v>
      </c>
      <c r="Q421">
        <v>14.991</v>
      </c>
      <c r="R421">
        <v>328</v>
      </c>
      <c r="S421">
        <v>1.4141999999999999</v>
      </c>
      <c r="T421">
        <v>8394</v>
      </c>
      <c r="U421">
        <f t="shared" si="6"/>
        <v>1.0152489873719324</v>
      </c>
    </row>
    <row r="422" spans="1:21" x14ac:dyDescent="0.35">
      <c r="A422">
        <v>6840</v>
      </c>
      <c r="B422" t="s">
        <v>16</v>
      </c>
      <c r="C422" t="s">
        <v>1824</v>
      </c>
      <c r="D422">
        <v>148</v>
      </c>
      <c r="E422">
        <v>21</v>
      </c>
      <c r="F422">
        <v>15</v>
      </c>
      <c r="G422">
        <v>4520</v>
      </c>
      <c r="H422">
        <v>2032</v>
      </c>
      <c r="I422">
        <v>12864</v>
      </c>
      <c r="J422">
        <v>44.960417</v>
      </c>
      <c r="K422">
        <v>23.181249999999999</v>
      </c>
      <c r="L422">
        <v>15</v>
      </c>
      <c r="M422">
        <v>3710.8</v>
      </c>
      <c r="N422">
        <v>4.0312000000000001</v>
      </c>
      <c r="O422">
        <v>18788000</v>
      </c>
      <c r="P422">
        <v>0.93559999999999999</v>
      </c>
      <c r="Q422">
        <v>23.315999999999999</v>
      </c>
      <c r="R422">
        <v>164</v>
      </c>
      <c r="S422">
        <v>1.4141999999999999</v>
      </c>
      <c r="T422">
        <v>13453</v>
      </c>
      <c r="U422">
        <f t="shared" si="6"/>
        <v>0.95621794395302162</v>
      </c>
    </row>
    <row r="423" spans="1:21" x14ac:dyDescent="0.35">
      <c r="A423">
        <v>3781</v>
      </c>
      <c r="B423" t="s">
        <v>18</v>
      </c>
      <c r="C423" t="s">
        <v>1841</v>
      </c>
      <c r="D423">
        <v>346</v>
      </c>
      <c r="E423">
        <v>28.3</v>
      </c>
      <c r="F423">
        <v>41</v>
      </c>
      <c r="G423">
        <v>291</v>
      </c>
      <c r="H423">
        <v>1143</v>
      </c>
      <c r="I423">
        <v>15591</v>
      </c>
      <c r="J423">
        <v>49.378749999999997</v>
      </c>
      <c r="K423">
        <v>19.554583000000001</v>
      </c>
      <c r="L423">
        <v>41</v>
      </c>
      <c r="M423">
        <v>569.21</v>
      </c>
      <c r="N423">
        <v>9.7698</v>
      </c>
      <c r="O423">
        <v>52785000</v>
      </c>
      <c r="P423">
        <v>1.5834999999999999</v>
      </c>
      <c r="Q423">
        <v>24.986999999999998</v>
      </c>
      <c r="R423">
        <v>585</v>
      </c>
      <c r="S423">
        <v>0.5</v>
      </c>
      <c r="T423">
        <v>8192</v>
      </c>
      <c r="U423">
        <f t="shared" si="6"/>
        <v>1.9031982421875</v>
      </c>
    </row>
    <row r="424" spans="1:21" x14ac:dyDescent="0.35">
      <c r="A424">
        <v>3782</v>
      </c>
      <c r="B424" t="s">
        <v>18</v>
      </c>
      <c r="C424" t="s">
        <v>1835</v>
      </c>
      <c r="D424">
        <v>36.9</v>
      </c>
      <c r="E424">
        <v>1.1000000000000001</v>
      </c>
      <c r="F424">
        <v>64</v>
      </c>
      <c r="G424">
        <v>320</v>
      </c>
      <c r="H424">
        <v>59</v>
      </c>
      <c r="I424">
        <v>790</v>
      </c>
      <c r="J424">
        <v>49.341250000000002</v>
      </c>
      <c r="K424">
        <v>19.042916999999999</v>
      </c>
      <c r="L424">
        <v>64</v>
      </c>
      <c r="M424">
        <v>569.21</v>
      </c>
      <c r="N424">
        <v>0.75022999999999995</v>
      </c>
      <c r="O424">
        <v>4224700</v>
      </c>
      <c r="P424">
        <v>4.4588999999999999</v>
      </c>
      <c r="Q424">
        <v>1.3024</v>
      </c>
      <c r="R424">
        <v>637</v>
      </c>
      <c r="S424">
        <v>18.681999999999999</v>
      </c>
      <c r="T424">
        <v>424</v>
      </c>
      <c r="U424">
        <f t="shared" si="6"/>
        <v>1.8632075471698113</v>
      </c>
    </row>
    <row r="425" spans="1:21" x14ac:dyDescent="0.35">
      <c r="A425">
        <v>3784</v>
      </c>
      <c r="B425" t="s">
        <v>18</v>
      </c>
      <c r="C425" t="s">
        <v>1847</v>
      </c>
      <c r="D425">
        <v>17.899999999999999</v>
      </c>
      <c r="E425">
        <v>1.7</v>
      </c>
      <c r="F425">
        <v>15</v>
      </c>
      <c r="G425">
        <v>9000</v>
      </c>
      <c r="H425">
        <v>7085</v>
      </c>
      <c r="I425">
        <v>86925</v>
      </c>
      <c r="J425">
        <v>49.257083000000002</v>
      </c>
      <c r="K425">
        <v>18.682917</v>
      </c>
      <c r="L425">
        <v>15</v>
      </c>
      <c r="M425">
        <v>742.16</v>
      </c>
      <c r="N425">
        <v>17.43</v>
      </c>
      <c r="O425">
        <v>97749000</v>
      </c>
      <c r="P425">
        <v>1.3958999999999999</v>
      </c>
      <c r="Q425">
        <v>143.62</v>
      </c>
      <c r="R425">
        <v>329</v>
      </c>
      <c r="S425">
        <v>0.5</v>
      </c>
      <c r="T425">
        <v>50507</v>
      </c>
      <c r="U425">
        <f t="shared" si="6"/>
        <v>1.7210485675252936</v>
      </c>
    </row>
    <row r="426" spans="1:21" x14ac:dyDescent="0.35">
      <c r="A426">
        <v>3787</v>
      </c>
      <c r="B426" t="s">
        <v>18</v>
      </c>
      <c r="C426" t="s">
        <v>892</v>
      </c>
      <c r="D426">
        <v>35.9</v>
      </c>
      <c r="E426">
        <v>4.7</v>
      </c>
      <c r="F426">
        <v>33</v>
      </c>
      <c r="G426">
        <v>472</v>
      </c>
      <c r="H426">
        <v>7835</v>
      </c>
      <c r="I426">
        <v>95331</v>
      </c>
      <c r="J426">
        <v>49.127082999999999</v>
      </c>
      <c r="K426">
        <v>18.365417000000001</v>
      </c>
      <c r="L426">
        <v>33</v>
      </c>
      <c r="M426">
        <v>254.56</v>
      </c>
      <c r="N426">
        <v>44.091000000000001</v>
      </c>
      <c r="O426">
        <v>250800000</v>
      </c>
      <c r="P426">
        <v>4.8772000000000002</v>
      </c>
      <c r="Q426">
        <v>157.03</v>
      </c>
      <c r="R426">
        <v>382</v>
      </c>
      <c r="S426">
        <v>0.5</v>
      </c>
      <c r="T426">
        <v>55844</v>
      </c>
      <c r="U426">
        <f t="shared" si="6"/>
        <v>1.707094763985388</v>
      </c>
    </row>
    <row r="427" spans="1:21" x14ac:dyDescent="0.35">
      <c r="A427">
        <v>3789</v>
      </c>
      <c r="B427" t="s">
        <v>18</v>
      </c>
      <c r="C427" t="s">
        <v>1849</v>
      </c>
      <c r="D427">
        <v>9.8000000000000007</v>
      </c>
      <c r="E427">
        <v>1.3</v>
      </c>
      <c r="F427">
        <v>13</v>
      </c>
      <c r="G427">
        <v>1343</v>
      </c>
      <c r="H427">
        <v>1529</v>
      </c>
      <c r="I427">
        <v>18719</v>
      </c>
      <c r="J427">
        <v>49.099583000000003</v>
      </c>
      <c r="K427">
        <v>19.449583000000001</v>
      </c>
      <c r="L427">
        <v>13</v>
      </c>
      <c r="M427">
        <v>804.98</v>
      </c>
      <c r="N427">
        <v>4.7717000000000001</v>
      </c>
      <c r="O427">
        <v>22809000</v>
      </c>
      <c r="P427">
        <v>0.25744</v>
      </c>
      <c r="Q427">
        <v>36.603999999999999</v>
      </c>
      <c r="R427">
        <v>523</v>
      </c>
      <c r="S427">
        <v>1</v>
      </c>
      <c r="T427">
        <v>10909</v>
      </c>
      <c r="U427">
        <f t="shared" si="6"/>
        <v>1.7159226326886057</v>
      </c>
    </row>
    <row r="428" spans="1:21" x14ac:dyDescent="0.35">
      <c r="A428">
        <v>3790</v>
      </c>
      <c r="B428" t="s">
        <v>18</v>
      </c>
      <c r="C428" t="s">
        <v>1838</v>
      </c>
      <c r="D428">
        <v>360.5</v>
      </c>
      <c r="E428">
        <v>18.3</v>
      </c>
      <c r="F428">
        <v>53</v>
      </c>
      <c r="G428">
        <v>1250</v>
      </c>
      <c r="H428">
        <v>1479</v>
      </c>
      <c r="I428">
        <v>18111</v>
      </c>
      <c r="J428">
        <v>49.099583000000003</v>
      </c>
      <c r="K428">
        <v>19.484583000000001</v>
      </c>
      <c r="L428">
        <v>53</v>
      </c>
      <c r="M428">
        <v>1138.4000000000001</v>
      </c>
      <c r="N428">
        <v>20.106999999999999</v>
      </c>
      <c r="O428">
        <v>95697000</v>
      </c>
      <c r="P428">
        <v>1.1316999999999999</v>
      </c>
      <c r="Q428">
        <v>35.439</v>
      </c>
      <c r="R428">
        <v>529</v>
      </c>
      <c r="S428">
        <v>0.5</v>
      </c>
      <c r="T428">
        <v>10515</v>
      </c>
      <c r="U428">
        <f t="shared" si="6"/>
        <v>1.7223965763195435</v>
      </c>
    </row>
    <row r="429" spans="1:21" x14ac:dyDescent="0.35">
      <c r="A429">
        <v>3791</v>
      </c>
      <c r="B429" t="s">
        <v>18</v>
      </c>
      <c r="C429" t="s">
        <v>1839</v>
      </c>
      <c r="D429">
        <v>59.8</v>
      </c>
      <c r="E429">
        <v>2.4</v>
      </c>
      <c r="F429">
        <v>53</v>
      </c>
      <c r="G429">
        <v>372</v>
      </c>
      <c r="H429">
        <v>128</v>
      </c>
      <c r="I429">
        <v>1056</v>
      </c>
      <c r="J429">
        <v>49.045417</v>
      </c>
      <c r="K429">
        <v>22.258749999999999</v>
      </c>
      <c r="N429">
        <v>0</v>
      </c>
      <c r="O429">
        <v>0</v>
      </c>
      <c r="P429">
        <v>0</v>
      </c>
      <c r="Q429">
        <v>2.1429999999999998</v>
      </c>
      <c r="R429">
        <v>326</v>
      </c>
      <c r="S429">
        <v>10</v>
      </c>
      <c r="T429">
        <v>909</v>
      </c>
      <c r="U429">
        <f t="shared" si="6"/>
        <v>1.1617161716171618</v>
      </c>
    </row>
    <row r="430" spans="1:21" x14ac:dyDescent="0.35">
      <c r="A430">
        <v>3792</v>
      </c>
      <c r="B430" t="s">
        <v>18</v>
      </c>
      <c r="C430" t="s">
        <v>1842</v>
      </c>
      <c r="D430">
        <v>180</v>
      </c>
      <c r="E430">
        <v>11</v>
      </c>
      <c r="F430">
        <v>35</v>
      </c>
      <c r="G430">
        <v>350</v>
      </c>
      <c r="H430">
        <v>840</v>
      </c>
      <c r="I430">
        <v>5782</v>
      </c>
      <c r="J430">
        <v>49.003749999999997</v>
      </c>
      <c r="K430">
        <v>21.696249999999999</v>
      </c>
      <c r="L430">
        <v>35</v>
      </c>
      <c r="M430">
        <v>540</v>
      </c>
      <c r="N430">
        <v>3.7799</v>
      </c>
      <c r="O430">
        <v>20053000</v>
      </c>
      <c r="P430">
        <v>1.3346</v>
      </c>
      <c r="Q430">
        <v>10.036</v>
      </c>
      <c r="R430">
        <v>152</v>
      </c>
      <c r="S430">
        <v>12</v>
      </c>
      <c r="T430">
        <v>5998</v>
      </c>
      <c r="U430">
        <f t="shared" si="6"/>
        <v>0.96398799599866625</v>
      </c>
    </row>
    <row r="431" spans="1:21" x14ac:dyDescent="0.35">
      <c r="A431">
        <v>3795</v>
      </c>
      <c r="B431" t="s">
        <v>18</v>
      </c>
      <c r="C431" t="s">
        <v>1836</v>
      </c>
      <c r="D431">
        <v>58</v>
      </c>
      <c r="E431">
        <v>2</v>
      </c>
      <c r="F431">
        <v>63</v>
      </c>
      <c r="G431">
        <v>320</v>
      </c>
      <c r="H431">
        <v>1909</v>
      </c>
      <c r="I431">
        <v>16364</v>
      </c>
      <c r="J431">
        <v>48.862082999999998</v>
      </c>
      <c r="K431">
        <v>21.087917000000001</v>
      </c>
      <c r="L431">
        <v>63</v>
      </c>
      <c r="M431">
        <v>649</v>
      </c>
      <c r="N431">
        <v>16.731999999999999</v>
      </c>
      <c r="O431">
        <v>85080000</v>
      </c>
      <c r="P431">
        <v>0.52841000000000005</v>
      </c>
      <c r="Q431">
        <v>26.478999999999999</v>
      </c>
      <c r="R431">
        <v>315</v>
      </c>
      <c r="S431">
        <v>1</v>
      </c>
      <c r="T431">
        <v>13547</v>
      </c>
      <c r="U431">
        <f t="shared" si="6"/>
        <v>1.2079427179449325</v>
      </c>
    </row>
    <row r="432" spans="1:21" x14ac:dyDescent="0.35">
      <c r="A432">
        <v>3796</v>
      </c>
      <c r="B432" t="s">
        <v>18</v>
      </c>
      <c r="C432" t="s">
        <v>1848</v>
      </c>
      <c r="D432">
        <v>334</v>
      </c>
      <c r="E432">
        <v>29</v>
      </c>
      <c r="F432">
        <v>14</v>
      </c>
      <c r="G432">
        <v>5430</v>
      </c>
      <c r="H432">
        <v>186</v>
      </c>
      <c r="I432">
        <v>1368</v>
      </c>
      <c r="J432">
        <v>48.787083000000003</v>
      </c>
      <c r="K432">
        <v>22.046250000000001</v>
      </c>
      <c r="L432">
        <v>14</v>
      </c>
      <c r="M432">
        <v>1537.9</v>
      </c>
      <c r="N432">
        <v>0.28665000000000002</v>
      </c>
      <c r="O432">
        <v>1499300</v>
      </c>
      <c r="P432">
        <v>9.1303000000000001</v>
      </c>
      <c r="Q432">
        <v>1.9976</v>
      </c>
      <c r="R432">
        <v>105</v>
      </c>
      <c r="S432">
        <v>18</v>
      </c>
      <c r="T432">
        <v>1317</v>
      </c>
      <c r="U432">
        <f t="shared" si="6"/>
        <v>1.0387243735763099</v>
      </c>
    </row>
    <row r="433" spans="1:21" x14ac:dyDescent="0.35">
      <c r="A433">
        <v>3797</v>
      </c>
      <c r="B433" t="s">
        <v>18</v>
      </c>
      <c r="C433" t="s">
        <v>1837</v>
      </c>
      <c r="D433">
        <v>23.4</v>
      </c>
      <c r="E433">
        <v>0.9</v>
      </c>
      <c r="F433">
        <v>56</v>
      </c>
      <c r="G433">
        <v>333</v>
      </c>
      <c r="H433">
        <v>49</v>
      </c>
      <c r="I433">
        <v>339</v>
      </c>
      <c r="J433">
        <v>48.719583</v>
      </c>
      <c r="K433">
        <v>21.125416999999999</v>
      </c>
      <c r="L433">
        <v>56</v>
      </c>
      <c r="M433">
        <v>720</v>
      </c>
      <c r="N433">
        <v>0.29227999999999998</v>
      </c>
      <c r="O433">
        <v>1585800</v>
      </c>
      <c r="P433">
        <v>12.468999999999999</v>
      </c>
      <c r="Q433">
        <v>0.53</v>
      </c>
      <c r="R433">
        <v>463</v>
      </c>
      <c r="S433">
        <v>2.2361</v>
      </c>
      <c r="T433">
        <v>346</v>
      </c>
      <c r="U433">
        <f t="shared" si="6"/>
        <v>0.97976878612716767</v>
      </c>
    </row>
    <row r="434" spans="1:21" x14ac:dyDescent="0.35">
      <c r="A434">
        <v>3801</v>
      </c>
      <c r="B434" t="s">
        <v>18</v>
      </c>
      <c r="C434" t="s">
        <v>1845</v>
      </c>
      <c r="D434">
        <v>12.2</v>
      </c>
      <c r="E434">
        <v>3.8</v>
      </c>
      <c r="F434">
        <v>23</v>
      </c>
      <c r="G434">
        <v>7239</v>
      </c>
      <c r="H434">
        <v>10119</v>
      </c>
      <c r="I434">
        <v>113006</v>
      </c>
      <c r="J434">
        <v>48.545417</v>
      </c>
      <c r="K434">
        <v>17.825417000000002</v>
      </c>
      <c r="L434">
        <v>23</v>
      </c>
      <c r="M434">
        <v>4072.9</v>
      </c>
      <c r="N434">
        <v>35.805999999999997</v>
      </c>
      <c r="O434">
        <v>204360000</v>
      </c>
      <c r="P434">
        <v>0.84140000000000004</v>
      </c>
      <c r="Q434">
        <v>185.39</v>
      </c>
      <c r="R434">
        <v>150</v>
      </c>
      <c r="S434">
        <v>1</v>
      </c>
      <c r="T434">
        <v>72048</v>
      </c>
      <c r="U434">
        <f t="shared" si="6"/>
        <v>1.5684821230290917</v>
      </c>
    </row>
    <row r="435" spans="1:21" x14ac:dyDescent="0.35">
      <c r="A435">
        <v>3802</v>
      </c>
      <c r="B435" t="s">
        <v>18</v>
      </c>
      <c r="C435" t="s">
        <v>1840</v>
      </c>
      <c r="D435">
        <v>26.7</v>
      </c>
      <c r="E435">
        <v>1.1000000000000001</v>
      </c>
      <c r="F435">
        <v>49</v>
      </c>
      <c r="G435">
        <v>532</v>
      </c>
      <c r="H435">
        <v>87</v>
      </c>
      <c r="I435">
        <v>694</v>
      </c>
      <c r="J435">
        <v>48.520417000000002</v>
      </c>
      <c r="K435">
        <v>19.662917</v>
      </c>
      <c r="L435">
        <v>49</v>
      </c>
      <c r="M435">
        <v>1018.2</v>
      </c>
      <c r="N435">
        <v>0.95965</v>
      </c>
      <c r="O435">
        <v>4510600</v>
      </c>
      <c r="P435">
        <v>4.4123000000000001</v>
      </c>
      <c r="Q435">
        <v>1.9315</v>
      </c>
      <c r="R435">
        <v>331</v>
      </c>
      <c r="S435">
        <v>10</v>
      </c>
      <c r="T435">
        <v>612</v>
      </c>
      <c r="U435">
        <f t="shared" si="6"/>
        <v>1.1339869281045751</v>
      </c>
    </row>
    <row r="436" spans="1:21" x14ac:dyDescent="0.35">
      <c r="A436">
        <v>3804</v>
      </c>
      <c r="B436" t="s">
        <v>18</v>
      </c>
      <c r="C436" t="s">
        <v>1846</v>
      </c>
      <c r="D436">
        <v>14.8</v>
      </c>
      <c r="E436">
        <v>1.4</v>
      </c>
      <c r="F436">
        <v>22</v>
      </c>
      <c r="G436">
        <v>271</v>
      </c>
      <c r="H436">
        <v>31</v>
      </c>
      <c r="I436">
        <v>206</v>
      </c>
      <c r="J436">
        <v>48.437083000000001</v>
      </c>
      <c r="K436">
        <v>19.567083</v>
      </c>
      <c r="L436">
        <v>22</v>
      </c>
      <c r="M436">
        <v>254.56</v>
      </c>
      <c r="N436">
        <v>5.5294999999999997E-2</v>
      </c>
      <c r="O436">
        <v>286020</v>
      </c>
      <c r="P436">
        <v>30.265000000000001</v>
      </c>
      <c r="Q436">
        <v>0.23487</v>
      </c>
      <c r="R436">
        <v>276</v>
      </c>
      <c r="S436">
        <v>0.5</v>
      </c>
      <c r="T436">
        <v>219</v>
      </c>
      <c r="U436">
        <f t="shared" si="6"/>
        <v>0.94063926940639264</v>
      </c>
    </row>
    <row r="437" spans="1:21" x14ac:dyDescent="0.35">
      <c r="A437">
        <v>3805</v>
      </c>
      <c r="B437" t="s">
        <v>18</v>
      </c>
      <c r="C437" t="s">
        <v>1843</v>
      </c>
      <c r="D437">
        <v>50.8</v>
      </c>
      <c r="E437">
        <v>11.3</v>
      </c>
      <c r="F437">
        <v>34</v>
      </c>
      <c r="G437">
        <v>10480</v>
      </c>
      <c r="H437">
        <v>10411</v>
      </c>
      <c r="I437">
        <v>113917</v>
      </c>
      <c r="J437">
        <v>48.195416999999999</v>
      </c>
      <c r="K437">
        <v>17.825417000000002</v>
      </c>
      <c r="L437">
        <v>34</v>
      </c>
      <c r="M437">
        <v>2794.4</v>
      </c>
      <c r="N437">
        <v>55.006999999999998</v>
      </c>
      <c r="O437">
        <v>314270000</v>
      </c>
      <c r="P437">
        <v>0.84794000000000003</v>
      </c>
      <c r="Q437">
        <v>187.44</v>
      </c>
      <c r="R437">
        <v>116</v>
      </c>
      <c r="S437">
        <v>1</v>
      </c>
      <c r="T437">
        <v>74095</v>
      </c>
      <c r="U437">
        <f t="shared" si="6"/>
        <v>1.5374451717389837</v>
      </c>
    </row>
    <row r="438" spans="1:21" x14ac:dyDescent="0.35">
      <c r="A438">
        <v>3806</v>
      </c>
      <c r="B438" t="s">
        <v>18</v>
      </c>
      <c r="C438" t="s">
        <v>1844</v>
      </c>
      <c r="D438">
        <v>160</v>
      </c>
      <c r="E438">
        <v>33.9</v>
      </c>
      <c r="F438">
        <v>24</v>
      </c>
      <c r="G438">
        <v>8930</v>
      </c>
      <c r="H438">
        <v>131206</v>
      </c>
      <c r="I438">
        <v>1947288</v>
      </c>
      <c r="J438">
        <v>47.999583000000001</v>
      </c>
      <c r="K438">
        <v>17.267083</v>
      </c>
      <c r="L438">
        <v>24</v>
      </c>
      <c r="M438">
        <v>804.98</v>
      </c>
      <c r="N438">
        <v>478.66</v>
      </c>
      <c r="O438">
        <v>2608800000</v>
      </c>
      <c r="P438">
        <v>0.27998000000000001</v>
      </c>
      <c r="Q438">
        <v>2269.4</v>
      </c>
      <c r="R438">
        <v>121</v>
      </c>
      <c r="S438">
        <v>6.4031000000000002</v>
      </c>
      <c r="T438">
        <v>920170</v>
      </c>
      <c r="U438">
        <f t="shared" si="6"/>
        <v>2.1162263494789006</v>
      </c>
    </row>
    <row r="439" spans="1:21" x14ac:dyDescent="0.35">
      <c r="A439">
        <v>3834</v>
      </c>
      <c r="B439" t="s">
        <v>17</v>
      </c>
      <c r="C439" t="s">
        <v>1850</v>
      </c>
      <c r="D439">
        <v>14.2</v>
      </c>
      <c r="E439">
        <v>1</v>
      </c>
      <c r="F439">
        <v>34</v>
      </c>
      <c r="G439">
        <v>191</v>
      </c>
      <c r="H439">
        <v>12775</v>
      </c>
      <c r="I439">
        <v>310669</v>
      </c>
      <c r="J439">
        <v>46.592917</v>
      </c>
      <c r="K439">
        <v>15.150416999999999</v>
      </c>
      <c r="L439">
        <v>34</v>
      </c>
      <c r="M439">
        <v>742.16</v>
      </c>
      <c r="N439">
        <v>111.36</v>
      </c>
      <c r="O439">
        <v>522370000</v>
      </c>
      <c r="P439">
        <v>1.7204999999999999</v>
      </c>
      <c r="Q439">
        <v>292.64</v>
      </c>
      <c r="R439">
        <v>416</v>
      </c>
      <c r="S439">
        <v>1</v>
      </c>
      <c r="T439">
        <v>86900</v>
      </c>
      <c r="U439">
        <f t="shared" si="6"/>
        <v>3.5750172612197928</v>
      </c>
    </row>
    <row r="440" spans="1:21" x14ac:dyDescent="0.35">
      <c r="A440">
        <v>3835</v>
      </c>
      <c r="B440" t="s">
        <v>17</v>
      </c>
      <c r="C440" t="s">
        <v>1851</v>
      </c>
      <c r="D440">
        <v>19.3</v>
      </c>
      <c r="E440">
        <v>1.5</v>
      </c>
      <c r="F440">
        <v>33</v>
      </c>
      <c r="G440">
        <v>167</v>
      </c>
      <c r="H440">
        <v>12920</v>
      </c>
      <c r="I440">
        <v>312710</v>
      </c>
      <c r="J440">
        <v>46.587916999999997</v>
      </c>
      <c r="K440">
        <v>15.27125</v>
      </c>
      <c r="L440">
        <v>33</v>
      </c>
      <c r="M440">
        <v>360</v>
      </c>
      <c r="N440">
        <v>108.55</v>
      </c>
      <c r="O440">
        <v>510870000</v>
      </c>
      <c r="P440">
        <v>1.0691999999999999</v>
      </c>
      <c r="Q440">
        <v>295.45999999999998</v>
      </c>
      <c r="R440">
        <v>407</v>
      </c>
      <c r="S440">
        <v>1</v>
      </c>
      <c r="T440">
        <v>87891</v>
      </c>
      <c r="U440">
        <f t="shared" si="6"/>
        <v>3.5579297083887997</v>
      </c>
    </row>
    <row r="441" spans="1:21" x14ac:dyDescent="0.35">
      <c r="A441">
        <v>2661</v>
      </c>
      <c r="B441" t="s">
        <v>6</v>
      </c>
      <c r="C441" t="s">
        <v>1973</v>
      </c>
      <c r="D441">
        <v>13.6</v>
      </c>
      <c r="E441">
        <v>0.5</v>
      </c>
      <c r="F441">
        <v>44</v>
      </c>
      <c r="G441">
        <v>158</v>
      </c>
      <c r="H441">
        <v>117</v>
      </c>
      <c r="I441">
        <v>1491</v>
      </c>
      <c r="J441">
        <v>42.987082999999998</v>
      </c>
      <c r="K441">
        <v>-1.1579170000000001</v>
      </c>
      <c r="L441">
        <v>44</v>
      </c>
      <c r="M441">
        <v>360</v>
      </c>
      <c r="N441">
        <v>2.1623000000000001</v>
      </c>
      <c r="O441">
        <v>8262300</v>
      </c>
      <c r="P441">
        <v>0.93549000000000004</v>
      </c>
      <c r="Q441">
        <v>3.2282000000000002</v>
      </c>
      <c r="R441">
        <v>967</v>
      </c>
      <c r="S441">
        <v>24.042000000000002</v>
      </c>
      <c r="T441">
        <v>751</v>
      </c>
      <c r="U441">
        <f t="shared" si="6"/>
        <v>1.9853528628495341</v>
      </c>
    </row>
    <row r="442" spans="1:21" x14ac:dyDescent="0.35">
      <c r="A442">
        <v>2662</v>
      </c>
      <c r="B442" t="s">
        <v>6</v>
      </c>
      <c r="C442" t="s">
        <v>1993</v>
      </c>
      <c r="D442">
        <v>540</v>
      </c>
      <c r="E442">
        <v>54.3</v>
      </c>
      <c r="F442">
        <v>34</v>
      </c>
      <c r="G442">
        <v>216</v>
      </c>
      <c r="H442">
        <v>462</v>
      </c>
      <c r="I442">
        <v>5613</v>
      </c>
      <c r="J442">
        <v>42.974583000000003</v>
      </c>
      <c r="K442">
        <v>-4.0487500000000001</v>
      </c>
      <c r="L442">
        <v>34</v>
      </c>
      <c r="M442">
        <v>649</v>
      </c>
      <c r="N442">
        <v>1.8492</v>
      </c>
      <c r="O442">
        <v>6991300</v>
      </c>
      <c r="P442">
        <v>19.134</v>
      </c>
      <c r="Q442">
        <v>3.9357000000000002</v>
      </c>
      <c r="R442">
        <v>844</v>
      </c>
      <c r="S442">
        <v>6.4031000000000002</v>
      </c>
      <c r="T442">
        <v>1755</v>
      </c>
      <c r="U442">
        <f t="shared" si="6"/>
        <v>3.1982905982905985</v>
      </c>
    </row>
    <row r="443" spans="1:21" x14ac:dyDescent="0.35">
      <c r="A443">
        <v>2663</v>
      </c>
      <c r="B443" t="s">
        <v>6</v>
      </c>
      <c r="C443" t="s">
        <v>1957</v>
      </c>
      <c r="D443">
        <v>21.9</v>
      </c>
      <c r="E443">
        <v>1</v>
      </c>
      <c r="F443">
        <v>51</v>
      </c>
      <c r="G443">
        <v>252</v>
      </c>
      <c r="H443">
        <v>67</v>
      </c>
      <c r="I443">
        <v>909</v>
      </c>
      <c r="J443">
        <v>42.974583000000003</v>
      </c>
      <c r="K443">
        <v>-1.5162500000000001</v>
      </c>
      <c r="L443">
        <v>51</v>
      </c>
      <c r="M443">
        <v>1152.5999999999999</v>
      </c>
      <c r="N443">
        <v>1.4392</v>
      </c>
      <c r="O443">
        <v>5564400</v>
      </c>
      <c r="P443">
        <v>4.3894000000000002</v>
      </c>
      <c r="Q443">
        <v>1.8441000000000001</v>
      </c>
      <c r="R443">
        <v>620</v>
      </c>
      <c r="S443">
        <v>26.925999999999998</v>
      </c>
      <c r="T443">
        <v>358</v>
      </c>
      <c r="U443">
        <f t="shared" si="6"/>
        <v>2.5391061452513966</v>
      </c>
    </row>
    <row r="444" spans="1:21" x14ac:dyDescent="0.35">
      <c r="A444">
        <v>2664</v>
      </c>
      <c r="B444" t="s">
        <v>6</v>
      </c>
      <c r="C444" t="s">
        <v>2002</v>
      </c>
      <c r="D444">
        <v>72</v>
      </c>
      <c r="E444">
        <v>6.3</v>
      </c>
      <c r="F444">
        <v>31</v>
      </c>
      <c r="G444">
        <v>490</v>
      </c>
      <c r="H444">
        <v>137</v>
      </c>
      <c r="I444">
        <v>1963</v>
      </c>
      <c r="J444">
        <v>42.957917000000002</v>
      </c>
      <c r="K444">
        <v>-2.652917</v>
      </c>
      <c r="L444">
        <v>31</v>
      </c>
      <c r="M444">
        <v>917.82</v>
      </c>
      <c r="N444">
        <v>1.1366000000000001</v>
      </c>
      <c r="O444">
        <v>4317600</v>
      </c>
      <c r="P444">
        <v>3.8933</v>
      </c>
      <c r="Q444">
        <v>2.4521000000000002</v>
      </c>
      <c r="R444">
        <v>536</v>
      </c>
      <c r="S444">
        <v>2</v>
      </c>
      <c r="T444">
        <v>868</v>
      </c>
      <c r="U444">
        <f t="shared" si="6"/>
        <v>2.2615207373271891</v>
      </c>
    </row>
    <row r="445" spans="1:21" x14ac:dyDescent="0.35">
      <c r="A445">
        <v>2665</v>
      </c>
      <c r="B445" t="s">
        <v>6</v>
      </c>
      <c r="C445" t="s">
        <v>1865</v>
      </c>
      <c r="D445">
        <v>664</v>
      </c>
      <c r="E445">
        <v>15.6</v>
      </c>
      <c r="F445">
        <v>101</v>
      </c>
      <c r="G445">
        <v>337</v>
      </c>
      <c r="H445">
        <v>589</v>
      </c>
      <c r="I445">
        <v>7306</v>
      </c>
      <c r="J445">
        <v>42.937083000000001</v>
      </c>
      <c r="K445">
        <v>-5.0820829999999999</v>
      </c>
      <c r="L445">
        <v>101</v>
      </c>
      <c r="M445">
        <v>917.82</v>
      </c>
      <c r="N445">
        <v>20.7</v>
      </c>
      <c r="O445">
        <v>75203000</v>
      </c>
      <c r="P445">
        <v>1.0286999999999999</v>
      </c>
      <c r="Q445">
        <v>13.166</v>
      </c>
      <c r="R445">
        <v>1109</v>
      </c>
      <c r="S445">
        <v>1</v>
      </c>
      <c r="T445">
        <v>3753</v>
      </c>
      <c r="U445">
        <f t="shared" si="6"/>
        <v>1.9467092992272848</v>
      </c>
    </row>
    <row r="446" spans="1:21" x14ac:dyDescent="0.35">
      <c r="A446">
        <v>2666</v>
      </c>
      <c r="B446" t="s">
        <v>6</v>
      </c>
      <c r="C446" t="s">
        <v>1897</v>
      </c>
      <c r="D446">
        <v>317.3</v>
      </c>
      <c r="E446">
        <v>7.4</v>
      </c>
      <c r="F446">
        <v>78</v>
      </c>
      <c r="G446">
        <v>251</v>
      </c>
      <c r="H446">
        <v>221</v>
      </c>
      <c r="I446">
        <v>2673</v>
      </c>
      <c r="J446">
        <v>42.932917000000003</v>
      </c>
      <c r="K446">
        <v>-5.2912499999999998</v>
      </c>
      <c r="L446">
        <v>78</v>
      </c>
      <c r="M446">
        <v>540</v>
      </c>
      <c r="N446">
        <v>5.5675999999999997</v>
      </c>
      <c r="O446">
        <v>20206000</v>
      </c>
      <c r="P446">
        <v>1.4007000000000001</v>
      </c>
      <c r="Q446">
        <v>4.6288999999999998</v>
      </c>
      <c r="R446">
        <v>1147</v>
      </c>
      <c r="S446">
        <v>16</v>
      </c>
      <c r="T446">
        <v>1409</v>
      </c>
      <c r="U446">
        <f t="shared" si="6"/>
        <v>1.8970901348474094</v>
      </c>
    </row>
    <row r="447" spans="1:21" x14ac:dyDescent="0.35">
      <c r="A447">
        <v>2667</v>
      </c>
      <c r="B447" t="s">
        <v>6</v>
      </c>
      <c r="C447" t="s">
        <v>1985</v>
      </c>
      <c r="D447">
        <v>147</v>
      </c>
      <c r="E447">
        <v>14</v>
      </c>
      <c r="F447">
        <v>37</v>
      </c>
      <c r="G447">
        <v>535</v>
      </c>
      <c r="H447">
        <v>298</v>
      </c>
      <c r="I447">
        <v>4008</v>
      </c>
      <c r="J447">
        <v>42.932917000000003</v>
      </c>
      <c r="K447">
        <v>-2.61625</v>
      </c>
      <c r="L447">
        <v>37</v>
      </c>
      <c r="M447">
        <v>917.82</v>
      </c>
      <c r="N447">
        <v>2.4641999999999999</v>
      </c>
      <c r="O447">
        <v>9529100</v>
      </c>
      <c r="P447">
        <v>1.5541</v>
      </c>
      <c r="Q447">
        <v>4.6102999999999996</v>
      </c>
      <c r="R447">
        <v>524</v>
      </c>
      <c r="S447">
        <v>1</v>
      </c>
      <c r="T447">
        <v>1896</v>
      </c>
      <c r="U447">
        <f t="shared" si="6"/>
        <v>2.1139240506329116</v>
      </c>
    </row>
    <row r="448" spans="1:21" x14ac:dyDescent="0.35">
      <c r="A448">
        <v>2669</v>
      </c>
      <c r="B448" t="s">
        <v>6</v>
      </c>
      <c r="C448" t="s">
        <v>1943</v>
      </c>
      <c r="D448">
        <v>65.8</v>
      </c>
      <c r="E448">
        <v>2.1</v>
      </c>
      <c r="F448">
        <v>58</v>
      </c>
      <c r="G448">
        <v>200</v>
      </c>
      <c r="H448">
        <v>248</v>
      </c>
      <c r="I448">
        <v>2939</v>
      </c>
      <c r="J448">
        <v>42.907916999999998</v>
      </c>
      <c r="K448">
        <v>-4.5295829999999997</v>
      </c>
      <c r="L448">
        <v>58</v>
      </c>
      <c r="M448">
        <v>569.21</v>
      </c>
      <c r="N448">
        <v>2.9893000000000001</v>
      </c>
      <c r="O448">
        <v>11159000</v>
      </c>
      <c r="P448">
        <v>1.4496</v>
      </c>
      <c r="Q448">
        <v>3.6903000000000001</v>
      </c>
      <c r="R448">
        <v>1074</v>
      </c>
      <c r="S448">
        <v>8.0623000000000005</v>
      </c>
      <c r="T448">
        <v>1582</v>
      </c>
      <c r="U448">
        <f t="shared" si="6"/>
        <v>1.8577749683944373</v>
      </c>
    </row>
    <row r="449" spans="1:21" x14ac:dyDescent="0.35">
      <c r="A449">
        <v>2670</v>
      </c>
      <c r="B449" t="s">
        <v>6</v>
      </c>
      <c r="C449" t="s">
        <v>1901</v>
      </c>
      <c r="D449">
        <v>72.400000000000006</v>
      </c>
      <c r="E449">
        <v>2</v>
      </c>
      <c r="F449">
        <v>76</v>
      </c>
      <c r="G449">
        <v>160</v>
      </c>
      <c r="H449">
        <v>222</v>
      </c>
      <c r="I449">
        <v>2638</v>
      </c>
      <c r="J449">
        <v>42.903750000000002</v>
      </c>
      <c r="K449">
        <v>-4.7345829999999998</v>
      </c>
      <c r="L449">
        <v>76</v>
      </c>
      <c r="M449">
        <v>720</v>
      </c>
      <c r="N449">
        <v>4.1394000000000002</v>
      </c>
      <c r="O449">
        <v>15089000</v>
      </c>
      <c r="P449">
        <v>2.1073</v>
      </c>
      <c r="Q449">
        <v>3.7650999999999999</v>
      </c>
      <c r="R449">
        <v>1338</v>
      </c>
      <c r="S449">
        <v>11.705</v>
      </c>
      <c r="T449">
        <v>1411</v>
      </c>
      <c r="U449">
        <f t="shared" si="6"/>
        <v>1.8695960311835578</v>
      </c>
    </row>
    <row r="450" spans="1:21" x14ac:dyDescent="0.35">
      <c r="A450">
        <v>2671</v>
      </c>
      <c r="B450" t="s">
        <v>6</v>
      </c>
      <c r="C450" t="s">
        <v>1986</v>
      </c>
      <c r="D450">
        <v>10.9</v>
      </c>
      <c r="E450">
        <v>0.5</v>
      </c>
      <c r="F450">
        <v>37</v>
      </c>
      <c r="G450">
        <v>130</v>
      </c>
      <c r="H450">
        <v>54</v>
      </c>
      <c r="I450">
        <v>598</v>
      </c>
      <c r="J450">
        <v>42.870417000000003</v>
      </c>
      <c r="K450">
        <v>-4.5329170000000003</v>
      </c>
      <c r="L450">
        <v>37</v>
      </c>
      <c r="M450">
        <v>763.68</v>
      </c>
      <c r="N450">
        <v>0.43026999999999999</v>
      </c>
      <c r="O450">
        <v>1569500</v>
      </c>
      <c r="P450">
        <v>6.0698999999999996</v>
      </c>
      <c r="Q450">
        <v>0.82967000000000002</v>
      </c>
      <c r="R450">
        <v>1045</v>
      </c>
      <c r="S450">
        <v>4.4721000000000002</v>
      </c>
      <c r="T450">
        <v>342</v>
      </c>
      <c r="U450">
        <f t="shared" ref="U450:U513" si="7">I450/T450</f>
        <v>1.7485380116959064</v>
      </c>
    </row>
    <row r="451" spans="1:21" x14ac:dyDescent="0.35">
      <c r="A451">
        <v>2673</v>
      </c>
      <c r="B451" t="s">
        <v>6</v>
      </c>
      <c r="C451" t="s">
        <v>1896</v>
      </c>
      <c r="D451">
        <v>96.7</v>
      </c>
      <c r="E451">
        <v>3</v>
      </c>
      <c r="F451">
        <v>78</v>
      </c>
      <c r="G451">
        <v>273</v>
      </c>
      <c r="H451">
        <v>305</v>
      </c>
      <c r="I451">
        <v>3572</v>
      </c>
      <c r="J451">
        <v>42.862082999999998</v>
      </c>
      <c r="K451">
        <v>-4.8279170000000002</v>
      </c>
      <c r="L451">
        <v>78</v>
      </c>
      <c r="M451">
        <v>402.49</v>
      </c>
      <c r="N451">
        <v>5.6553000000000004</v>
      </c>
      <c r="O451">
        <v>20618000</v>
      </c>
      <c r="P451">
        <v>0.96570999999999996</v>
      </c>
      <c r="Q451">
        <v>5.0532000000000004</v>
      </c>
      <c r="R451">
        <v>1233</v>
      </c>
      <c r="S451">
        <v>5</v>
      </c>
      <c r="T451">
        <v>1942</v>
      </c>
      <c r="U451">
        <f t="shared" si="7"/>
        <v>1.839340885684861</v>
      </c>
    </row>
    <row r="452" spans="1:21" x14ac:dyDescent="0.35">
      <c r="A452">
        <v>2675</v>
      </c>
      <c r="B452" t="s">
        <v>6</v>
      </c>
      <c r="C452" t="s">
        <v>1871</v>
      </c>
      <c r="D452">
        <v>308</v>
      </c>
      <c r="E452">
        <v>7.2</v>
      </c>
      <c r="F452">
        <v>97</v>
      </c>
      <c r="G452">
        <v>229</v>
      </c>
      <c r="H452">
        <v>482</v>
      </c>
      <c r="I452">
        <v>6352</v>
      </c>
      <c r="J452">
        <v>42.853749999999998</v>
      </c>
      <c r="K452">
        <v>-5.86625</v>
      </c>
      <c r="L452">
        <v>97</v>
      </c>
      <c r="M452">
        <v>900</v>
      </c>
      <c r="N452">
        <v>9.3966999999999992</v>
      </c>
      <c r="O452">
        <v>34729000</v>
      </c>
      <c r="P452">
        <v>1.7730999999999999</v>
      </c>
      <c r="Q452">
        <v>7.4538000000000002</v>
      </c>
      <c r="R452">
        <v>1095</v>
      </c>
      <c r="S452">
        <v>12.53</v>
      </c>
      <c r="T452">
        <v>3061</v>
      </c>
      <c r="U452">
        <f t="shared" si="7"/>
        <v>2.075138843515191</v>
      </c>
    </row>
    <row r="453" spans="1:21" x14ac:dyDescent="0.35">
      <c r="A453">
        <v>2677</v>
      </c>
      <c r="B453" t="s">
        <v>6</v>
      </c>
      <c r="C453" t="s">
        <v>1860</v>
      </c>
      <c r="D453">
        <v>586</v>
      </c>
      <c r="E453">
        <v>10.4</v>
      </c>
      <c r="F453">
        <v>128</v>
      </c>
      <c r="G453">
        <v>525</v>
      </c>
      <c r="H453">
        <v>497</v>
      </c>
      <c r="I453">
        <v>6260</v>
      </c>
      <c r="J453">
        <v>42.803750000000001</v>
      </c>
      <c r="K453">
        <v>-1.3620829999999999</v>
      </c>
      <c r="L453">
        <v>128</v>
      </c>
      <c r="M453">
        <v>917.82</v>
      </c>
      <c r="N453">
        <v>23.271999999999998</v>
      </c>
      <c r="O453">
        <v>89218000</v>
      </c>
      <c r="P453">
        <v>1.1378999999999999</v>
      </c>
      <c r="Q453">
        <v>12.167999999999999</v>
      </c>
      <c r="R453">
        <v>500</v>
      </c>
      <c r="S453">
        <v>15.263999999999999</v>
      </c>
      <c r="T453">
        <v>3160</v>
      </c>
      <c r="U453">
        <f t="shared" si="7"/>
        <v>1.981012658227848</v>
      </c>
    </row>
    <row r="454" spans="1:21" x14ac:dyDescent="0.35">
      <c r="A454">
        <v>2678</v>
      </c>
      <c r="B454" t="s">
        <v>6</v>
      </c>
      <c r="C454" t="s">
        <v>1963</v>
      </c>
      <c r="D454">
        <v>265.3</v>
      </c>
      <c r="E454">
        <v>10.6</v>
      </c>
      <c r="F454">
        <v>48</v>
      </c>
      <c r="G454">
        <v>500</v>
      </c>
      <c r="H454">
        <v>546</v>
      </c>
      <c r="I454">
        <v>6180</v>
      </c>
      <c r="J454">
        <v>42.799582999999998</v>
      </c>
      <c r="K454">
        <v>-4.2912499999999998</v>
      </c>
      <c r="L454">
        <v>48</v>
      </c>
      <c r="M454">
        <v>569.21</v>
      </c>
      <c r="N454">
        <v>4.6272000000000002</v>
      </c>
      <c r="O454">
        <v>17479000</v>
      </c>
      <c r="P454">
        <v>1.4261999999999999</v>
      </c>
      <c r="Q454">
        <v>7.2225000000000001</v>
      </c>
      <c r="R454">
        <v>962</v>
      </c>
      <c r="S454">
        <v>0.5</v>
      </c>
      <c r="T454">
        <v>3471</v>
      </c>
      <c r="U454">
        <f t="shared" si="7"/>
        <v>1.780466724286949</v>
      </c>
    </row>
    <row r="455" spans="1:21" x14ac:dyDescent="0.35">
      <c r="A455">
        <v>2679</v>
      </c>
      <c r="B455" t="s">
        <v>6</v>
      </c>
      <c r="C455" t="s">
        <v>1893</v>
      </c>
      <c r="D455">
        <v>25</v>
      </c>
      <c r="E455">
        <v>0.9</v>
      </c>
      <c r="F455">
        <v>80</v>
      </c>
      <c r="G455">
        <v>176</v>
      </c>
      <c r="H455">
        <v>115</v>
      </c>
      <c r="I455">
        <v>1080</v>
      </c>
      <c r="J455">
        <v>42.753749999999997</v>
      </c>
      <c r="K455">
        <v>-0.31624999999999998</v>
      </c>
      <c r="L455">
        <v>80</v>
      </c>
      <c r="M455">
        <v>569.21</v>
      </c>
      <c r="N455">
        <v>3.3220999999999998</v>
      </c>
      <c r="O455">
        <v>13967000</v>
      </c>
      <c r="P455">
        <v>2.4767999999999999</v>
      </c>
      <c r="Q455">
        <v>2.9944000000000002</v>
      </c>
      <c r="R455">
        <v>1251</v>
      </c>
      <c r="S455">
        <v>1</v>
      </c>
      <c r="T455">
        <v>730</v>
      </c>
      <c r="U455">
        <f t="shared" si="7"/>
        <v>1.4794520547945205</v>
      </c>
    </row>
    <row r="456" spans="1:21" x14ac:dyDescent="0.35">
      <c r="A456">
        <v>2680</v>
      </c>
      <c r="B456" t="s">
        <v>6</v>
      </c>
      <c r="C456" t="s">
        <v>1917</v>
      </c>
      <c r="D456">
        <v>84.3</v>
      </c>
      <c r="E456">
        <v>1.7</v>
      </c>
      <c r="F456">
        <v>67</v>
      </c>
      <c r="G456">
        <v>74</v>
      </c>
      <c r="H456">
        <v>149</v>
      </c>
      <c r="I456">
        <v>1774</v>
      </c>
      <c r="J456">
        <v>42.707917000000002</v>
      </c>
      <c r="K456">
        <v>-1.945417</v>
      </c>
      <c r="L456">
        <v>67</v>
      </c>
      <c r="M456">
        <v>569.21</v>
      </c>
      <c r="N456">
        <v>2.1703000000000001</v>
      </c>
      <c r="O456">
        <v>8265400</v>
      </c>
      <c r="P456">
        <v>3.6814</v>
      </c>
      <c r="Q456">
        <v>2.2155</v>
      </c>
      <c r="R456">
        <v>533</v>
      </c>
      <c r="S456">
        <v>23.853999999999999</v>
      </c>
      <c r="T456">
        <v>945</v>
      </c>
      <c r="U456">
        <f t="shared" si="7"/>
        <v>1.8772486772486772</v>
      </c>
    </row>
    <row r="457" spans="1:21" x14ac:dyDescent="0.35">
      <c r="A457">
        <v>2681</v>
      </c>
      <c r="B457" t="s">
        <v>6</v>
      </c>
      <c r="C457" t="s">
        <v>1879</v>
      </c>
      <c r="D457">
        <v>64.3</v>
      </c>
      <c r="E457">
        <v>1.7</v>
      </c>
      <c r="F457">
        <v>90</v>
      </c>
      <c r="G457">
        <v>195</v>
      </c>
      <c r="H457">
        <v>298</v>
      </c>
      <c r="I457">
        <v>2785</v>
      </c>
      <c r="J457">
        <v>42.682917000000003</v>
      </c>
      <c r="K457">
        <v>-0.31624999999999998</v>
      </c>
      <c r="L457">
        <v>90</v>
      </c>
      <c r="M457">
        <v>1272.8</v>
      </c>
      <c r="N457">
        <v>9.6431000000000004</v>
      </c>
      <c r="O457">
        <v>40542000</v>
      </c>
      <c r="P457">
        <v>1.7845</v>
      </c>
      <c r="Q457">
        <v>7.7363</v>
      </c>
      <c r="R457">
        <v>1069</v>
      </c>
      <c r="S457">
        <v>1</v>
      </c>
      <c r="T457">
        <v>1886</v>
      </c>
      <c r="U457">
        <f t="shared" si="7"/>
        <v>1.4766702014846236</v>
      </c>
    </row>
    <row r="458" spans="1:21" x14ac:dyDescent="0.35">
      <c r="A458">
        <v>2684</v>
      </c>
      <c r="B458" t="s">
        <v>6</v>
      </c>
      <c r="C458" t="s">
        <v>1898</v>
      </c>
      <c r="D458">
        <v>446.9</v>
      </c>
      <c r="E458">
        <v>15.5</v>
      </c>
      <c r="F458">
        <v>77</v>
      </c>
      <c r="G458">
        <v>398</v>
      </c>
      <c r="H458">
        <v>2186</v>
      </c>
      <c r="I458">
        <v>21535</v>
      </c>
      <c r="J458">
        <v>42.616250000000001</v>
      </c>
      <c r="K458">
        <v>-1.180417</v>
      </c>
      <c r="L458">
        <v>77</v>
      </c>
      <c r="M458">
        <v>402.49</v>
      </c>
      <c r="N458">
        <v>72.257000000000005</v>
      </c>
      <c r="O458">
        <v>290420000</v>
      </c>
      <c r="P458">
        <v>0.20213999999999999</v>
      </c>
      <c r="Q458">
        <v>66.034000000000006</v>
      </c>
      <c r="R458">
        <v>648</v>
      </c>
      <c r="S458">
        <v>1</v>
      </c>
      <c r="T458">
        <v>13860</v>
      </c>
      <c r="U458">
        <f t="shared" si="7"/>
        <v>1.5537518037518037</v>
      </c>
    </row>
    <row r="459" spans="1:21" x14ac:dyDescent="0.35">
      <c r="A459">
        <v>2689</v>
      </c>
      <c r="B459" t="s">
        <v>6</v>
      </c>
      <c r="C459" t="s">
        <v>1941</v>
      </c>
      <c r="D459">
        <v>15.4</v>
      </c>
      <c r="E459">
        <v>1.5</v>
      </c>
      <c r="F459">
        <v>59</v>
      </c>
      <c r="G459">
        <v>112</v>
      </c>
      <c r="H459">
        <v>1568</v>
      </c>
      <c r="I459">
        <v>13546</v>
      </c>
      <c r="J459">
        <v>42.387082999999997</v>
      </c>
      <c r="K459">
        <v>-0.73708300000000004</v>
      </c>
      <c r="L459">
        <v>59</v>
      </c>
      <c r="M459">
        <v>509.12</v>
      </c>
      <c r="N459">
        <v>19.553999999999998</v>
      </c>
      <c r="O459">
        <v>84083000</v>
      </c>
      <c r="P459">
        <v>0.26506999999999997</v>
      </c>
      <c r="Q459">
        <v>24.882999999999999</v>
      </c>
      <c r="R459">
        <v>630</v>
      </c>
      <c r="S459">
        <v>22.561</v>
      </c>
      <c r="T459">
        <v>9909</v>
      </c>
      <c r="U459">
        <f t="shared" si="7"/>
        <v>1.3670400645877485</v>
      </c>
    </row>
    <row r="460" spans="1:21" x14ac:dyDescent="0.35">
      <c r="A460">
        <v>2693</v>
      </c>
      <c r="B460" t="s">
        <v>6</v>
      </c>
      <c r="C460" t="s">
        <v>1924</v>
      </c>
      <c r="D460">
        <v>75</v>
      </c>
      <c r="E460">
        <v>2</v>
      </c>
      <c r="F460">
        <v>65</v>
      </c>
      <c r="G460">
        <v>460</v>
      </c>
      <c r="H460">
        <v>150</v>
      </c>
      <c r="I460">
        <v>1207</v>
      </c>
      <c r="J460">
        <v>42.306249999999999</v>
      </c>
      <c r="K460">
        <v>-3.367083</v>
      </c>
      <c r="L460">
        <v>65</v>
      </c>
      <c r="M460">
        <v>969.33</v>
      </c>
      <c r="N460">
        <v>1.5729</v>
      </c>
      <c r="O460">
        <v>5943600</v>
      </c>
      <c r="P460">
        <v>5.2308000000000003</v>
      </c>
      <c r="Q460">
        <v>1.7408999999999999</v>
      </c>
      <c r="R460">
        <v>1121</v>
      </c>
      <c r="S460">
        <v>20</v>
      </c>
      <c r="T460">
        <v>940</v>
      </c>
      <c r="U460">
        <f t="shared" si="7"/>
        <v>1.2840425531914894</v>
      </c>
    </row>
    <row r="461" spans="1:21" x14ac:dyDescent="0.35">
      <c r="A461">
        <v>2695</v>
      </c>
      <c r="B461" t="s">
        <v>6</v>
      </c>
      <c r="C461" t="s">
        <v>1966</v>
      </c>
      <c r="D461">
        <v>22.4</v>
      </c>
      <c r="E461">
        <v>1</v>
      </c>
      <c r="F461">
        <v>47</v>
      </c>
      <c r="G461">
        <v>267</v>
      </c>
      <c r="H461">
        <v>105</v>
      </c>
      <c r="I461">
        <v>836</v>
      </c>
      <c r="J461">
        <v>42.263750000000002</v>
      </c>
      <c r="K461">
        <v>-3.3395830000000002</v>
      </c>
      <c r="L461">
        <v>47</v>
      </c>
      <c r="M461">
        <v>763.68</v>
      </c>
      <c r="N461">
        <v>0.80130999999999997</v>
      </c>
      <c r="O461">
        <v>3028000</v>
      </c>
      <c r="P461">
        <v>4.7431999999999999</v>
      </c>
      <c r="Q461">
        <v>1.2279</v>
      </c>
      <c r="R461">
        <v>1143</v>
      </c>
      <c r="S461">
        <v>23.021999999999998</v>
      </c>
      <c r="T461">
        <v>663</v>
      </c>
      <c r="U461">
        <f t="shared" si="7"/>
        <v>1.2609351432880844</v>
      </c>
    </row>
    <row r="462" spans="1:21" x14ac:dyDescent="0.35">
      <c r="A462">
        <v>2699</v>
      </c>
      <c r="B462" t="s">
        <v>6</v>
      </c>
      <c r="C462" t="s">
        <v>1909</v>
      </c>
      <c r="D462">
        <v>32.9</v>
      </c>
      <c r="E462">
        <v>1.4</v>
      </c>
      <c r="F462">
        <v>71</v>
      </c>
      <c r="G462">
        <v>316</v>
      </c>
      <c r="H462">
        <v>42</v>
      </c>
      <c r="I462">
        <v>322</v>
      </c>
      <c r="J462">
        <v>42.174582999999998</v>
      </c>
      <c r="K462">
        <v>-2.6745830000000002</v>
      </c>
      <c r="L462">
        <v>71</v>
      </c>
      <c r="M462">
        <v>1440</v>
      </c>
      <c r="N462">
        <v>0.47015000000000001</v>
      </c>
      <c r="O462">
        <v>1695000</v>
      </c>
      <c r="P462">
        <v>31.786000000000001</v>
      </c>
      <c r="Q462">
        <v>0.41769000000000001</v>
      </c>
      <c r="R462">
        <v>1028</v>
      </c>
      <c r="S462">
        <v>28.071000000000002</v>
      </c>
      <c r="T462">
        <v>258</v>
      </c>
      <c r="U462">
        <f t="shared" si="7"/>
        <v>1.248062015503876</v>
      </c>
    </row>
    <row r="463" spans="1:21" x14ac:dyDescent="0.35">
      <c r="A463">
        <v>2700</v>
      </c>
      <c r="B463" t="s">
        <v>6</v>
      </c>
      <c r="C463" t="s">
        <v>1894</v>
      </c>
      <c r="D463">
        <v>67.7</v>
      </c>
      <c r="E463">
        <v>1.9</v>
      </c>
      <c r="F463">
        <v>80</v>
      </c>
      <c r="G463">
        <v>209</v>
      </c>
      <c r="H463">
        <v>243</v>
      </c>
      <c r="I463">
        <v>1777</v>
      </c>
      <c r="J463">
        <v>42.157083</v>
      </c>
      <c r="K463">
        <v>-2.9145829999999999</v>
      </c>
      <c r="L463">
        <v>80</v>
      </c>
      <c r="M463">
        <v>649</v>
      </c>
      <c r="N463">
        <v>3.1326000000000001</v>
      </c>
      <c r="O463">
        <v>11478000</v>
      </c>
      <c r="P463">
        <v>2.8597999999999999</v>
      </c>
      <c r="Q463">
        <v>2.5905</v>
      </c>
      <c r="R463">
        <v>1032</v>
      </c>
      <c r="S463">
        <v>26.832999999999998</v>
      </c>
      <c r="T463">
        <v>1526</v>
      </c>
      <c r="U463">
        <f t="shared" si="7"/>
        <v>1.1644823066841417</v>
      </c>
    </row>
    <row r="464" spans="1:21" x14ac:dyDescent="0.35">
      <c r="A464">
        <v>2704</v>
      </c>
      <c r="B464" t="s">
        <v>6</v>
      </c>
      <c r="C464" t="s">
        <v>1995</v>
      </c>
      <c r="D464">
        <v>181.6</v>
      </c>
      <c r="E464">
        <v>14.6</v>
      </c>
      <c r="F464">
        <v>34</v>
      </c>
      <c r="G464">
        <v>3870</v>
      </c>
      <c r="H464">
        <v>197</v>
      </c>
      <c r="I464">
        <v>965</v>
      </c>
      <c r="J464">
        <v>42.112082999999998</v>
      </c>
      <c r="K464">
        <v>-0.66625000000000001</v>
      </c>
      <c r="L464">
        <v>34</v>
      </c>
      <c r="M464">
        <v>2545.6</v>
      </c>
      <c r="N464">
        <v>0.55308000000000002</v>
      </c>
      <c r="O464">
        <v>2363800</v>
      </c>
      <c r="P464">
        <v>11.473000000000001</v>
      </c>
      <c r="Q464">
        <v>1.226</v>
      </c>
      <c r="R464">
        <v>399</v>
      </c>
      <c r="S464">
        <v>6.4031000000000002</v>
      </c>
      <c r="T464">
        <v>1236</v>
      </c>
      <c r="U464">
        <f t="shared" si="7"/>
        <v>0.78074433656957931</v>
      </c>
    </row>
    <row r="465" spans="1:21" x14ac:dyDescent="0.35">
      <c r="A465">
        <v>2706</v>
      </c>
      <c r="B465" t="s">
        <v>6</v>
      </c>
      <c r="C465" t="s">
        <v>1900</v>
      </c>
      <c r="D465">
        <v>35</v>
      </c>
      <c r="E465">
        <v>1.3</v>
      </c>
      <c r="F465">
        <v>77</v>
      </c>
      <c r="G465">
        <v>420</v>
      </c>
      <c r="H465">
        <v>101</v>
      </c>
      <c r="I465">
        <v>659</v>
      </c>
      <c r="J465">
        <v>42.088749999999997</v>
      </c>
      <c r="K465">
        <v>-2.6087500000000001</v>
      </c>
      <c r="L465">
        <v>77</v>
      </c>
      <c r="M465">
        <v>969.33</v>
      </c>
      <c r="N465">
        <v>1.2448999999999999</v>
      </c>
      <c r="O465">
        <v>4488300</v>
      </c>
      <c r="P465">
        <v>9.4573999999999998</v>
      </c>
      <c r="Q465">
        <v>1.0207999999999999</v>
      </c>
      <c r="R465">
        <v>1262</v>
      </c>
      <c r="S465">
        <v>36.401000000000003</v>
      </c>
      <c r="T465">
        <v>631</v>
      </c>
      <c r="U465">
        <f t="shared" si="7"/>
        <v>1.0443740095087164</v>
      </c>
    </row>
    <row r="466" spans="1:21" x14ac:dyDescent="0.35">
      <c r="A466">
        <v>2707</v>
      </c>
      <c r="B466" t="s">
        <v>6</v>
      </c>
      <c r="C466" t="s">
        <v>2013</v>
      </c>
      <c r="D466">
        <v>255.4</v>
      </c>
      <c r="E466">
        <v>10</v>
      </c>
      <c r="F466">
        <v>-99</v>
      </c>
      <c r="G466">
        <v>388</v>
      </c>
      <c r="H466">
        <v>573</v>
      </c>
      <c r="I466">
        <v>7308</v>
      </c>
      <c r="J466">
        <v>42.020417000000002</v>
      </c>
      <c r="K466">
        <v>-6.4620829999999998</v>
      </c>
      <c r="L466">
        <v>29</v>
      </c>
      <c r="M466">
        <v>360</v>
      </c>
      <c r="N466">
        <v>5.7050999999999998</v>
      </c>
      <c r="O466">
        <v>19628000</v>
      </c>
      <c r="P466">
        <v>0.38268999999999997</v>
      </c>
      <c r="Q466">
        <v>13.766999999999999</v>
      </c>
      <c r="R466">
        <v>877</v>
      </c>
      <c r="S466">
        <v>2</v>
      </c>
      <c r="T466">
        <v>3596</v>
      </c>
      <c r="U466">
        <f t="shared" si="7"/>
        <v>2.032258064516129</v>
      </c>
    </row>
    <row r="467" spans="1:21" x14ac:dyDescent="0.35">
      <c r="A467">
        <v>2708</v>
      </c>
      <c r="B467" t="s">
        <v>6</v>
      </c>
      <c r="C467" t="s">
        <v>1925</v>
      </c>
      <c r="D467">
        <v>168.5</v>
      </c>
      <c r="E467">
        <v>12.3</v>
      </c>
      <c r="F467">
        <v>64</v>
      </c>
      <c r="G467">
        <v>540</v>
      </c>
      <c r="H467">
        <v>797</v>
      </c>
      <c r="I467">
        <v>9263</v>
      </c>
      <c r="J467">
        <v>41.995417000000003</v>
      </c>
      <c r="K467">
        <v>-6.2745829999999998</v>
      </c>
      <c r="L467">
        <v>64</v>
      </c>
      <c r="M467">
        <v>4427.3999999999996</v>
      </c>
      <c r="N467">
        <v>14.206</v>
      </c>
      <c r="O467">
        <v>49125000</v>
      </c>
      <c r="P467">
        <v>3.0129999999999999</v>
      </c>
      <c r="Q467">
        <v>15.76</v>
      </c>
      <c r="R467">
        <v>848</v>
      </c>
      <c r="S467">
        <v>1</v>
      </c>
      <c r="T467">
        <v>4995</v>
      </c>
      <c r="U467">
        <f t="shared" si="7"/>
        <v>1.8544544544544546</v>
      </c>
    </row>
    <row r="468" spans="1:21" x14ac:dyDescent="0.35">
      <c r="A468">
        <v>2709</v>
      </c>
      <c r="B468" t="s">
        <v>6</v>
      </c>
      <c r="C468" t="s">
        <v>1976</v>
      </c>
      <c r="D468">
        <v>35.9</v>
      </c>
      <c r="E468">
        <v>3.4</v>
      </c>
      <c r="F468">
        <v>42</v>
      </c>
      <c r="G468">
        <v>521</v>
      </c>
      <c r="H468">
        <v>1340</v>
      </c>
      <c r="I468">
        <v>14454</v>
      </c>
      <c r="J468">
        <v>41.978749999999998</v>
      </c>
      <c r="K468">
        <v>-6.1454170000000001</v>
      </c>
      <c r="L468">
        <v>42</v>
      </c>
      <c r="M468">
        <v>2099.1</v>
      </c>
      <c r="N468">
        <v>12.897</v>
      </c>
      <c r="O468">
        <v>44841000</v>
      </c>
      <c r="P468">
        <v>0.92984</v>
      </c>
      <c r="Q468">
        <v>22.533000000000001</v>
      </c>
      <c r="R468">
        <v>799</v>
      </c>
      <c r="S468">
        <v>2.2361</v>
      </c>
      <c r="T468">
        <v>8412</v>
      </c>
      <c r="U468">
        <f t="shared" si="7"/>
        <v>1.7182596291012839</v>
      </c>
    </row>
    <row r="469" spans="1:21" x14ac:dyDescent="0.35">
      <c r="A469">
        <v>2712</v>
      </c>
      <c r="B469" t="s">
        <v>6</v>
      </c>
      <c r="C469" t="s">
        <v>1979</v>
      </c>
      <c r="D469">
        <v>229</v>
      </c>
      <c r="E469">
        <v>14.3</v>
      </c>
      <c r="F469">
        <v>40</v>
      </c>
      <c r="G469">
        <v>425</v>
      </c>
      <c r="H469">
        <v>555</v>
      </c>
      <c r="I469">
        <v>3105</v>
      </c>
      <c r="J469">
        <v>41.875416999999999</v>
      </c>
      <c r="K469">
        <v>-2.7037499999999999</v>
      </c>
      <c r="L469">
        <v>40</v>
      </c>
      <c r="M469">
        <v>1049.5999999999999</v>
      </c>
      <c r="N469">
        <v>1.5681</v>
      </c>
      <c r="O469">
        <v>6274500</v>
      </c>
      <c r="P469">
        <v>2.7111000000000001</v>
      </c>
      <c r="Q469">
        <v>3.1857000000000002</v>
      </c>
      <c r="R469">
        <v>1102</v>
      </c>
      <c r="S469">
        <v>16.125</v>
      </c>
      <c r="T469">
        <v>3476</v>
      </c>
      <c r="U469">
        <f t="shared" si="7"/>
        <v>0.89326812428078251</v>
      </c>
    </row>
    <row r="470" spans="1:21" x14ac:dyDescent="0.35">
      <c r="A470">
        <v>2722</v>
      </c>
      <c r="B470" t="s">
        <v>6</v>
      </c>
      <c r="C470" t="s">
        <v>1952</v>
      </c>
      <c r="D470">
        <v>18.3</v>
      </c>
      <c r="E470">
        <v>1.1000000000000001</v>
      </c>
      <c r="F470">
        <v>54</v>
      </c>
      <c r="G470">
        <v>318</v>
      </c>
      <c r="H470">
        <v>79</v>
      </c>
      <c r="I470">
        <v>48</v>
      </c>
      <c r="J470">
        <v>41.578749999999999</v>
      </c>
      <c r="K470">
        <v>-1.7620830000000001</v>
      </c>
      <c r="L470">
        <v>54</v>
      </c>
      <c r="M470">
        <v>1094.9000000000001</v>
      </c>
      <c r="N470">
        <v>0.14108999999999999</v>
      </c>
      <c r="O470">
        <v>618340</v>
      </c>
      <c r="P470">
        <v>40.213000000000001</v>
      </c>
      <c r="Q470">
        <v>0.20766000000000001</v>
      </c>
      <c r="R470">
        <v>769</v>
      </c>
      <c r="S470">
        <v>18</v>
      </c>
      <c r="T470">
        <v>491</v>
      </c>
      <c r="U470">
        <f t="shared" si="7"/>
        <v>9.775967413441955E-2</v>
      </c>
    </row>
    <row r="471" spans="1:21" x14ac:dyDescent="0.35">
      <c r="A471">
        <v>2723</v>
      </c>
      <c r="B471" t="s">
        <v>6</v>
      </c>
      <c r="C471" t="s">
        <v>1947</v>
      </c>
      <c r="D471">
        <v>28</v>
      </c>
      <c r="E471">
        <v>2.7</v>
      </c>
      <c r="F471">
        <v>55</v>
      </c>
      <c r="G471">
        <v>136</v>
      </c>
      <c r="H471">
        <v>63168</v>
      </c>
      <c r="I471">
        <v>320640</v>
      </c>
      <c r="J471">
        <v>41.577083000000002</v>
      </c>
      <c r="K471">
        <v>-6.1854170000000002</v>
      </c>
      <c r="L471">
        <v>55</v>
      </c>
      <c r="M471">
        <v>360</v>
      </c>
      <c r="N471">
        <v>288.01</v>
      </c>
      <c r="O471">
        <v>1124600000</v>
      </c>
      <c r="P471">
        <v>4.9885999999999999</v>
      </c>
      <c r="Q471">
        <v>431.18</v>
      </c>
      <c r="R471">
        <v>698</v>
      </c>
      <c r="S471">
        <v>1</v>
      </c>
      <c r="T471">
        <v>395320</v>
      </c>
      <c r="U471">
        <f t="shared" si="7"/>
        <v>0.81108975007588791</v>
      </c>
    </row>
    <row r="472" spans="1:21" x14ac:dyDescent="0.35">
      <c r="A472">
        <v>2725</v>
      </c>
      <c r="B472" t="s">
        <v>6</v>
      </c>
      <c r="C472" t="s">
        <v>1867</v>
      </c>
      <c r="D472">
        <v>1200</v>
      </c>
      <c r="E472">
        <v>22.7</v>
      </c>
      <c r="F472">
        <v>100</v>
      </c>
      <c r="G472">
        <v>270</v>
      </c>
      <c r="H472">
        <v>15962</v>
      </c>
      <c r="I472">
        <v>135708</v>
      </c>
      <c r="J472">
        <v>41.528750000000002</v>
      </c>
      <c r="K472">
        <v>-5.9837499999999997</v>
      </c>
      <c r="L472">
        <v>100</v>
      </c>
      <c r="M472">
        <v>649</v>
      </c>
      <c r="N472">
        <v>219.67</v>
      </c>
      <c r="O472">
        <v>809820000</v>
      </c>
      <c r="P472">
        <v>0.57864000000000004</v>
      </c>
      <c r="Q472">
        <v>170.38</v>
      </c>
      <c r="R472">
        <v>640</v>
      </c>
      <c r="S472">
        <v>0.5</v>
      </c>
      <c r="T472">
        <v>100700</v>
      </c>
      <c r="U472">
        <f t="shared" si="7"/>
        <v>1.3476464746772592</v>
      </c>
    </row>
    <row r="473" spans="1:21" x14ac:dyDescent="0.35">
      <c r="A473">
        <v>2726</v>
      </c>
      <c r="B473" t="s">
        <v>6</v>
      </c>
      <c r="C473" t="s">
        <v>1988</v>
      </c>
      <c r="D473">
        <v>58.1</v>
      </c>
      <c r="E473">
        <v>3.3</v>
      </c>
      <c r="F473">
        <v>36</v>
      </c>
      <c r="G473">
        <v>112</v>
      </c>
      <c r="H473">
        <v>758</v>
      </c>
      <c r="I473">
        <v>2628</v>
      </c>
      <c r="J473">
        <v>41.526249999999997</v>
      </c>
      <c r="K473">
        <v>-3.5562499999999999</v>
      </c>
      <c r="L473">
        <v>36</v>
      </c>
      <c r="M473">
        <v>254.56</v>
      </c>
      <c r="N473">
        <v>1.9025000000000001</v>
      </c>
      <c r="O473">
        <v>7724400</v>
      </c>
      <c r="P473">
        <v>1.8351999999999999</v>
      </c>
      <c r="Q473">
        <v>4.3758999999999997</v>
      </c>
      <c r="R473">
        <v>923</v>
      </c>
      <c r="S473">
        <v>12.166</v>
      </c>
      <c r="T473">
        <v>4709</v>
      </c>
      <c r="U473">
        <f t="shared" si="7"/>
        <v>0.55808027181991926</v>
      </c>
    </row>
    <row r="474" spans="1:21" x14ac:dyDescent="0.35">
      <c r="A474">
        <v>2728</v>
      </c>
      <c r="B474" t="s">
        <v>6</v>
      </c>
      <c r="C474" t="s">
        <v>1959</v>
      </c>
      <c r="D474">
        <v>66.5</v>
      </c>
      <c r="E474">
        <v>1.7</v>
      </c>
      <c r="F474">
        <v>50</v>
      </c>
      <c r="G474">
        <v>300</v>
      </c>
      <c r="H474">
        <v>62985</v>
      </c>
      <c r="I474">
        <v>319905</v>
      </c>
      <c r="J474">
        <v>41.492916999999998</v>
      </c>
      <c r="K474">
        <v>-6.0845830000000003</v>
      </c>
      <c r="L474">
        <v>50</v>
      </c>
      <c r="M474">
        <v>402.49</v>
      </c>
      <c r="N474">
        <v>259.81</v>
      </c>
      <c r="O474">
        <v>1014800000</v>
      </c>
      <c r="P474">
        <v>0.16958999999999999</v>
      </c>
      <c r="Q474">
        <v>429.68</v>
      </c>
      <c r="R474">
        <v>589</v>
      </c>
      <c r="S474">
        <v>0.5</v>
      </c>
      <c r="T474">
        <v>394180</v>
      </c>
      <c r="U474">
        <f t="shared" si="7"/>
        <v>0.81157085595413259</v>
      </c>
    </row>
    <row r="475" spans="1:21" x14ac:dyDescent="0.35">
      <c r="A475">
        <v>2729</v>
      </c>
      <c r="B475" t="s">
        <v>6</v>
      </c>
      <c r="C475" t="s">
        <v>2012</v>
      </c>
      <c r="D475">
        <v>9.6999999999999993</v>
      </c>
      <c r="E475">
        <v>1.2</v>
      </c>
      <c r="F475">
        <v>12</v>
      </c>
      <c r="G475">
        <v>471</v>
      </c>
      <c r="H475">
        <v>36</v>
      </c>
      <c r="I475">
        <v>86</v>
      </c>
      <c r="J475">
        <v>41.389583000000002</v>
      </c>
      <c r="K475">
        <v>-2.1920829999999998</v>
      </c>
      <c r="L475">
        <v>12</v>
      </c>
      <c r="M475">
        <v>360</v>
      </c>
      <c r="N475">
        <v>1.2786E-2</v>
      </c>
      <c r="O475">
        <v>54803</v>
      </c>
      <c r="P475">
        <v>58.234000000000002</v>
      </c>
      <c r="Q475">
        <v>8.2021999999999998E-2</v>
      </c>
      <c r="R475">
        <v>814</v>
      </c>
      <c r="S475">
        <v>3</v>
      </c>
      <c r="T475">
        <v>225</v>
      </c>
      <c r="U475">
        <f t="shared" si="7"/>
        <v>0.38222222222222224</v>
      </c>
    </row>
    <row r="476" spans="1:21" x14ac:dyDescent="0.35">
      <c r="A476">
        <v>2731</v>
      </c>
      <c r="B476" t="s">
        <v>6</v>
      </c>
      <c r="C476" t="s">
        <v>1972</v>
      </c>
      <c r="D476">
        <v>14.5</v>
      </c>
      <c r="E476">
        <v>0.4</v>
      </c>
      <c r="F476">
        <v>44</v>
      </c>
      <c r="G476">
        <v>114</v>
      </c>
      <c r="H476">
        <v>830</v>
      </c>
      <c r="I476">
        <v>2618</v>
      </c>
      <c r="J476">
        <v>41.337083</v>
      </c>
      <c r="K476">
        <v>-3.882917</v>
      </c>
      <c r="L476">
        <v>44</v>
      </c>
      <c r="M476">
        <v>402.49</v>
      </c>
      <c r="N476">
        <v>2.9809000000000001</v>
      </c>
      <c r="O476">
        <v>11741000</v>
      </c>
      <c r="P476">
        <v>1.6472</v>
      </c>
      <c r="Q476">
        <v>5.4673999999999996</v>
      </c>
      <c r="R476">
        <v>917</v>
      </c>
      <c r="S476">
        <v>8.4853000000000005</v>
      </c>
      <c r="T476">
        <v>5144</v>
      </c>
      <c r="U476">
        <f t="shared" si="7"/>
        <v>0.50894245723172626</v>
      </c>
    </row>
    <row r="477" spans="1:21" x14ac:dyDescent="0.35">
      <c r="A477">
        <v>2733</v>
      </c>
      <c r="B477" t="s">
        <v>6</v>
      </c>
      <c r="C477" t="s">
        <v>931</v>
      </c>
      <c r="D477">
        <v>2648.6</v>
      </c>
      <c r="E477">
        <v>37</v>
      </c>
      <c r="F477">
        <v>202</v>
      </c>
      <c r="G477">
        <v>567</v>
      </c>
      <c r="H477">
        <v>6944</v>
      </c>
      <c r="I477">
        <v>29983</v>
      </c>
      <c r="J477">
        <v>41.274583</v>
      </c>
      <c r="K477">
        <v>-6.3237500000000004</v>
      </c>
      <c r="L477">
        <v>202</v>
      </c>
      <c r="M477">
        <v>9178.2000000000007</v>
      </c>
      <c r="N477">
        <v>160.35</v>
      </c>
      <c r="O477">
        <v>563840000</v>
      </c>
      <c r="P477">
        <v>6.8220000000000001</v>
      </c>
      <c r="Q477">
        <v>56.912999999999997</v>
      </c>
      <c r="R477">
        <v>677</v>
      </c>
      <c r="S477">
        <v>2.8283999999999998</v>
      </c>
      <c r="T477">
        <v>42745</v>
      </c>
      <c r="U477">
        <f t="shared" si="7"/>
        <v>0.70143876476780909</v>
      </c>
    </row>
    <row r="478" spans="1:21" x14ac:dyDescent="0.35">
      <c r="A478">
        <v>2734</v>
      </c>
      <c r="B478" t="s">
        <v>6</v>
      </c>
      <c r="C478" t="s">
        <v>1892</v>
      </c>
      <c r="D478">
        <v>83.7</v>
      </c>
      <c r="E478">
        <v>4.0999999999999996</v>
      </c>
      <c r="F478">
        <v>81</v>
      </c>
      <c r="G478">
        <v>225</v>
      </c>
      <c r="H478">
        <v>1468</v>
      </c>
      <c r="I478">
        <v>2854</v>
      </c>
      <c r="J478">
        <v>41.262917000000002</v>
      </c>
      <c r="K478">
        <v>-1.7995829999999999</v>
      </c>
      <c r="L478">
        <v>81</v>
      </c>
      <c r="M478">
        <v>1310.4000000000001</v>
      </c>
      <c r="N478">
        <v>5.3038999999999996</v>
      </c>
      <c r="O478">
        <v>21113000</v>
      </c>
      <c r="P478">
        <v>2.9415</v>
      </c>
      <c r="Q478">
        <v>4.5206999999999997</v>
      </c>
      <c r="R478">
        <v>684</v>
      </c>
      <c r="S478">
        <v>3</v>
      </c>
      <c r="T478">
        <v>9063</v>
      </c>
      <c r="U478">
        <f t="shared" si="7"/>
        <v>0.31490676376475779</v>
      </c>
    </row>
    <row r="479" spans="1:21" x14ac:dyDescent="0.35">
      <c r="A479">
        <v>2735</v>
      </c>
      <c r="B479" t="s">
        <v>6</v>
      </c>
      <c r="C479" t="s">
        <v>1854</v>
      </c>
      <c r="D479">
        <v>114.8</v>
      </c>
      <c r="E479">
        <v>2.2000000000000002</v>
      </c>
      <c r="F479">
        <v>140</v>
      </c>
      <c r="G479">
        <v>250</v>
      </c>
      <c r="H479">
        <v>71834</v>
      </c>
      <c r="I479">
        <v>360573</v>
      </c>
      <c r="J479">
        <v>41.214582999999998</v>
      </c>
      <c r="K479">
        <v>-6.6837499999999999</v>
      </c>
      <c r="L479">
        <v>140</v>
      </c>
      <c r="M479">
        <v>509.12</v>
      </c>
      <c r="N479">
        <v>884.19</v>
      </c>
      <c r="O479">
        <v>3404100000</v>
      </c>
      <c r="P479">
        <v>3.9843999999999997E-2</v>
      </c>
      <c r="Q479">
        <v>502.02</v>
      </c>
      <c r="R479">
        <v>415</v>
      </c>
      <c r="S479">
        <v>0.5</v>
      </c>
      <c r="T479">
        <v>448750</v>
      </c>
      <c r="U479">
        <f t="shared" si="7"/>
        <v>0.80350529247910862</v>
      </c>
    </row>
    <row r="480" spans="1:21" x14ac:dyDescent="0.35">
      <c r="A480">
        <v>2743</v>
      </c>
      <c r="B480" t="s">
        <v>6</v>
      </c>
      <c r="C480" t="s">
        <v>1981</v>
      </c>
      <c r="D480">
        <v>31.4</v>
      </c>
      <c r="E480">
        <v>1.6</v>
      </c>
      <c r="F480">
        <v>40</v>
      </c>
      <c r="G480">
        <v>128</v>
      </c>
      <c r="H480">
        <v>282</v>
      </c>
      <c r="I480">
        <v>1021</v>
      </c>
      <c r="J480">
        <v>41.053750000000001</v>
      </c>
      <c r="K480">
        <v>-2.9387500000000002</v>
      </c>
      <c r="L480">
        <v>40</v>
      </c>
      <c r="M480">
        <v>360</v>
      </c>
      <c r="N480">
        <v>0.53388999999999998</v>
      </c>
      <c r="O480">
        <v>2220700</v>
      </c>
      <c r="P480">
        <v>2.5301999999999998</v>
      </c>
      <c r="Q480">
        <v>0.96779999999999999</v>
      </c>
      <c r="R480">
        <v>893</v>
      </c>
      <c r="S480">
        <v>6</v>
      </c>
      <c r="T480">
        <v>1747</v>
      </c>
      <c r="U480">
        <f t="shared" si="7"/>
        <v>0.58443045220377787</v>
      </c>
    </row>
    <row r="481" spans="1:21" x14ac:dyDescent="0.35">
      <c r="A481">
        <v>2744</v>
      </c>
      <c r="B481" t="s">
        <v>6</v>
      </c>
      <c r="C481" t="s">
        <v>1889</v>
      </c>
      <c r="D481">
        <v>181.5</v>
      </c>
      <c r="E481">
        <v>5.0999999999999996</v>
      </c>
      <c r="F481">
        <v>83</v>
      </c>
      <c r="G481">
        <v>178</v>
      </c>
      <c r="H481">
        <v>72077</v>
      </c>
      <c r="I481">
        <v>362609</v>
      </c>
      <c r="J481">
        <v>41.049582999999998</v>
      </c>
      <c r="K481">
        <v>-6.8020829999999997</v>
      </c>
      <c r="L481">
        <v>83</v>
      </c>
      <c r="M481">
        <v>509.12</v>
      </c>
      <c r="N481">
        <v>518.99</v>
      </c>
      <c r="O481">
        <v>1998000000</v>
      </c>
      <c r="P481">
        <v>3.6450000000000003E-2</v>
      </c>
      <c r="Q481">
        <v>504.11</v>
      </c>
      <c r="R481">
        <v>210</v>
      </c>
      <c r="S481">
        <v>0.5</v>
      </c>
      <c r="T481">
        <v>450250</v>
      </c>
      <c r="U481">
        <f t="shared" si="7"/>
        <v>0.80535036091060519</v>
      </c>
    </row>
    <row r="482" spans="1:21" x14ac:dyDescent="0.35">
      <c r="A482">
        <v>2745</v>
      </c>
      <c r="B482" t="s">
        <v>6</v>
      </c>
      <c r="C482" t="s">
        <v>1906</v>
      </c>
      <c r="D482">
        <v>180</v>
      </c>
      <c r="E482">
        <v>2.9</v>
      </c>
      <c r="F482">
        <v>73</v>
      </c>
      <c r="G482">
        <v>250</v>
      </c>
      <c r="H482">
        <v>365</v>
      </c>
      <c r="I482">
        <v>1302</v>
      </c>
      <c r="J482">
        <v>41.012082999999997</v>
      </c>
      <c r="K482">
        <v>-3.0245829999999998</v>
      </c>
      <c r="L482">
        <v>73</v>
      </c>
      <c r="M482">
        <v>720</v>
      </c>
      <c r="N482">
        <v>1.6748000000000001</v>
      </c>
      <c r="O482">
        <v>6875600</v>
      </c>
      <c r="P482">
        <v>4.1060999999999996</v>
      </c>
      <c r="Q482">
        <v>1.8604000000000001</v>
      </c>
      <c r="R482">
        <v>884</v>
      </c>
      <c r="S482">
        <v>3</v>
      </c>
      <c r="T482">
        <v>2260</v>
      </c>
      <c r="U482">
        <f t="shared" si="7"/>
        <v>0.57610619469026547</v>
      </c>
    </row>
    <row r="483" spans="1:21" x14ac:dyDescent="0.35">
      <c r="A483">
        <v>2746</v>
      </c>
      <c r="B483" t="s">
        <v>6</v>
      </c>
      <c r="C483" t="s">
        <v>1912</v>
      </c>
      <c r="D483">
        <v>55.7</v>
      </c>
      <c r="E483">
        <v>1.3</v>
      </c>
      <c r="F483">
        <v>69</v>
      </c>
      <c r="G483">
        <v>178</v>
      </c>
      <c r="H483">
        <v>376</v>
      </c>
      <c r="I483">
        <v>1316</v>
      </c>
      <c r="J483">
        <v>41.007916999999999</v>
      </c>
      <c r="K483">
        <v>-3.2995830000000002</v>
      </c>
      <c r="L483">
        <v>69</v>
      </c>
      <c r="M483">
        <v>1272.8</v>
      </c>
      <c r="N483">
        <v>1.6910000000000001</v>
      </c>
      <c r="O483">
        <v>6958700</v>
      </c>
      <c r="P483">
        <v>6.4222999999999999</v>
      </c>
      <c r="Q483">
        <v>2.0287000000000002</v>
      </c>
      <c r="R483">
        <v>928</v>
      </c>
      <c r="S483">
        <v>24.413</v>
      </c>
      <c r="T483">
        <v>2322</v>
      </c>
      <c r="U483">
        <f t="shared" si="7"/>
        <v>0.5667527993109388</v>
      </c>
    </row>
    <row r="484" spans="1:21" x14ac:dyDescent="0.35">
      <c r="A484">
        <v>2747</v>
      </c>
      <c r="B484" t="s">
        <v>6</v>
      </c>
      <c r="C484" t="s">
        <v>1921</v>
      </c>
      <c r="D484">
        <v>49.2</v>
      </c>
      <c r="E484">
        <v>1.7</v>
      </c>
      <c r="F484">
        <v>66</v>
      </c>
      <c r="G484">
        <v>324</v>
      </c>
      <c r="H484">
        <v>664</v>
      </c>
      <c r="I484">
        <v>2329</v>
      </c>
      <c r="J484">
        <v>40.994582999999999</v>
      </c>
      <c r="K484">
        <v>-3.5729169999999999</v>
      </c>
      <c r="L484">
        <v>66</v>
      </c>
      <c r="M484">
        <v>1980</v>
      </c>
      <c r="N484">
        <v>4.6494</v>
      </c>
      <c r="O484">
        <v>16694000</v>
      </c>
      <c r="P484">
        <v>6.3478000000000003</v>
      </c>
      <c r="Q484">
        <v>4.9801000000000002</v>
      </c>
      <c r="R484">
        <v>957</v>
      </c>
      <c r="S484">
        <v>2.2361</v>
      </c>
      <c r="T484">
        <v>4098</v>
      </c>
      <c r="U484">
        <f t="shared" si="7"/>
        <v>0.56832601268911664</v>
      </c>
    </row>
    <row r="485" spans="1:21" x14ac:dyDescent="0.35">
      <c r="A485">
        <v>2749</v>
      </c>
      <c r="B485" t="s">
        <v>6</v>
      </c>
      <c r="C485" t="s">
        <v>1946</v>
      </c>
      <c r="D485">
        <v>48.5</v>
      </c>
      <c r="E485">
        <v>2.4</v>
      </c>
      <c r="F485">
        <v>56</v>
      </c>
      <c r="G485">
        <v>1060</v>
      </c>
      <c r="H485">
        <v>395</v>
      </c>
      <c r="I485">
        <v>1401</v>
      </c>
      <c r="J485">
        <v>40.984583000000001</v>
      </c>
      <c r="K485">
        <v>-3.6495829999999998</v>
      </c>
      <c r="L485">
        <v>56</v>
      </c>
      <c r="M485">
        <v>2340</v>
      </c>
      <c r="N485">
        <v>2.6629999999999998</v>
      </c>
      <c r="O485">
        <v>9193900</v>
      </c>
      <c r="P485">
        <v>6.7130999999999998</v>
      </c>
      <c r="Q485">
        <v>3.18</v>
      </c>
      <c r="R485">
        <v>1010</v>
      </c>
      <c r="S485">
        <v>6</v>
      </c>
      <c r="T485">
        <v>2433</v>
      </c>
      <c r="U485">
        <f t="shared" si="7"/>
        <v>0.57583230579531441</v>
      </c>
    </row>
    <row r="486" spans="1:21" x14ac:dyDescent="0.35">
      <c r="A486">
        <v>2750</v>
      </c>
      <c r="B486" t="s">
        <v>6</v>
      </c>
      <c r="C486" t="s">
        <v>1923</v>
      </c>
      <c r="D486">
        <v>26.3</v>
      </c>
      <c r="E486">
        <v>0.9</v>
      </c>
      <c r="F486">
        <v>65</v>
      </c>
      <c r="G486">
        <v>113</v>
      </c>
      <c r="H486">
        <v>663</v>
      </c>
      <c r="I486">
        <v>119</v>
      </c>
      <c r="J486">
        <v>40.983750000000001</v>
      </c>
      <c r="K486">
        <v>-0.69541699999999995</v>
      </c>
      <c r="L486">
        <v>65</v>
      </c>
      <c r="M486">
        <v>742.16</v>
      </c>
      <c r="N486">
        <v>1.6497999999999999</v>
      </c>
      <c r="O486">
        <v>7264200</v>
      </c>
      <c r="P486">
        <v>3.3102</v>
      </c>
      <c r="Q486">
        <v>1.9140999999999999</v>
      </c>
      <c r="R486">
        <v>577</v>
      </c>
      <c r="S486">
        <v>7.0711000000000004</v>
      </c>
      <c r="T486">
        <v>4078</v>
      </c>
      <c r="U486">
        <f t="shared" si="7"/>
        <v>2.918097106424718E-2</v>
      </c>
    </row>
    <row r="487" spans="1:21" x14ac:dyDescent="0.35">
      <c r="A487">
        <v>2751</v>
      </c>
      <c r="B487" t="s">
        <v>6</v>
      </c>
      <c r="C487" t="s">
        <v>1961</v>
      </c>
      <c r="D487">
        <v>22.5</v>
      </c>
      <c r="E487">
        <v>0.9</v>
      </c>
      <c r="F487">
        <v>50</v>
      </c>
      <c r="G487">
        <v>107</v>
      </c>
      <c r="H487">
        <v>714</v>
      </c>
      <c r="I487">
        <v>2506</v>
      </c>
      <c r="J487">
        <v>40.949582999999997</v>
      </c>
      <c r="K487">
        <v>-3.5629170000000001</v>
      </c>
      <c r="L487">
        <v>50</v>
      </c>
      <c r="M487">
        <v>1440</v>
      </c>
      <c r="N487">
        <v>3.7879</v>
      </c>
      <c r="O487">
        <v>13589000</v>
      </c>
      <c r="P487">
        <v>2.8605</v>
      </c>
      <c r="Q487">
        <v>5.3632</v>
      </c>
      <c r="R487">
        <v>931</v>
      </c>
      <c r="S487">
        <v>3</v>
      </c>
      <c r="T487">
        <v>4406</v>
      </c>
      <c r="U487">
        <f t="shared" si="7"/>
        <v>0.56876985928279622</v>
      </c>
    </row>
    <row r="488" spans="1:21" x14ac:dyDescent="0.35">
      <c r="A488">
        <v>2752</v>
      </c>
      <c r="B488" t="s">
        <v>6</v>
      </c>
      <c r="C488" t="s">
        <v>1999</v>
      </c>
      <c r="D488">
        <v>37.5</v>
      </c>
      <c r="E488">
        <v>3.7</v>
      </c>
      <c r="F488">
        <v>33</v>
      </c>
      <c r="G488">
        <v>295</v>
      </c>
      <c r="H488">
        <v>226</v>
      </c>
      <c r="I488">
        <v>794</v>
      </c>
      <c r="J488">
        <v>40.945416999999999</v>
      </c>
      <c r="K488">
        <v>-3.7787500000000001</v>
      </c>
      <c r="L488">
        <v>33</v>
      </c>
      <c r="M488">
        <v>1094.9000000000001</v>
      </c>
      <c r="N488">
        <v>0.98446</v>
      </c>
      <c r="O488">
        <v>3390200</v>
      </c>
      <c r="P488">
        <v>8.6782000000000004</v>
      </c>
      <c r="Q488">
        <v>1.9938</v>
      </c>
      <c r="R488">
        <v>1100</v>
      </c>
      <c r="S488">
        <v>4</v>
      </c>
      <c r="T488">
        <v>1518</v>
      </c>
      <c r="U488">
        <f t="shared" si="7"/>
        <v>0.52305665349143615</v>
      </c>
    </row>
    <row r="489" spans="1:21" x14ac:dyDescent="0.35">
      <c r="A489">
        <v>2753</v>
      </c>
      <c r="B489" t="s">
        <v>6</v>
      </c>
      <c r="C489" t="s">
        <v>1945</v>
      </c>
      <c r="D489">
        <v>50.5</v>
      </c>
      <c r="E489">
        <v>1.7</v>
      </c>
      <c r="F489">
        <v>57</v>
      </c>
      <c r="G489">
        <v>530</v>
      </c>
      <c r="H489">
        <v>464</v>
      </c>
      <c r="I489">
        <v>1653</v>
      </c>
      <c r="J489">
        <v>40.937083000000001</v>
      </c>
      <c r="K489">
        <v>-3.1995830000000001</v>
      </c>
      <c r="L489">
        <v>57</v>
      </c>
      <c r="M489">
        <v>1094.9000000000001</v>
      </c>
      <c r="N489">
        <v>1.6560999999999999</v>
      </c>
      <c r="O489">
        <v>6797400</v>
      </c>
      <c r="P489">
        <v>4.0980999999999996</v>
      </c>
      <c r="Q489">
        <v>2.3843000000000001</v>
      </c>
      <c r="R489">
        <v>849</v>
      </c>
      <c r="S489">
        <v>11.18</v>
      </c>
      <c r="T489">
        <v>2871</v>
      </c>
      <c r="U489">
        <f t="shared" si="7"/>
        <v>0.5757575757575758</v>
      </c>
    </row>
    <row r="490" spans="1:21" x14ac:dyDescent="0.35">
      <c r="A490">
        <v>2754</v>
      </c>
      <c r="B490" t="s">
        <v>6</v>
      </c>
      <c r="C490" t="s">
        <v>1928</v>
      </c>
      <c r="D490">
        <v>54.8</v>
      </c>
      <c r="E490">
        <v>0.8</v>
      </c>
      <c r="F490">
        <v>63</v>
      </c>
      <c r="G490">
        <v>293</v>
      </c>
      <c r="H490">
        <v>2653</v>
      </c>
      <c r="I490">
        <v>561</v>
      </c>
      <c r="J490">
        <v>40.914583</v>
      </c>
      <c r="K490">
        <v>-0.21208299999999999</v>
      </c>
      <c r="L490">
        <v>63</v>
      </c>
      <c r="M490">
        <v>804.98</v>
      </c>
      <c r="N490">
        <v>5.8571999999999997</v>
      </c>
      <c r="O490">
        <v>27113000</v>
      </c>
      <c r="P490">
        <v>0.98224999999999996</v>
      </c>
      <c r="Q490">
        <v>8.2794000000000008</v>
      </c>
      <c r="R490">
        <v>419</v>
      </c>
      <c r="S490">
        <v>3.1623000000000001</v>
      </c>
      <c r="T490">
        <v>16287</v>
      </c>
      <c r="U490">
        <f t="shared" si="7"/>
        <v>3.4444649106649475E-2</v>
      </c>
    </row>
    <row r="491" spans="1:21" x14ac:dyDescent="0.35">
      <c r="A491">
        <v>2755</v>
      </c>
      <c r="B491" t="s">
        <v>6</v>
      </c>
      <c r="C491" t="s">
        <v>1857</v>
      </c>
      <c r="D491">
        <v>426</v>
      </c>
      <c r="E491">
        <v>6.1</v>
      </c>
      <c r="F491">
        <v>134</v>
      </c>
      <c r="G491">
        <v>484</v>
      </c>
      <c r="H491">
        <v>913</v>
      </c>
      <c r="I491">
        <v>3207</v>
      </c>
      <c r="J491">
        <v>40.912917</v>
      </c>
      <c r="K491">
        <v>-3.474583</v>
      </c>
      <c r="L491">
        <v>134</v>
      </c>
      <c r="M491">
        <v>1138.4000000000001</v>
      </c>
      <c r="N491">
        <v>12.679</v>
      </c>
      <c r="O491">
        <v>45523000</v>
      </c>
      <c r="P491">
        <v>4.3878000000000004</v>
      </c>
      <c r="Q491">
        <v>6.6494</v>
      </c>
      <c r="R491">
        <v>888</v>
      </c>
      <c r="S491">
        <v>7</v>
      </c>
      <c r="T491">
        <v>5631</v>
      </c>
      <c r="U491">
        <f t="shared" si="7"/>
        <v>0.56952583910495469</v>
      </c>
    </row>
    <row r="492" spans="1:21" x14ac:dyDescent="0.35">
      <c r="A492">
        <v>2756</v>
      </c>
      <c r="B492" t="s">
        <v>6</v>
      </c>
      <c r="C492" t="s">
        <v>1932</v>
      </c>
      <c r="D492">
        <v>68</v>
      </c>
      <c r="E492">
        <v>2.2000000000000002</v>
      </c>
      <c r="F492">
        <v>62</v>
      </c>
      <c r="G492">
        <v>220</v>
      </c>
      <c r="H492">
        <v>555</v>
      </c>
      <c r="I492">
        <v>1745</v>
      </c>
      <c r="J492">
        <v>40.841250000000002</v>
      </c>
      <c r="K492">
        <v>-2.6204170000000002</v>
      </c>
      <c r="L492">
        <v>62</v>
      </c>
      <c r="M492">
        <v>509.12</v>
      </c>
      <c r="N492">
        <v>1.7825</v>
      </c>
      <c r="O492">
        <v>7556700</v>
      </c>
      <c r="P492">
        <v>2.5377000000000001</v>
      </c>
      <c r="Q492">
        <v>2.4102000000000001</v>
      </c>
      <c r="R492">
        <v>1058</v>
      </c>
      <c r="S492">
        <v>12.042</v>
      </c>
      <c r="T492">
        <v>3424</v>
      </c>
      <c r="U492">
        <f t="shared" si="7"/>
        <v>0.50963785046728971</v>
      </c>
    </row>
    <row r="493" spans="1:21" x14ac:dyDescent="0.35">
      <c r="A493">
        <v>2757</v>
      </c>
      <c r="B493" t="s">
        <v>6</v>
      </c>
      <c r="C493" t="s">
        <v>1956</v>
      </c>
      <c r="D493">
        <v>52.5</v>
      </c>
      <c r="E493">
        <v>2.4</v>
      </c>
      <c r="F493">
        <v>51</v>
      </c>
      <c r="G493">
        <v>138</v>
      </c>
      <c r="H493">
        <v>1224</v>
      </c>
      <c r="I493">
        <v>470</v>
      </c>
      <c r="J493">
        <v>40.769582999999997</v>
      </c>
      <c r="K493">
        <v>-0.31958300000000001</v>
      </c>
      <c r="L493">
        <v>51</v>
      </c>
      <c r="M493">
        <v>402.49</v>
      </c>
      <c r="N493">
        <v>2.2267999999999999</v>
      </c>
      <c r="O493">
        <v>10147000</v>
      </c>
      <c r="P493">
        <v>0.97080999999999995</v>
      </c>
      <c r="Q493">
        <v>3.5341999999999998</v>
      </c>
      <c r="R493">
        <v>617</v>
      </c>
      <c r="S493">
        <v>13.928000000000001</v>
      </c>
      <c r="T493">
        <v>7516</v>
      </c>
      <c r="U493">
        <f t="shared" si="7"/>
        <v>6.2533262373602974E-2</v>
      </c>
    </row>
    <row r="494" spans="1:21" x14ac:dyDescent="0.35">
      <c r="A494">
        <v>2758</v>
      </c>
      <c r="B494" t="s">
        <v>6</v>
      </c>
      <c r="C494" t="s">
        <v>1955</v>
      </c>
      <c r="D494">
        <v>41.2</v>
      </c>
      <c r="E494">
        <v>3.6</v>
      </c>
      <c r="F494">
        <v>53</v>
      </c>
      <c r="G494">
        <v>218</v>
      </c>
      <c r="H494">
        <v>221</v>
      </c>
      <c r="I494">
        <v>811</v>
      </c>
      <c r="J494">
        <v>40.757916999999999</v>
      </c>
      <c r="K494">
        <v>-3.6245829999999999</v>
      </c>
      <c r="L494">
        <v>53</v>
      </c>
      <c r="M494">
        <v>2305.1</v>
      </c>
      <c r="N494">
        <v>1.4251</v>
      </c>
      <c r="O494">
        <v>4903700</v>
      </c>
      <c r="P494">
        <v>18.739000000000001</v>
      </c>
      <c r="Q494">
        <v>1.7876000000000001</v>
      </c>
      <c r="R494">
        <v>806</v>
      </c>
      <c r="S494">
        <v>4</v>
      </c>
      <c r="T494">
        <v>1359</v>
      </c>
      <c r="U494">
        <f t="shared" si="7"/>
        <v>0.59676232523914641</v>
      </c>
    </row>
    <row r="495" spans="1:21" x14ac:dyDescent="0.35">
      <c r="A495">
        <v>2759</v>
      </c>
      <c r="B495" t="s">
        <v>6</v>
      </c>
      <c r="C495" t="s">
        <v>1916</v>
      </c>
      <c r="D495">
        <v>58.6</v>
      </c>
      <c r="E495">
        <v>1.6</v>
      </c>
      <c r="F495">
        <v>67</v>
      </c>
      <c r="G495">
        <v>299</v>
      </c>
      <c r="H495">
        <v>849</v>
      </c>
      <c r="I495">
        <v>2949</v>
      </c>
      <c r="J495">
        <v>40.724583000000003</v>
      </c>
      <c r="K495">
        <v>-4.6995829999999996</v>
      </c>
      <c r="L495">
        <v>67</v>
      </c>
      <c r="M495">
        <v>804.98</v>
      </c>
      <c r="N495">
        <v>3.8483999999999998</v>
      </c>
      <c r="O495">
        <v>14841000</v>
      </c>
      <c r="P495">
        <v>13.396000000000001</v>
      </c>
      <c r="Q495">
        <v>4.3998999999999997</v>
      </c>
      <c r="R495">
        <v>1033</v>
      </c>
      <c r="S495">
        <v>9.2195</v>
      </c>
      <c r="T495">
        <v>5206</v>
      </c>
      <c r="U495">
        <f t="shared" si="7"/>
        <v>0.56646177487514404</v>
      </c>
    </row>
    <row r="496" spans="1:21" x14ac:dyDescent="0.35">
      <c r="A496">
        <v>2760</v>
      </c>
      <c r="B496" t="s">
        <v>6</v>
      </c>
      <c r="C496" t="s">
        <v>2016</v>
      </c>
      <c r="D496">
        <v>11</v>
      </c>
      <c r="E496">
        <v>0.5</v>
      </c>
      <c r="F496">
        <v>-99</v>
      </c>
      <c r="G496">
        <v>-99</v>
      </c>
      <c r="H496">
        <v>21</v>
      </c>
      <c r="I496">
        <v>69</v>
      </c>
      <c r="J496">
        <v>40.716250000000002</v>
      </c>
      <c r="K496">
        <v>-4.007917</v>
      </c>
      <c r="L496">
        <v>8</v>
      </c>
      <c r="M496">
        <v>720</v>
      </c>
      <c r="N496">
        <v>2.0556000000000001E-2</v>
      </c>
      <c r="O496">
        <v>71023</v>
      </c>
      <c r="P496">
        <v>67.432000000000002</v>
      </c>
      <c r="Q496">
        <v>0.16900999999999999</v>
      </c>
      <c r="R496">
        <v>1144</v>
      </c>
      <c r="S496">
        <v>1.4141999999999999</v>
      </c>
      <c r="T496">
        <v>124</v>
      </c>
      <c r="U496">
        <f t="shared" si="7"/>
        <v>0.55645161290322576</v>
      </c>
    </row>
    <row r="497" spans="1:21" x14ac:dyDescent="0.35">
      <c r="A497">
        <v>2761</v>
      </c>
      <c r="B497" t="s">
        <v>6</v>
      </c>
      <c r="C497" t="s">
        <v>1980</v>
      </c>
      <c r="D497">
        <v>91.1</v>
      </c>
      <c r="E497">
        <v>6.8</v>
      </c>
      <c r="F497">
        <v>40</v>
      </c>
      <c r="G497">
        <v>1355</v>
      </c>
      <c r="H497">
        <v>241</v>
      </c>
      <c r="I497">
        <v>854</v>
      </c>
      <c r="J497">
        <v>40.707917000000002</v>
      </c>
      <c r="K497">
        <v>-3.8187500000000001</v>
      </c>
      <c r="L497">
        <v>40</v>
      </c>
      <c r="M497">
        <v>1835.6</v>
      </c>
      <c r="N497">
        <v>1.1792</v>
      </c>
      <c r="O497">
        <v>4059500</v>
      </c>
      <c r="P497">
        <v>19.63</v>
      </c>
      <c r="Q497">
        <v>1.9601999999999999</v>
      </c>
      <c r="R497">
        <v>866</v>
      </c>
      <c r="S497">
        <v>10.44</v>
      </c>
      <c r="T497">
        <v>1485</v>
      </c>
      <c r="U497">
        <f t="shared" si="7"/>
        <v>0.57508417508417509</v>
      </c>
    </row>
    <row r="498" spans="1:21" x14ac:dyDescent="0.35">
      <c r="A498">
        <v>2762</v>
      </c>
      <c r="B498" t="s">
        <v>6</v>
      </c>
      <c r="C498" t="s">
        <v>1939</v>
      </c>
      <c r="D498">
        <v>560</v>
      </c>
      <c r="E498">
        <v>17.399999999999999</v>
      </c>
      <c r="F498">
        <v>59</v>
      </c>
      <c r="G498">
        <v>504</v>
      </c>
      <c r="H498">
        <v>1830</v>
      </c>
      <c r="I498">
        <v>11106</v>
      </c>
      <c r="J498">
        <v>40.666249999999998</v>
      </c>
      <c r="K498">
        <v>-5.599583</v>
      </c>
      <c r="L498">
        <v>59</v>
      </c>
      <c r="M498">
        <v>1440</v>
      </c>
      <c r="N498">
        <v>26.611000000000001</v>
      </c>
      <c r="O498">
        <v>87309000</v>
      </c>
      <c r="P498">
        <v>0.51627999999999996</v>
      </c>
      <c r="Q498">
        <v>28.050999999999998</v>
      </c>
      <c r="R498">
        <v>875</v>
      </c>
      <c r="S498">
        <v>2</v>
      </c>
      <c r="T498">
        <v>11199</v>
      </c>
      <c r="U498">
        <f t="shared" si="7"/>
        <v>0.99169568711492095</v>
      </c>
    </row>
    <row r="499" spans="1:21" x14ac:dyDescent="0.35">
      <c r="A499">
        <v>2763</v>
      </c>
      <c r="B499" t="s">
        <v>6</v>
      </c>
      <c r="C499" t="s">
        <v>2015</v>
      </c>
      <c r="D499">
        <v>23.7</v>
      </c>
      <c r="E499">
        <v>0.5</v>
      </c>
      <c r="F499">
        <v>-99</v>
      </c>
      <c r="G499">
        <v>-99</v>
      </c>
      <c r="H499">
        <v>44</v>
      </c>
      <c r="I499">
        <v>130</v>
      </c>
      <c r="J499">
        <v>40.616250000000001</v>
      </c>
      <c r="K499">
        <v>-4.224583</v>
      </c>
      <c r="L499">
        <v>29</v>
      </c>
      <c r="M499">
        <v>254.56</v>
      </c>
      <c r="N499">
        <v>0.16927</v>
      </c>
      <c r="O499">
        <v>587360</v>
      </c>
      <c r="P499">
        <v>7.2643000000000004</v>
      </c>
      <c r="Q499">
        <v>0.37081999999999998</v>
      </c>
      <c r="R499">
        <v>1301</v>
      </c>
      <c r="S499">
        <v>11.705</v>
      </c>
      <c r="T499">
        <v>261</v>
      </c>
      <c r="U499">
        <f t="shared" si="7"/>
        <v>0.49808429118773945</v>
      </c>
    </row>
    <row r="500" spans="1:21" x14ac:dyDescent="0.35">
      <c r="A500">
        <v>2764</v>
      </c>
      <c r="B500" t="s">
        <v>6</v>
      </c>
      <c r="C500" t="s">
        <v>1992</v>
      </c>
      <c r="D500">
        <v>45</v>
      </c>
      <c r="E500">
        <v>2.7</v>
      </c>
      <c r="F500">
        <v>35</v>
      </c>
      <c r="G500">
        <v>830</v>
      </c>
      <c r="H500">
        <v>525</v>
      </c>
      <c r="I500">
        <v>1826</v>
      </c>
      <c r="J500">
        <v>40.541249999999998</v>
      </c>
      <c r="K500">
        <v>-3.7912499999999998</v>
      </c>
      <c r="L500">
        <v>35</v>
      </c>
      <c r="M500">
        <v>1451.2</v>
      </c>
      <c r="N500">
        <v>2.2214</v>
      </c>
      <c r="O500">
        <v>7645400</v>
      </c>
      <c r="P500">
        <v>2.2549000000000001</v>
      </c>
      <c r="Q500">
        <v>4.2436999999999996</v>
      </c>
      <c r="R500">
        <v>619</v>
      </c>
      <c r="S500">
        <v>5.0990000000000002</v>
      </c>
      <c r="T500">
        <v>3221</v>
      </c>
      <c r="U500">
        <f t="shared" si="7"/>
        <v>0.56690468798509774</v>
      </c>
    </row>
    <row r="501" spans="1:21" x14ac:dyDescent="0.35">
      <c r="A501">
        <v>2765</v>
      </c>
      <c r="B501" t="s">
        <v>6</v>
      </c>
      <c r="C501" t="s">
        <v>1938</v>
      </c>
      <c r="D501">
        <v>124</v>
      </c>
      <c r="E501">
        <v>6.3</v>
      </c>
      <c r="F501">
        <v>60</v>
      </c>
      <c r="G501">
        <v>1215</v>
      </c>
      <c r="H501">
        <v>113</v>
      </c>
      <c r="I501">
        <v>335</v>
      </c>
      <c r="J501">
        <v>40.537083000000003</v>
      </c>
      <c r="K501">
        <v>-4.0495830000000002</v>
      </c>
      <c r="L501">
        <v>60</v>
      </c>
      <c r="M501">
        <v>1879.3</v>
      </c>
      <c r="N501">
        <v>0.94240000000000002</v>
      </c>
      <c r="O501">
        <v>3270100</v>
      </c>
      <c r="P501">
        <v>66.991</v>
      </c>
      <c r="Q501">
        <v>0.99595</v>
      </c>
      <c r="R501">
        <v>831</v>
      </c>
      <c r="S501">
        <v>3.1623000000000001</v>
      </c>
      <c r="T501">
        <v>701</v>
      </c>
      <c r="U501">
        <f t="shared" si="7"/>
        <v>0.47788873038516405</v>
      </c>
    </row>
    <row r="502" spans="1:21" x14ac:dyDescent="0.35">
      <c r="A502">
        <v>2766</v>
      </c>
      <c r="B502" t="s">
        <v>6</v>
      </c>
      <c r="C502" t="s">
        <v>1984</v>
      </c>
      <c r="D502">
        <v>22.4</v>
      </c>
      <c r="E502">
        <v>0.6</v>
      </c>
      <c r="F502">
        <v>38</v>
      </c>
      <c r="G502">
        <v>196</v>
      </c>
      <c r="H502">
        <v>789</v>
      </c>
      <c r="I502">
        <v>5881</v>
      </c>
      <c r="J502">
        <v>40.529583000000002</v>
      </c>
      <c r="K502">
        <v>-6.4804170000000001</v>
      </c>
      <c r="L502">
        <v>38</v>
      </c>
      <c r="M502">
        <v>569.21</v>
      </c>
      <c r="N502">
        <v>8.3946000000000005</v>
      </c>
      <c r="O502">
        <v>25864000</v>
      </c>
      <c r="P502">
        <v>0.37620999999999999</v>
      </c>
      <c r="Q502">
        <v>13.744</v>
      </c>
      <c r="R502">
        <v>690</v>
      </c>
      <c r="S502">
        <v>8.2462</v>
      </c>
      <c r="T502">
        <v>4824</v>
      </c>
      <c r="U502">
        <f t="shared" si="7"/>
        <v>1.2191127694859039</v>
      </c>
    </row>
    <row r="503" spans="1:21" x14ac:dyDescent="0.35">
      <c r="A503">
        <v>2767</v>
      </c>
      <c r="B503" t="s">
        <v>6</v>
      </c>
      <c r="C503" t="s">
        <v>1884</v>
      </c>
      <c r="D503">
        <v>802.6</v>
      </c>
      <c r="E503">
        <v>20</v>
      </c>
      <c r="F503">
        <v>87</v>
      </c>
      <c r="G503">
        <v>383</v>
      </c>
      <c r="H503">
        <v>3843</v>
      </c>
      <c r="I503">
        <v>12252</v>
      </c>
      <c r="J503">
        <v>40.494582999999999</v>
      </c>
      <c r="K503">
        <v>-2.7462499999999999</v>
      </c>
      <c r="L503">
        <v>87</v>
      </c>
      <c r="M503">
        <v>742.16</v>
      </c>
      <c r="N503">
        <v>20.923999999999999</v>
      </c>
      <c r="O503">
        <v>89438000</v>
      </c>
      <c r="P503">
        <v>1.5136000000000001</v>
      </c>
      <c r="Q503">
        <v>21.356999999999999</v>
      </c>
      <c r="R503">
        <v>749</v>
      </c>
      <c r="S503">
        <v>11.401999999999999</v>
      </c>
      <c r="T503">
        <v>23607</v>
      </c>
      <c r="U503">
        <f t="shared" si="7"/>
        <v>0.51899860210954374</v>
      </c>
    </row>
    <row r="504" spans="1:21" x14ac:dyDescent="0.35">
      <c r="A504">
        <v>2768</v>
      </c>
      <c r="B504" t="s">
        <v>6</v>
      </c>
      <c r="C504" t="s">
        <v>1877</v>
      </c>
      <c r="D504">
        <v>208</v>
      </c>
      <c r="E504">
        <v>5.9</v>
      </c>
      <c r="F504">
        <v>91</v>
      </c>
      <c r="G504">
        <v>300</v>
      </c>
      <c r="H504">
        <v>1057</v>
      </c>
      <c r="I504">
        <v>4203</v>
      </c>
      <c r="J504">
        <v>40.424582999999998</v>
      </c>
      <c r="K504">
        <v>-4.537083</v>
      </c>
      <c r="L504">
        <v>91</v>
      </c>
      <c r="M504">
        <v>649</v>
      </c>
      <c r="N504">
        <v>22.06</v>
      </c>
      <c r="O504">
        <v>73066000</v>
      </c>
      <c r="P504">
        <v>1.125</v>
      </c>
      <c r="Q504">
        <v>15.686</v>
      </c>
      <c r="R504">
        <v>835</v>
      </c>
      <c r="S504">
        <v>4</v>
      </c>
      <c r="T504">
        <v>6467</v>
      </c>
      <c r="U504">
        <f t="shared" si="7"/>
        <v>0.64991495283748257</v>
      </c>
    </row>
    <row r="505" spans="1:21" x14ac:dyDescent="0.35">
      <c r="A505">
        <v>2769</v>
      </c>
      <c r="B505" t="s">
        <v>6</v>
      </c>
      <c r="C505" t="s">
        <v>1895</v>
      </c>
      <c r="D505">
        <v>1638.7</v>
      </c>
      <c r="E505">
        <v>32.4</v>
      </c>
      <c r="F505">
        <v>79</v>
      </c>
      <c r="G505">
        <v>351</v>
      </c>
      <c r="H505">
        <v>3331</v>
      </c>
      <c r="I505">
        <v>10327</v>
      </c>
      <c r="J505">
        <v>40.399583</v>
      </c>
      <c r="K505">
        <v>-2.7820830000000001</v>
      </c>
      <c r="L505">
        <v>79</v>
      </c>
      <c r="M505">
        <v>569.21</v>
      </c>
      <c r="N505">
        <v>20.704999999999998</v>
      </c>
      <c r="O505">
        <v>78590000</v>
      </c>
      <c r="P505">
        <v>0.83050999999999997</v>
      </c>
      <c r="Q505">
        <v>20.78</v>
      </c>
      <c r="R505">
        <v>781</v>
      </c>
      <c r="S505">
        <v>1</v>
      </c>
      <c r="T505">
        <v>20371</v>
      </c>
      <c r="U505">
        <f t="shared" si="7"/>
        <v>0.50694614893721468</v>
      </c>
    </row>
    <row r="506" spans="1:21" x14ac:dyDescent="0.35">
      <c r="A506">
        <v>2770</v>
      </c>
      <c r="B506" t="s">
        <v>6</v>
      </c>
      <c r="C506" t="s">
        <v>30</v>
      </c>
      <c r="D506">
        <v>148.30000000000001</v>
      </c>
      <c r="E506">
        <v>3.9</v>
      </c>
      <c r="F506">
        <v>78</v>
      </c>
      <c r="G506">
        <v>230</v>
      </c>
      <c r="H506">
        <v>1962</v>
      </c>
      <c r="I506">
        <v>6784</v>
      </c>
      <c r="J506">
        <v>40.374583000000001</v>
      </c>
      <c r="K506">
        <v>-4.3120830000000003</v>
      </c>
      <c r="L506">
        <v>78</v>
      </c>
      <c r="M506">
        <v>804.98</v>
      </c>
      <c r="N506">
        <v>27.757999999999999</v>
      </c>
      <c r="O506">
        <v>91836000</v>
      </c>
      <c r="P506">
        <v>2.7429000000000001</v>
      </c>
      <c r="Q506">
        <v>22.454000000000001</v>
      </c>
      <c r="R506">
        <v>585</v>
      </c>
      <c r="S506">
        <v>0.5</v>
      </c>
      <c r="T506">
        <v>12013</v>
      </c>
      <c r="U506">
        <f t="shared" si="7"/>
        <v>0.56472155165237659</v>
      </c>
    </row>
    <row r="507" spans="1:21" x14ac:dyDescent="0.35">
      <c r="A507">
        <v>2772</v>
      </c>
      <c r="B507" t="s">
        <v>6</v>
      </c>
      <c r="C507" t="s">
        <v>1969</v>
      </c>
      <c r="D507">
        <v>30.7</v>
      </c>
      <c r="E507">
        <v>2.8</v>
      </c>
      <c r="F507">
        <v>46</v>
      </c>
      <c r="G507">
        <v>292</v>
      </c>
      <c r="H507">
        <v>7406</v>
      </c>
      <c r="I507">
        <v>23060</v>
      </c>
      <c r="J507">
        <v>40.362917000000003</v>
      </c>
      <c r="K507">
        <v>-2.817917</v>
      </c>
      <c r="L507">
        <v>46</v>
      </c>
      <c r="M507">
        <v>402.49</v>
      </c>
      <c r="N507">
        <v>23.314</v>
      </c>
      <c r="O507">
        <v>93842000</v>
      </c>
      <c r="P507">
        <v>0.42899999999999999</v>
      </c>
      <c r="Q507">
        <v>43.055</v>
      </c>
      <c r="R507">
        <v>687</v>
      </c>
      <c r="S507">
        <v>0.5</v>
      </c>
      <c r="T507">
        <v>45403</v>
      </c>
      <c r="U507">
        <f t="shared" si="7"/>
        <v>0.50789595401184939</v>
      </c>
    </row>
    <row r="508" spans="1:21" x14ac:dyDescent="0.35">
      <c r="A508">
        <v>2774</v>
      </c>
      <c r="B508" t="s">
        <v>6</v>
      </c>
      <c r="C508" t="s">
        <v>1940</v>
      </c>
      <c r="D508">
        <v>15.2</v>
      </c>
      <c r="E508">
        <v>0.3</v>
      </c>
      <c r="F508">
        <v>59</v>
      </c>
      <c r="G508">
        <v>145</v>
      </c>
      <c r="H508">
        <v>2019</v>
      </c>
      <c r="I508">
        <v>6934</v>
      </c>
      <c r="J508">
        <v>40.337083</v>
      </c>
      <c r="K508">
        <v>-4.2537500000000001</v>
      </c>
      <c r="L508">
        <v>59</v>
      </c>
      <c r="M508">
        <v>360</v>
      </c>
      <c r="N508">
        <v>21.209</v>
      </c>
      <c r="O508">
        <v>70133000</v>
      </c>
      <c r="P508">
        <v>2.8974000000000002</v>
      </c>
      <c r="Q508">
        <v>22.734999999999999</v>
      </c>
      <c r="R508">
        <v>600</v>
      </c>
      <c r="S508">
        <v>0.5</v>
      </c>
      <c r="T508">
        <v>12363</v>
      </c>
      <c r="U508">
        <f t="shared" si="7"/>
        <v>0.56086710345385427</v>
      </c>
    </row>
    <row r="509" spans="1:21" x14ac:dyDescent="0.35">
      <c r="A509">
        <v>2779</v>
      </c>
      <c r="B509" t="s">
        <v>6</v>
      </c>
      <c r="C509" t="s">
        <v>1904</v>
      </c>
      <c r="D509">
        <v>924.2</v>
      </c>
      <c r="E509">
        <v>24.3</v>
      </c>
      <c r="F509">
        <v>73</v>
      </c>
      <c r="G509">
        <v>1020</v>
      </c>
      <c r="H509">
        <v>1861</v>
      </c>
      <c r="I509">
        <v>12211</v>
      </c>
      <c r="J509">
        <v>40.224583000000003</v>
      </c>
      <c r="K509">
        <v>-6.132917</v>
      </c>
      <c r="L509">
        <v>73</v>
      </c>
      <c r="M509">
        <v>6364</v>
      </c>
      <c r="N509">
        <v>33.378999999999998</v>
      </c>
      <c r="O509">
        <v>108410000</v>
      </c>
      <c r="P509">
        <v>2.2679999999999998</v>
      </c>
      <c r="Q509">
        <v>29.443999999999999</v>
      </c>
      <c r="R509">
        <v>336</v>
      </c>
      <c r="S509">
        <v>1</v>
      </c>
      <c r="T509">
        <v>11390</v>
      </c>
      <c r="U509">
        <f t="shared" si="7"/>
        <v>1.0720807726075505</v>
      </c>
    </row>
    <row r="510" spans="1:21" x14ac:dyDescent="0.35">
      <c r="A510">
        <v>2780</v>
      </c>
      <c r="B510" t="s">
        <v>6</v>
      </c>
      <c r="C510" t="s">
        <v>1935</v>
      </c>
      <c r="D510">
        <v>48.9</v>
      </c>
      <c r="E510">
        <v>2.1</v>
      </c>
      <c r="F510">
        <v>61</v>
      </c>
      <c r="G510">
        <v>356</v>
      </c>
      <c r="H510">
        <v>186</v>
      </c>
      <c r="I510">
        <v>1469</v>
      </c>
      <c r="J510">
        <v>40.137082999999997</v>
      </c>
      <c r="K510">
        <v>-6.632917</v>
      </c>
      <c r="L510">
        <v>61</v>
      </c>
      <c r="M510">
        <v>3319</v>
      </c>
      <c r="N510">
        <v>3.2193999999999998</v>
      </c>
      <c r="O510">
        <v>9727400</v>
      </c>
      <c r="P510">
        <v>9.5259999999999998</v>
      </c>
      <c r="Q510">
        <v>3.2027999999999999</v>
      </c>
      <c r="R510">
        <v>309</v>
      </c>
      <c r="S510">
        <v>25.632000000000001</v>
      </c>
      <c r="T510">
        <v>1140</v>
      </c>
      <c r="U510">
        <f t="shared" si="7"/>
        <v>1.2885964912280701</v>
      </c>
    </row>
    <row r="511" spans="1:21" x14ac:dyDescent="0.35">
      <c r="A511">
        <v>2781</v>
      </c>
      <c r="B511" t="s">
        <v>6</v>
      </c>
      <c r="C511" t="s">
        <v>1991</v>
      </c>
      <c r="D511">
        <v>85</v>
      </c>
      <c r="E511">
        <v>6.5</v>
      </c>
      <c r="F511">
        <v>35</v>
      </c>
      <c r="G511">
        <v>225</v>
      </c>
      <c r="H511">
        <v>342</v>
      </c>
      <c r="I511">
        <v>2537</v>
      </c>
      <c r="J511">
        <v>40.128749999999997</v>
      </c>
      <c r="K511">
        <v>-6.577083</v>
      </c>
      <c r="L511">
        <v>35</v>
      </c>
      <c r="M511">
        <v>742.16</v>
      </c>
      <c r="N511">
        <v>3.6255999999999999</v>
      </c>
      <c r="O511">
        <v>11285000</v>
      </c>
      <c r="P511">
        <v>0.98943000000000003</v>
      </c>
      <c r="Q511">
        <v>6.4249000000000001</v>
      </c>
      <c r="R511">
        <v>333</v>
      </c>
      <c r="S511">
        <v>19.925000000000001</v>
      </c>
      <c r="T511">
        <v>2084</v>
      </c>
      <c r="U511">
        <f t="shared" si="7"/>
        <v>1.2173704414587332</v>
      </c>
    </row>
    <row r="512" spans="1:21" x14ac:dyDescent="0.35">
      <c r="A512">
        <v>2782</v>
      </c>
      <c r="B512" t="s">
        <v>6</v>
      </c>
      <c r="C512" t="s">
        <v>1983</v>
      </c>
      <c r="D512">
        <v>84.7</v>
      </c>
      <c r="E512">
        <v>10.1</v>
      </c>
      <c r="F512">
        <v>38</v>
      </c>
      <c r="G512">
        <v>123</v>
      </c>
      <c r="H512">
        <v>1758</v>
      </c>
      <c r="I512">
        <v>8273</v>
      </c>
      <c r="J512">
        <v>40.108750000000001</v>
      </c>
      <c r="K512">
        <v>-5.3220830000000001</v>
      </c>
      <c r="L512">
        <v>38</v>
      </c>
      <c r="M512">
        <v>360</v>
      </c>
      <c r="N512">
        <v>17.04</v>
      </c>
      <c r="O512">
        <v>56578000</v>
      </c>
      <c r="P512">
        <v>0.19552</v>
      </c>
      <c r="Q512">
        <v>29.814</v>
      </c>
      <c r="R512">
        <v>312</v>
      </c>
      <c r="S512">
        <v>13</v>
      </c>
      <c r="T512">
        <v>10723</v>
      </c>
      <c r="U512">
        <f t="shared" si="7"/>
        <v>0.7715191644129441</v>
      </c>
    </row>
    <row r="513" spans="1:21" x14ac:dyDescent="0.35">
      <c r="A513">
        <v>2783</v>
      </c>
      <c r="B513" t="s">
        <v>6</v>
      </c>
      <c r="C513" t="s">
        <v>1944</v>
      </c>
      <c r="D513">
        <v>53</v>
      </c>
      <c r="E513">
        <v>2.7</v>
      </c>
      <c r="F513">
        <v>57</v>
      </c>
      <c r="G513">
        <v>135</v>
      </c>
      <c r="H513">
        <v>2455</v>
      </c>
      <c r="I513">
        <v>16466</v>
      </c>
      <c r="J513">
        <v>40.099583000000003</v>
      </c>
      <c r="K513">
        <v>-6.2504169999999997</v>
      </c>
      <c r="L513">
        <v>57</v>
      </c>
      <c r="M513">
        <v>1707.6</v>
      </c>
      <c r="N513">
        <v>35.972000000000001</v>
      </c>
      <c r="O513">
        <v>116450000</v>
      </c>
      <c r="P513">
        <v>0.43142000000000003</v>
      </c>
      <c r="Q513">
        <v>40.548999999999999</v>
      </c>
      <c r="R513">
        <v>302</v>
      </c>
      <c r="S513">
        <v>6.7081999999999997</v>
      </c>
      <c r="T513">
        <v>15016</v>
      </c>
      <c r="U513">
        <f t="shared" si="7"/>
        <v>1.0965636654235482</v>
      </c>
    </row>
    <row r="514" spans="1:21" x14ac:dyDescent="0.35">
      <c r="A514">
        <v>2786</v>
      </c>
      <c r="B514" t="s">
        <v>6</v>
      </c>
      <c r="C514" t="s">
        <v>1974</v>
      </c>
      <c r="D514">
        <v>58.5</v>
      </c>
      <c r="E514">
        <v>3.6</v>
      </c>
      <c r="F514">
        <v>43</v>
      </c>
      <c r="G514">
        <v>503</v>
      </c>
      <c r="H514">
        <v>376</v>
      </c>
      <c r="I514">
        <v>2733</v>
      </c>
      <c r="J514">
        <v>40.062083000000001</v>
      </c>
      <c r="K514">
        <v>-6.0429170000000001</v>
      </c>
      <c r="L514">
        <v>43</v>
      </c>
      <c r="M514">
        <v>1152.5999999999999</v>
      </c>
      <c r="N514">
        <v>4.4683000000000002</v>
      </c>
      <c r="O514">
        <v>14546000</v>
      </c>
      <c r="P514">
        <v>1.3207</v>
      </c>
      <c r="Q514">
        <v>6.5281000000000002</v>
      </c>
      <c r="R514">
        <v>355</v>
      </c>
      <c r="S514">
        <v>6.7081999999999997</v>
      </c>
      <c r="T514">
        <v>2294</v>
      </c>
      <c r="U514">
        <f t="shared" ref="U514:U577" si="8">I514/T514</f>
        <v>1.1913687881429817</v>
      </c>
    </row>
    <row r="515" spans="1:21" x14ac:dyDescent="0.35">
      <c r="A515">
        <v>2787</v>
      </c>
      <c r="B515" t="s">
        <v>6</v>
      </c>
      <c r="C515" t="s">
        <v>2007</v>
      </c>
      <c r="D515">
        <v>33.9</v>
      </c>
      <c r="E515">
        <v>7</v>
      </c>
      <c r="F515">
        <v>26</v>
      </c>
      <c r="G515">
        <v>183</v>
      </c>
      <c r="H515">
        <v>356</v>
      </c>
      <c r="I515">
        <v>1618</v>
      </c>
      <c r="J515">
        <v>40.048749999999998</v>
      </c>
      <c r="K515">
        <v>-5.1379169999999998</v>
      </c>
      <c r="L515">
        <v>26</v>
      </c>
      <c r="M515">
        <v>1440</v>
      </c>
      <c r="N515">
        <v>2.3050999999999999</v>
      </c>
      <c r="O515">
        <v>7631000</v>
      </c>
      <c r="P515">
        <v>2.3411</v>
      </c>
      <c r="Q515">
        <v>5.8449999999999998</v>
      </c>
      <c r="R515">
        <v>371</v>
      </c>
      <c r="S515">
        <v>5</v>
      </c>
      <c r="T515">
        <v>2170</v>
      </c>
      <c r="U515">
        <f t="shared" si="8"/>
        <v>0.74562211981566817</v>
      </c>
    </row>
    <row r="516" spans="1:21" x14ac:dyDescent="0.35">
      <c r="A516">
        <v>2793</v>
      </c>
      <c r="B516" t="s">
        <v>6</v>
      </c>
      <c r="C516" t="s">
        <v>2003</v>
      </c>
      <c r="D516">
        <v>22</v>
      </c>
      <c r="E516">
        <v>1.8</v>
      </c>
      <c r="F516">
        <v>30</v>
      </c>
      <c r="G516">
        <v>227</v>
      </c>
      <c r="H516">
        <v>4468</v>
      </c>
      <c r="I516">
        <v>25452</v>
      </c>
      <c r="J516">
        <v>39.841250000000002</v>
      </c>
      <c r="K516">
        <v>-5.9895829999999997</v>
      </c>
      <c r="L516">
        <v>30</v>
      </c>
      <c r="M516">
        <v>509.12</v>
      </c>
      <c r="N516">
        <v>110.84</v>
      </c>
      <c r="O516">
        <v>389070000</v>
      </c>
      <c r="P516">
        <v>1.0679000000000001</v>
      </c>
      <c r="Q516">
        <v>276.06</v>
      </c>
      <c r="R516">
        <v>330</v>
      </c>
      <c r="S516">
        <v>0.5</v>
      </c>
      <c r="T516">
        <v>251830</v>
      </c>
      <c r="U516">
        <f t="shared" si="8"/>
        <v>0.1010681809156971</v>
      </c>
    </row>
    <row r="517" spans="1:21" x14ac:dyDescent="0.35">
      <c r="A517">
        <v>2794</v>
      </c>
      <c r="B517" t="s">
        <v>6</v>
      </c>
      <c r="C517" t="s">
        <v>2006</v>
      </c>
      <c r="D517">
        <v>41</v>
      </c>
      <c r="E517">
        <v>4.3</v>
      </c>
      <c r="F517">
        <v>26</v>
      </c>
      <c r="G517">
        <v>1440</v>
      </c>
      <c r="H517">
        <v>27092</v>
      </c>
      <c r="I517">
        <v>71094</v>
      </c>
      <c r="J517">
        <v>39.841250000000002</v>
      </c>
      <c r="K517">
        <v>-4.2912499999999998</v>
      </c>
      <c r="L517">
        <v>26</v>
      </c>
      <c r="M517">
        <v>2346.9</v>
      </c>
      <c r="N517">
        <v>36.929000000000002</v>
      </c>
      <c r="O517">
        <v>147100000</v>
      </c>
      <c r="P517">
        <v>0.18629999999999999</v>
      </c>
      <c r="Q517">
        <v>121.77</v>
      </c>
      <c r="R517">
        <v>418</v>
      </c>
      <c r="S517">
        <v>6.3246000000000002</v>
      </c>
      <c r="T517">
        <v>165910</v>
      </c>
      <c r="U517">
        <f t="shared" si="8"/>
        <v>0.42850943282502563</v>
      </c>
    </row>
    <row r="518" spans="1:21" x14ac:dyDescent="0.35">
      <c r="A518">
        <v>2795</v>
      </c>
      <c r="B518" t="s">
        <v>6</v>
      </c>
      <c r="C518" t="s">
        <v>1930</v>
      </c>
      <c r="D518">
        <v>176.3</v>
      </c>
      <c r="E518">
        <v>8.5</v>
      </c>
      <c r="F518">
        <v>62</v>
      </c>
      <c r="G518">
        <v>380</v>
      </c>
      <c r="H518">
        <v>36743</v>
      </c>
      <c r="I518">
        <v>102280</v>
      </c>
      <c r="J518">
        <v>39.832082999999997</v>
      </c>
      <c r="K518">
        <v>-5.9829169999999996</v>
      </c>
      <c r="L518">
        <v>62</v>
      </c>
      <c r="M518">
        <v>742.16</v>
      </c>
      <c r="N518">
        <v>166.9</v>
      </c>
      <c r="O518">
        <v>610670000</v>
      </c>
      <c r="P518">
        <v>1.0677000000000001</v>
      </c>
      <c r="Q518">
        <v>205.48</v>
      </c>
      <c r="R518">
        <v>324</v>
      </c>
      <c r="S518">
        <v>1</v>
      </c>
      <c r="T518">
        <v>224610</v>
      </c>
      <c r="U518">
        <f t="shared" si="8"/>
        <v>0.45536708071768844</v>
      </c>
    </row>
    <row r="519" spans="1:21" x14ac:dyDescent="0.35">
      <c r="A519">
        <v>2796</v>
      </c>
      <c r="B519" t="s">
        <v>6</v>
      </c>
      <c r="C519" t="s">
        <v>1967</v>
      </c>
      <c r="D519">
        <v>18.100000000000001</v>
      </c>
      <c r="E519">
        <v>0.9</v>
      </c>
      <c r="F519">
        <v>47</v>
      </c>
      <c r="G519">
        <v>332</v>
      </c>
      <c r="H519">
        <v>368</v>
      </c>
      <c r="I519">
        <v>460</v>
      </c>
      <c r="J519">
        <v>39.798749999999998</v>
      </c>
      <c r="K519">
        <v>-4.0870829999999998</v>
      </c>
      <c r="L519">
        <v>47</v>
      </c>
      <c r="M519">
        <v>1620</v>
      </c>
      <c r="N519">
        <v>0.60097999999999996</v>
      </c>
      <c r="O519">
        <v>2512500</v>
      </c>
      <c r="P519">
        <v>11.551</v>
      </c>
      <c r="Q519">
        <v>1.3838999999999999</v>
      </c>
      <c r="R519">
        <v>599</v>
      </c>
      <c r="S519">
        <v>10.050000000000001</v>
      </c>
      <c r="T519">
        <v>2225</v>
      </c>
      <c r="U519">
        <f t="shared" si="8"/>
        <v>0.20674157303370785</v>
      </c>
    </row>
    <row r="520" spans="1:21" x14ac:dyDescent="0.35">
      <c r="A520">
        <v>2797</v>
      </c>
      <c r="B520" t="s">
        <v>6</v>
      </c>
      <c r="C520" t="s">
        <v>1987</v>
      </c>
      <c r="D520">
        <v>35.5</v>
      </c>
      <c r="E520">
        <v>5.9</v>
      </c>
      <c r="F520">
        <v>36</v>
      </c>
      <c r="G520">
        <v>225</v>
      </c>
      <c r="H520">
        <v>108</v>
      </c>
      <c r="I520">
        <v>606</v>
      </c>
      <c r="J520">
        <v>39.787083000000003</v>
      </c>
      <c r="K520">
        <v>-5.7320830000000003</v>
      </c>
      <c r="L520">
        <v>36</v>
      </c>
      <c r="M520">
        <v>509.12</v>
      </c>
      <c r="N520">
        <v>93.302999999999997</v>
      </c>
      <c r="O520">
        <v>342240000</v>
      </c>
      <c r="P520">
        <v>0.28405000000000002</v>
      </c>
      <c r="Q520">
        <v>202.88</v>
      </c>
      <c r="R520">
        <v>298</v>
      </c>
      <c r="S520">
        <v>0.5</v>
      </c>
      <c r="T520">
        <v>223420</v>
      </c>
      <c r="U520">
        <f t="shared" si="8"/>
        <v>2.7123802703428522E-3</v>
      </c>
    </row>
    <row r="521" spans="1:21" x14ac:dyDescent="0.35">
      <c r="A521">
        <v>2798</v>
      </c>
      <c r="B521" t="s">
        <v>6</v>
      </c>
      <c r="C521" t="s">
        <v>1870</v>
      </c>
      <c r="D521">
        <v>1450</v>
      </c>
      <c r="E521">
        <v>38.5</v>
      </c>
      <c r="F521">
        <v>98</v>
      </c>
      <c r="G521">
        <v>290</v>
      </c>
      <c r="H521">
        <v>36160</v>
      </c>
      <c r="I521">
        <v>99200</v>
      </c>
      <c r="J521">
        <v>39.778750000000002</v>
      </c>
      <c r="K521">
        <v>-5.6095829999999998</v>
      </c>
      <c r="L521">
        <v>98</v>
      </c>
      <c r="M521">
        <v>360</v>
      </c>
      <c r="N521">
        <v>254.88</v>
      </c>
      <c r="O521">
        <v>939660000</v>
      </c>
      <c r="P521">
        <v>4.9212999999999996</v>
      </c>
      <c r="Q521">
        <v>197.78</v>
      </c>
      <c r="R521">
        <v>475</v>
      </c>
      <c r="S521">
        <v>0.5</v>
      </c>
      <c r="T521">
        <v>221070</v>
      </c>
      <c r="U521">
        <f t="shared" si="8"/>
        <v>0.4487266476681594</v>
      </c>
    </row>
    <row r="522" spans="1:21" x14ac:dyDescent="0.35">
      <c r="A522">
        <v>2799</v>
      </c>
      <c r="B522" t="s">
        <v>6</v>
      </c>
      <c r="C522" t="s">
        <v>1948</v>
      </c>
      <c r="D522">
        <v>113</v>
      </c>
      <c r="E522">
        <v>9.1999999999999993</v>
      </c>
      <c r="F522">
        <v>55</v>
      </c>
      <c r="G522">
        <v>500</v>
      </c>
      <c r="H522">
        <v>34722</v>
      </c>
      <c r="I522">
        <v>92532</v>
      </c>
      <c r="J522">
        <v>39.777082999999998</v>
      </c>
      <c r="K522">
        <v>-5.0904170000000004</v>
      </c>
      <c r="L522">
        <v>55</v>
      </c>
      <c r="M522">
        <v>1610</v>
      </c>
      <c r="N522">
        <v>128.87</v>
      </c>
      <c r="O522">
        <v>481690000</v>
      </c>
      <c r="P522">
        <v>1.5620000000000001</v>
      </c>
      <c r="Q522">
        <v>182.75</v>
      </c>
      <c r="R522">
        <v>359</v>
      </c>
      <c r="S522">
        <v>0.5</v>
      </c>
      <c r="T522">
        <v>212360</v>
      </c>
      <c r="U522">
        <f t="shared" si="8"/>
        <v>0.43573177622904502</v>
      </c>
    </row>
    <row r="523" spans="1:21" x14ac:dyDescent="0.35">
      <c r="A523">
        <v>2800</v>
      </c>
      <c r="B523" t="s">
        <v>6</v>
      </c>
      <c r="C523" t="s">
        <v>1856</v>
      </c>
      <c r="D523">
        <v>3162</v>
      </c>
      <c r="E523">
        <v>45.3</v>
      </c>
      <c r="F523">
        <v>135</v>
      </c>
      <c r="G523">
        <v>570</v>
      </c>
      <c r="H523">
        <v>51613</v>
      </c>
      <c r="I523">
        <v>197408</v>
      </c>
      <c r="J523">
        <v>39.732917</v>
      </c>
      <c r="K523">
        <v>-6.8854170000000003</v>
      </c>
      <c r="L523">
        <v>135</v>
      </c>
      <c r="M523">
        <v>2167.5</v>
      </c>
      <c r="N523">
        <v>820.39</v>
      </c>
      <c r="O523">
        <v>2751500000</v>
      </c>
      <c r="P523">
        <v>0.30317</v>
      </c>
      <c r="Q523">
        <v>409.66</v>
      </c>
      <c r="R523">
        <v>175</v>
      </c>
      <c r="S523">
        <v>0.5</v>
      </c>
      <c r="T523">
        <v>315000</v>
      </c>
      <c r="U523">
        <f t="shared" si="8"/>
        <v>0.62669206349206352</v>
      </c>
    </row>
    <row r="524" spans="1:21" x14ac:dyDescent="0.35">
      <c r="A524">
        <v>2803</v>
      </c>
      <c r="B524" t="s">
        <v>6</v>
      </c>
      <c r="C524" t="s">
        <v>1919</v>
      </c>
      <c r="D524">
        <v>260</v>
      </c>
      <c r="E524">
        <v>5.8</v>
      </c>
      <c r="F524">
        <v>66</v>
      </c>
      <c r="G524">
        <v>418</v>
      </c>
      <c r="H524">
        <v>58489</v>
      </c>
      <c r="I524">
        <v>256906</v>
      </c>
      <c r="J524">
        <v>39.666249999999998</v>
      </c>
      <c r="K524">
        <v>-7.5387500000000003</v>
      </c>
      <c r="L524">
        <v>66</v>
      </c>
      <c r="M524">
        <v>540</v>
      </c>
      <c r="N524">
        <v>471.29</v>
      </c>
      <c r="O524">
        <v>1545500000</v>
      </c>
      <c r="P524">
        <v>7.6723E-2</v>
      </c>
      <c r="Q524">
        <v>480.81</v>
      </c>
      <c r="R524">
        <v>173</v>
      </c>
      <c r="S524">
        <v>0.5</v>
      </c>
      <c r="T524">
        <v>356640</v>
      </c>
      <c r="U524">
        <f t="shared" si="8"/>
        <v>0.72035105428443247</v>
      </c>
    </row>
    <row r="525" spans="1:21" x14ac:dyDescent="0.35">
      <c r="A525">
        <v>2804</v>
      </c>
      <c r="B525" t="s">
        <v>6</v>
      </c>
      <c r="C525" t="s">
        <v>1994</v>
      </c>
      <c r="D525">
        <v>133</v>
      </c>
      <c r="E525">
        <v>6.6</v>
      </c>
      <c r="F525">
        <v>34</v>
      </c>
      <c r="G525">
        <v>712</v>
      </c>
      <c r="H525">
        <v>744</v>
      </c>
      <c r="I525">
        <v>897</v>
      </c>
      <c r="J525">
        <v>39.649583</v>
      </c>
      <c r="K525">
        <v>-3.6537500000000001</v>
      </c>
      <c r="L525">
        <v>34</v>
      </c>
      <c r="M525">
        <v>402.49</v>
      </c>
      <c r="N525">
        <v>0.82665999999999995</v>
      </c>
      <c r="O525">
        <v>3346900</v>
      </c>
      <c r="P525">
        <v>23.754999999999999</v>
      </c>
      <c r="Q525">
        <v>2.2404999999999999</v>
      </c>
      <c r="R525">
        <v>755</v>
      </c>
      <c r="S525">
        <v>3.1623000000000001</v>
      </c>
      <c r="T525">
        <v>4491</v>
      </c>
      <c r="U525">
        <f t="shared" si="8"/>
        <v>0.19973279893119572</v>
      </c>
    </row>
    <row r="526" spans="1:21" x14ac:dyDescent="0.35">
      <c r="A526">
        <v>2805</v>
      </c>
      <c r="B526" t="s">
        <v>6</v>
      </c>
      <c r="C526" t="s">
        <v>1907</v>
      </c>
      <c r="D526">
        <v>1112</v>
      </c>
      <c r="E526">
        <v>24.2</v>
      </c>
      <c r="F526">
        <v>71</v>
      </c>
      <c r="G526">
        <v>317</v>
      </c>
      <c r="H526">
        <v>2945</v>
      </c>
      <c r="I526">
        <v>8686</v>
      </c>
      <c r="J526">
        <v>39.570416999999999</v>
      </c>
      <c r="K526">
        <v>-2.1120830000000002</v>
      </c>
      <c r="L526">
        <v>71</v>
      </c>
      <c r="M526">
        <v>649</v>
      </c>
      <c r="N526">
        <v>15.57</v>
      </c>
      <c r="O526">
        <v>56758000</v>
      </c>
      <c r="P526">
        <v>1.4435</v>
      </c>
      <c r="Q526">
        <v>16.73</v>
      </c>
      <c r="R526">
        <v>800</v>
      </c>
      <c r="S526">
        <v>0.5</v>
      </c>
      <c r="T526">
        <v>17911</v>
      </c>
      <c r="U526">
        <f t="shared" si="8"/>
        <v>0.48495338060409804</v>
      </c>
    </row>
    <row r="527" spans="1:21" x14ac:dyDescent="0.35">
      <c r="A527">
        <v>2807</v>
      </c>
      <c r="B527" t="s">
        <v>6</v>
      </c>
      <c r="C527" t="s">
        <v>1859</v>
      </c>
      <c r="D527">
        <v>874</v>
      </c>
      <c r="E527">
        <v>6.8</v>
      </c>
      <c r="F527">
        <v>129</v>
      </c>
      <c r="G527">
        <v>241</v>
      </c>
      <c r="H527">
        <v>3330</v>
      </c>
      <c r="I527">
        <v>8438</v>
      </c>
      <c r="J527">
        <v>39.545417</v>
      </c>
      <c r="K527">
        <v>-1.5029170000000001</v>
      </c>
      <c r="L527">
        <v>129</v>
      </c>
      <c r="M527">
        <v>804.98</v>
      </c>
      <c r="N527">
        <v>23.5</v>
      </c>
      <c r="O527">
        <v>86095000</v>
      </c>
      <c r="P527">
        <v>1.0431999999999999</v>
      </c>
      <c r="Q527">
        <v>13.093999999999999</v>
      </c>
      <c r="R527">
        <v>636</v>
      </c>
      <c r="S527">
        <v>1</v>
      </c>
      <c r="T527">
        <v>20226</v>
      </c>
      <c r="U527">
        <f t="shared" si="8"/>
        <v>0.41718580045486009</v>
      </c>
    </row>
    <row r="528" spans="1:21" x14ac:dyDescent="0.35">
      <c r="A528">
        <v>2810</v>
      </c>
      <c r="B528" t="s">
        <v>6</v>
      </c>
      <c r="C528" t="s">
        <v>2001</v>
      </c>
      <c r="D528">
        <v>20.399999999999999</v>
      </c>
      <c r="E528">
        <v>1.8</v>
      </c>
      <c r="F528">
        <v>32</v>
      </c>
      <c r="G528">
        <v>534</v>
      </c>
      <c r="H528">
        <v>132</v>
      </c>
      <c r="I528">
        <v>887</v>
      </c>
      <c r="J528">
        <v>39.487917000000003</v>
      </c>
      <c r="K528">
        <v>-6.2962499999999997</v>
      </c>
      <c r="L528">
        <v>32</v>
      </c>
      <c r="M528">
        <v>1440</v>
      </c>
      <c r="N528">
        <v>0.5</v>
      </c>
      <c r="O528">
        <v>1458500</v>
      </c>
      <c r="P528">
        <v>9.9292999999999996</v>
      </c>
      <c r="Q528">
        <v>0.92459000000000002</v>
      </c>
      <c r="R528">
        <v>353</v>
      </c>
      <c r="S528">
        <v>3</v>
      </c>
      <c r="T528">
        <v>799</v>
      </c>
      <c r="U528">
        <f t="shared" si="8"/>
        <v>1.1101376720901126</v>
      </c>
    </row>
    <row r="529" spans="1:21" x14ac:dyDescent="0.35">
      <c r="A529">
        <v>2811</v>
      </c>
      <c r="B529" t="s">
        <v>6</v>
      </c>
      <c r="C529" t="s">
        <v>1891</v>
      </c>
      <c r="D529">
        <v>1640</v>
      </c>
      <c r="E529">
        <v>30.2</v>
      </c>
      <c r="F529">
        <v>81</v>
      </c>
      <c r="G529">
        <v>295</v>
      </c>
      <c r="H529">
        <v>24436</v>
      </c>
      <c r="I529">
        <v>38175</v>
      </c>
      <c r="J529">
        <v>39.378749999999997</v>
      </c>
      <c r="K529">
        <v>-5.0162500000000003</v>
      </c>
      <c r="L529">
        <v>81</v>
      </c>
      <c r="M529">
        <v>900</v>
      </c>
      <c r="N529">
        <v>90.325000000000003</v>
      </c>
      <c r="O529">
        <v>347000000</v>
      </c>
      <c r="P529">
        <v>0.18725</v>
      </c>
      <c r="Q529">
        <v>95.822999999999993</v>
      </c>
      <c r="R529">
        <v>429</v>
      </c>
      <c r="S529">
        <v>1</v>
      </c>
      <c r="T529">
        <v>146990</v>
      </c>
      <c r="U529">
        <f t="shared" si="8"/>
        <v>0.25971154500306143</v>
      </c>
    </row>
    <row r="530" spans="1:21" x14ac:dyDescent="0.35">
      <c r="A530">
        <v>2812</v>
      </c>
      <c r="B530" t="s">
        <v>6</v>
      </c>
      <c r="C530" t="s">
        <v>1958</v>
      </c>
      <c r="D530">
        <v>185</v>
      </c>
      <c r="E530">
        <v>14.4</v>
      </c>
      <c r="F530">
        <v>51</v>
      </c>
      <c r="G530">
        <v>481</v>
      </c>
      <c r="H530">
        <v>744</v>
      </c>
      <c r="I530">
        <v>1193</v>
      </c>
      <c r="J530">
        <v>39.370417000000003</v>
      </c>
      <c r="K530">
        <v>-4.2537500000000001</v>
      </c>
      <c r="L530">
        <v>51</v>
      </c>
      <c r="M530">
        <v>1440</v>
      </c>
      <c r="N530">
        <v>1.2396</v>
      </c>
      <c r="O530">
        <v>4696200</v>
      </c>
      <c r="P530">
        <v>6.5568</v>
      </c>
      <c r="Q530">
        <v>2.3685</v>
      </c>
      <c r="R530">
        <v>654</v>
      </c>
      <c r="S530">
        <v>22.472000000000001</v>
      </c>
      <c r="T530">
        <v>2641</v>
      </c>
      <c r="U530">
        <f t="shared" si="8"/>
        <v>0.45172283226050736</v>
      </c>
    </row>
    <row r="531" spans="1:21" x14ac:dyDescent="0.35">
      <c r="A531">
        <v>2813</v>
      </c>
      <c r="B531" t="s">
        <v>6</v>
      </c>
      <c r="C531" t="s">
        <v>1913</v>
      </c>
      <c r="D531">
        <v>37.5</v>
      </c>
      <c r="E531">
        <v>0.7</v>
      </c>
      <c r="F531">
        <v>68</v>
      </c>
      <c r="G531">
        <v>225</v>
      </c>
      <c r="H531">
        <v>1055</v>
      </c>
      <c r="I531">
        <v>1030</v>
      </c>
      <c r="J531">
        <v>39.345416999999998</v>
      </c>
      <c r="K531">
        <v>-0.86624999999999996</v>
      </c>
      <c r="L531">
        <v>68</v>
      </c>
      <c r="M531">
        <v>1440</v>
      </c>
      <c r="N531">
        <v>2.7566999999999999</v>
      </c>
      <c r="O531">
        <v>9416400</v>
      </c>
      <c r="P531">
        <v>5.3163999999999998</v>
      </c>
      <c r="Q531">
        <v>2.6189</v>
      </c>
      <c r="R531">
        <v>391</v>
      </c>
      <c r="S531">
        <v>2.2361</v>
      </c>
      <c r="T531">
        <v>6375</v>
      </c>
      <c r="U531">
        <f t="shared" si="8"/>
        <v>0.16156862745098038</v>
      </c>
    </row>
    <row r="532" spans="1:21" x14ac:dyDescent="0.35">
      <c r="A532">
        <v>2814</v>
      </c>
      <c r="B532" t="s">
        <v>6</v>
      </c>
      <c r="C532" t="s">
        <v>1989</v>
      </c>
      <c r="D532">
        <v>7.1</v>
      </c>
      <c r="E532">
        <v>0.7</v>
      </c>
      <c r="F532">
        <v>36</v>
      </c>
      <c r="G532">
        <v>487</v>
      </c>
      <c r="H532">
        <v>411</v>
      </c>
      <c r="I532">
        <v>1063</v>
      </c>
      <c r="J532">
        <v>39.278750000000002</v>
      </c>
      <c r="K532">
        <v>-5.1662499999999998</v>
      </c>
      <c r="L532">
        <v>36</v>
      </c>
      <c r="M532">
        <v>1080</v>
      </c>
      <c r="N532">
        <v>1.8419000000000001</v>
      </c>
      <c r="O532">
        <v>5683900</v>
      </c>
      <c r="P532">
        <v>9.3687000000000005</v>
      </c>
      <c r="Q532">
        <v>3.4569000000000001</v>
      </c>
      <c r="R532">
        <v>363</v>
      </c>
      <c r="S532">
        <v>0.5</v>
      </c>
      <c r="T532">
        <v>2471</v>
      </c>
      <c r="U532">
        <f t="shared" si="8"/>
        <v>0.43019020639417238</v>
      </c>
    </row>
    <row r="533" spans="1:21" x14ac:dyDescent="0.35">
      <c r="A533">
        <v>2815</v>
      </c>
      <c r="B533" t="s">
        <v>6</v>
      </c>
      <c r="C533" t="s">
        <v>1888</v>
      </c>
      <c r="D533">
        <v>29</v>
      </c>
      <c r="E533">
        <v>0.3</v>
      </c>
      <c r="F533">
        <v>84</v>
      </c>
      <c r="G533">
        <v>191</v>
      </c>
      <c r="H533">
        <v>16387</v>
      </c>
      <c r="I533">
        <v>29225</v>
      </c>
      <c r="J533">
        <v>39.277082999999998</v>
      </c>
      <c r="K533">
        <v>-0.85208300000000003</v>
      </c>
      <c r="L533">
        <v>84</v>
      </c>
      <c r="M533">
        <v>402.49</v>
      </c>
      <c r="N533">
        <v>74.004000000000005</v>
      </c>
      <c r="O533">
        <v>274680000</v>
      </c>
      <c r="P533">
        <v>0.23644000000000001</v>
      </c>
      <c r="Q533">
        <v>59.914000000000001</v>
      </c>
      <c r="R533">
        <v>344</v>
      </c>
      <c r="S533">
        <v>0.5</v>
      </c>
      <c r="T533">
        <v>98897</v>
      </c>
      <c r="U533">
        <f t="shared" si="8"/>
        <v>0.29550946944801154</v>
      </c>
    </row>
    <row r="534" spans="1:21" x14ac:dyDescent="0.35">
      <c r="A534">
        <v>2816</v>
      </c>
      <c r="B534" t="s">
        <v>6</v>
      </c>
      <c r="C534" t="s">
        <v>1975</v>
      </c>
      <c r="D534">
        <v>50.4</v>
      </c>
      <c r="E534">
        <v>2.2999999999999998</v>
      </c>
      <c r="F534">
        <v>43</v>
      </c>
      <c r="G534">
        <v>800</v>
      </c>
      <c r="H534">
        <v>139</v>
      </c>
      <c r="I534">
        <v>386</v>
      </c>
      <c r="J534">
        <v>39.270417000000002</v>
      </c>
      <c r="K534">
        <v>-5.4954169999999998</v>
      </c>
      <c r="L534">
        <v>43</v>
      </c>
      <c r="M534">
        <v>1659.5</v>
      </c>
      <c r="N534">
        <v>0.74795</v>
      </c>
      <c r="O534">
        <v>2308000</v>
      </c>
      <c r="P534">
        <v>11.398</v>
      </c>
      <c r="Q534">
        <v>1.1693</v>
      </c>
      <c r="R534">
        <v>383</v>
      </c>
      <c r="S534">
        <v>10.44</v>
      </c>
      <c r="T534">
        <v>836</v>
      </c>
      <c r="U534">
        <f t="shared" si="8"/>
        <v>0.46172248803827753</v>
      </c>
    </row>
    <row r="535" spans="1:21" x14ac:dyDescent="0.35">
      <c r="A535">
        <v>2817</v>
      </c>
      <c r="B535" t="s">
        <v>6</v>
      </c>
      <c r="C535" t="s">
        <v>1863</v>
      </c>
      <c r="D535">
        <v>116</v>
      </c>
      <c r="E535">
        <v>2.6</v>
      </c>
      <c r="F535">
        <v>112</v>
      </c>
      <c r="G535">
        <v>312</v>
      </c>
      <c r="H535">
        <v>16330</v>
      </c>
      <c r="I535">
        <v>29195</v>
      </c>
      <c r="J535">
        <v>39.260416999999997</v>
      </c>
      <c r="K535">
        <v>-0.91958300000000004</v>
      </c>
      <c r="L535">
        <v>112</v>
      </c>
      <c r="M535">
        <v>649</v>
      </c>
      <c r="N535">
        <v>98.412000000000006</v>
      </c>
      <c r="O535">
        <v>365610000</v>
      </c>
      <c r="P535">
        <v>0.32232</v>
      </c>
      <c r="Q535">
        <v>59.661000000000001</v>
      </c>
      <c r="R535">
        <v>421</v>
      </c>
      <c r="S535">
        <v>0.5</v>
      </c>
      <c r="T535">
        <v>98554</v>
      </c>
      <c r="U535">
        <f t="shared" si="8"/>
        <v>0.29623353694421334</v>
      </c>
    </row>
    <row r="536" spans="1:21" x14ac:dyDescent="0.35">
      <c r="A536">
        <v>2818</v>
      </c>
      <c r="B536" t="s">
        <v>6</v>
      </c>
      <c r="C536" t="s">
        <v>2000</v>
      </c>
      <c r="D536">
        <v>11</v>
      </c>
      <c r="E536">
        <v>0.5</v>
      </c>
      <c r="F536">
        <v>32</v>
      </c>
      <c r="G536">
        <v>65</v>
      </c>
      <c r="H536">
        <v>16176</v>
      </c>
      <c r="I536">
        <v>29109</v>
      </c>
      <c r="J536">
        <v>39.241250000000001</v>
      </c>
      <c r="K536">
        <v>-1.037083</v>
      </c>
      <c r="L536">
        <v>32</v>
      </c>
      <c r="M536">
        <v>180</v>
      </c>
      <c r="N536">
        <v>26.981000000000002</v>
      </c>
      <c r="O536">
        <v>100430000</v>
      </c>
      <c r="P536">
        <v>0.56904999999999994</v>
      </c>
      <c r="Q536">
        <v>59.085999999999999</v>
      </c>
      <c r="R536">
        <v>506</v>
      </c>
      <c r="S536">
        <v>0.5</v>
      </c>
      <c r="T536">
        <v>97625</v>
      </c>
      <c r="U536">
        <f t="shared" si="8"/>
        <v>0.29817157490396928</v>
      </c>
    </row>
    <row r="537" spans="1:21" x14ac:dyDescent="0.35">
      <c r="A537">
        <v>2819</v>
      </c>
      <c r="B537" t="s">
        <v>6</v>
      </c>
      <c r="C537" t="s">
        <v>2017</v>
      </c>
      <c r="D537">
        <v>20</v>
      </c>
      <c r="E537">
        <v>1</v>
      </c>
      <c r="F537">
        <v>-99</v>
      </c>
      <c r="G537">
        <v>-99</v>
      </c>
      <c r="H537">
        <v>1</v>
      </c>
      <c r="I537">
        <v>1</v>
      </c>
      <c r="J537">
        <v>39.239583000000003</v>
      </c>
      <c r="K537">
        <v>-0.92625000000000002</v>
      </c>
      <c r="L537">
        <v>14</v>
      </c>
      <c r="M537">
        <v>1272.8</v>
      </c>
      <c r="N537">
        <v>3.4720999999999998E-4</v>
      </c>
      <c r="O537">
        <v>1113.4000000000001</v>
      </c>
      <c r="P537">
        <v>2931.2</v>
      </c>
      <c r="Q537">
        <v>1.4752999999999999E-3</v>
      </c>
      <c r="R537">
        <v>820</v>
      </c>
      <c r="S537">
        <v>1</v>
      </c>
      <c r="T537">
        <v>2</v>
      </c>
      <c r="U537">
        <f t="shared" si="8"/>
        <v>0.5</v>
      </c>
    </row>
    <row r="538" spans="1:21" x14ac:dyDescent="0.35">
      <c r="A538">
        <v>2820</v>
      </c>
      <c r="B538" t="s">
        <v>6</v>
      </c>
      <c r="C538" t="s">
        <v>2014</v>
      </c>
      <c r="D538">
        <v>232</v>
      </c>
      <c r="E538">
        <v>11.7</v>
      </c>
      <c r="F538">
        <v>-99</v>
      </c>
      <c r="G538">
        <v>-99</v>
      </c>
      <c r="H538">
        <v>210</v>
      </c>
      <c r="I538">
        <v>601</v>
      </c>
      <c r="J538">
        <v>39.195416999999999</v>
      </c>
      <c r="K538">
        <v>-5.6454170000000001</v>
      </c>
      <c r="L538">
        <v>18</v>
      </c>
      <c r="M538">
        <v>649</v>
      </c>
      <c r="N538">
        <v>0.35553000000000001</v>
      </c>
      <c r="O538">
        <v>1120100</v>
      </c>
      <c r="P538">
        <v>3.3721999999999999</v>
      </c>
      <c r="Q538">
        <v>1.3505</v>
      </c>
      <c r="R538">
        <v>295</v>
      </c>
      <c r="S538">
        <v>18.027999999999999</v>
      </c>
      <c r="T538">
        <v>1263</v>
      </c>
      <c r="U538">
        <f t="shared" si="8"/>
        <v>0.4758511480601742</v>
      </c>
    </row>
    <row r="539" spans="1:21" x14ac:dyDescent="0.35">
      <c r="A539">
        <v>2821</v>
      </c>
      <c r="B539" t="s">
        <v>6</v>
      </c>
      <c r="C539" t="s">
        <v>1960</v>
      </c>
      <c r="D539">
        <v>207.4</v>
      </c>
      <c r="E539">
        <v>7.8</v>
      </c>
      <c r="F539">
        <v>50</v>
      </c>
      <c r="G539">
        <v>205</v>
      </c>
      <c r="H539">
        <v>1019</v>
      </c>
      <c r="I539">
        <v>8836</v>
      </c>
      <c r="J539">
        <v>39.153750000000002</v>
      </c>
      <c r="K539">
        <v>-6.86625</v>
      </c>
      <c r="L539">
        <v>50</v>
      </c>
      <c r="M539">
        <v>1707.6</v>
      </c>
      <c r="N539">
        <v>6.1565000000000003</v>
      </c>
      <c r="O539">
        <v>17521000</v>
      </c>
      <c r="P539">
        <v>2.4216000000000002</v>
      </c>
      <c r="Q539">
        <v>6.9444999999999997</v>
      </c>
      <c r="R539">
        <v>268</v>
      </c>
      <c r="S539">
        <v>16.030999999999999</v>
      </c>
      <c r="T539">
        <v>6135</v>
      </c>
      <c r="U539">
        <f t="shared" si="8"/>
        <v>1.4402607986960065</v>
      </c>
    </row>
    <row r="540" spans="1:21" x14ac:dyDescent="0.35">
      <c r="A540">
        <v>2822</v>
      </c>
      <c r="B540" t="s">
        <v>6</v>
      </c>
      <c r="C540" t="s">
        <v>1922</v>
      </c>
      <c r="D540">
        <v>640</v>
      </c>
      <c r="E540">
        <v>22.8</v>
      </c>
      <c r="F540">
        <v>65</v>
      </c>
      <c r="G540">
        <v>245</v>
      </c>
      <c r="H540">
        <v>25815</v>
      </c>
      <c r="I540">
        <v>41572</v>
      </c>
      <c r="J540">
        <v>39.145417000000002</v>
      </c>
      <c r="K540">
        <v>-5.1862500000000002</v>
      </c>
      <c r="L540">
        <v>65</v>
      </c>
      <c r="M540">
        <v>509.12</v>
      </c>
      <c r="N540">
        <v>83.156999999999996</v>
      </c>
      <c r="O540">
        <v>311340000</v>
      </c>
      <c r="P540">
        <v>0.32256000000000001</v>
      </c>
      <c r="Q540">
        <v>107.6</v>
      </c>
      <c r="R540">
        <v>387</v>
      </c>
      <c r="S540">
        <v>0.5</v>
      </c>
      <c r="T540">
        <v>155290</v>
      </c>
      <c r="U540">
        <f t="shared" si="8"/>
        <v>0.26770558310258225</v>
      </c>
    </row>
    <row r="541" spans="1:21" x14ac:dyDescent="0.35">
      <c r="A541">
        <v>2823</v>
      </c>
      <c r="B541" t="s">
        <v>6</v>
      </c>
      <c r="C541" t="s">
        <v>1855</v>
      </c>
      <c r="D541">
        <v>340.4</v>
      </c>
      <c r="E541">
        <v>3.3</v>
      </c>
      <c r="F541">
        <v>136</v>
      </c>
      <c r="G541">
        <v>1025</v>
      </c>
      <c r="H541">
        <v>17064</v>
      </c>
      <c r="I541">
        <v>29519</v>
      </c>
      <c r="J541">
        <v>39.137082999999997</v>
      </c>
      <c r="K541">
        <v>-0.65791699999999997</v>
      </c>
      <c r="L541">
        <v>136</v>
      </c>
      <c r="M541">
        <v>1527.4</v>
      </c>
      <c r="N541">
        <v>129.24</v>
      </c>
      <c r="O541">
        <v>475110000</v>
      </c>
      <c r="P541">
        <v>0.41487000000000002</v>
      </c>
      <c r="Q541">
        <v>62.911000000000001</v>
      </c>
      <c r="R541">
        <v>134</v>
      </c>
      <c r="S541">
        <v>2</v>
      </c>
      <c r="T541">
        <v>102960</v>
      </c>
      <c r="U541">
        <f t="shared" si="8"/>
        <v>0.28670357420357423</v>
      </c>
    </row>
    <row r="542" spans="1:21" x14ac:dyDescent="0.35">
      <c r="A542">
        <v>2824</v>
      </c>
      <c r="B542" t="s">
        <v>6</v>
      </c>
      <c r="C542" t="s">
        <v>2011</v>
      </c>
      <c r="D542">
        <v>41.7</v>
      </c>
      <c r="E542">
        <v>3.6</v>
      </c>
      <c r="F542">
        <v>15</v>
      </c>
      <c r="G542">
        <v>178</v>
      </c>
      <c r="H542">
        <v>163</v>
      </c>
      <c r="I542">
        <v>286</v>
      </c>
      <c r="J542">
        <v>39.132916999999999</v>
      </c>
      <c r="K542">
        <v>-3.9387500000000002</v>
      </c>
      <c r="L542">
        <v>15</v>
      </c>
      <c r="M542">
        <v>254.56</v>
      </c>
      <c r="N542">
        <v>0.13924</v>
      </c>
      <c r="O542">
        <v>519610</v>
      </c>
      <c r="P542">
        <v>13.685</v>
      </c>
      <c r="Q542">
        <v>0.88290000000000002</v>
      </c>
      <c r="R542">
        <v>666</v>
      </c>
      <c r="S542">
        <v>7.8102</v>
      </c>
      <c r="T542">
        <v>978</v>
      </c>
      <c r="U542">
        <f t="shared" si="8"/>
        <v>0.29243353783231085</v>
      </c>
    </row>
    <row r="543" spans="1:21" x14ac:dyDescent="0.35">
      <c r="A543">
        <v>2825</v>
      </c>
      <c r="B543" t="s">
        <v>6</v>
      </c>
      <c r="C543" t="s">
        <v>2010</v>
      </c>
      <c r="D543">
        <v>52</v>
      </c>
      <c r="E543">
        <v>1.6</v>
      </c>
      <c r="F543">
        <v>22</v>
      </c>
      <c r="G543">
        <v>173</v>
      </c>
      <c r="H543">
        <v>16163</v>
      </c>
      <c r="I543">
        <v>21362</v>
      </c>
      <c r="J543">
        <v>39.061250000000001</v>
      </c>
      <c r="K543">
        <v>-3.9929169999999998</v>
      </c>
      <c r="L543">
        <v>22</v>
      </c>
      <c r="M543">
        <v>540</v>
      </c>
      <c r="N543">
        <v>13.098000000000001</v>
      </c>
      <c r="O543">
        <v>52769000</v>
      </c>
      <c r="P543">
        <v>23.863</v>
      </c>
      <c r="Q543">
        <v>52.164000000000001</v>
      </c>
      <c r="R543">
        <v>626</v>
      </c>
      <c r="S543">
        <v>7.2111000000000001</v>
      </c>
      <c r="T543">
        <v>97360</v>
      </c>
      <c r="U543">
        <f t="shared" si="8"/>
        <v>0.21941248972884142</v>
      </c>
    </row>
    <row r="544" spans="1:21" x14ac:dyDescent="0.35">
      <c r="A544">
        <v>2826</v>
      </c>
      <c r="B544" t="s">
        <v>6</v>
      </c>
      <c r="C544" t="s">
        <v>1962</v>
      </c>
      <c r="D544">
        <v>47.8</v>
      </c>
      <c r="E544">
        <v>3.9</v>
      </c>
      <c r="F544">
        <v>50</v>
      </c>
      <c r="G544">
        <v>250</v>
      </c>
      <c r="H544">
        <v>951</v>
      </c>
      <c r="I544">
        <v>1136</v>
      </c>
      <c r="J544">
        <v>39.061250000000001</v>
      </c>
      <c r="K544">
        <v>-3.005417</v>
      </c>
      <c r="L544">
        <v>50</v>
      </c>
      <c r="M544">
        <v>1138.4000000000001</v>
      </c>
      <c r="N544">
        <v>3.0668000000000002</v>
      </c>
      <c r="O544">
        <v>11704000</v>
      </c>
      <c r="P544">
        <v>3.2633999999999999</v>
      </c>
      <c r="Q544">
        <v>4.8029000000000002</v>
      </c>
      <c r="R544">
        <v>753</v>
      </c>
      <c r="S544">
        <v>30.414000000000001</v>
      </c>
      <c r="T544">
        <v>5695</v>
      </c>
      <c r="U544">
        <f t="shared" si="8"/>
        <v>0.19947322212467075</v>
      </c>
    </row>
    <row r="545" spans="1:21" x14ac:dyDescent="0.35">
      <c r="A545">
        <v>2830</v>
      </c>
      <c r="B545" t="s">
        <v>6</v>
      </c>
      <c r="C545" t="s">
        <v>1927</v>
      </c>
      <c r="D545">
        <v>900</v>
      </c>
      <c r="E545">
        <v>40</v>
      </c>
      <c r="F545">
        <v>63</v>
      </c>
      <c r="G545">
        <v>737</v>
      </c>
      <c r="H545">
        <v>26255</v>
      </c>
      <c r="I545">
        <v>42586</v>
      </c>
      <c r="J545">
        <v>38.987082999999998</v>
      </c>
      <c r="K545">
        <v>-5.5379170000000002</v>
      </c>
      <c r="L545">
        <v>63</v>
      </c>
      <c r="M545">
        <v>2226.5</v>
      </c>
      <c r="N545">
        <v>83.652000000000001</v>
      </c>
      <c r="O545">
        <v>311180000</v>
      </c>
      <c r="P545">
        <v>0.28398000000000001</v>
      </c>
      <c r="Q545">
        <v>111.01</v>
      </c>
      <c r="R545">
        <v>283</v>
      </c>
      <c r="S545">
        <v>0.5</v>
      </c>
      <c r="T545">
        <v>157930</v>
      </c>
      <c r="U545">
        <f t="shared" si="8"/>
        <v>0.26965111125182045</v>
      </c>
    </row>
    <row r="546" spans="1:21" x14ac:dyDescent="0.35">
      <c r="A546">
        <v>2831</v>
      </c>
      <c r="B546" t="s">
        <v>6</v>
      </c>
      <c r="C546" t="s">
        <v>1970</v>
      </c>
      <c r="D546">
        <v>69.2</v>
      </c>
      <c r="E546">
        <v>2.1</v>
      </c>
      <c r="F546">
        <v>46</v>
      </c>
      <c r="G546">
        <v>724</v>
      </c>
      <c r="H546">
        <v>498</v>
      </c>
      <c r="I546">
        <v>151</v>
      </c>
      <c r="J546">
        <v>38.938749999999999</v>
      </c>
      <c r="K546">
        <v>-0.47791699999999998</v>
      </c>
      <c r="L546">
        <v>46</v>
      </c>
      <c r="M546">
        <v>1537.9</v>
      </c>
      <c r="N546">
        <v>1.9297</v>
      </c>
      <c r="O546">
        <v>7269800</v>
      </c>
      <c r="P546">
        <v>6.3533999999999997</v>
      </c>
      <c r="Q546">
        <v>2.8069000000000002</v>
      </c>
      <c r="R546">
        <v>133</v>
      </c>
      <c r="S546">
        <v>1</v>
      </c>
      <c r="T546">
        <v>2978</v>
      </c>
      <c r="U546">
        <f t="shared" si="8"/>
        <v>5.0705171255876424E-2</v>
      </c>
    </row>
    <row r="547" spans="1:21" x14ac:dyDescent="0.35">
      <c r="A547">
        <v>2832</v>
      </c>
      <c r="B547" t="s">
        <v>6</v>
      </c>
      <c r="C547" t="s">
        <v>1933</v>
      </c>
      <c r="D547">
        <v>346</v>
      </c>
      <c r="E547">
        <v>12.9</v>
      </c>
      <c r="F547">
        <v>61</v>
      </c>
      <c r="G547">
        <v>350</v>
      </c>
      <c r="H547">
        <v>7651</v>
      </c>
      <c r="I547">
        <v>23866</v>
      </c>
      <c r="J547">
        <v>38.920417</v>
      </c>
      <c r="K547">
        <v>-5.4787499999999998</v>
      </c>
      <c r="L547">
        <v>61</v>
      </c>
      <c r="M547">
        <v>1310.4000000000001</v>
      </c>
      <c r="N547">
        <v>37.401000000000003</v>
      </c>
      <c r="O547">
        <v>121400000</v>
      </c>
      <c r="P547">
        <v>0.46189999999999998</v>
      </c>
      <c r="Q547">
        <v>43.16</v>
      </c>
      <c r="R547">
        <v>305</v>
      </c>
      <c r="S547">
        <v>1.4141999999999999</v>
      </c>
      <c r="T547">
        <v>45652</v>
      </c>
      <c r="U547">
        <f t="shared" si="8"/>
        <v>0.52278103916586349</v>
      </c>
    </row>
    <row r="548" spans="1:21" x14ac:dyDescent="0.35">
      <c r="A548">
        <v>2833</v>
      </c>
      <c r="B548" t="s">
        <v>6</v>
      </c>
      <c r="C548" t="s">
        <v>1883</v>
      </c>
      <c r="D548">
        <v>3231.8</v>
      </c>
      <c r="E548">
        <v>93.1</v>
      </c>
      <c r="F548">
        <v>88</v>
      </c>
      <c r="G548">
        <v>580</v>
      </c>
      <c r="H548">
        <v>7426</v>
      </c>
      <c r="I548">
        <v>23249</v>
      </c>
      <c r="J548">
        <v>38.912083000000003</v>
      </c>
      <c r="K548">
        <v>-5.412083</v>
      </c>
      <c r="L548">
        <v>88</v>
      </c>
      <c r="M548">
        <v>3976.3</v>
      </c>
      <c r="N548">
        <v>52.683999999999997</v>
      </c>
      <c r="O548">
        <v>171060000</v>
      </c>
      <c r="P548">
        <v>1.5225</v>
      </c>
      <c r="Q548">
        <v>41.933</v>
      </c>
      <c r="R548">
        <v>345</v>
      </c>
      <c r="S548">
        <v>0.5</v>
      </c>
      <c r="T548">
        <v>44308</v>
      </c>
      <c r="U548">
        <f t="shared" si="8"/>
        <v>0.52471337004604135</v>
      </c>
    </row>
    <row r="549" spans="1:21" x14ac:dyDescent="0.35">
      <c r="A549">
        <v>2835</v>
      </c>
      <c r="B549" t="s">
        <v>6</v>
      </c>
      <c r="C549" t="s">
        <v>1915</v>
      </c>
      <c r="D549">
        <v>851.7</v>
      </c>
      <c r="E549">
        <v>33.1</v>
      </c>
      <c r="F549">
        <v>67</v>
      </c>
      <c r="G549">
        <v>720</v>
      </c>
      <c r="H549">
        <v>2525</v>
      </c>
      <c r="I549">
        <v>10427</v>
      </c>
      <c r="J549">
        <v>38.786250000000003</v>
      </c>
      <c r="K549">
        <v>-6.2704170000000001</v>
      </c>
      <c r="L549">
        <v>67</v>
      </c>
      <c r="M549">
        <v>742.16</v>
      </c>
      <c r="N549">
        <v>16.074000000000002</v>
      </c>
      <c r="O549">
        <v>48205000</v>
      </c>
      <c r="P549">
        <v>0.94108999999999998</v>
      </c>
      <c r="Q549">
        <v>14.327999999999999</v>
      </c>
      <c r="R549">
        <v>261</v>
      </c>
      <c r="S549">
        <v>2.2361</v>
      </c>
      <c r="T549">
        <v>15029</v>
      </c>
      <c r="U549">
        <f t="shared" si="8"/>
        <v>0.69379200212921688</v>
      </c>
    </row>
    <row r="550" spans="1:21" x14ac:dyDescent="0.35">
      <c r="A550">
        <v>2836</v>
      </c>
      <c r="B550" t="s">
        <v>6</v>
      </c>
      <c r="C550" t="s">
        <v>2009</v>
      </c>
      <c r="D550">
        <v>33.5</v>
      </c>
      <c r="E550">
        <v>3.3</v>
      </c>
      <c r="F550">
        <v>25</v>
      </c>
      <c r="G550">
        <v>535</v>
      </c>
      <c r="H550">
        <v>1806</v>
      </c>
      <c r="I550">
        <v>2785</v>
      </c>
      <c r="J550">
        <v>38.762082999999997</v>
      </c>
      <c r="K550">
        <v>-3.7879170000000002</v>
      </c>
      <c r="L550">
        <v>25</v>
      </c>
      <c r="M550">
        <v>2346.9</v>
      </c>
      <c r="N550">
        <v>1.5182</v>
      </c>
      <c r="O550">
        <v>6360200</v>
      </c>
      <c r="P550">
        <v>2.5282</v>
      </c>
      <c r="Q550">
        <v>5.67</v>
      </c>
      <c r="R550">
        <v>629</v>
      </c>
      <c r="S550">
        <v>24.166</v>
      </c>
      <c r="T550">
        <v>10780</v>
      </c>
      <c r="U550">
        <f t="shared" si="8"/>
        <v>0.25834879406307976</v>
      </c>
    </row>
    <row r="551" spans="1:21" x14ac:dyDescent="0.35">
      <c r="A551">
        <v>2838</v>
      </c>
      <c r="B551" t="s">
        <v>6</v>
      </c>
      <c r="C551" t="s">
        <v>2004</v>
      </c>
      <c r="D551">
        <v>62</v>
      </c>
      <c r="E551">
        <v>5</v>
      </c>
      <c r="F551">
        <v>30</v>
      </c>
      <c r="G551">
        <v>698</v>
      </c>
      <c r="H551">
        <v>550</v>
      </c>
      <c r="I551">
        <v>729</v>
      </c>
      <c r="J551">
        <v>38.695416999999999</v>
      </c>
      <c r="K551">
        <v>-3.2745829999999998</v>
      </c>
      <c r="L551">
        <v>30</v>
      </c>
      <c r="M551">
        <v>900</v>
      </c>
      <c r="N551">
        <v>0.72435000000000005</v>
      </c>
      <c r="O551">
        <v>2922600</v>
      </c>
      <c r="P551">
        <v>4.5564</v>
      </c>
      <c r="Q551">
        <v>2.0968</v>
      </c>
      <c r="R551">
        <v>758</v>
      </c>
      <c r="S551">
        <v>40.804000000000002</v>
      </c>
      <c r="T551">
        <v>3281</v>
      </c>
      <c r="U551">
        <f t="shared" si="8"/>
        <v>0.22218835720816824</v>
      </c>
    </row>
    <row r="552" spans="1:21" x14ac:dyDescent="0.35">
      <c r="A552">
        <v>2840</v>
      </c>
      <c r="B552" t="s">
        <v>6</v>
      </c>
      <c r="C552" t="s">
        <v>1982</v>
      </c>
      <c r="D552">
        <v>13.2</v>
      </c>
      <c r="E552">
        <v>1.3</v>
      </c>
      <c r="F552">
        <v>39</v>
      </c>
      <c r="G552">
        <v>193</v>
      </c>
      <c r="H552">
        <v>135</v>
      </c>
      <c r="I552">
        <v>244</v>
      </c>
      <c r="J552">
        <v>38.557917000000003</v>
      </c>
      <c r="K552">
        <v>-3.6287500000000001</v>
      </c>
      <c r="L552">
        <v>39</v>
      </c>
      <c r="M552">
        <v>509.12</v>
      </c>
      <c r="N552">
        <v>0.19316</v>
      </c>
      <c r="O552">
        <v>752810</v>
      </c>
      <c r="P552">
        <v>12.124000000000001</v>
      </c>
      <c r="Q552">
        <v>0.43187999999999999</v>
      </c>
      <c r="R552">
        <v>735</v>
      </c>
      <c r="S552">
        <v>35.228000000000002</v>
      </c>
      <c r="T552">
        <v>820</v>
      </c>
      <c r="U552">
        <f t="shared" si="8"/>
        <v>0.29756097560975608</v>
      </c>
    </row>
    <row r="553" spans="1:21" x14ac:dyDescent="0.35">
      <c r="A553">
        <v>2843</v>
      </c>
      <c r="B553" t="s">
        <v>6</v>
      </c>
      <c r="C553" t="s">
        <v>1990</v>
      </c>
      <c r="D553">
        <v>49.2</v>
      </c>
      <c r="E553">
        <v>2.7</v>
      </c>
      <c r="F553">
        <v>35</v>
      </c>
      <c r="G553">
        <v>305</v>
      </c>
      <c r="H553">
        <v>1221</v>
      </c>
      <c r="I553">
        <v>5060</v>
      </c>
      <c r="J553">
        <v>38.532916999999998</v>
      </c>
      <c r="K553">
        <v>-6.1245830000000003</v>
      </c>
      <c r="L553">
        <v>35</v>
      </c>
      <c r="M553">
        <v>1049.5999999999999</v>
      </c>
      <c r="N553">
        <v>4.3827999999999996</v>
      </c>
      <c r="O553">
        <v>13245000</v>
      </c>
      <c r="P553">
        <v>1.1337999999999999</v>
      </c>
      <c r="Q553">
        <v>7.7381000000000002</v>
      </c>
      <c r="R553">
        <v>356</v>
      </c>
      <c r="S553">
        <v>13.416</v>
      </c>
      <c r="T553">
        <v>7253</v>
      </c>
      <c r="U553">
        <f t="shared" si="8"/>
        <v>0.69764235488763271</v>
      </c>
    </row>
    <row r="554" spans="1:21" x14ac:dyDescent="0.35">
      <c r="A554">
        <v>2844</v>
      </c>
      <c r="B554" t="s">
        <v>6</v>
      </c>
      <c r="C554" t="s">
        <v>1978</v>
      </c>
      <c r="D554">
        <v>28</v>
      </c>
      <c r="E554">
        <v>3.2</v>
      </c>
      <c r="F554">
        <v>41</v>
      </c>
      <c r="G554">
        <v>174</v>
      </c>
      <c r="H554">
        <v>552</v>
      </c>
      <c r="I554">
        <v>1612</v>
      </c>
      <c r="J554">
        <v>38.528750000000002</v>
      </c>
      <c r="K554">
        <v>-4.099583</v>
      </c>
      <c r="L554">
        <v>41</v>
      </c>
      <c r="M554">
        <v>360</v>
      </c>
      <c r="N554">
        <v>0.86917999999999995</v>
      </c>
      <c r="O554">
        <v>3453700</v>
      </c>
      <c r="P554">
        <v>1.75</v>
      </c>
      <c r="Q554">
        <v>2.0998999999999999</v>
      </c>
      <c r="R554">
        <v>543</v>
      </c>
      <c r="S554">
        <v>0.5</v>
      </c>
      <c r="T554">
        <v>3288</v>
      </c>
      <c r="U554">
        <f t="shared" si="8"/>
        <v>0.49026763990267641</v>
      </c>
    </row>
    <row r="555" spans="1:21" x14ac:dyDescent="0.35">
      <c r="A555">
        <v>2850</v>
      </c>
      <c r="B555" t="s">
        <v>6</v>
      </c>
      <c r="C555" t="s">
        <v>1873</v>
      </c>
      <c r="D555">
        <v>346.5</v>
      </c>
      <c r="E555">
        <v>6.5</v>
      </c>
      <c r="F555">
        <v>96</v>
      </c>
      <c r="G555">
        <v>348</v>
      </c>
      <c r="H555">
        <v>1236</v>
      </c>
      <c r="I555">
        <v>1450</v>
      </c>
      <c r="J555">
        <v>38.365417000000001</v>
      </c>
      <c r="K555">
        <v>-2.9137499999999998</v>
      </c>
      <c r="L555">
        <v>96</v>
      </c>
      <c r="M555">
        <v>720</v>
      </c>
      <c r="N555">
        <v>9.0332000000000008</v>
      </c>
      <c r="O555">
        <v>33753000</v>
      </c>
      <c r="P555">
        <v>1.4574</v>
      </c>
      <c r="Q555">
        <v>7.3830999999999998</v>
      </c>
      <c r="R555">
        <v>543</v>
      </c>
      <c r="S555">
        <v>47.17</v>
      </c>
      <c r="T555">
        <v>7365</v>
      </c>
      <c r="U555">
        <f t="shared" si="8"/>
        <v>0.19687712152070605</v>
      </c>
    </row>
    <row r="556" spans="1:21" x14ac:dyDescent="0.35">
      <c r="A556">
        <v>2853</v>
      </c>
      <c r="B556" t="s">
        <v>6</v>
      </c>
      <c r="C556" t="s">
        <v>1998</v>
      </c>
      <c r="D556">
        <v>40.9</v>
      </c>
      <c r="E556">
        <v>3.1</v>
      </c>
      <c r="F556">
        <v>33</v>
      </c>
      <c r="G556">
        <v>510</v>
      </c>
      <c r="H556">
        <v>422</v>
      </c>
      <c r="I556">
        <v>1705</v>
      </c>
      <c r="J556">
        <v>38.262082999999997</v>
      </c>
      <c r="K556">
        <v>-5.2237499999999999</v>
      </c>
      <c r="L556">
        <v>33</v>
      </c>
      <c r="M556">
        <v>900</v>
      </c>
      <c r="N556">
        <v>1.0550999999999999</v>
      </c>
      <c r="O556">
        <v>3308200</v>
      </c>
      <c r="P556">
        <v>7.8932000000000002</v>
      </c>
      <c r="Q556">
        <v>2.0485000000000002</v>
      </c>
      <c r="R556">
        <v>488</v>
      </c>
      <c r="S556">
        <v>38.588000000000001</v>
      </c>
      <c r="T556">
        <v>2507</v>
      </c>
      <c r="U556">
        <f t="shared" si="8"/>
        <v>0.68009573195053852</v>
      </c>
    </row>
    <row r="557" spans="1:21" x14ac:dyDescent="0.35">
      <c r="A557">
        <v>2855</v>
      </c>
      <c r="B557" t="s">
        <v>6</v>
      </c>
      <c r="C557" t="s">
        <v>1880</v>
      </c>
      <c r="D557">
        <v>322</v>
      </c>
      <c r="E557">
        <v>4.5999999999999996</v>
      </c>
      <c r="F557">
        <v>90</v>
      </c>
      <c r="G557">
        <v>240</v>
      </c>
      <c r="H557">
        <v>2245</v>
      </c>
      <c r="I557">
        <v>5496</v>
      </c>
      <c r="J557">
        <v>38.228749999999998</v>
      </c>
      <c r="K557">
        <v>-3.974583</v>
      </c>
      <c r="L557">
        <v>90</v>
      </c>
      <c r="M557">
        <v>742.16</v>
      </c>
      <c r="N557">
        <v>7.5133999999999999</v>
      </c>
      <c r="O557">
        <v>29565000</v>
      </c>
      <c r="P557">
        <v>1.4804999999999999</v>
      </c>
      <c r="Q557">
        <v>7.7624000000000004</v>
      </c>
      <c r="R557">
        <v>380</v>
      </c>
      <c r="S557">
        <v>8.6022999999999996</v>
      </c>
      <c r="T557">
        <v>13368</v>
      </c>
      <c r="U557">
        <f t="shared" si="8"/>
        <v>0.4111310592459605</v>
      </c>
    </row>
    <row r="558" spans="1:21" x14ac:dyDescent="0.35">
      <c r="A558">
        <v>2860</v>
      </c>
      <c r="B558" t="s">
        <v>6</v>
      </c>
      <c r="C558" t="s">
        <v>1866</v>
      </c>
      <c r="D558">
        <v>245</v>
      </c>
      <c r="E558">
        <v>4.7</v>
      </c>
      <c r="F558">
        <v>101</v>
      </c>
      <c r="G558">
        <v>462</v>
      </c>
      <c r="H558">
        <v>648</v>
      </c>
      <c r="I558">
        <v>1046</v>
      </c>
      <c r="J558">
        <v>38.182917000000003</v>
      </c>
      <c r="K558">
        <v>-3.570417</v>
      </c>
      <c r="L558">
        <v>101</v>
      </c>
      <c r="M558">
        <v>900</v>
      </c>
      <c r="N558">
        <v>4.3041</v>
      </c>
      <c r="O558">
        <v>14750000</v>
      </c>
      <c r="P558">
        <v>4.4694000000000003</v>
      </c>
      <c r="Q558">
        <v>3.1008</v>
      </c>
      <c r="R558">
        <v>400</v>
      </c>
      <c r="S558">
        <v>5</v>
      </c>
      <c r="T558">
        <v>3853</v>
      </c>
      <c r="U558">
        <f t="shared" si="8"/>
        <v>0.27147677134700232</v>
      </c>
    </row>
    <row r="559" spans="1:21" x14ac:dyDescent="0.35">
      <c r="A559">
        <v>2861</v>
      </c>
      <c r="B559" t="s">
        <v>6</v>
      </c>
      <c r="C559" t="s">
        <v>1874</v>
      </c>
      <c r="D559">
        <v>500</v>
      </c>
      <c r="E559">
        <v>9.4</v>
      </c>
      <c r="F559">
        <v>93</v>
      </c>
      <c r="G559">
        <v>290</v>
      </c>
      <c r="H559">
        <v>570</v>
      </c>
      <c r="I559">
        <v>649</v>
      </c>
      <c r="J559">
        <v>38.173749999999998</v>
      </c>
      <c r="K559">
        <v>-2.795417</v>
      </c>
      <c r="L559">
        <v>93</v>
      </c>
      <c r="M559">
        <v>900</v>
      </c>
      <c r="N559">
        <v>4.8922999999999996</v>
      </c>
      <c r="O559">
        <v>17574000</v>
      </c>
      <c r="P559">
        <v>3.3237000000000001</v>
      </c>
      <c r="Q559">
        <v>4.3216000000000001</v>
      </c>
      <c r="R559">
        <v>633</v>
      </c>
      <c r="S559">
        <v>59.548000000000002</v>
      </c>
      <c r="T559">
        <v>3372</v>
      </c>
      <c r="U559">
        <f t="shared" si="8"/>
        <v>0.1924673784104389</v>
      </c>
    </row>
    <row r="560" spans="1:21" x14ac:dyDescent="0.35">
      <c r="A560">
        <v>2863</v>
      </c>
      <c r="B560" t="s">
        <v>6</v>
      </c>
      <c r="C560" t="s">
        <v>1997</v>
      </c>
      <c r="D560">
        <v>15</v>
      </c>
      <c r="E560">
        <v>1.7</v>
      </c>
      <c r="F560">
        <v>33</v>
      </c>
      <c r="G560">
        <v>170</v>
      </c>
      <c r="H560">
        <v>2428</v>
      </c>
      <c r="I560">
        <v>5964</v>
      </c>
      <c r="J560">
        <v>38.166249999999998</v>
      </c>
      <c r="K560">
        <v>-3.992083</v>
      </c>
      <c r="L560">
        <v>33</v>
      </c>
      <c r="M560">
        <v>402.49</v>
      </c>
      <c r="N560">
        <v>2.9963000000000002</v>
      </c>
      <c r="O560">
        <v>11696000</v>
      </c>
      <c r="P560">
        <v>0.46406999999999998</v>
      </c>
      <c r="Q560">
        <v>8.4473000000000003</v>
      </c>
      <c r="R560">
        <v>274</v>
      </c>
      <c r="S560">
        <v>2.2361</v>
      </c>
      <c r="T560">
        <v>14450</v>
      </c>
      <c r="U560">
        <f t="shared" si="8"/>
        <v>0.41273356401384081</v>
      </c>
    </row>
    <row r="561" spans="1:21" x14ac:dyDescent="0.35">
      <c r="A561">
        <v>2864</v>
      </c>
      <c r="B561" t="s">
        <v>6</v>
      </c>
      <c r="C561" t="s">
        <v>1942</v>
      </c>
      <c r="D561">
        <v>173</v>
      </c>
      <c r="E561">
        <v>7.7</v>
      </c>
      <c r="F561">
        <v>59</v>
      </c>
      <c r="G561">
        <v>283</v>
      </c>
      <c r="H561">
        <v>1379</v>
      </c>
      <c r="I561">
        <v>1938</v>
      </c>
      <c r="J561">
        <v>38.166249999999998</v>
      </c>
      <c r="K561">
        <v>-3.4787499999999998</v>
      </c>
      <c r="L561">
        <v>59</v>
      </c>
      <c r="M561">
        <v>2507.1</v>
      </c>
      <c r="N561">
        <v>6.2472000000000003</v>
      </c>
      <c r="O561">
        <v>21372000</v>
      </c>
      <c r="P561">
        <v>3.6596000000000002</v>
      </c>
      <c r="Q561">
        <v>7.65</v>
      </c>
      <c r="R561">
        <v>331</v>
      </c>
      <c r="S561">
        <v>9.2195</v>
      </c>
      <c r="T561">
        <v>8195</v>
      </c>
      <c r="U561">
        <f t="shared" si="8"/>
        <v>0.23648566198901769</v>
      </c>
    </row>
    <row r="562" spans="1:21" x14ac:dyDescent="0.35">
      <c r="A562">
        <v>2865</v>
      </c>
      <c r="B562" t="s">
        <v>6</v>
      </c>
      <c r="C562" t="s">
        <v>1914</v>
      </c>
      <c r="D562">
        <v>126</v>
      </c>
      <c r="E562">
        <v>4.3</v>
      </c>
      <c r="F562">
        <v>68</v>
      </c>
      <c r="G562">
        <v>220</v>
      </c>
      <c r="H562">
        <v>580</v>
      </c>
      <c r="I562">
        <v>1097</v>
      </c>
      <c r="J562">
        <v>38.162083000000003</v>
      </c>
      <c r="K562">
        <v>-3.804583</v>
      </c>
      <c r="L562">
        <v>68</v>
      </c>
      <c r="M562">
        <v>900</v>
      </c>
      <c r="N562">
        <v>1.7574000000000001</v>
      </c>
      <c r="O562">
        <v>6217500</v>
      </c>
      <c r="P562">
        <v>7.3986000000000001</v>
      </c>
      <c r="Q562">
        <v>2.0112999999999999</v>
      </c>
      <c r="R562">
        <v>379</v>
      </c>
      <c r="S562">
        <v>23.536999999999999</v>
      </c>
      <c r="T562">
        <v>3433</v>
      </c>
      <c r="U562">
        <f t="shared" si="8"/>
        <v>0.31954558695018936</v>
      </c>
    </row>
    <row r="563" spans="1:21" x14ac:dyDescent="0.35">
      <c r="A563">
        <v>2867</v>
      </c>
      <c r="B563" t="s">
        <v>6</v>
      </c>
      <c r="C563" t="s">
        <v>1949</v>
      </c>
      <c r="D563">
        <v>286.8</v>
      </c>
      <c r="E563">
        <v>12.1</v>
      </c>
      <c r="F563">
        <v>55</v>
      </c>
      <c r="G563">
        <v>232</v>
      </c>
      <c r="H563">
        <v>997</v>
      </c>
      <c r="I563">
        <v>3886</v>
      </c>
      <c r="J563">
        <v>38.091250000000002</v>
      </c>
      <c r="K563">
        <v>-4.92875</v>
      </c>
      <c r="L563">
        <v>55</v>
      </c>
      <c r="M563">
        <v>1207.5</v>
      </c>
      <c r="N563">
        <v>4.0427999999999997</v>
      </c>
      <c r="O563">
        <v>12713000</v>
      </c>
      <c r="P563">
        <v>4.1345999999999998</v>
      </c>
      <c r="Q563">
        <v>4.7163000000000004</v>
      </c>
      <c r="R563">
        <v>434</v>
      </c>
      <c r="S563">
        <v>27.074000000000002</v>
      </c>
      <c r="T563">
        <v>5820</v>
      </c>
      <c r="U563">
        <f t="shared" si="8"/>
        <v>0.66769759450171817</v>
      </c>
    </row>
    <row r="564" spans="1:21" x14ac:dyDescent="0.35">
      <c r="A564">
        <v>2868</v>
      </c>
      <c r="B564" t="s">
        <v>6</v>
      </c>
      <c r="C564" t="s">
        <v>1882</v>
      </c>
      <c r="D564">
        <v>475</v>
      </c>
      <c r="E564">
        <v>10.1</v>
      </c>
      <c r="F564">
        <v>89</v>
      </c>
      <c r="G564">
        <v>611</v>
      </c>
      <c r="H564">
        <v>2890</v>
      </c>
      <c r="I564">
        <v>3548</v>
      </c>
      <c r="J564">
        <v>38.091250000000002</v>
      </c>
      <c r="K564">
        <v>-3.51125</v>
      </c>
      <c r="L564">
        <v>89</v>
      </c>
      <c r="M564">
        <v>2846</v>
      </c>
      <c r="N564">
        <v>22.2</v>
      </c>
      <c r="O564">
        <v>79266000</v>
      </c>
      <c r="P564">
        <v>2.1395</v>
      </c>
      <c r="Q564">
        <v>19.135000000000002</v>
      </c>
      <c r="R564">
        <v>346</v>
      </c>
      <c r="S564">
        <v>14.318</v>
      </c>
      <c r="T564">
        <v>17178</v>
      </c>
      <c r="U564">
        <f t="shared" si="8"/>
        <v>0.20654325299802073</v>
      </c>
    </row>
    <row r="565" spans="1:21" x14ac:dyDescent="0.35">
      <c r="A565">
        <v>2869</v>
      </c>
      <c r="B565" t="s">
        <v>6</v>
      </c>
      <c r="C565" t="s">
        <v>1885</v>
      </c>
      <c r="D565">
        <v>228.7</v>
      </c>
      <c r="E565">
        <v>3.9</v>
      </c>
      <c r="F565">
        <v>87</v>
      </c>
      <c r="G565">
        <v>668</v>
      </c>
      <c r="H565">
        <v>798</v>
      </c>
      <c r="I565">
        <v>2381</v>
      </c>
      <c r="J565">
        <v>38.070416999999999</v>
      </c>
      <c r="K565">
        <v>-4.2495830000000003</v>
      </c>
      <c r="L565">
        <v>87</v>
      </c>
      <c r="M565">
        <v>2346.9</v>
      </c>
      <c r="N565">
        <v>3.2240000000000002</v>
      </c>
      <c r="O565">
        <v>11638000</v>
      </c>
      <c r="P565">
        <v>10.534000000000001</v>
      </c>
      <c r="Q565">
        <v>3.0952000000000002</v>
      </c>
      <c r="R565">
        <v>233</v>
      </c>
      <c r="S565">
        <v>1.4141999999999999</v>
      </c>
      <c r="T565">
        <v>4735</v>
      </c>
      <c r="U565">
        <f t="shared" si="8"/>
        <v>0.50285110876451955</v>
      </c>
    </row>
    <row r="566" spans="1:21" x14ac:dyDescent="0.35">
      <c r="A566">
        <v>2870</v>
      </c>
      <c r="B566" t="s">
        <v>6</v>
      </c>
      <c r="C566" t="s">
        <v>1934</v>
      </c>
      <c r="D566">
        <v>147.4</v>
      </c>
      <c r="E566">
        <v>3.9</v>
      </c>
      <c r="F566">
        <v>61</v>
      </c>
      <c r="G566">
        <v>396</v>
      </c>
      <c r="H566">
        <v>1195</v>
      </c>
      <c r="I566">
        <v>4064</v>
      </c>
      <c r="J566">
        <v>38.045417</v>
      </c>
      <c r="K566">
        <v>-4.6720829999999998</v>
      </c>
      <c r="L566">
        <v>61</v>
      </c>
      <c r="M566">
        <v>804.98</v>
      </c>
      <c r="N566">
        <v>4.9638</v>
      </c>
      <c r="O566">
        <v>16009000</v>
      </c>
      <c r="P566">
        <v>1.5035000000000001</v>
      </c>
      <c r="Q566">
        <v>5.3677999999999999</v>
      </c>
      <c r="R566">
        <v>184</v>
      </c>
      <c r="S566">
        <v>2.2361</v>
      </c>
      <c r="T566">
        <v>7083</v>
      </c>
      <c r="U566">
        <f t="shared" si="8"/>
        <v>0.57376817732599183</v>
      </c>
    </row>
    <row r="567" spans="1:21" x14ac:dyDescent="0.35">
      <c r="A567">
        <v>2872</v>
      </c>
      <c r="B567" t="s">
        <v>6</v>
      </c>
      <c r="C567" t="s">
        <v>1886</v>
      </c>
      <c r="D567">
        <v>202</v>
      </c>
      <c r="E567">
        <v>3.9</v>
      </c>
      <c r="F567">
        <v>86</v>
      </c>
      <c r="G567">
        <v>356</v>
      </c>
      <c r="H567">
        <v>1137</v>
      </c>
      <c r="I567">
        <v>4322</v>
      </c>
      <c r="J567">
        <v>37.987082999999998</v>
      </c>
      <c r="K567">
        <v>-5.9537500000000003</v>
      </c>
      <c r="L567">
        <v>86</v>
      </c>
      <c r="M567">
        <v>1610</v>
      </c>
      <c r="N567">
        <v>11.785</v>
      </c>
      <c r="O567">
        <v>34885000</v>
      </c>
      <c r="P567">
        <v>2.4557000000000002</v>
      </c>
      <c r="Q567">
        <v>8.2155000000000005</v>
      </c>
      <c r="R567">
        <v>304</v>
      </c>
      <c r="S567">
        <v>5.3852000000000002</v>
      </c>
      <c r="T567">
        <v>6753</v>
      </c>
      <c r="U567">
        <f t="shared" si="8"/>
        <v>0.64001184658670218</v>
      </c>
    </row>
    <row r="568" spans="1:21" x14ac:dyDescent="0.35">
      <c r="A568">
        <v>2873</v>
      </c>
      <c r="B568" t="s">
        <v>6</v>
      </c>
      <c r="C568" t="s">
        <v>1926</v>
      </c>
      <c r="D568">
        <v>157</v>
      </c>
      <c r="E568">
        <v>6.9</v>
      </c>
      <c r="F568">
        <v>64</v>
      </c>
      <c r="G568">
        <v>364</v>
      </c>
      <c r="H568">
        <v>1282</v>
      </c>
      <c r="I568">
        <v>4337</v>
      </c>
      <c r="J568">
        <v>37.957917000000002</v>
      </c>
      <c r="K568">
        <v>-4.6270829999999998</v>
      </c>
      <c r="L568">
        <v>64</v>
      </c>
      <c r="M568">
        <v>917.82</v>
      </c>
      <c r="N568">
        <v>5.7655000000000003</v>
      </c>
      <c r="O568">
        <v>18473000</v>
      </c>
      <c r="P568">
        <v>1.895</v>
      </c>
      <c r="Q568">
        <v>5.851</v>
      </c>
      <c r="R568">
        <v>164</v>
      </c>
      <c r="S568">
        <v>0.5</v>
      </c>
      <c r="T568">
        <v>7599</v>
      </c>
      <c r="U568">
        <f t="shared" si="8"/>
        <v>0.57073299118305043</v>
      </c>
    </row>
    <row r="569" spans="1:21" x14ac:dyDescent="0.35">
      <c r="A569">
        <v>2875</v>
      </c>
      <c r="B569" t="s">
        <v>6</v>
      </c>
      <c r="C569" t="s">
        <v>1937</v>
      </c>
      <c r="D569">
        <v>129</v>
      </c>
      <c r="E569">
        <v>5.7</v>
      </c>
      <c r="F569">
        <v>60</v>
      </c>
      <c r="G569">
        <v>612</v>
      </c>
      <c r="H569">
        <v>405</v>
      </c>
      <c r="I569">
        <v>1531</v>
      </c>
      <c r="J569">
        <v>37.907916999999998</v>
      </c>
      <c r="K569">
        <v>-6.4504169999999998</v>
      </c>
      <c r="L569">
        <v>60</v>
      </c>
      <c r="M569">
        <v>1548.4</v>
      </c>
      <c r="N569">
        <v>5.3813000000000004</v>
      </c>
      <c r="O569">
        <v>15322000</v>
      </c>
      <c r="P569">
        <v>2.9055</v>
      </c>
      <c r="Q569">
        <v>5.0948000000000002</v>
      </c>
      <c r="R569">
        <v>326</v>
      </c>
      <c r="S569">
        <v>17.263000000000002</v>
      </c>
      <c r="T569">
        <v>2391</v>
      </c>
      <c r="U569">
        <f t="shared" si="8"/>
        <v>0.64031785863655377</v>
      </c>
    </row>
    <row r="570" spans="1:21" x14ac:dyDescent="0.35">
      <c r="A570">
        <v>2876</v>
      </c>
      <c r="B570" t="s">
        <v>6</v>
      </c>
      <c r="C570" t="s">
        <v>1869</v>
      </c>
      <c r="D570">
        <v>347</v>
      </c>
      <c r="E570">
        <v>4.3</v>
      </c>
      <c r="F570">
        <v>99</v>
      </c>
      <c r="G570">
        <v>277</v>
      </c>
      <c r="H570">
        <v>1726</v>
      </c>
      <c r="I570">
        <v>6461</v>
      </c>
      <c r="J570">
        <v>37.903750000000002</v>
      </c>
      <c r="K570">
        <v>-5.2104169999999996</v>
      </c>
      <c r="L570">
        <v>99</v>
      </c>
      <c r="M570">
        <v>742.16</v>
      </c>
      <c r="N570">
        <v>14.423</v>
      </c>
      <c r="O570">
        <v>44789000</v>
      </c>
      <c r="P570">
        <v>1.1677</v>
      </c>
      <c r="Q570">
        <v>9.3415999999999997</v>
      </c>
      <c r="R570">
        <v>133</v>
      </c>
      <c r="S570">
        <v>13.153</v>
      </c>
      <c r="T570">
        <v>10219</v>
      </c>
      <c r="U570">
        <f t="shared" si="8"/>
        <v>0.63225364517076033</v>
      </c>
    </row>
    <row r="571" spans="1:21" x14ac:dyDescent="0.35">
      <c r="A571">
        <v>2879</v>
      </c>
      <c r="B571" t="s">
        <v>6</v>
      </c>
      <c r="C571" t="s">
        <v>1876</v>
      </c>
      <c r="D571">
        <v>120</v>
      </c>
      <c r="E571">
        <v>0.7</v>
      </c>
      <c r="F571">
        <v>92</v>
      </c>
      <c r="G571">
        <v>580</v>
      </c>
      <c r="H571">
        <v>159</v>
      </c>
      <c r="I571">
        <v>163</v>
      </c>
      <c r="J571">
        <v>37.862082999999998</v>
      </c>
      <c r="K571">
        <v>-2.6487500000000002</v>
      </c>
      <c r="L571">
        <v>92</v>
      </c>
      <c r="M571">
        <v>1298</v>
      </c>
      <c r="N571">
        <v>1.1374</v>
      </c>
      <c r="O571">
        <v>4117200</v>
      </c>
      <c r="P571">
        <v>19.053999999999998</v>
      </c>
      <c r="Q571">
        <v>1.0731999999999999</v>
      </c>
      <c r="R571">
        <v>1066</v>
      </c>
      <c r="S571">
        <v>40.497</v>
      </c>
      <c r="T571">
        <v>941</v>
      </c>
      <c r="U571">
        <f t="shared" si="8"/>
        <v>0.17321997874601489</v>
      </c>
    </row>
    <row r="572" spans="1:21" x14ac:dyDescent="0.35">
      <c r="A572">
        <v>2880</v>
      </c>
      <c r="B572" t="s">
        <v>6</v>
      </c>
      <c r="C572" t="s">
        <v>1954</v>
      </c>
      <c r="D572">
        <v>73.2</v>
      </c>
      <c r="E572">
        <v>3.4</v>
      </c>
      <c r="F572">
        <v>53</v>
      </c>
      <c r="G572">
        <v>156</v>
      </c>
      <c r="H572">
        <v>303</v>
      </c>
      <c r="I572">
        <v>927</v>
      </c>
      <c r="J572">
        <v>37.845416999999998</v>
      </c>
      <c r="K572">
        <v>-5.349583</v>
      </c>
      <c r="L572">
        <v>53</v>
      </c>
      <c r="M572">
        <v>720</v>
      </c>
      <c r="N572">
        <v>1.6907000000000001</v>
      </c>
      <c r="O572">
        <v>5048900</v>
      </c>
      <c r="P572">
        <v>3.4481999999999999</v>
      </c>
      <c r="Q572">
        <v>2.0872000000000002</v>
      </c>
      <c r="R572">
        <v>241</v>
      </c>
      <c r="S572">
        <v>13.891999999999999</v>
      </c>
      <c r="T572">
        <v>1712</v>
      </c>
      <c r="U572">
        <f t="shared" si="8"/>
        <v>0.5414719626168224</v>
      </c>
    </row>
    <row r="573" spans="1:21" x14ac:dyDescent="0.35">
      <c r="A573">
        <v>2882</v>
      </c>
      <c r="B573" t="s">
        <v>6</v>
      </c>
      <c r="C573" t="s">
        <v>1950</v>
      </c>
      <c r="D573">
        <v>103</v>
      </c>
      <c r="E573">
        <v>3.5</v>
      </c>
      <c r="F573">
        <v>54</v>
      </c>
      <c r="G573">
        <v>207</v>
      </c>
      <c r="H573">
        <v>1496</v>
      </c>
      <c r="I573">
        <v>5460</v>
      </c>
      <c r="J573">
        <v>37.828749999999999</v>
      </c>
      <c r="K573">
        <v>-5.0437500000000002</v>
      </c>
      <c r="L573">
        <v>54</v>
      </c>
      <c r="M573">
        <v>402.49</v>
      </c>
      <c r="N573">
        <v>6.6531000000000002</v>
      </c>
      <c r="O573">
        <v>20703000</v>
      </c>
      <c r="P573">
        <v>0.57974000000000003</v>
      </c>
      <c r="Q573">
        <v>7.7840999999999996</v>
      </c>
      <c r="R573">
        <v>138</v>
      </c>
      <c r="S573">
        <v>1.4141999999999999</v>
      </c>
      <c r="T573">
        <v>8861</v>
      </c>
      <c r="U573">
        <f t="shared" si="8"/>
        <v>0.61618327502539216</v>
      </c>
    </row>
    <row r="574" spans="1:21" x14ac:dyDescent="0.35">
      <c r="A574">
        <v>2884</v>
      </c>
      <c r="B574" t="s">
        <v>6</v>
      </c>
      <c r="C574" t="s">
        <v>1890</v>
      </c>
      <c r="D574">
        <v>33.5</v>
      </c>
      <c r="E574">
        <v>2.4</v>
      </c>
      <c r="F574">
        <v>83</v>
      </c>
      <c r="G574">
        <v>327</v>
      </c>
      <c r="H574">
        <v>122</v>
      </c>
      <c r="I574">
        <v>138</v>
      </c>
      <c r="J574">
        <v>37.803750000000001</v>
      </c>
      <c r="K574">
        <v>-2.787083</v>
      </c>
      <c r="L574">
        <v>83</v>
      </c>
      <c r="M574">
        <v>569.21</v>
      </c>
      <c r="N574">
        <v>0.77712999999999999</v>
      </c>
      <c r="O574">
        <v>2814500</v>
      </c>
      <c r="P574">
        <v>10.023</v>
      </c>
      <c r="Q574">
        <v>0.81572</v>
      </c>
      <c r="R574">
        <v>858</v>
      </c>
      <c r="S574">
        <v>27.459</v>
      </c>
      <c r="T574">
        <v>720</v>
      </c>
      <c r="U574">
        <f t="shared" si="8"/>
        <v>0.19166666666666668</v>
      </c>
    </row>
    <row r="575" spans="1:21" x14ac:dyDescent="0.35">
      <c r="A575">
        <v>2885</v>
      </c>
      <c r="B575" t="s">
        <v>6</v>
      </c>
      <c r="C575" t="s">
        <v>1910</v>
      </c>
      <c r="D575">
        <v>168</v>
      </c>
      <c r="E575">
        <v>2.1</v>
      </c>
      <c r="F575">
        <v>69</v>
      </c>
      <c r="G575">
        <v>495</v>
      </c>
      <c r="H575">
        <v>831</v>
      </c>
      <c r="I575">
        <v>2910</v>
      </c>
      <c r="J575">
        <v>37.801250000000003</v>
      </c>
      <c r="K575">
        <v>-6.2829170000000003</v>
      </c>
      <c r="L575">
        <v>69</v>
      </c>
      <c r="M575">
        <v>969.33</v>
      </c>
      <c r="N575">
        <v>11.8</v>
      </c>
      <c r="O575">
        <v>33383000</v>
      </c>
      <c r="P575">
        <v>1.1335</v>
      </c>
      <c r="Q575">
        <v>9.7037999999999993</v>
      </c>
      <c r="R575">
        <v>249</v>
      </c>
      <c r="S575">
        <v>17.692</v>
      </c>
      <c r="T575">
        <v>4906</v>
      </c>
      <c r="U575">
        <f t="shared" si="8"/>
        <v>0.59315124337545866</v>
      </c>
    </row>
    <row r="576" spans="1:21" x14ac:dyDescent="0.35">
      <c r="A576">
        <v>2886</v>
      </c>
      <c r="B576" t="s">
        <v>6</v>
      </c>
      <c r="C576" t="s">
        <v>1905</v>
      </c>
      <c r="D576">
        <v>134.6</v>
      </c>
      <c r="E576">
        <v>4.8</v>
      </c>
      <c r="F576">
        <v>73</v>
      </c>
      <c r="G576">
        <v>278</v>
      </c>
      <c r="H576">
        <v>467</v>
      </c>
      <c r="I576">
        <v>1435</v>
      </c>
      <c r="J576">
        <v>37.770417000000002</v>
      </c>
      <c r="K576">
        <v>-5.6854170000000002</v>
      </c>
      <c r="L576">
        <v>73</v>
      </c>
      <c r="M576">
        <v>1152.5999999999999</v>
      </c>
      <c r="N576">
        <v>3.8603999999999998</v>
      </c>
      <c r="O576">
        <v>11217000</v>
      </c>
      <c r="P576">
        <v>4.2461000000000002</v>
      </c>
      <c r="Q576">
        <v>3.3553999999999999</v>
      </c>
      <c r="R576">
        <v>263</v>
      </c>
      <c r="S576">
        <v>17.463999999999999</v>
      </c>
      <c r="T576">
        <v>2757</v>
      </c>
      <c r="U576">
        <f t="shared" si="8"/>
        <v>0.52049328980776211</v>
      </c>
    </row>
    <row r="577" spans="1:21" x14ac:dyDescent="0.35">
      <c r="A577">
        <v>2887</v>
      </c>
      <c r="B577" t="s">
        <v>6</v>
      </c>
      <c r="C577" t="s">
        <v>1964</v>
      </c>
      <c r="D577">
        <v>54.7</v>
      </c>
      <c r="E577">
        <v>1.4</v>
      </c>
      <c r="F577">
        <v>48</v>
      </c>
      <c r="G577">
        <v>108</v>
      </c>
      <c r="H577">
        <v>166</v>
      </c>
      <c r="I577">
        <v>202</v>
      </c>
      <c r="J577">
        <v>37.766249999999999</v>
      </c>
      <c r="K577">
        <v>-2.9020830000000002</v>
      </c>
      <c r="L577">
        <v>48</v>
      </c>
      <c r="M577">
        <v>763.68</v>
      </c>
      <c r="N577">
        <v>0.60816000000000003</v>
      </c>
      <c r="O577">
        <v>2202500</v>
      </c>
      <c r="P577">
        <v>7.1073000000000004</v>
      </c>
      <c r="Q577">
        <v>1.1069</v>
      </c>
      <c r="R577">
        <v>1000</v>
      </c>
      <c r="S577">
        <v>23.087</v>
      </c>
      <c r="T577">
        <v>977</v>
      </c>
      <c r="U577">
        <f t="shared" si="8"/>
        <v>0.20675537359263049</v>
      </c>
    </row>
    <row r="578" spans="1:21" x14ac:dyDescent="0.35">
      <c r="A578">
        <v>2888</v>
      </c>
      <c r="B578" t="s">
        <v>6</v>
      </c>
      <c r="C578" t="s">
        <v>1899</v>
      </c>
      <c r="D578">
        <v>101.2</v>
      </c>
      <c r="E578">
        <v>3.6</v>
      </c>
      <c r="F578">
        <v>77</v>
      </c>
      <c r="G578">
        <v>362</v>
      </c>
      <c r="H578">
        <v>239</v>
      </c>
      <c r="I578">
        <v>659</v>
      </c>
      <c r="J578">
        <v>37.753749999999997</v>
      </c>
      <c r="K578">
        <v>-5.4870830000000002</v>
      </c>
      <c r="L578">
        <v>77</v>
      </c>
      <c r="M578">
        <v>900</v>
      </c>
      <c r="N578">
        <v>2.0918000000000001</v>
      </c>
      <c r="O578">
        <v>6150500</v>
      </c>
      <c r="P578">
        <v>6.7057000000000002</v>
      </c>
      <c r="Q578">
        <v>1.7493000000000001</v>
      </c>
      <c r="R578">
        <v>148</v>
      </c>
      <c r="S578">
        <v>7.6158000000000001</v>
      </c>
      <c r="T578">
        <v>1412</v>
      </c>
      <c r="U578">
        <f t="shared" ref="U578:U641" si="9">I578/T578</f>
        <v>0.46671388101983002</v>
      </c>
    </row>
    <row r="579" spans="1:21" x14ac:dyDescent="0.35">
      <c r="A579">
        <v>2891</v>
      </c>
      <c r="B579" t="s">
        <v>6</v>
      </c>
      <c r="C579" t="s">
        <v>1953</v>
      </c>
      <c r="D579">
        <v>58.8</v>
      </c>
      <c r="E579">
        <v>1.5</v>
      </c>
      <c r="F579">
        <v>53</v>
      </c>
      <c r="G579">
        <v>346</v>
      </c>
      <c r="H579">
        <v>521</v>
      </c>
      <c r="I579">
        <v>1671</v>
      </c>
      <c r="J579">
        <v>37.719583</v>
      </c>
      <c r="K579">
        <v>-6.0912499999999996</v>
      </c>
      <c r="L579">
        <v>53</v>
      </c>
      <c r="M579">
        <v>1260</v>
      </c>
      <c r="N579">
        <v>5.0831</v>
      </c>
      <c r="O579">
        <v>14334000</v>
      </c>
      <c r="P579">
        <v>5.6656000000000004</v>
      </c>
      <c r="Q579">
        <v>5.4478</v>
      </c>
      <c r="R579">
        <v>280</v>
      </c>
      <c r="S579">
        <v>0.5</v>
      </c>
      <c r="T579">
        <v>3077</v>
      </c>
      <c r="U579">
        <f t="shared" si="9"/>
        <v>0.54306142346441344</v>
      </c>
    </row>
    <row r="580" spans="1:21" x14ac:dyDescent="0.35">
      <c r="A580">
        <v>2893</v>
      </c>
      <c r="B580" t="s">
        <v>6</v>
      </c>
      <c r="C580" t="s">
        <v>1931</v>
      </c>
      <c r="D580">
        <v>56.4</v>
      </c>
      <c r="E580">
        <v>1.7</v>
      </c>
      <c r="F580">
        <v>62</v>
      </c>
      <c r="G580">
        <v>245</v>
      </c>
      <c r="H580">
        <v>988</v>
      </c>
      <c r="I580">
        <v>3299</v>
      </c>
      <c r="J580">
        <v>37.670417</v>
      </c>
      <c r="K580">
        <v>-6.1870830000000003</v>
      </c>
      <c r="L580">
        <v>62</v>
      </c>
      <c r="M580">
        <v>1298</v>
      </c>
      <c r="N580">
        <v>12.504</v>
      </c>
      <c r="O580">
        <v>35319000</v>
      </c>
      <c r="P580">
        <v>1.1399999999999999</v>
      </c>
      <c r="Q580">
        <v>11.455</v>
      </c>
      <c r="R580">
        <v>167</v>
      </c>
      <c r="S580">
        <v>7.2111000000000001</v>
      </c>
      <c r="T580">
        <v>5834</v>
      </c>
      <c r="U580">
        <f t="shared" si="9"/>
        <v>0.5654782310593075</v>
      </c>
    </row>
    <row r="581" spans="1:21" x14ac:dyDescent="0.35">
      <c r="A581">
        <v>2894</v>
      </c>
      <c r="B581" t="s">
        <v>6</v>
      </c>
      <c r="C581" t="s">
        <v>1903</v>
      </c>
      <c r="D581">
        <v>165</v>
      </c>
      <c r="E581">
        <v>5.4</v>
      </c>
      <c r="F581">
        <v>75</v>
      </c>
      <c r="G581">
        <v>427</v>
      </c>
      <c r="H581">
        <v>1188</v>
      </c>
      <c r="I581">
        <v>3483</v>
      </c>
      <c r="J581">
        <v>37.638750000000002</v>
      </c>
      <c r="K581">
        <v>-4.2254170000000002</v>
      </c>
      <c r="L581">
        <v>75</v>
      </c>
      <c r="M581">
        <v>1451.2</v>
      </c>
      <c r="N581">
        <v>9.6795000000000009</v>
      </c>
      <c r="O581">
        <v>30322000</v>
      </c>
      <c r="P581">
        <v>2.1434000000000002</v>
      </c>
      <c r="Q581">
        <v>8.1740999999999993</v>
      </c>
      <c r="R581">
        <v>352</v>
      </c>
      <c r="S581">
        <v>18.358000000000001</v>
      </c>
      <c r="T581">
        <v>6977</v>
      </c>
      <c r="U581">
        <f t="shared" si="9"/>
        <v>0.49921169557116241</v>
      </c>
    </row>
    <row r="582" spans="1:21" x14ac:dyDescent="0.35">
      <c r="A582">
        <v>2895</v>
      </c>
      <c r="B582" t="s">
        <v>6</v>
      </c>
      <c r="C582" t="s">
        <v>1887</v>
      </c>
      <c r="D582">
        <v>452</v>
      </c>
      <c r="E582">
        <v>7.1</v>
      </c>
      <c r="F582">
        <v>85</v>
      </c>
      <c r="G582">
        <v>338</v>
      </c>
      <c r="H582">
        <v>2136</v>
      </c>
      <c r="I582">
        <v>9862</v>
      </c>
      <c r="J582">
        <v>37.562083000000001</v>
      </c>
      <c r="K582">
        <v>-7.5204170000000001</v>
      </c>
      <c r="L582">
        <v>85</v>
      </c>
      <c r="M582">
        <v>1080</v>
      </c>
      <c r="N582">
        <v>451.56</v>
      </c>
      <c r="O582">
        <v>1431300000</v>
      </c>
      <c r="P582">
        <v>0.10962</v>
      </c>
      <c r="Q582">
        <v>360.42</v>
      </c>
      <c r="R582">
        <v>65</v>
      </c>
      <c r="S582">
        <v>1</v>
      </c>
      <c r="T582">
        <v>375610</v>
      </c>
      <c r="U582">
        <f t="shared" si="9"/>
        <v>2.6255956976651312E-2</v>
      </c>
    </row>
    <row r="583" spans="1:21" x14ac:dyDescent="0.35">
      <c r="A583">
        <v>2896</v>
      </c>
      <c r="B583" t="s">
        <v>6</v>
      </c>
      <c r="C583" t="s">
        <v>1902</v>
      </c>
      <c r="D583">
        <v>546</v>
      </c>
      <c r="E583">
        <v>14.7</v>
      </c>
      <c r="F583">
        <v>75</v>
      </c>
      <c r="G583">
        <v>439</v>
      </c>
      <c r="H583">
        <v>3293</v>
      </c>
      <c r="I583">
        <v>3885</v>
      </c>
      <c r="J583">
        <v>37.562083000000001</v>
      </c>
      <c r="K583">
        <v>-2.9529169999999998</v>
      </c>
      <c r="L583">
        <v>75</v>
      </c>
      <c r="M583">
        <v>969.33</v>
      </c>
      <c r="N583">
        <v>14.795999999999999</v>
      </c>
      <c r="O583">
        <v>53718000</v>
      </c>
      <c r="P583">
        <v>1.4197</v>
      </c>
      <c r="Q583">
        <v>16.315999999999999</v>
      </c>
      <c r="R583">
        <v>643</v>
      </c>
      <c r="S583">
        <v>13.153</v>
      </c>
      <c r="T583">
        <v>19378</v>
      </c>
      <c r="U583">
        <f t="shared" si="9"/>
        <v>0.20048508618020436</v>
      </c>
    </row>
    <row r="584" spans="1:21" x14ac:dyDescent="0.35">
      <c r="A584">
        <v>2897</v>
      </c>
      <c r="B584" t="s">
        <v>6</v>
      </c>
      <c r="C584" t="s">
        <v>1971</v>
      </c>
      <c r="D584">
        <v>40</v>
      </c>
      <c r="E584">
        <v>0.5</v>
      </c>
      <c r="F584">
        <v>45</v>
      </c>
      <c r="G584">
        <v>232</v>
      </c>
      <c r="H584">
        <v>232</v>
      </c>
      <c r="I584">
        <v>418</v>
      </c>
      <c r="J584">
        <v>37.537083000000003</v>
      </c>
      <c r="K584">
        <v>-6.2854169999999998</v>
      </c>
      <c r="L584">
        <v>45</v>
      </c>
      <c r="M584">
        <v>1298</v>
      </c>
      <c r="N584">
        <v>2.0526</v>
      </c>
      <c r="O584">
        <v>5747600</v>
      </c>
      <c r="P584">
        <v>3.8938000000000001</v>
      </c>
      <c r="Q584">
        <v>2.5756999999999999</v>
      </c>
      <c r="R584">
        <v>106</v>
      </c>
      <c r="S584">
        <v>1.4141999999999999</v>
      </c>
      <c r="T584">
        <v>1365</v>
      </c>
      <c r="U584">
        <f t="shared" si="9"/>
        <v>0.30622710622710625</v>
      </c>
    </row>
    <row r="585" spans="1:21" x14ac:dyDescent="0.35">
      <c r="A585">
        <v>2902</v>
      </c>
      <c r="B585" t="s">
        <v>6</v>
      </c>
      <c r="C585" t="s">
        <v>1881</v>
      </c>
      <c r="D585">
        <v>58.7</v>
      </c>
      <c r="E585">
        <v>1.3</v>
      </c>
      <c r="F585">
        <v>90</v>
      </c>
      <c r="G585">
        <v>244</v>
      </c>
      <c r="H585">
        <v>197</v>
      </c>
      <c r="I585">
        <v>424</v>
      </c>
      <c r="J585">
        <v>37.312083000000001</v>
      </c>
      <c r="K585">
        <v>-3.257917</v>
      </c>
      <c r="L585">
        <v>90</v>
      </c>
      <c r="M585">
        <v>540</v>
      </c>
      <c r="N585">
        <v>1.2775000000000001</v>
      </c>
      <c r="O585">
        <v>4075800</v>
      </c>
      <c r="P585">
        <v>8.3470999999999993</v>
      </c>
      <c r="Q585">
        <v>0.95750000000000002</v>
      </c>
      <c r="R585">
        <v>1045</v>
      </c>
      <c r="S585">
        <v>1</v>
      </c>
      <c r="T585">
        <v>1151</v>
      </c>
      <c r="U585">
        <f t="shared" si="9"/>
        <v>0.36837532580364901</v>
      </c>
    </row>
    <row r="586" spans="1:21" x14ac:dyDescent="0.35">
      <c r="A586">
        <v>2904</v>
      </c>
      <c r="B586" t="s">
        <v>6</v>
      </c>
      <c r="C586" t="s">
        <v>1862</v>
      </c>
      <c r="D586">
        <v>980</v>
      </c>
      <c r="E586">
        <v>15.6</v>
      </c>
      <c r="F586">
        <v>122</v>
      </c>
      <c r="G586">
        <v>407</v>
      </c>
      <c r="H586">
        <v>4689</v>
      </c>
      <c r="I586">
        <v>12119</v>
      </c>
      <c r="J586">
        <v>37.278750000000002</v>
      </c>
      <c r="K586">
        <v>-4.3845830000000001</v>
      </c>
      <c r="L586">
        <v>122</v>
      </c>
      <c r="M586">
        <v>763.68</v>
      </c>
      <c r="N586">
        <v>53.054000000000002</v>
      </c>
      <c r="O586">
        <v>162510000</v>
      </c>
      <c r="P586">
        <v>1.7524</v>
      </c>
      <c r="Q586">
        <v>27.54</v>
      </c>
      <c r="R586">
        <v>427</v>
      </c>
      <c r="S586">
        <v>17.72</v>
      </c>
      <c r="T586">
        <v>27432</v>
      </c>
      <c r="U586">
        <f t="shared" si="9"/>
        <v>0.4417833187518227</v>
      </c>
    </row>
    <row r="587" spans="1:21" x14ac:dyDescent="0.35">
      <c r="A587">
        <v>2908</v>
      </c>
      <c r="B587" t="s">
        <v>6</v>
      </c>
      <c r="C587" t="s">
        <v>1852</v>
      </c>
      <c r="D587">
        <v>71</v>
      </c>
      <c r="E587">
        <v>1.3</v>
      </c>
      <c r="F587">
        <v>158</v>
      </c>
      <c r="G587">
        <v>340</v>
      </c>
      <c r="H587">
        <v>181</v>
      </c>
      <c r="I587">
        <v>386</v>
      </c>
      <c r="J587">
        <v>37.160417000000002</v>
      </c>
      <c r="K587">
        <v>-3.4787499999999998</v>
      </c>
      <c r="L587">
        <v>158</v>
      </c>
      <c r="M587">
        <v>720</v>
      </c>
      <c r="N587">
        <v>2.0651999999999999</v>
      </c>
      <c r="O587">
        <v>6589200</v>
      </c>
      <c r="P587">
        <v>16.623999999999999</v>
      </c>
      <c r="Q587">
        <v>0.88060000000000005</v>
      </c>
      <c r="R587">
        <v>1019</v>
      </c>
      <c r="S587">
        <v>14.866</v>
      </c>
      <c r="T587">
        <v>1059</v>
      </c>
      <c r="U587">
        <f t="shared" si="9"/>
        <v>0.36449480642115201</v>
      </c>
    </row>
    <row r="588" spans="1:21" x14ac:dyDescent="0.35">
      <c r="A588">
        <v>2909</v>
      </c>
      <c r="B588" t="s">
        <v>6</v>
      </c>
      <c r="C588" t="s">
        <v>1908</v>
      </c>
      <c r="D588">
        <v>73.7</v>
      </c>
      <c r="E588">
        <v>1.9</v>
      </c>
      <c r="F588">
        <v>71</v>
      </c>
      <c r="G588">
        <v>220</v>
      </c>
      <c r="H588">
        <v>321</v>
      </c>
      <c r="I588">
        <v>1087</v>
      </c>
      <c r="J588">
        <v>37.127916999999997</v>
      </c>
      <c r="K588">
        <v>-5.24125</v>
      </c>
      <c r="L588">
        <v>71</v>
      </c>
      <c r="M588">
        <v>540</v>
      </c>
      <c r="N588">
        <v>2.3797999999999999</v>
      </c>
      <c r="O588">
        <v>7326900</v>
      </c>
      <c r="P588">
        <v>2.9291</v>
      </c>
      <c r="Q588">
        <v>2.4758</v>
      </c>
      <c r="R588">
        <v>285</v>
      </c>
      <c r="S588">
        <v>7</v>
      </c>
      <c r="T588">
        <v>1876</v>
      </c>
      <c r="U588">
        <f t="shared" si="9"/>
        <v>0.57942430703624737</v>
      </c>
    </row>
    <row r="589" spans="1:21" x14ac:dyDescent="0.35">
      <c r="A589">
        <v>2910</v>
      </c>
      <c r="B589" t="s">
        <v>6</v>
      </c>
      <c r="C589" t="s">
        <v>1977</v>
      </c>
      <c r="D589">
        <v>66</v>
      </c>
      <c r="E589">
        <v>4.5999999999999996</v>
      </c>
      <c r="F589">
        <v>42</v>
      </c>
      <c r="G589">
        <v>290</v>
      </c>
      <c r="H589">
        <v>446</v>
      </c>
      <c r="I589">
        <v>652</v>
      </c>
      <c r="J589">
        <v>37.042917000000003</v>
      </c>
      <c r="K589">
        <v>-5.7545830000000002</v>
      </c>
      <c r="L589">
        <v>42</v>
      </c>
      <c r="M589">
        <v>1272.8</v>
      </c>
      <c r="N589">
        <v>2.2551000000000001</v>
      </c>
      <c r="O589">
        <v>6672800</v>
      </c>
      <c r="P589">
        <v>4.7807000000000004</v>
      </c>
      <c r="Q589">
        <v>3.6177000000000001</v>
      </c>
      <c r="R589">
        <v>50</v>
      </c>
      <c r="S589">
        <v>4</v>
      </c>
      <c r="T589">
        <v>2604</v>
      </c>
      <c r="U589">
        <f t="shared" si="9"/>
        <v>0.25038402457757297</v>
      </c>
    </row>
    <row r="590" spans="1:21" x14ac:dyDescent="0.35">
      <c r="A590">
        <v>2911</v>
      </c>
      <c r="B590" t="s">
        <v>6</v>
      </c>
      <c r="C590" t="s">
        <v>1918</v>
      </c>
      <c r="D590">
        <v>104</v>
      </c>
      <c r="E590">
        <v>4.4000000000000004</v>
      </c>
      <c r="F590">
        <v>67</v>
      </c>
      <c r="G590">
        <v>408</v>
      </c>
      <c r="H590">
        <v>272</v>
      </c>
      <c r="I590">
        <v>661</v>
      </c>
      <c r="J590">
        <v>36.996250000000003</v>
      </c>
      <c r="K590">
        <v>-3.8954170000000001</v>
      </c>
      <c r="L590">
        <v>67</v>
      </c>
      <c r="M590">
        <v>1659.5</v>
      </c>
      <c r="N590">
        <v>1.7506999999999999</v>
      </c>
      <c r="O590">
        <v>5101900</v>
      </c>
      <c r="P590">
        <v>11.43</v>
      </c>
      <c r="Q590">
        <v>1.7351000000000001</v>
      </c>
      <c r="R590">
        <v>827</v>
      </c>
      <c r="S590">
        <v>24.698</v>
      </c>
      <c r="T590">
        <v>1582</v>
      </c>
      <c r="U590">
        <f t="shared" si="9"/>
        <v>0.41782553729456384</v>
      </c>
    </row>
    <row r="591" spans="1:21" x14ac:dyDescent="0.35">
      <c r="A591">
        <v>3479</v>
      </c>
      <c r="B591" t="s">
        <v>6</v>
      </c>
      <c r="C591" t="s">
        <v>1861</v>
      </c>
      <c r="D591">
        <v>153.80000000000001</v>
      </c>
      <c r="E591">
        <v>2.8</v>
      </c>
      <c r="F591">
        <v>125</v>
      </c>
      <c r="G591">
        <v>200</v>
      </c>
      <c r="H591">
        <v>722</v>
      </c>
      <c r="I591">
        <v>7684</v>
      </c>
      <c r="J591">
        <v>42.328749999999999</v>
      </c>
      <c r="K591">
        <v>0.74208300000000005</v>
      </c>
      <c r="L591">
        <v>125</v>
      </c>
      <c r="M591">
        <v>1018.2</v>
      </c>
      <c r="N591">
        <v>16.094000000000001</v>
      </c>
      <c r="O591">
        <v>70697000</v>
      </c>
      <c r="P591">
        <v>1.7342</v>
      </c>
      <c r="Q591">
        <v>9.7591999999999999</v>
      </c>
      <c r="R591">
        <v>818</v>
      </c>
      <c r="S591">
        <v>1</v>
      </c>
      <c r="T591">
        <v>4555</v>
      </c>
      <c r="U591">
        <f t="shared" si="9"/>
        <v>1.6869374313940724</v>
      </c>
    </row>
    <row r="592" spans="1:21" x14ac:dyDescent="0.35">
      <c r="A592">
        <v>3481</v>
      </c>
      <c r="B592" t="s">
        <v>6</v>
      </c>
      <c r="C592" t="s">
        <v>1875</v>
      </c>
      <c r="D592">
        <v>438</v>
      </c>
      <c r="E592">
        <v>11.9</v>
      </c>
      <c r="F592">
        <v>92</v>
      </c>
      <c r="G592">
        <v>500</v>
      </c>
      <c r="H592">
        <v>1837</v>
      </c>
      <c r="I592">
        <v>20932</v>
      </c>
      <c r="J592">
        <v>42.316249999999997</v>
      </c>
      <c r="K592">
        <v>0.20874999999999999</v>
      </c>
      <c r="L592">
        <v>92</v>
      </c>
      <c r="M592">
        <v>402.49</v>
      </c>
      <c r="N592">
        <v>38.191000000000003</v>
      </c>
      <c r="O592">
        <v>174590000</v>
      </c>
      <c r="P592">
        <v>0.27867999999999998</v>
      </c>
      <c r="Q592">
        <v>33.601999999999997</v>
      </c>
      <c r="R592">
        <v>600</v>
      </c>
      <c r="S592">
        <v>0.5</v>
      </c>
      <c r="T592">
        <v>11621</v>
      </c>
      <c r="U592">
        <f t="shared" si="9"/>
        <v>1.8012219258239395</v>
      </c>
    </row>
    <row r="593" spans="1:21" x14ac:dyDescent="0.35">
      <c r="A593">
        <v>3485</v>
      </c>
      <c r="B593" t="s">
        <v>6</v>
      </c>
      <c r="C593" t="s">
        <v>942</v>
      </c>
      <c r="D593">
        <v>205.1</v>
      </c>
      <c r="E593">
        <v>4.9000000000000004</v>
      </c>
      <c r="F593">
        <v>86</v>
      </c>
      <c r="G593">
        <v>180</v>
      </c>
      <c r="H593">
        <v>2048</v>
      </c>
      <c r="I593">
        <v>20367</v>
      </c>
      <c r="J593">
        <v>42.182917000000003</v>
      </c>
      <c r="K593">
        <v>0.91625000000000001</v>
      </c>
      <c r="L593">
        <v>86</v>
      </c>
      <c r="M593">
        <v>742.16</v>
      </c>
      <c r="N593">
        <v>31.402000000000001</v>
      </c>
      <c r="O593">
        <v>136380000</v>
      </c>
      <c r="P593">
        <v>0.57093000000000005</v>
      </c>
      <c r="Q593">
        <v>27.350999999999999</v>
      </c>
      <c r="R593">
        <v>500</v>
      </c>
      <c r="S593">
        <v>0.5</v>
      </c>
      <c r="T593">
        <v>12936</v>
      </c>
      <c r="U593">
        <f t="shared" si="9"/>
        <v>1.5744434137291281</v>
      </c>
    </row>
    <row r="594" spans="1:21" x14ac:dyDescent="0.35">
      <c r="A594">
        <v>3486</v>
      </c>
      <c r="B594" t="s">
        <v>6</v>
      </c>
      <c r="C594" t="s">
        <v>1858</v>
      </c>
      <c r="D594">
        <v>399</v>
      </c>
      <c r="E594">
        <v>10.4</v>
      </c>
      <c r="F594">
        <v>130</v>
      </c>
      <c r="G594">
        <v>959</v>
      </c>
      <c r="H594">
        <v>2140</v>
      </c>
      <c r="I594">
        <v>23965</v>
      </c>
      <c r="J594">
        <v>42.153750000000002</v>
      </c>
      <c r="K594">
        <v>0.23541699999999999</v>
      </c>
      <c r="L594">
        <v>130</v>
      </c>
      <c r="M594">
        <v>2340</v>
      </c>
      <c r="N594">
        <v>57.27</v>
      </c>
      <c r="O594">
        <v>264850000</v>
      </c>
      <c r="P594">
        <v>0.96755000000000002</v>
      </c>
      <c r="Q594">
        <v>36.063000000000002</v>
      </c>
      <c r="R594">
        <v>387</v>
      </c>
      <c r="S594">
        <v>1</v>
      </c>
      <c r="T594">
        <v>13522</v>
      </c>
      <c r="U594">
        <f t="shared" si="9"/>
        <v>1.7722969974855791</v>
      </c>
    </row>
    <row r="595" spans="1:21" x14ac:dyDescent="0.35">
      <c r="A595">
        <v>3487</v>
      </c>
      <c r="B595" t="s">
        <v>6</v>
      </c>
      <c r="C595" t="s">
        <v>1920</v>
      </c>
      <c r="D595">
        <v>92.2</v>
      </c>
      <c r="E595">
        <v>5.4</v>
      </c>
      <c r="F595">
        <v>66</v>
      </c>
      <c r="G595">
        <v>99</v>
      </c>
      <c r="H595">
        <v>1516</v>
      </c>
      <c r="I595">
        <v>16140</v>
      </c>
      <c r="J595">
        <v>42.128749999999997</v>
      </c>
      <c r="K595">
        <v>0.312917</v>
      </c>
      <c r="L595">
        <v>66</v>
      </c>
      <c r="M595">
        <v>720</v>
      </c>
      <c r="N595">
        <v>14.333</v>
      </c>
      <c r="O595">
        <v>66454000</v>
      </c>
      <c r="P595">
        <v>0.87729000000000001</v>
      </c>
      <c r="Q595">
        <v>17.75</v>
      </c>
      <c r="R595">
        <v>551</v>
      </c>
      <c r="S595">
        <v>3.1623000000000001</v>
      </c>
      <c r="T595">
        <v>9560</v>
      </c>
      <c r="U595">
        <f t="shared" si="9"/>
        <v>1.6882845188284519</v>
      </c>
    </row>
    <row r="596" spans="1:21" x14ac:dyDescent="0.35">
      <c r="A596">
        <v>3489</v>
      </c>
      <c r="B596" t="s">
        <v>6</v>
      </c>
      <c r="C596" t="s">
        <v>1878</v>
      </c>
      <c r="D596">
        <v>101.1</v>
      </c>
      <c r="E596">
        <v>2.1</v>
      </c>
      <c r="F596">
        <v>90</v>
      </c>
      <c r="G596">
        <v>262</v>
      </c>
      <c r="H596">
        <v>2708</v>
      </c>
      <c r="I596">
        <v>25796</v>
      </c>
      <c r="J596">
        <v>42.094583</v>
      </c>
      <c r="K596">
        <v>1.294583</v>
      </c>
      <c r="L596">
        <v>90</v>
      </c>
      <c r="M596">
        <v>540</v>
      </c>
      <c r="N596">
        <v>28.68</v>
      </c>
      <c r="O596">
        <v>132910000</v>
      </c>
      <c r="P596">
        <v>0.27557999999999999</v>
      </c>
      <c r="Q596">
        <v>25.798999999999999</v>
      </c>
      <c r="R596">
        <v>478</v>
      </c>
      <c r="S596">
        <v>0.5</v>
      </c>
      <c r="T596">
        <v>17081</v>
      </c>
      <c r="U596">
        <f t="shared" si="9"/>
        <v>1.5102160295064693</v>
      </c>
    </row>
    <row r="597" spans="1:21" x14ac:dyDescent="0.35">
      <c r="A597">
        <v>3490</v>
      </c>
      <c r="B597" t="s">
        <v>6</v>
      </c>
      <c r="C597" t="s">
        <v>1965</v>
      </c>
      <c r="D597">
        <v>33.200000000000003</v>
      </c>
      <c r="E597">
        <v>2</v>
      </c>
      <c r="F597">
        <v>47</v>
      </c>
      <c r="G597">
        <v>160</v>
      </c>
      <c r="H597">
        <v>2505</v>
      </c>
      <c r="I597">
        <v>23437</v>
      </c>
      <c r="J597">
        <v>42.057917000000003</v>
      </c>
      <c r="K597">
        <v>0.88791699999999996</v>
      </c>
      <c r="L597">
        <v>47</v>
      </c>
      <c r="M597">
        <v>402.49</v>
      </c>
      <c r="N597">
        <v>18.986999999999998</v>
      </c>
      <c r="O597">
        <v>83676000</v>
      </c>
      <c r="P597">
        <v>0.93401999999999996</v>
      </c>
      <c r="Q597">
        <v>31.056000000000001</v>
      </c>
      <c r="R597">
        <v>516</v>
      </c>
      <c r="S597">
        <v>0.5</v>
      </c>
      <c r="T597">
        <v>15809</v>
      </c>
      <c r="U597">
        <f t="shared" si="9"/>
        <v>1.4825099626794864</v>
      </c>
    </row>
    <row r="598" spans="1:21" x14ac:dyDescent="0.35">
      <c r="A598">
        <v>3492</v>
      </c>
      <c r="B598" t="s">
        <v>6</v>
      </c>
      <c r="C598" t="s">
        <v>1853</v>
      </c>
      <c r="D598">
        <v>687.5</v>
      </c>
      <c r="E598">
        <v>11.3</v>
      </c>
      <c r="F598">
        <v>150</v>
      </c>
      <c r="G598">
        <v>210</v>
      </c>
      <c r="H598">
        <v>1619</v>
      </c>
      <c r="I598">
        <v>14428</v>
      </c>
      <c r="J598">
        <v>41.982917</v>
      </c>
      <c r="K598">
        <v>0.61291700000000005</v>
      </c>
      <c r="L598">
        <v>150</v>
      </c>
      <c r="M598">
        <v>649</v>
      </c>
      <c r="N598">
        <v>31.827000000000002</v>
      </c>
      <c r="O598">
        <v>146100000</v>
      </c>
      <c r="P598">
        <v>0.70431999999999995</v>
      </c>
      <c r="Q598">
        <v>17.053999999999998</v>
      </c>
      <c r="R598">
        <v>545</v>
      </c>
      <c r="S598">
        <v>0.5</v>
      </c>
      <c r="T598">
        <v>10200</v>
      </c>
      <c r="U598">
        <f t="shared" si="9"/>
        <v>1.4145098039215687</v>
      </c>
    </row>
    <row r="599" spans="1:21" x14ac:dyDescent="0.35">
      <c r="A599">
        <v>3497</v>
      </c>
      <c r="B599" t="s">
        <v>6</v>
      </c>
      <c r="C599" t="s">
        <v>1872</v>
      </c>
      <c r="D599">
        <v>402</v>
      </c>
      <c r="E599">
        <v>4.2</v>
      </c>
      <c r="F599">
        <v>96</v>
      </c>
      <c r="G599">
        <v>595</v>
      </c>
      <c r="H599">
        <v>3318</v>
      </c>
      <c r="I599">
        <v>29745</v>
      </c>
      <c r="J599">
        <v>41.941249999999997</v>
      </c>
      <c r="K599">
        <v>1.192083</v>
      </c>
      <c r="L599">
        <v>96</v>
      </c>
      <c r="M599">
        <v>742.16</v>
      </c>
      <c r="N599">
        <v>34.914000000000001</v>
      </c>
      <c r="O599">
        <v>163700000</v>
      </c>
      <c r="P599">
        <v>0.41499000000000003</v>
      </c>
      <c r="Q599">
        <v>29.763000000000002</v>
      </c>
      <c r="R599">
        <v>443</v>
      </c>
      <c r="S599">
        <v>0.5</v>
      </c>
      <c r="T599">
        <v>20907</v>
      </c>
      <c r="U599">
        <f t="shared" si="9"/>
        <v>1.4227292294446836</v>
      </c>
    </row>
    <row r="600" spans="1:21" x14ac:dyDescent="0.35">
      <c r="A600">
        <v>3498</v>
      </c>
      <c r="B600" t="s">
        <v>6</v>
      </c>
      <c r="C600" t="s">
        <v>1864</v>
      </c>
      <c r="D600">
        <v>163.4</v>
      </c>
      <c r="E600">
        <v>4.4000000000000004</v>
      </c>
      <c r="F600">
        <v>103</v>
      </c>
      <c r="G600">
        <v>145</v>
      </c>
      <c r="H600">
        <v>2806</v>
      </c>
      <c r="I600">
        <v>24914</v>
      </c>
      <c r="J600">
        <v>41.909582999999998</v>
      </c>
      <c r="K600">
        <v>0.88375000000000004</v>
      </c>
      <c r="L600">
        <v>103</v>
      </c>
      <c r="M600">
        <v>360</v>
      </c>
      <c r="N600">
        <v>84.715999999999994</v>
      </c>
      <c r="O600">
        <v>390420000</v>
      </c>
      <c r="P600">
        <v>0.42015000000000002</v>
      </c>
      <c r="Q600">
        <v>66.350999999999999</v>
      </c>
      <c r="R600">
        <v>387</v>
      </c>
      <c r="S600">
        <v>0.5</v>
      </c>
      <c r="T600">
        <v>44971</v>
      </c>
      <c r="U600">
        <f t="shared" si="9"/>
        <v>0.55400146761246138</v>
      </c>
    </row>
    <row r="601" spans="1:21" x14ac:dyDescent="0.35">
      <c r="A601">
        <v>3499</v>
      </c>
      <c r="B601" t="s">
        <v>6</v>
      </c>
      <c r="C601" t="s">
        <v>1868</v>
      </c>
      <c r="D601">
        <v>237</v>
      </c>
      <c r="E601">
        <v>5.5</v>
      </c>
      <c r="F601">
        <v>100</v>
      </c>
      <c r="G601">
        <v>242</v>
      </c>
      <c r="H601">
        <v>1753</v>
      </c>
      <c r="I601">
        <v>15058</v>
      </c>
      <c r="J601">
        <v>41.886249999999997</v>
      </c>
      <c r="K601">
        <v>0.58541699999999997</v>
      </c>
      <c r="L601">
        <v>100</v>
      </c>
      <c r="M601">
        <v>1018.2</v>
      </c>
      <c r="N601">
        <v>21.61</v>
      </c>
      <c r="O601">
        <v>99095000</v>
      </c>
      <c r="P601">
        <v>0.74236999999999997</v>
      </c>
      <c r="Q601">
        <v>17.382000000000001</v>
      </c>
      <c r="R601">
        <v>444</v>
      </c>
      <c r="S601">
        <v>1</v>
      </c>
      <c r="T601">
        <v>11038</v>
      </c>
      <c r="U601">
        <f t="shared" si="9"/>
        <v>1.3641964123935495</v>
      </c>
    </row>
    <row r="602" spans="1:21" x14ac:dyDescent="0.35">
      <c r="A602">
        <v>3500</v>
      </c>
      <c r="B602" t="s">
        <v>6</v>
      </c>
      <c r="C602" t="s">
        <v>2008</v>
      </c>
      <c r="D602">
        <v>9.5</v>
      </c>
      <c r="E602">
        <v>0.8</v>
      </c>
      <c r="F602">
        <v>25</v>
      </c>
      <c r="G602">
        <v>944</v>
      </c>
      <c r="H602">
        <v>7196</v>
      </c>
      <c r="I602">
        <v>59675</v>
      </c>
      <c r="J602">
        <v>41.857917</v>
      </c>
      <c r="K602">
        <v>0.83541699999999997</v>
      </c>
      <c r="L602">
        <v>25</v>
      </c>
      <c r="M602">
        <v>1207.5</v>
      </c>
      <c r="N602">
        <v>19.808</v>
      </c>
      <c r="O602">
        <v>91319000</v>
      </c>
      <c r="P602">
        <v>0.13639000000000001</v>
      </c>
      <c r="Q602">
        <v>66.483999999999995</v>
      </c>
      <c r="R602">
        <v>244</v>
      </c>
      <c r="S602">
        <v>0.5</v>
      </c>
      <c r="T602">
        <v>45314</v>
      </c>
      <c r="U602">
        <f t="shared" si="9"/>
        <v>1.3169219225846316</v>
      </c>
    </row>
    <row r="603" spans="1:21" x14ac:dyDescent="0.35">
      <c r="A603">
        <v>3503</v>
      </c>
      <c r="B603" t="s">
        <v>6</v>
      </c>
      <c r="C603" t="s">
        <v>934</v>
      </c>
      <c r="D603">
        <v>1533.8</v>
      </c>
      <c r="E603">
        <v>47.8</v>
      </c>
      <c r="F603">
        <v>81</v>
      </c>
      <c r="G603">
        <v>451</v>
      </c>
      <c r="H603">
        <v>57066</v>
      </c>
      <c r="I603">
        <v>274890</v>
      </c>
      <c r="J603">
        <v>41.372083000000003</v>
      </c>
      <c r="K603">
        <v>0.26708300000000001</v>
      </c>
      <c r="L603">
        <v>81</v>
      </c>
      <c r="M603">
        <v>649</v>
      </c>
      <c r="N603">
        <v>464.06</v>
      </c>
      <c r="O603">
        <v>1932100000</v>
      </c>
      <c r="P603">
        <v>0.35574</v>
      </c>
      <c r="Q603">
        <v>435.99</v>
      </c>
      <c r="R603">
        <v>116</v>
      </c>
      <c r="S603">
        <v>1</v>
      </c>
      <c r="T603">
        <v>357480</v>
      </c>
      <c r="U603">
        <f t="shared" si="9"/>
        <v>0.76896609600537091</v>
      </c>
    </row>
    <row r="604" spans="1:21" x14ac:dyDescent="0.35">
      <c r="A604">
        <v>3504</v>
      </c>
      <c r="B604" t="s">
        <v>6</v>
      </c>
      <c r="C604" t="s">
        <v>1929</v>
      </c>
      <c r="D604">
        <v>12.5</v>
      </c>
      <c r="E604">
        <v>0.4</v>
      </c>
      <c r="F604">
        <v>63</v>
      </c>
      <c r="G604">
        <v>274</v>
      </c>
      <c r="H604">
        <v>63</v>
      </c>
      <c r="I604">
        <v>1</v>
      </c>
      <c r="J604">
        <v>41.253749999999997</v>
      </c>
      <c r="K604">
        <v>0.91458300000000003</v>
      </c>
      <c r="L604">
        <v>63</v>
      </c>
      <c r="M604">
        <v>969.33</v>
      </c>
      <c r="N604">
        <v>0.16325999999999999</v>
      </c>
      <c r="O604">
        <v>631020</v>
      </c>
      <c r="P604">
        <v>49.31</v>
      </c>
      <c r="Q604">
        <v>0.19997000000000001</v>
      </c>
      <c r="R604">
        <v>489</v>
      </c>
      <c r="S604">
        <v>7.2801</v>
      </c>
      <c r="T604">
        <v>393</v>
      </c>
      <c r="U604">
        <f t="shared" si="9"/>
        <v>2.5445292620865142E-3</v>
      </c>
    </row>
    <row r="605" spans="1:21" x14ac:dyDescent="0.35">
      <c r="A605">
        <v>3505</v>
      </c>
      <c r="B605" t="s">
        <v>6</v>
      </c>
      <c r="C605" t="s">
        <v>1936</v>
      </c>
      <c r="D605">
        <v>206.9</v>
      </c>
      <c r="E605">
        <v>13.7</v>
      </c>
      <c r="F605">
        <v>60</v>
      </c>
      <c r="G605">
        <v>565</v>
      </c>
      <c r="H605">
        <v>81863</v>
      </c>
      <c r="I605">
        <v>428794</v>
      </c>
      <c r="J605">
        <v>41.245417000000003</v>
      </c>
      <c r="K605">
        <v>0.43041699999999999</v>
      </c>
      <c r="L605">
        <v>60</v>
      </c>
      <c r="M605">
        <v>900</v>
      </c>
      <c r="N605">
        <v>466.62</v>
      </c>
      <c r="O605">
        <v>2012700000</v>
      </c>
      <c r="P605">
        <v>0.23361000000000001</v>
      </c>
      <c r="Q605">
        <v>618.70000000000005</v>
      </c>
      <c r="R605">
        <v>96</v>
      </c>
      <c r="S605">
        <v>0.5</v>
      </c>
      <c r="T605">
        <v>512970</v>
      </c>
      <c r="U605">
        <f t="shared" si="9"/>
        <v>0.83590463379924751</v>
      </c>
    </row>
    <row r="606" spans="1:21" x14ac:dyDescent="0.35">
      <c r="A606">
        <v>3506</v>
      </c>
      <c r="B606" t="s">
        <v>6</v>
      </c>
      <c r="C606" t="s">
        <v>2005</v>
      </c>
      <c r="D606">
        <v>11.4</v>
      </c>
      <c r="E606">
        <v>1.9</v>
      </c>
      <c r="F606">
        <v>26</v>
      </c>
      <c r="G606">
        <v>400</v>
      </c>
      <c r="H606">
        <v>82083</v>
      </c>
      <c r="I606">
        <v>428627</v>
      </c>
      <c r="J606">
        <v>41.233750000000001</v>
      </c>
      <c r="K606">
        <v>0.53374999999999995</v>
      </c>
      <c r="L606">
        <v>26</v>
      </c>
      <c r="M606">
        <v>649</v>
      </c>
      <c r="N606">
        <v>189.2</v>
      </c>
      <c r="O606">
        <v>816430000</v>
      </c>
      <c r="P606">
        <v>4.2118000000000003E-2</v>
      </c>
      <c r="Q606">
        <v>619.29999999999995</v>
      </c>
      <c r="R606">
        <v>47</v>
      </c>
      <c r="S606">
        <v>1.4141999999999999</v>
      </c>
      <c r="T606">
        <v>514340</v>
      </c>
      <c r="U606">
        <f t="shared" si="9"/>
        <v>0.833353423805265</v>
      </c>
    </row>
    <row r="607" spans="1:21" x14ac:dyDescent="0.35">
      <c r="A607">
        <v>3507</v>
      </c>
      <c r="B607" t="s">
        <v>6</v>
      </c>
      <c r="C607" t="s">
        <v>1951</v>
      </c>
      <c r="D607">
        <v>81.599999999999994</v>
      </c>
      <c r="E607">
        <v>0.9</v>
      </c>
      <c r="F607">
        <v>54</v>
      </c>
      <c r="G607">
        <v>398</v>
      </c>
      <c r="H607">
        <v>3642</v>
      </c>
      <c r="I607">
        <v>178</v>
      </c>
      <c r="J607">
        <v>41.137082999999997</v>
      </c>
      <c r="K607">
        <v>4.17E-4</v>
      </c>
      <c r="L607">
        <v>54</v>
      </c>
      <c r="M607">
        <v>763.68</v>
      </c>
      <c r="N607">
        <v>6.3365</v>
      </c>
      <c r="O607">
        <v>29646000</v>
      </c>
      <c r="P607">
        <v>0.73416999999999999</v>
      </c>
      <c r="Q607">
        <v>10.667999999999999</v>
      </c>
      <c r="R607">
        <v>203</v>
      </c>
      <c r="S607">
        <v>7</v>
      </c>
      <c r="T607">
        <v>22385</v>
      </c>
      <c r="U607">
        <f t="shared" si="9"/>
        <v>7.9517534062988615E-3</v>
      </c>
    </row>
    <row r="608" spans="1:21" x14ac:dyDescent="0.35">
      <c r="A608">
        <v>3510</v>
      </c>
      <c r="B608" t="s">
        <v>6</v>
      </c>
      <c r="C608" t="s">
        <v>1968</v>
      </c>
      <c r="D608">
        <v>18.5</v>
      </c>
      <c r="E608">
        <v>0.3</v>
      </c>
      <c r="F608">
        <v>47</v>
      </c>
      <c r="G608">
        <v>133</v>
      </c>
      <c r="H608">
        <v>60</v>
      </c>
      <c r="I608">
        <v>1</v>
      </c>
      <c r="J608">
        <v>40.818750000000001</v>
      </c>
      <c r="K608">
        <v>0.13541700000000001</v>
      </c>
      <c r="L608">
        <v>47</v>
      </c>
      <c r="M608">
        <v>509.12</v>
      </c>
      <c r="N608">
        <v>0.17735999999999999</v>
      </c>
      <c r="O608">
        <v>662480</v>
      </c>
      <c r="P608">
        <v>14.673999999999999</v>
      </c>
      <c r="Q608">
        <v>0.27050000000000002</v>
      </c>
      <c r="R608">
        <v>628</v>
      </c>
      <c r="S608">
        <v>24</v>
      </c>
      <c r="T608">
        <v>372</v>
      </c>
      <c r="U608">
        <f t="shared" si="9"/>
        <v>2.6881720430107529E-3</v>
      </c>
    </row>
    <row r="609" spans="1:21" x14ac:dyDescent="0.35">
      <c r="A609">
        <v>6829</v>
      </c>
      <c r="B609" t="s">
        <v>6</v>
      </c>
      <c r="C609" t="s">
        <v>1996</v>
      </c>
      <c r="D609">
        <v>104.8</v>
      </c>
      <c r="E609">
        <v>10.9</v>
      </c>
      <c r="F609">
        <v>34</v>
      </c>
      <c r="G609">
        <v>1470</v>
      </c>
      <c r="H609">
        <v>36</v>
      </c>
      <c r="I609">
        <v>1</v>
      </c>
      <c r="J609">
        <v>41.827083000000002</v>
      </c>
      <c r="K609">
        <v>-1.3187500000000001</v>
      </c>
      <c r="L609">
        <v>34</v>
      </c>
      <c r="M609">
        <v>2415</v>
      </c>
      <c r="N609">
        <v>2.0331999999999999E-2</v>
      </c>
      <c r="O609">
        <v>99651</v>
      </c>
      <c r="P609">
        <v>239.35</v>
      </c>
      <c r="Q609">
        <v>5.4480000000000001E-2</v>
      </c>
      <c r="R609">
        <v>277</v>
      </c>
      <c r="S609">
        <v>1</v>
      </c>
      <c r="T609">
        <v>224</v>
      </c>
      <c r="U609">
        <f t="shared" si="9"/>
        <v>4.464285714285714E-3</v>
      </c>
    </row>
    <row r="610" spans="1:21" x14ac:dyDescent="0.35">
      <c r="A610">
        <v>6830</v>
      </c>
      <c r="B610" t="s">
        <v>6</v>
      </c>
      <c r="C610" t="s">
        <v>1911</v>
      </c>
      <c r="D610">
        <v>122.5</v>
      </c>
      <c r="E610">
        <v>10.3</v>
      </c>
      <c r="F610">
        <v>69</v>
      </c>
      <c r="G610">
        <v>398</v>
      </c>
      <c r="H610">
        <v>452</v>
      </c>
      <c r="I610">
        <v>3521</v>
      </c>
      <c r="J610">
        <v>40.443750000000001</v>
      </c>
      <c r="K610">
        <v>-6.577083</v>
      </c>
      <c r="L610">
        <v>69</v>
      </c>
      <c r="M610">
        <v>742.16</v>
      </c>
      <c r="N610">
        <v>8.8362999999999996</v>
      </c>
      <c r="O610">
        <v>26731000</v>
      </c>
      <c r="P610">
        <v>1.6211</v>
      </c>
      <c r="Q610">
        <v>7.7874999999999996</v>
      </c>
      <c r="R610">
        <v>792</v>
      </c>
      <c r="S610">
        <v>5.3852000000000002</v>
      </c>
      <c r="T610">
        <v>2762</v>
      </c>
      <c r="U610">
        <f t="shared" si="9"/>
        <v>1.2748008689355539</v>
      </c>
    </row>
    <row r="611" spans="1:21" x14ac:dyDescent="0.35">
      <c r="A611">
        <v>3734</v>
      </c>
      <c r="B611" t="s">
        <v>20</v>
      </c>
      <c r="C611" t="s">
        <v>2018</v>
      </c>
      <c r="D611">
        <v>170</v>
      </c>
      <c r="E611">
        <v>25.3</v>
      </c>
      <c r="F611">
        <v>-99</v>
      </c>
      <c r="G611">
        <v>-99</v>
      </c>
      <c r="H611">
        <v>6544</v>
      </c>
      <c r="I611">
        <v>46450</v>
      </c>
      <c r="J611">
        <v>58.555416999999998</v>
      </c>
      <c r="K611">
        <v>15.275416999999999</v>
      </c>
      <c r="L611">
        <v>6</v>
      </c>
      <c r="M611">
        <v>180</v>
      </c>
      <c r="N611">
        <v>3.5560999999999998</v>
      </c>
      <c r="O611">
        <v>15071000</v>
      </c>
      <c r="P611">
        <v>2.4725000000000001</v>
      </c>
      <c r="Q611">
        <v>56.453000000000003</v>
      </c>
      <c r="R611">
        <v>81</v>
      </c>
      <c r="S611">
        <v>3</v>
      </c>
      <c r="T611">
        <v>58035</v>
      </c>
      <c r="U611">
        <f t="shared" si="9"/>
        <v>0.80037908158869653</v>
      </c>
    </row>
    <row r="612" spans="1:21" x14ac:dyDescent="0.35">
      <c r="A612">
        <v>3301</v>
      </c>
      <c r="B612" t="s">
        <v>22</v>
      </c>
      <c r="C612" t="s">
        <v>2056</v>
      </c>
      <c r="D612">
        <v>96.5</v>
      </c>
      <c r="E612">
        <v>9.9</v>
      </c>
      <c r="F612">
        <v>17</v>
      </c>
      <c r="G612">
        <v>191</v>
      </c>
      <c r="H612">
        <v>153</v>
      </c>
      <c r="I612">
        <v>5225</v>
      </c>
      <c r="J612">
        <v>47.152917000000002</v>
      </c>
      <c r="K612">
        <v>8.7795830000000006</v>
      </c>
      <c r="L612">
        <v>17</v>
      </c>
      <c r="M612">
        <v>254.56</v>
      </c>
      <c r="N612">
        <v>0.98448000000000002</v>
      </c>
      <c r="O612">
        <v>5135000</v>
      </c>
      <c r="P612">
        <v>14.260999999999999</v>
      </c>
      <c r="Q612">
        <v>5.2709000000000001</v>
      </c>
      <c r="R612">
        <v>879</v>
      </c>
      <c r="S612">
        <v>1.4141999999999999</v>
      </c>
      <c r="T612">
        <v>1044</v>
      </c>
      <c r="U612">
        <f t="shared" si="9"/>
        <v>5.004789272030651</v>
      </c>
    </row>
    <row r="613" spans="1:21" x14ac:dyDescent="0.35">
      <c r="A613">
        <v>3303</v>
      </c>
      <c r="B613" t="s">
        <v>22</v>
      </c>
      <c r="C613" t="s">
        <v>2039</v>
      </c>
      <c r="D613">
        <v>150</v>
      </c>
      <c r="E613">
        <v>3.4</v>
      </c>
      <c r="F613">
        <v>111</v>
      </c>
      <c r="G613">
        <v>150</v>
      </c>
      <c r="H613">
        <v>38</v>
      </c>
      <c r="I613">
        <v>1348</v>
      </c>
      <c r="J613">
        <v>47.106250000000003</v>
      </c>
      <c r="K613">
        <v>8.90625</v>
      </c>
      <c r="L613">
        <v>111</v>
      </c>
      <c r="M613">
        <v>540</v>
      </c>
      <c r="N613">
        <v>1.6498999999999999</v>
      </c>
      <c r="O613">
        <v>8605700</v>
      </c>
      <c r="P613">
        <v>7.9432999999999998</v>
      </c>
      <c r="Q613">
        <v>1.3177000000000001</v>
      </c>
      <c r="R613">
        <v>897</v>
      </c>
      <c r="S613">
        <v>2</v>
      </c>
      <c r="T613">
        <v>261</v>
      </c>
      <c r="U613">
        <f t="shared" si="9"/>
        <v>5.1647509578544062</v>
      </c>
    </row>
    <row r="614" spans="1:21" x14ac:dyDescent="0.35">
      <c r="A614">
        <v>3307</v>
      </c>
      <c r="B614" t="s">
        <v>22</v>
      </c>
      <c r="C614" t="s">
        <v>2053</v>
      </c>
      <c r="D614">
        <v>56.4</v>
      </c>
      <c r="E614">
        <v>2.6</v>
      </c>
      <c r="F614">
        <v>30</v>
      </c>
      <c r="G614">
        <v>217</v>
      </c>
      <c r="H614">
        <v>82</v>
      </c>
      <c r="I614">
        <v>3023</v>
      </c>
      <c r="J614">
        <v>47.034582999999998</v>
      </c>
      <c r="K614">
        <v>9.0045830000000002</v>
      </c>
      <c r="L614">
        <v>30</v>
      </c>
      <c r="M614">
        <v>360</v>
      </c>
      <c r="N614">
        <v>0.86816000000000004</v>
      </c>
      <c r="O614">
        <v>4841500</v>
      </c>
      <c r="P614">
        <v>1.6687000000000001</v>
      </c>
      <c r="Q614">
        <v>3.0478999999999998</v>
      </c>
      <c r="R614">
        <v>896</v>
      </c>
      <c r="S614">
        <v>5</v>
      </c>
      <c r="T614">
        <v>558</v>
      </c>
      <c r="U614">
        <f t="shared" si="9"/>
        <v>5.4175627240143367</v>
      </c>
    </row>
    <row r="615" spans="1:21" x14ac:dyDescent="0.35">
      <c r="A615">
        <v>3308</v>
      </c>
      <c r="B615" t="s">
        <v>22</v>
      </c>
      <c r="C615" t="s">
        <v>2054</v>
      </c>
      <c r="D615">
        <v>25</v>
      </c>
      <c r="E615">
        <v>1.9</v>
      </c>
      <c r="F615">
        <v>29</v>
      </c>
      <c r="G615">
        <v>250</v>
      </c>
      <c r="H615">
        <v>3204</v>
      </c>
      <c r="I615">
        <v>118875</v>
      </c>
      <c r="J615">
        <v>46.967917</v>
      </c>
      <c r="K615">
        <v>7.2837500000000004</v>
      </c>
      <c r="L615">
        <v>29</v>
      </c>
      <c r="M615">
        <v>254.56</v>
      </c>
      <c r="N615">
        <v>32.124000000000002</v>
      </c>
      <c r="O615">
        <v>160170000</v>
      </c>
      <c r="P615">
        <v>1.7162999999999999</v>
      </c>
      <c r="Q615">
        <v>109.33</v>
      </c>
      <c r="R615">
        <v>491</v>
      </c>
      <c r="S615">
        <v>0.5</v>
      </c>
      <c r="T615">
        <v>21747</v>
      </c>
      <c r="U615">
        <f t="shared" si="9"/>
        <v>5.4662712098220441</v>
      </c>
    </row>
    <row r="616" spans="1:21" x14ac:dyDescent="0.35">
      <c r="A616">
        <v>3310</v>
      </c>
      <c r="B616" t="s">
        <v>22</v>
      </c>
      <c r="C616" t="s">
        <v>2050</v>
      </c>
      <c r="D616">
        <v>65</v>
      </c>
      <c r="E616">
        <v>3</v>
      </c>
      <c r="F616">
        <v>47</v>
      </c>
      <c r="G616">
        <v>417</v>
      </c>
      <c r="H616">
        <v>1384</v>
      </c>
      <c r="I616">
        <v>43108</v>
      </c>
      <c r="J616">
        <v>46.882916999999999</v>
      </c>
      <c r="K616">
        <v>7.1879169999999997</v>
      </c>
      <c r="L616">
        <v>47</v>
      </c>
      <c r="M616">
        <v>900</v>
      </c>
      <c r="N616">
        <v>16.446000000000002</v>
      </c>
      <c r="O616">
        <v>87504000</v>
      </c>
      <c r="P616">
        <v>2.3298999999999999</v>
      </c>
      <c r="Q616">
        <v>34.951000000000001</v>
      </c>
      <c r="R616">
        <v>538</v>
      </c>
      <c r="S616">
        <v>0.5</v>
      </c>
      <c r="T616">
        <v>9380</v>
      </c>
      <c r="U616">
        <f t="shared" si="9"/>
        <v>4.5957356076759064</v>
      </c>
    </row>
    <row r="617" spans="1:21" x14ac:dyDescent="0.35">
      <c r="A617">
        <v>3311</v>
      </c>
      <c r="B617" t="s">
        <v>22</v>
      </c>
      <c r="C617" t="s">
        <v>2029</v>
      </c>
      <c r="D617">
        <v>93</v>
      </c>
      <c r="E617">
        <v>0.6</v>
      </c>
      <c r="F617">
        <v>146</v>
      </c>
      <c r="G617">
        <v>375</v>
      </c>
      <c r="H617">
        <v>17</v>
      </c>
      <c r="I617">
        <v>727</v>
      </c>
      <c r="J617">
        <v>46.845416999999998</v>
      </c>
      <c r="K617">
        <v>9.0104170000000003</v>
      </c>
      <c r="L617">
        <v>146</v>
      </c>
      <c r="M617">
        <v>649</v>
      </c>
      <c r="N617">
        <v>0.88495999999999997</v>
      </c>
      <c r="O617">
        <v>3436400</v>
      </c>
      <c r="P617">
        <v>24.731999999999999</v>
      </c>
      <c r="Q617">
        <v>0.55752000000000002</v>
      </c>
      <c r="R617">
        <v>1849</v>
      </c>
      <c r="S617">
        <v>5</v>
      </c>
      <c r="T617">
        <v>115</v>
      </c>
      <c r="U617">
        <f t="shared" si="9"/>
        <v>6.321739130434783</v>
      </c>
    </row>
    <row r="618" spans="1:21" x14ac:dyDescent="0.35">
      <c r="A618">
        <v>3313</v>
      </c>
      <c r="B618" t="s">
        <v>22</v>
      </c>
      <c r="C618" t="s">
        <v>2045</v>
      </c>
      <c r="D618">
        <v>220</v>
      </c>
      <c r="E618">
        <v>6.4</v>
      </c>
      <c r="F618">
        <v>83</v>
      </c>
      <c r="G618">
        <v>320</v>
      </c>
      <c r="H618">
        <v>952</v>
      </c>
      <c r="I618">
        <v>31092</v>
      </c>
      <c r="J618">
        <v>46.717083000000002</v>
      </c>
      <c r="K618">
        <v>7.1129170000000004</v>
      </c>
      <c r="L618">
        <v>83</v>
      </c>
      <c r="M618">
        <v>509.12</v>
      </c>
      <c r="N618">
        <v>18.818000000000001</v>
      </c>
      <c r="O618">
        <v>99224000</v>
      </c>
      <c r="P618">
        <v>6.4222000000000001</v>
      </c>
      <c r="Q618">
        <v>23.707999999999998</v>
      </c>
      <c r="R618">
        <v>769</v>
      </c>
      <c r="S618">
        <v>0.5</v>
      </c>
      <c r="T618">
        <v>6446</v>
      </c>
      <c r="U618">
        <f t="shared" si="9"/>
        <v>4.8234564070741541</v>
      </c>
    </row>
    <row r="619" spans="1:21" x14ac:dyDescent="0.35">
      <c r="A619">
        <v>3314</v>
      </c>
      <c r="B619" t="s">
        <v>22</v>
      </c>
      <c r="C619" t="s">
        <v>2025</v>
      </c>
      <c r="D619">
        <v>76</v>
      </c>
      <c r="E619">
        <v>0.8</v>
      </c>
      <c r="F619">
        <v>155</v>
      </c>
      <c r="G619">
        <v>540</v>
      </c>
      <c r="H619">
        <v>45</v>
      </c>
      <c r="I619">
        <v>1924</v>
      </c>
      <c r="J619">
        <v>46.644582999999997</v>
      </c>
      <c r="K619">
        <v>8.4962499999999999</v>
      </c>
      <c r="L619">
        <v>155</v>
      </c>
      <c r="M619">
        <v>900</v>
      </c>
      <c r="N619">
        <v>3.7359</v>
      </c>
      <c r="O619">
        <v>15861000</v>
      </c>
      <c r="P619">
        <v>8.2967999999999993</v>
      </c>
      <c r="Q619">
        <v>2.3140000000000001</v>
      </c>
      <c r="R619">
        <v>2109</v>
      </c>
      <c r="S619">
        <v>7.2801</v>
      </c>
      <c r="T619">
        <v>305</v>
      </c>
      <c r="U619">
        <f t="shared" si="9"/>
        <v>6.3081967213114751</v>
      </c>
    </row>
    <row r="620" spans="1:21" x14ac:dyDescent="0.35">
      <c r="A620">
        <v>3315</v>
      </c>
      <c r="B620" t="s">
        <v>22</v>
      </c>
      <c r="C620" t="s">
        <v>2033</v>
      </c>
      <c r="D620">
        <v>45</v>
      </c>
      <c r="E620">
        <v>0.5</v>
      </c>
      <c r="F620">
        <v>127</v>
      </c>
      <c r="G620">
        <v>480</v>
      </c>
      <c r="H620">
        <v>22</v>
      </c>
      <c r="I620">
        <v>964</v>
      </c>
      <c r="J620">
        <v>46.637917000000002</v>
      </c>
      <c r="K620">
        <v>8.7629169999999998</v>
      </c>
      <c r="L620">
        <v>127</v>
      </c>
      <c r="M620">
        <v>917.82</v>
      </c>
      <c r="N620">
        <v>1.0858000000000001</v>
      </c>
      <c r="O620">
        <v>4351300</v>
      </c>
      <c r="P620">
        <v>21.504000000000001</v>
      </c>
      <c r="Q620">
        <v>0.83736999999999995</v>
      </c>
      <c r="R620">
        <v>1874</v>
      </c>
      <c r="S620">
        <v>5</v>
      </c>
      <c r="T620">
        <v>140</v>
      </c>
      <c r="U620">
        <f t="shared" si="9"/>
        <v>6.8857142857142861</v>
      </c>
    </row>
    <row r="621" spans="1:21" x14ac:dyDescent="0.35">
      <c r="A621">
        <v>3316</v>
      </c>
      <c r="B621" t="s">
        <v>22</v>
      </c>
      <c r="C621" t="s">
        <v>2026</v>
      </c>
      <c r="D621">
        <v>41.1</v>
      </c>
      <c r="E621">
        <v>0.3</v>
      </c>
      <c r="F621">
        <v>153</v>
      </c>
      <c r="G621">
        <v>350</v>
      </c>
      <c r="H621">
        <v>25</v>
      </c>
      <c r="I621">
        <v>1090</v>
      </c>
      <c r="J621">
        <v>46.634582999999999</v>
      </c>
      <c r="K621">
        <v>8.7129169999999991</v>
      </c>
      <c r="L621">
        <v>153</v>
      </c>
      <c r="M621">
        <v>720</v>
      </c>
      <c r="N621">
        <v>1.542</v>
      </c>
      <c r="O621">
        <v>6179600</v>
      </c>
      <c r="P621">
        <v>16.588000000000001</v>
      </c>
      <c r="Q621">
        <v>0.9869</v>
      </c>
      <c r="R621">
        <v>1899</v>
      </c>
      <c r="S621">
        <v>7.2111000000000001</v>
      </c>
      <c r="T621">
        <v>165</v>
      </c>
      <c r="U621">
        <f t="shared" si="9"/>
        <v>6.6060606060606064</v>
      </c>
    </row>
    <row r="622" spans="1:21" x14ac:dyDescent="0.35">
      <c r="A622">
        <v>3318</v>
      </c>
      <c r="B622" t="s">
        <v>22</v>
      </c>
      <c r="C622" t="s">
        <v>2031</v>
      </c>
      <c r="D622">
        <v>164.6</v>
      </c>
      <c r="E622">
        <v>1.1000000000000001</v>
      </c>
      <c r="F622">
        <v>130</v>
      </c>
      <c r="G622">
        <v>540</v>
      </c>
      <c r="H622">
        <v>210</v>
      </c>
      <c r="I622">
        <v>8789</v>
      </c>
      <c r="J622">
        <v>46.622917000000001</v>
      </c>
      <c r="K622">
        <v>10.189583000000001</v>
      </c>
      <c r="L622">
        <v>130</v>
      </c>
      <c r="M622">
        <v>763.68</v>
      </c>
      <c r="N622">
        <v>7.9960000000000004</v>
      </c>
      <c r="O622">
        <v>24357000</v>
      </c>
      <c r="P622">
        <v>7.6106999999999996</v>
      </c>
      <c r="Q622">
        <v>4.6619000000000002</v>
      </c>
      <c r="R622">
        <v>1812</v>
      </c>
      <c r="S622">
        <v>8.6022999999999996</v>
      </c>
      <c r="T622">
        <v>1424</v>
      </c>
      <c r="U622">
        <f t="shared" si="9"/>
        <v>6.1720505617977528</v>
      </c>
    </row>
    <row r="623" spans="1:21" x14ac:dyDescent="0.35">
      <c r="A623">
        <v>3319</v>
      </c>
      <c r="B623" t="s">
        <v>22</v>
      </c>
      <c r="C623" t="s">
        <v>2052</v>
      </c>
      <c r="D623">
        <v>14</v>
      </c>
      <c r="E623">
        <v>0.3</v>
      </c>
      <c r="F623">
        <v>35</v>
      </c>
      <c r="G623">
        <v>370</v>
      </c>
      <c r="H623">
        <v>17</v>
      </c>
      <c r="I623">
        <v>731</v>
      </c>
      <c r="J623">
        <v>46.612082999999998</v>
      </c>
      <c r="K623">
        <v>8.3220829999999992</v>
      </c>
      <c r="L623">
        <v>35</v>
      </c>
      <c r="M623">
        <v>509.12</v>
      </c>
      <c r="N623">
        <v>0.32202999999999998</v>
      </c>
      <c r="O623">
        <v>1367200</v>
      </c>
      <c r="P623">
        <v>4.3018000000000001</v>
      </c>
      <c r="Q623">
        <v>0.88766999999999996</v>
      </c>
      <c r="R623">
        <v>1695</v>
      </c>
      <c r="S623">
        <v>1</v>
      </c>
      <c r="T623">
        <v>117</v>
      </c>
      <c r="U623">
        <f t="shared" si="9"/>
        <v>6.2478632478632479</v>
      </c>
    </row>
    <row r="624" spans="1:21" x14ac:dyDescent="0.35">
      <c r="A624">
        <v>3320</v>
      </c>
      <c r="B624" t="s">
        <v>22</v>
      </c>
      <c r="C624" t="s">
        <v>2042</v>
      </c>
      <c r="D624">
        <v>27</v>
      </c>
      <c r="E624">
        <v>0.5</v>
      </c>
      <c r="F624">
        <v>94</v>
      </c>
      <c r="G624">
        <v>456</v>
      </c>
      <c r="H624">
        <v>109</v>
      </c>
      <c r="I624">
        <v>4622</v>
      </c>
      <c r="J624">
        <v>46.588749999999997</v>
      </c>
      <c r="K624">
        <v>8.3245830000000005</v>
      </c>
      <c r="L624">
        <v>94</v>
      </c>
      <c r="M624">
        <v>900</v>
      </c>
      <c r="N624">
        <v>5.4584000000000001</v>
      </c>
      <c r="O624">
        <v>23173000</v>
      </c>
      <c r="P624">
        <v>2.3795000000000002</v>
      </c>
      <c r="Q624">
        <v>5.5915999999999997</v>
      </c>
      <c r="R624">
        <v>1823</v>
      </c>
      <c r="S624">
        <v>1</v>
      </c>
      <c r="T624">
        <v>737</v>
      </c>
      <c r="U624">
        <f t="shared" si="9"/>
        <v>6.2713704206241516</v>
      </c>
    </row>
    <row r="625" spans="1:21" x14ac:dyDescent="0.35">
      <c r="A625">
        <v>3321</v>
      </c>
      <c r="B625" t="s">
        <v>22</v>
      </c>
      <c r="C625" t="s">
        <v>2036</v>
      </c>
      <c r="D625">
        <v>67.3</v>
      </c>
      <c r="E625">
        <v>1.1000000000000001</v>
      </c>
      <c r="F625">
        <v>117</v>
      </c>
      <c r="G625">
        <v>560</v>
      </c>
      <c r="H625">
        <v>25</v>
      </c>
      <c r="I625">
        <v>1084</v>
      </c>
      <c r="J625">
        <v>46.587083</v>
      </c>
      <c r="K625">
        <v>8.797917</v>
      </c>
      <c r="L625">
        <v>117</v>
      </c>
      <c r="M625">
        <v>509.12</v>
      </c>
      <c r="N625">
        <v>1.2071000000000001</v>
      </c>
      <c r="O625">
        <v>4837500</v>
      </c>
      <c r="P625">
        <v>9.3931000000000004</v>
      </c>
      <c r="Q625">
        <v>1.0107999999999999</v>
      </c>
      <c r="R625">
        <v>1875</v>
      </c>
      <c r="S625">
        <v>0.5</v>
      </c>
      <c r="T625">
        <v>169</v>
      </c>
      <c r="U625">
        <f t="shared" si="9"/>
        <v>6.4142011834319526</v>
      </c>
    </row>
    <row r="626" spans="1:21" x14ac:dyDescent="0.35">
      <c r="A626">
        <v>3322</v>
      </c>
      <c r="B626" t="s">
        <v>22</v>
      </c>
      <c r="C626" t="s">
        <v>2027</v>
      </c>
      <c r="D626">
        <v>100.5</v>
      </c>
      <c r="E626">
        <v>0.6</v>
      </c>
      <c r="F626">
        <v>151</v>
      </c>
      <c r="G626">
        <v>504</v>
      </c>
      <c r="H626">
        <v>61</v>
      </c>
      <c r="I626">
        <v>2672</v>
      </c>
      <c r="J626">
        <v>46.577916999999999</v>
      </c>
      <c r="K626">
        <v>9.1170829999999992</v>
      </c>
      <c r="L626">
        <v>151</v>
      </c>
      <c r="M626">
        <v>720</v>
      </c>
      <c r="N626">
        <v>3.1722000000000001</v>
      </c>
      <c r="O626">
        <v>12203000</v>
      </c>
      <c r="P626">
        <v>8.2555999999999994</v>
      </c>
      <c r="Q626">
        <v>1.8951</v>
      </c>
      <c r="R626">
        <v>2041</v>
      </c>
      <c r="S626">
        <v>0.5</v>
      </c>
      <c r="T626">
        <v>415</v>
      </c>
      <c r="U626">
        <f t="shared" si="9"/>
        <v>6.4385542168674696</v>
      </c>
    </row>
    <row r="627" spans="1:21" x14ac:dyDescent="0.35">
      <c r="A627">
        <v>3323</v>
      </c>
      <c r="B627" t="s">
        <v>22</v>
      </c>
      <c r="C627" t="s">
        <v>2038</v>
      </c>
      <c r="D627">
        <v>101</v>
      </c>
      <c r="E627">
        <v>3</v>
      </c>
      <c r="F627">
        <v>114</v>
      </c>
      <c r="G627">
        <v>258</v>
      </c>
      <c r="H627">
        <v>100</v>
      </c>
      <c r="I627">
        <v>4236</v>
      </c>
      <c r="J627">
        <v>46.572916999999997</v>
      </c>
      <c r="K627">
        <v>8.3295829999999995</v>
      </c>
      <c r="L627">
        <v>114</v>
      </c>
      <c r="M627">
        <v>1094.9000000000001</v>
      </c>
      <c r="N627">
        <v>6.0784000000000002</v>
      </c>
      <c r="O627">
        <v>25805000</v>
      </c>
      <c r="P627">
        <v>3.6103999999999998</v>
      </c>
      <c r="Q627">
        <v>5.1288</v>
      </c>
      <c r="R627">
        <v>1904</v>
      </c>
      <c r="S627">
        <v>1</v>
      </c>
      <c r="T627">
        <v>676</v>
      </c>
      <c r="U627">
        <f t="shared" si="9"/>
        <v>6.2662721893491122</v>
      </c>
    </row>
    <row r="628" spans="1:21" x14ac:dyDescent="0.35">
      <c r="A628">
        <v>3324</v>
      </c>
      <c r="B628" t="s">
        <v>22</v>
      </c>
      <c r="C628" t="s">
        <v>2049</v>
      </c>
      <c r="D628">
        <v>21.4</v>
      </c>
      <c r="E628">
        <v>0.6</v>
      </c>
      <c r="F628">
        <v>58</v>
      </c>
      <c r="G628">
        <v>125</v>
      </c>
      <c r="H628">
        <v>192</v>
      </c>
      <c r="I628">
        <v>8278</v>
      </c>
      <c r="J628">
        <v>46.570416999999999</v>
      </c>
      <c r="K628">
        <v>9.3795830000000002</v>
      </c>
      <c r="L628">
        <v>58</v>
      </c>
      <c r="M628">
        <v>402.49</v>
      </c>
      <c r="N628">
        <v>4.0808999999999997</v>
      </c>
      <c r="O628">
        <v>16085000</v>
      </c>
      <c r="P628">
        <v>1.673</v>
      </c>
      <c r="Q628">
        <v>6.1205999999999996</v>
      </c>
      <c r="R628">
        <v>1573</v>
      </c>
      <c r="S628">
        <v>1.4141999999999999</v>
      </c>
      <c r="T628">
        <v>1299</v>
      </c>
      <c r="U628">
        <f t="shared" si="9"/>
        <v>6.3725943033102386</v>
      </c>
    </row>
    <row r="629" spans="1:21" x14ac:dyDescent="0.35">
      <c r="A629">
        <v>3325</v>
      </c>
      <c r="B629" t="s">
        <v>22</v>
      </c>
      <c r="C629" t="s">
        <v>2021</v>
      </c>
      <c r="D629">
        <v>108</v>
      </c>
      <c r="E629">
        <v>0.8</v>
      </c>
      <c r="F629">
        <v>225</v>
      </c>
      <c r="G629">
        <v>600</v>
      </c>
      <c r="H629">
        <v>37</v>
      </c>
      <c r="I629">
        <v>1630</v>
      </c>
      <c r="J629">
        <v>46.565416999999997</v>
      </c>
      <c r="K629">
        <v>8.9662500000000005</v>
      </c>
      <c r="L629">
        <v>225</v>
      </c>
      <c r="M629">
        <v>649</v>
      </c>
      <c r="N629">
        <v>3.2290000000000001</v>
      </c>
      <c r="O629">
        <v>12702000</v>
      </c>
      <c r="P629">
        <v>14.486000000000001</v>
      </c>
      <c r="Q629">
        <v>1.3544</v>
      </c>
      <c r="R629">
        <v>1598</v>
      </c>
      <c r="S629">
        <v>3.6055999999999999</v>
      </c>
      <c r="T629">
        <v>257</v>
      </c>
      <c r="U629">
        <f t="shared" si="9"/>
        <v>6.3424124513618674</v>
      </c>
    </row>
    <row r="630" spans="1:21" x14ac:dyDescent="0.35">
      <c r="A630">
        <v>3326</v>
      </c>
      <c r="B630" t="s">
        <v>22</v>
      </c>
      <c r="C630" t="s">
        <v>2047</v>
      </c>
      <c r="D630">
        <v>25</v>
      </c>
      <c r="E630">
        <v>0.2</v>
      </c>
      <c r="F630">
        <v>73</v>
      </c>
      <c r="G630">
        <v>269</v>
      </c>
      <c r="H630">
        <v>7</v>
      </c>
      <c r="I630">
        <v>313</v>
      </c>
      <c r="J630">
        <v>46.563749999999999</v>
      </c>
      <c r="K630">
        <v>8.5462500000000006</v>
      </c>
      <c r="L630">
        <v>73</v>
      </c>
      <c r="M630">
        <v>1094.9000000000001</v>
      </c>
      <c r="N630">
        <v>0.24062</v>
      </c>
      <c r="O630">
        <v>964310</v>
      </c>
      <c r="P630">
        <v>43.161999999999999</v>
      </c>
      <c r="Q630">
        <v>0.32299</v>
      </c>
      <c r="R630">
        <v>2153</v>
      </c>
      <c r="S630">
        <v>0.5</v>
      </c>
      <c r="T630">
        <v>54</v>
      </c>
      <c r="U630">
        <f t="shared" si="9"/>
        <v>5.7962962962962967</v>
      </c>
    </row>
    <row r="631" spans="1:21" x14ac:dyDescent="0.35">
      <c r="A631">
        <v>3328</v>
      </c>
      <c r="B631" t="s">
        <v>22</v>
      </c>
      <c r="C631" t="s">
        <v>2051</v>
      </c>
      <c r="D631">
        <v>9.1999999999999993</v>
      </c>
      <c r="E631">
        <v>0.2</v>
      </c>
      <c r="F631">
        <v>36</v>
      </c>
      <c r="G631">
        <v>334</v>
      </c>
      <c r="H631">
        <v>5</v>
      </c>
      <c r="I631">
        <v>224</v>
      </c>
      <c r="J631">
        <v>46.562083000000001</v>
      </c>
      <c r="K631">
        <v>8.5962499999999995</v>
      </c>
      <c r="L631">
        <v>36</v>
      </c>
      <c r="M631">
        <v>254.56</v>
      </c>
      <c r="N631">
        <v>7.6776999999999998E-2</v>
      </c>
      <c r="O631">
        <v>307700</v>
      </c>
      <c r="P631">
        <v>10.88</v>
      </c>
      <c r="Q631">
        <v>0.20934</v>
      </c>
      <c r="R631">
        <v>2311</v>
      </c>
      <c r="S631">
        <v>2.8283999999999998</v>
      </c>
      <c r="T631">
        <v>35</v>
      </c>
      <c r="U631">
        <f t="shared" si="9"/>
        <v>6.4</v>
      </c>
    </row>
    <row r="632" spans="1:21" x14ac:dyDescent="0.35">
      <c r="A632">
        <v>3330</v>
      </c>
      <c r="B632" t="s">
        <v>22</v>
      </c>
      <c r="C632" t="s">
        <v>2041</v>
      </c>
      <c r="D632">
        <v>61</v>
      </c>
      <c r="E632">
        <v>0.9</v>
      </c>
      <c r="F632">
        <v>100</v>
      </c>
      <c r="G632">
        <v>526</v>
      </c>
      <c r="H632">
        <v>19</v>
      </c>
      <c r="I632">
        <v>805</v>
      </c>
      <c r="J632">
        <v>46.547083000000001</v>
      </c>
      <c r="K632">
        <v>8.2712500000000002</v>
      </c>
      <c r="L632">
        <v>100</v>
      </c>
      <c r="M632">
        <v>509.12</v>
      </c>
      <c r="N632">
        <v>1.0112000000000001</v>
      </c>
      <c r="O632">
        <v>4293100</v>
      </c>
      <c r="P632">
        <v>8.0412999999999997</v>
      </c>
      <c r="Q632">
        <v>0.97113000000000005</v>
      </c>
      <c r="R632">
        <v>2356</v>
      </c>
      <c r="S632">
        <v>6.3246000000000002</v>
      </c>
      <c r="T632">
        <v>128</v>
      </c>
      <c r="U632">
        <f t="shared" si="9"/>
        <v>6.2890625</v>
      </c>
    </row>
    <row r="633" spans="1:21" x14ac:dyDescent="0.35">
      <c r="A633">
        <v>3332</v>
      </c>
      <c r="B633" t="s">
        <v>22</v>
      </c>
      <c r="C633" t="s">
        <v>2055</v>
      </c>
      <c r="D633">
        <v>53.9</v>
      </c>
      <c r="E633">
        <v>1</v>
      </c>
      <c r="F633">
        <v>27</v>
      </c>
      <c r="G633">
        <v>309</v>
      </c>
      <c r="H633">
        <v>27</v>
      </c>
      <c r="I633">
        <v>1154</v>
      </c>
      <c r="J633">
        <v>46.537083000000003</v>
      </c>
      <c r="K633">
        <v>8.6770829999999997</v>
      </c>
      <c r="L633">
        <v>27</v>
      </c>
      <c r="M633">
        <v>180</v>
      </c>
      <c r="N633">
        <v>0.29438999999999999</v>
      </c>
      <c r="O633">
        <v>1179800</v>
      </c>
      <c r="P633">
        <v>2.9483000000000001</v>
      </c>
      <c r="Q633">
        <v>1.0766</v>
      </c>
      <c r="R633">
        <v>1747</v>
      </c>
      <c r="S633">
        <v>2</v>
      </c>
      <c r="T633">
        <v>180</v>
      </c>
      <c r="U633">
        <f t="shared" si="9"/>
        <v>6.4111111111111114</v>
      </c>
    </row>
    <row r="634" spans="1:21" x14ac:dyDescent="0.35">
      <c r="A634">
        <v>3335</v>
      </c>
      <c r="B634" t="s">
        <v>22</v>
      </c>
      <c r="C634" t="s">
        <v>2043</v>
      </c>
      <c r="D634">
        <v>62.6</v>
      </c>
      <c r="E634">
        <v>1</v>
      </c>
      <c r="F634">
        <v>91</v>
      </c>
      <c r="G634">
        <v>400</v>
      </c>
      <c r="H634">
        <v>88</v>
      </c>
      <c r="I634">
        <v>3660</v>
      </c>
      <c r="J634">
        <v>46.507916999999999</v>
      </c>
      <c r="K634">
        <v>9.6337499999999991</v>
      </c>
      <c r="L634">
        <v>91</v>
      </c>
      <c r="M634">
        <v>763.68</v>
      </c>
      <c r="N634">
        <v>3.2010999999999998</v>
      </c>
      <c r="O634">
        <v>10272000</v>
      </c>
      <c r="P634">
        <v>4.3331999999999997</v>
      </c>
      <c r="Q634">
        <v>2.657</v>
      </c>
      <c r="R634">
        <v>1662</v>
      </c>
      <c r="S634">
        <v>0.5</v>
      </c>
      <c r="T634">
        <v>592</v>
      </c>
      <c r="U634">
        <f t="shared" si="9"/>
        <v>6.1824324324324325</v>
      </c>
    </row>
    <row r="635" spans="1:21" x14ac:dyDescent="0.35">
      <c r="A635">
        <v>3336</v>
      </c>
      <c r="B635" t="s">
        <v>22</v>
      </c>
      <c r="C635" t="s">
        <v>2030</v>
      </c>
      <c r="D635">
        <v>200</v>
      </c>
      <c r="E635">
        <v>1.8</v>
      </c>
      <c r="F635">
        <v>141</v>
      </c>
      <c r="G635">
        <v>690</v>
      </c>
      <c r="H635">
        <v>47</v>
      </c>
      <c r="I635">
        <v>1884</v>
      </c>
      <c r="J635">
        <v>46.481250000000003</v>
      </c>
      <c r="K635">
        <v>9.452083</v>
      </c>
      <c r="L635">
        <v>141</v>
      </c>
      <c r="M635">
        <v>900</v>
      </c>
      <c r="N635">
        <v>3.3037000000000001</v>
      </c>
      <c r="O635">
        <v>12891000</v>
      </c>
      <c r="P635">
        <v>8.6296999999999997</v>
      </c>
      <c r="Q635">
        <v>1.6806000000000001</v>
      </c>
      <c r="R635">
        <v>1894</v>
      </c>
      <c r="S635">
        <v>6.3246000000000002</v>
      </c>
      <c r="T635">
        <v>315</v>
      </c>
      <c r="U635">
        <f t="shared" si="9"/>
        <v>5.980952380952381</v>
      </c>
    </row>
    <row r="636" spans="1:21" x14ac:dyDescent="0.35">
      <c r="A636">
        <v>3337</v>
      </c>
      <c r="B636" t="s">
        <v>22</v>
      </c>
      <c r="C636" t="s">
        <v>2046</v>
      </c>
      <c r="D636">
        <v>31.6</v>
      </c>
      <c r="E636">
        <v>0.4</v>
      </c>
      <c r="F636">
        <v>80</v>
      </c>
      <c r="G636">
        <v>440</v>
      </c>
      <c r="H636">
        <v>2</v>
      </c>
      <c r="I636">
        <v>87</v>
      </c>
      <c r="J636">
        <v>46.480417000000003</v>
      </c>
      <c r="K636">
        <v>8.5712499999999991</v>
      </c>
      <c r="L636">
        <v>80</v>
      </c>
      <c r="M636">
        <v>900</v>
      </c>
      <c r="N636">
        <v>0.104</v>
      </c>
      <c r="O636">
        <v>416550</v>
      </c>
      <c r="P636">
        <v>96.706000000000003</v>
      </c>
      <c r="Q636">
        <v>9.2266000000000001E-2</v>
      </c>
      <c r="R636">
        <v>2283</v>
      </c>
      <c r="S636">
        <v>2</v>
      </c>
      <c r="T636">
        <v>14</v>
      </c>
      <c r="U636">
        <f t="shared" si="9"/>
        <v>6.2142857142857144</v>
      </c>
    </row>
    <row r="637" spans="1:21" x14ac:dyDescent="0.35">
      <c r="A637">
        <v>3340</v>
      </c>
      <c r="B637" t="s">
        <v>22</v>
      </c>
      <c r="C637" t="s">
        <v>2048</v>
      </c>
      <c r="D637">
        <v>18.600000000000001</v>
      </c>
      <c r="E637">
        <v>0.3</v>
      </c>
      <c r="F637">
        <v>60</v>
      </c>
      <c r="G637">
        <v>400</v>
      </c>
      <c r="H637">
        <v>7</v>
      </c>
      <c r="I637">
        <v>303</v>
      </c>
      <c r="J637">
        <v>46.460417</v>
      </c>
      <c r="K637">
        <v>8.3695830000000004</v>
      </c>
      <c r="L637">
        <v>60</v>
      </c>
      <c r="M637">
        <v>254.56</v>
      </c>
      <c r="N637">
        <v>0.22220000000000001</v>
      </c>
      <c r="O637">
        <v>812630</v>
      </c>
      <c r="P637">
        <v>9.4469999999999992</v>
      </c>
      <c r="Q637">
        <v>0.30884</v>
      </c>
      <c r="R637">
        <v>2369</v>
      </c>
      <c r="S637">
        <v>1</v>
      </c>
      <c r="T637">
        <v>50</v>
      </c>
      <c r="U637">
        <f t="shared" si="9"/>
        <v>6.06</v>
      </c>
    </row>
    <row r="638" spans="1:21" x14ac:dyDescent="0.35">
      <c r="A638">
        <v>3341</v>
      </c>
      <c r="B638" t="s">
        <v>22</v>
      </c>
      <c r="C638" t="s">
        <v>2032</v>
      </c>
      <c r="D638">
        <v>63</v>
      </c>
      <c r="E638">
        <v>0.6</v>
      </c>
      <c r="F638">
        <v>130</v>
      </c>
      <c r="G638">
        <v>363</v>
      </c>
      <c r="H638">
        <v>31</v>
      </c>
      <c r="I638">
        <v>1303</v>
      </c>
      <c r="J638">
        <v>46.457917000000002</v>
      </c>
      <c r="K638">
        <v>8.6587499999999995</v>
      </c>
      <c r="L638">
        <v>130</v>
      </c>
      <c r="M638">
        <v>763.68</v>
      </c>
      <c r="N638">
        <v>2.3037000000000001</v>
      </c>
      <c r="O638">
        <v>9227100</v>
      </c>
      <c r="P638">
        <v>8.8894000000000002</v>
      </c>
      <c r="Q638">
        <v>1.2587999999999999</v>
      </c>
      <c r="R638">
        <v>1531</v>
      </c>
      <c r="S638">
        <v>2.2361</v>
      </c>
      <c r="T638">
        <v>191</v>
      </c>
      <c r="U638">
        <f t="shared" si="9"/>
        <v>6.8219895287958119</v>
      </c>
    </row>
    <row r="639" spans="1:21" x14ac:dyDescent="0.35">
      <c r="A639">
        <v>3342</v>
      </c>
      <c r="B639" t="s">
        <v>22</v>
      </c>
      <c r="C639" t="s">
        <v>2040</v>
      </c>
      <c r="D639">
        <v>29</v>
      </c>
      <c r="E639">
        <v>0.3</v>
      </c>
      <c r="F639">
        <v>111</v>
      </c>
      <c r="G639">
        <v>320</v>
      </c>
      <c r="H639">
        <v>3</v>
      </c>
      <c r="I639">
        <v>113</v>
      </c>
      <c r="J639">
        <v>46.454583</v>
      </c>
      <c r="K639">
        <v>8.5045830000000002</v>
      </c>
      <c r="L639">
        <v>111</v>
      </c>
      <c r="M639">
        <v>720</v>
      </c>
      <c r="N639">
        <v>0.15048</v>
      </c>
      <c r="O639">
        <v>550890</v>
      </c>
      <c r="P639">
        <v>104.43</v>
      </c>
      <c r="Q639">
        <v>0.10582999999999999</v>
      </c>
      <c r="R639">
        <v>2355</v>
      </c>
      <c r="S639">
        <v>0.5</v>
      </c>
      <c r="T639">
        <v>17</v>
      </c>
      <c r="U639">
        <f t="shared" si="9"/>
        <v>6.6470588235294121</v>
      </c>
    </row>
    <row r="640" spans="1:21" x14ac:dyDescent="0.35">
      <c r="A640">
        <v>3346</v>
      </c>
      <c r="B640" t="s">
        <v>22</v>
      </c>
      <c r="C640" t="s">
        <v>2034</v>
      </c>
      <c r="D640">
        <v>53.2</v>
      </c>
      <c r="E640">
        <v>0.8</v>
      </c>
      <c r="F640">
        <v>125</v>
      </c>
      <c r="G640">
        <v>325</v>
      </c>
      <c r="H640">
        <v>31</v>
      </c>
      <c r="I640">
        <v>1025</v>
      </c>
      <c r="J640">
        <v>46.426250000000003</v>
      </c>
      <c r="K640">
        <v>7.0454169999999996</v>
      </c>
      <c r="L640">
        <v>125</v>
      </c>
      <c r="M640">
        <v>360</v>
      </c>
      <c r="N640">
        <v>1.0523</v>
      </c>
      <c r="O640">
        <v>4362100</v>
      </c>
      <c r="P640">
        <v>9.5473999999999997</v>
      </c>
      <c r="Q640">
        <v>0.99446000000000001</v>
      </c>
      <c r="R640">
        <v>1260</v>
      </c>
      <c r="S640">
        <v>6.4031000000000002</v>
      </c>
      <c r="T640">
        <v>299</v>
      </c>
      <c r="U640">
        <f t="shared" si="9"/>
        <v>3.42809364548495</v>
      </c>
    </row>
    <row r="641" spans="1:21" x14ac:dyDescent="0.35">
      <c r="A641">
        <v>3354</v>
      </c>
      <c r="B641" t="s">
        <v>22</v>
      </c>
      <c r="C641" t="s">
        <v>2024</v>
      </c>
      <c r="D641">
        <v>51</v>
      </c>
      <c r="E641">
        <v>0.3</v>
      </c>
      <c r="F641">
        <v>156</v>
      </c>
      <c r="G641">
        <v>256</v>
      </c>
      <c r="H641">
        <v>13</v>
      </c>
      <c r="I641">
        <v>538</v>
      </c>
      <c r="J641">
        <v>46.349583000000003</v>
      </c>
      <c r="K641">
        <v>7.4337499999999999</v>
      </c>
      <c r="L641">
        <v>156</v>
      </c>
      <c r="M641">
        <v>1018.2</v>
      </c>
      <c r="N641">
        <v>0.39405000000000001</v>
      </c>
      <c r="O641">
        <v>1599100</v>
      </c>
      <c r="P641">
        <v>93.438999999999993</v>
      </c>
      <c r="Q641">
        <v>0.30084</v>
      </c>
      <c r="R641">
        <v>1726</v>
      </c>
      <c r="S641">
        <v>5</v>
      </c>
      <c r="T641">
        <v>91</v>
      </c>
      <c r="U641">
        <f t="shared" si="9"/>
        <v>5.9120879120879124</v>
      </c>
    </row>
    <row r="642" spans="1:21" x14ac:dyDescent="0.35">
      <c r="A642">
        <v>3357</v>
      </c>
      <c r="B642" t="s">
        <v>22</v>
      </c>
      <c r="C642" t="s">
        <v>2037</v>
      </c>
      <c r="D642">
        <v>71</v>
      </c>
      <c r="E642">
        <v>0.4</v>
      </c>
      <c r="F642">
        <v>115</v>
      </c>
      <c r="G642">
        <v>759</v>
      </c>
      <c r="H642">
        <v>19</v>
      </c>
      <c r="I642">
        <v>717</v>
      </c>
      <c r="J642">
        <v>46.33625</v>
      </c>
      <c r="K642">
        <v>9.6462500000000002</v>
      </c>
      <c r="L642">
        <v>115</v>
      </c>
      <c r="M642">
        <v>1260</v>
      </c>
      <c r="N642">
        <v>0.89917999999999998</v>
      </c>
      <c r="O642">
        <v>2818100</v>
      </c>
      <c r="P642">
        <v>38.021999999999998</v>
      </c>
      <c r="Q642">
        <v>0.57050999999999996</v>
      </c>
      <c r="R642">
        <v>2084</v>
      </c>
      <c r="S642">
        <v>2.8283999999999998</v>
      </c>
      <c r="T642">
        <v>125</v>
      </c>
      <c r="U642">
        <f t="shared" ref="U642:U649" si="10">I642/T642</f>
        <v>5.7359999999999998</v>
      </c>
    </row>
    <row r="643" spans="1:21" x14ac:dyDescent="0.35">
      <c r="A643">
        <v>3366</v>
      </c>
      <c r="B643" t="s">
        <v>22</v>
      </c>
      <c r="C643" t="s">
        <v>2022</v>
      </c>
      <c r="D643">
        <v>105</v>
      </c>
      <c r="E643">
        <v>0.7</v>
      </c>
      <c r="F643">
        <v>220</v>
      </c>
      <c r="G643">
        <v>380</v>
      </c>
      <c r="H643">
        <v>227</v>
      </c>
      <c r="I643">
        <v>8875</v>
      </c>
      <c r="J643">
        <v>46.199582999999997</v>
      </c>
      <c r="K643">
        <v>8.8504170000000002</v>
      </c>
      <c r="L643">
        <v>220</v>
      </c>
      <c r="M643">
        <v>917.82</v>
      </c>
      <c r="N643">
        <v>31.210999999999999</v>
      </c>
      <c r="O643">
        <v>125010000</v>
      </c>
      <c r="P643">
        <v>2.0651000000000002</v>
      </c>
      <c r="Q643">
        <v>10.083</v>
      </c>
      <c r="R643">
        <v>491</v>
      </c>
      <c r="S643">
        <v>1</v>
      </c>
      <c r="T643">
        <v>1530</v>
      </c>
      <c r="U643">
        <f t="shared" si="10"/>
        <v>5.8006535947712417</v>
      </c>
    </row>
    <row r="644" spans="1:21" x14ac:dyDescent="0.35">
      <c r="A644">
        <v>3368</v>
      </c>
      <c r="B644" t="s">
        <v>22</v>
      </c>
      <c r="C644" t="s">
        <v>2028</v>
      </c>
      <c r="D644">
        <v>78</v>
      </c>
      <c r="E644">
        <v>0.7</v>
      </c>
      <c r="F644">
        <v>148</v>
      </c>
      <c r="G644">
        <v>610</v>
      </c>
      <c r="H644">
        <v>26</v>
      </c>
      <c r="I644">
        <v>1078</v>
      </c>
      <c r="J644">
        <v>46.136249999999997</v>
      </c>
      <c r="K644">
        <v>7.5695829999999997</v>
      </c>
      <c r="L644">
        <v>148</v>
      </c>
      <c r="M644">
        <v>742.16</v>
      </c>
      <c r="N644">
        <v>0.86333000000000004</v>
      </c>
      <c r="O644">
        <v>2718900</v>
      </c>
      <c r="P644">
        <v>36.555999999999997</v>
      </c>
      <c r="Q644">
        <v>0.55901000000000001</v>
      </c>
      <c r="R644">
        <v>2203</v>
      </c>
      <c r="S644">
        <v>8.6022999999999996</v>
      </c>
      <c r="T644">
        <v>172</v>
      </c>
      <c r="U644">
        <f t="shared" si="10"/>
        <v>6.2674418604651159</v>
      </c>
    </row>
    <row r="645" spans="1:21" x14ac:dyDescent="0.35">
      <c r="A645">
        <v>3371</v>
      </c>
      <c r="B645" t="s">
        <v>22</v>
      </c>
      <c r="C645" t="s">
        <v>2019</v>
      </c>
      <c r="D645">
        <v>400</v>
      </c>
      <c r="E645">
        <v>2.1</v>
      </c>
      <c r="F645">
        <v>285</v>
      </c>
      <c r="G645">
        <v>695</v>
      </c>
      <c r="H645">
        <v>46</v>
      </c>
      <c r="I645">
        <v>1861</v>
      </c>
      <c r="J645">
        <v>46.079583</v>
      </c>
      <c r="K645">
        <v>7.400417</v>
      </c>
      <c r="L645">
        <v>285</v>
      </c>
      <c r="M645">
        <v>1310.4000000000001</v>
      </c>
      <c r="N645">
        <v>2.5203000000000002</v>
      </c>
      <c r="O645">
        <v>10011000</v>
      </c>
      <c r="P645">
        <v>56.261000000000003</v>
      </c>
      <c r="Q645">
        <v>1.018</v>
      </c>
      <c r="R645">
        <v>2282</v>
      </c>
      <c r="S645">
        <v>10</v>
      </c>
      <c r="T645">
        <v>308</v>
      </c>
      <c r="U645">
        <f t="shared" si="10"/>
        <v>6.0422077922077921</v>
      </c>
    </row>
    <row r="646" spans="1:21" x14ac:dyDescent="0.35">
      <c r="A646">
        <v>3372</v>
      </c>
      <c r="B646" t="s">
        <v>22</v>
      </c>
      <c r="C646" t="s">
        <v>2023</v>
      </c>
      <c r="D646">
        <v>227</v>
      </c>
      <c r="E646">
        <v>1.6</v>
      </c>
      <c r="F646">
        <v>180</v>
      </c>
      <c r="G646">
        <v>555</v>
      </c>
      <c r="H646">
        <v>29</v>
      </c>
      <c r="I646">
        <v>903</v>
      </c>
      <c r="J646">
        <v>46.070416999999999</v>
      </c>
      <c r="K646">
        <v>6.929583</v>
      </c>
      <c r="L646">
        <v>180</v>
      </c>
      <c r="M646">
        <v>1207.5</v>
      </c>
      <c r="N646">
        <v>1.8320000000000001</v>
      </c>
      <c r="O646">
        <v>8210400</v>
      </c>
      <c r="P646">
        <v>27.844000000000001</v>
      </c>
      <c r="Q646">
        <v>0.79056000000000004</v>
      </c>
      <c r="R646">
        <v>1825</v>
      </c>
      <c r="S646">
        <v>2</v>
      </c>
      <c r="T646">
        <v>195</v>
      </c>
      <c r="U646">
        <f t="shared" si="10"/>
        <v>4.6307692307692312</v>
      </c>
    </row>
    <row r="647" spans="1:21" x14ac:dyDescent="0.35">
      <c r="A647">
        <v>3376</v>
      </c>
      <c r="B647" t="s">
        <v>22</v>
      </c>
      <c r="C647" t="s">
        <v>2035</v>
      </c>
      <c r="D647">
        <v>101</v>
      </c>
      <c r="E647">
        <v>0.8</v>
      </c>
      <c r="F647">
        <v>120</v>
      </c>
      <c r="G647">
        <v>780</v>
      </c>
      <c r="H647">
        <v>34</v>
      </c>
      <c r="I647">
        <v>1390</v>
      </c>
      <c r="J647">
        <v>46.047916999999998</v>
      </c>
      <c r="K647">
        <v>7.9612499999999997</v>
      </c>
      <c r="L647">
        <v>120</v>
      </c>
      <c r="M647">
        <v>1207.5</v>
      </c>
      <c r="N647">
        <v>1.1476999999999999</v>
      </c>
      <c r="O647">
        <v>3666500</v>
      </c>
      <c r="P647">
        <v>30.239000000000001</v>
      </c>
      <c r="Q647">
        <v>0.85150000000000003</v>
      </c>
      <c r="R647">
        <v>2153</v>
      </c>
      <c r="S647">
        <v>4.1231</v>
      </c>
      <c r="T647">
        <v>248</v>
      </c>
      <c r="U647">
        <f t="shared" si="10"/>
        <v>5.604838709677419</v>
      </c>
    </row>
    <row r="648" spans="1:21" x14ac:dyDescent="0.35">
      <c r="A648">
        <v>3379</v>
      </c>
      <c r="B648" t="s">
        <v>22</v>
      </c>
      <c r="C648" t="s">
        <v>2020</v>
      </c>
      <c r="D648">
        <v>211.5</v>
      </c>
      <c r="E648">
        <v>1.1000000000000001</v>
      </c>
      <c r="F648">
        <v>250</v>
      </c>
      <c r="G648">
        <v>520</v>
      </c>
      <c r="H648">
        <v>110</v>
      </c>
      <c r="I648">
        <v>4403</v>
      </c>
      <c r="J648">
        <v>45.997083000000003</v>
      </c>
      <c r="K648">
        <v>7.3470829999999996</v>
      </c>
      <c r="L648">
        <v>250</v>
      </c>
      <c r="M648">
        <v>900</v>
      </c>
      <c r="N648">
        <v>5.7153</v>
      </c>
      <c r="O648">
        <v>20944000</v>
      </c>
      <c r="P648">
        <v>14.673999999999999</v>
      </c>
      <c r="Q648">
        <v>2.4340000000000002</v>
      </c>
      <c r="R648">
        <v>2005</v>
      </c>
      <c r="S648">
        <v>1.4141999999999999</v>
      </c>
      <c r="T648">
        <v>738</v>
      </c>
      <c r="U648">
        <f t="shared" si="10"/>
        <v>5.9661246612466128</v>
      </c>
    </row>
    <row r="649" spans="1:21" x14ac:dyDescent="0.35">
      <c r="A649">
        <v>3384</v>
      </c>
      <c r="B649" t="s">
        <v>22</v>
      </c>
      <c r="C649" t="s">
        <v>2044</v>
      </c>
      <c r="D649">
        <v>20.100000000000001</v>
      </c>
      <c r="E649">
        <v>0.3</v>
      </c>
      <c r="F649">
        <v>86</v>
      </c>
      <c r="G649">
        <v>460</v>
      </c>
      <c r="H649">
        <v>37</v>
      </c>
      <c r="I649">
        <v>1409</v>
      </c>
      <c r="J649">
        <v>45.924582999999998</v>
      </c>
      <c r="K649">
        <v>7.1979170000000003</v>
      </c>
      <c r="L649">
        <v>86</v>
      </c>
      <c r="M649">
        <v>720</v>
      </c>
      <c r="N649">
        <v>0.66574</v>
      </c>
      <c r="O649">
        <v>2439100</v>
      </c>
      <c r="P649">
        <v>15.182</v>
      </c>
      <c r="Q649">
        <v>0.82774999999999999</v>
      </c>
      <c r="R649">
        <v>1805</v>
      </c>
      <c r="S649">
        <v>0.5</v>
      </c>
      <c r="T649">
        <v>251</v>
      </c>
      <c r="U649">
        <f t="shared" si="10"/>
        <v>5.6135458167330681</v>
      </c>
    </row>
    <row r="651" spans="1:21" x14ac:dyDescent="0.35">
      <c r="M651">
        <f>SUM(N:N)</f>
        <v>31428.672941610013</v>
      </c>
    </row>
  </sheetData>
  <sortState ref="A2:U649">
    <sortCondition ref="B2:B649"/>
    <sortCondition ref="A2:A649"/>
  </sortState>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
  <dimension ref="A1:D29"/>
  <sheetViews>
    <sheetView topLeftCell="A12" workbookViewId="0">
      <selection activeCell="A7" sqref="A7"/>
    </sheetView>
  </sheetViews>
  <sheetFormatPr defaultColWidth="8.81640625" defaultRowHeight="14.5" x14ac:dyDescent="0.35"/>
  <sheetData>
    <row r="1" spans="1:1" x14ac:dyDescent="0.35">
      <c r="A1" t="s">
        <v>2794</v>
      </c>
    </row>
    <row r="5" spans="1:1" x14ac:dyDescent="0.35">
      <c r="A5" t="s">
        <v>2912</v>
      </c>
    </row>
    <row r="6" spans="1:1" x14ac:dyDescent="0.35">
      <c r="A6" t="s">
        <v>2913</v>
      </c>
    </row>
    <row r="7" spans="1:1" x14ac:dyDescent="0.35">
      <c r="A7" t="s">
        <v>2914</v>
      </c>
    </row>
    <row r="8" spans="1:1" x14ac:dyDescent="0.35">
      <c r="A8" t="s">
        <v>2915</v>
      </c>
    </row>
    <row r="9" spans="1:1" x14ac:dyDescent="0.35">
      <c r="A9" t="s">
        <v>2916</v>
      </c>
    </row>
    <row r="21" spans="1:4" x14ac:dyDescent="0.35">
      <c r="A21" t="s">
        <v>2965</v>
      </c>
    </row>
    <row r="23" spans="1:4" x14ac:dyDescent="0.35">
      <c r="A23" s="139" t="s">
        <v>2966</v>
      </c>
    </row>
    <row r="28" spans="1:4" x14ac:dyDescent="0.35">
      <c r="A28" t="s">
        <v>2982</v>
      </c>
      <c r="D28" s="204">
        <v>0.87</v>
      </c>
    </row>
    <row r="29" spans="1:4" x14ac:dyDescent="0.35">
      <c r="A29" t="s">
        <v>3064</v>
      </c>
      <c r="D29" s="324">
        <f>turbPumpEff*turbPumpEff</f>
        <v>0.75690000000000002</v>
      </c>
    </row>
  </sheetData>
  <hyperlinks>
    <hyperlink ref="A23" r:id="rId1" xr:uid="{00000000-0004-0000-0300-000000000000}"/>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Blad34">
    <tabColor rgb="FF7030A0"/>
  </sheetPr>
  <dimension ref="A1:BJ278"/>
  <sheetViews>
    <sheetView tabSelected="1" zoomScale="70" zoomScaleNormal="70" zoomScaleSheetLayoutView="40" zoomScalePageLayoutView="120" workbookViewId="0">
      <pane xSplit="1" ySplit="1" topLeftCell="G118" activePane="bottomRight" state="frozen"/>
      <selection pane="topRight" activeCell="B1" sqref="B1"/>
      <selection pane="bottomLeft" activeCell="A2" sqref="A2"/>
      <selection pane="bottomRight" activeCell="L135" sqref="L135"/>
    </sheetView>
  </sheetViews>
  <sheetFormatPr defaultColWidth="13.453125" defaultRowHeight="13" x14ac:dyDescent="0.35"/>
  <cols>
    <col min="1" max="2" width="25" style="56" customWidth="1"/>
    <col min="3" max="3" width="10.1796875" style="134" customWidth="1"/>
    <col min="4" max="6" width="13.453125" style="56" customWidth="1"/>
    <col min="7" max="7" width="7.453125" style="56" customWidth="1"/>
    <col min="8" max="8" width="12.453125" style="66" customWidth="1"/>
    <col min="9" max="9" width="12.453125" style="56" customWidth="1"/>
    <col min="10" max="10" width="13.453125" style="56" customWidth="1"/>
    <col min="11" max="11" width="18.6328125" style="56" customWidth="1"/>
    <col min="12" max="12" width="13.453125" style="56" customWidth="1"/>
    <col min="13" max="13" width="11.1796875" style="69" customWidth="1"/>
    <col min="14" max="14" width="15.1796875" style="70" customWidth="1"/>
    <col min="15" max="17" width="12.36328125" style="70" customWidth="1"/>
    <col min="18" max="18" width="7.453125" style="56" hidden="1" customWidth="1"/>
    <col min="19" max="19" width="10.6328125" style="56" hidden="1" customWidth="1"/>
    <col min="20" max="20" width="13.453125" style="71" hidden="1" customWidth="1"/>
    <col min="21" max="21" width="13.453125" style="56" hidden="1" customWidth="1"/>
    <col min="22" max="22" width="10" style="56" hidden="1" customWidth="1"/>
    <col min="23" max="23" width="10.453125" style="56" hidden="1" customWidth="1"/>
    <col min="24" max="24" width="16.1796875" style="56" hidden="1" customWidth="1"/>
    <col min="25" max="25" width="7.1796875" style="71" hidden="1" customWidth="1"/>
    <col min="26" max="26" width="8" style="56" hidden="1" customWidth="1"/>
    <col min="27" max="27" width="9.81640625" style="56" hidden="1" customWidth="1"/>
    <col min="28" max="28" width="10.453125" style="56" hidden="1" customWidth="1"/>
    <col min="29" max="30" width="8.453125" style="73" hidden="1" customWidth="1"/>
    <col min="31" max="31" width="7.36328125" style="56" hidden="1" customWidth="1"/>
    <col min="32" max="32" width="10" style="56" hidden="1" customWidth="1"/>
    <col min="33" max="33" width="26.1796875" style="56" hidden="1" customWidth="1"/>
    <col min="34" max="34" width="12" style="56" customWidth="1"/>
    <col min="35" max="35" width="13" style="70" customWidth="1"/>
    <col min="36" max="36" width="13.453125" style="74" customWidth="1"/>
    <col min="37" max="37" width="16.36328125" style="75" customWidth="1"/>
    <col min="38" max="39" width="13.453125" style="56" customWidth="1"/>
    <col min="40" max="41" width="13.453125" style="74" customWidth="1"/>
    <col min="42" max="42" width="14.453125" style="71" customWidth="1"/>
    <col min="43" max="43" width="14.36328125" style="72" bestFit="1" customWidth="1"/>
    <col min="44" max="46" width="11.453125" style="71" customWidth="1"/>
    <col min="47" max="47" width="13.453125" style="56" customWidth="1"/>
    <col min="48" max="48" width="24" style="56" customWidth="1"/>
    <col min="49" max="51" width="13.453125" style="56"/>
    <col min="52" max="53" width="17.453125" style="56" customWidth="1"/>
    <col min="54" max="54" width="17.453125" style="209" customWidth="1"/>
    <col min="55" max="58" width="13.453125" style="56"/>
    <col min="59" max="59" width="13.453125" style="72"/>
    <col min="60" max="60" width="26.6328125" style="56" bestFit="1" customWidth="1"/>
    <col min="61" max="61" width="10.6328125" style="56" bestFit="1" customWidth="1"/>
    <col min="62" max="66" width="13.453125" style="56"/>
    <col min="67" max="67" width="24.1796875" style="56" bestFit="1" customWidth="1"/>
    <col min="68" max="16384" width="13.453125" style="56"/>
  </cols>
  <sheetData>
    <row r="1" spans="1:62" s="58" customFormat="1" ht="62.25" customHeight="1" x14ac:dyDescent="0.35">
      <c r="A1" s="58" t="s">
        <v>2831</v>
      </c>
      <c r="B1" s="58" t="s">
        <v>2879</v>
      </c>
      <c r="C1" s="133" t="s">
        <v>2863</v>
      </c>
      <c r="D1" s="58" t="s">
        <v>2795</v>
      </c>
      <c r="E1" s="58" t="s">
        <v>2796</v>
      </c>
      <c r="F1" s="58" t="s">
        <v>2880</v>
      </c>
      <c r="G1" s="58" t="s">
        <v>2743</v>
      </c>
      <c r="H1" s="123" t="s">
        <v>41</v>
      </c>
      <c r="I1" s="58" t="s">
        <v>41</v>
      </c>
      <c r="J1" s="58" t="s">
        <v>1399</v>
      </c>
      <c r="K1" s="58" t="s">
        <v>2099</v>
      </c>
      <c r="L1" s="58" t="s">
        <v>62</v>
      </c>
      <c r="M1" s="59" t="s">
        <v>921</v>
      </c>
      <c r="N1" s="60" t="s">
        <v>2242</v>
      </c>
      <c r="O1" s="60" t="s">
        <v>2243</v>
      </c>
      <c r="P1" s="60" t="s">
        <v>3745</v>
      </c>
      <c r="Q1" s="60" t="s">
        <v>3746</v>
      </c>
      <c r="R1" s="58" t="s">
        <v>2745</v>
      </c>
      <c r="S1" s="58" t="s">
        <v>2749</v>
      </c>
      <c r="T1" s="61" t="s">
        <v>2748</v>
      </c>
      <c r="U1" s="58" t="s">
        <v>2746</v>
      </c>
      <c r="V1" s="58" t="s">
        <v>2747</v>
      </c>
      <c r="W1" s="58" t="s">
        <v>2784</v>
      </c>
      <c r="X1" s="58" t="s">
        <v>2751</v>
      </c>
      <c r="Y1" s="61" t="s">
        <v>2752</v>
      </c>
      <c r="Z1" s="58" t="s">
        <v>2753</v>
      </c>
      <c r="AA1" s="58" t="s">
        <v>2750</v>
      </c>
      <c r="AB1" s="58" t="s">
        <v>2754</v>
      </c>
      <c r="AC1" s="63" t="s">
        <v>1402</v>
      </c>
      <c r="AD1" s="63" t="s">
        <v>1403</v>
      </c>
      <c r="AE1" s="58" t="s">
        <v>2122</v>
      </c>
      <c r="AF1" s="58" t="s">
        <v>2785</v>
      </c>
      <c r="AG1" s="58" t="s">
        <v>2062</v>
      </c>
      <c r="AH1" s="58" t="s">
        <v>2065</v>
      </c>
      <c r="AI1" s="60" t="s">
        <v>2239</v>
      </c>
      <c r="AJ1" s="64" t="s">
        <v>2240</v>
      </c>
      <c r="AK1" s="65" t="s">
        <v>2761</v>
      </c>
      <c r="AL1" s="58" t="s">
        <v>2063</v>
      </c>
      <c r="AM1" s="58" t="s">
        <v>2110</v>
      </c>
      <c r="AN1" s="64" t="s">
        <v>2237</v>
      </c>
      <c r="AO1" s="64" t="s">
        <v>2238</v>
      </c>
      <c r="AP1" s="61" t="s">
        <v>2764</v>
      </c>
      <c r="AQ1" s="62" t="s">
        <v>2284</v>
      </c>
      <c r="AR1" s="61" t="s">
        <v>2762</v>
      </c>
      <c r="AS1" s="61" t="s">
        <v>3741</v>
      </c>
      <c r="AT1" s="61" t="s">
        <v>2880</v>
      </c>
      <c r="AU1" s="58" t="s">
        <v>2763</v>
      </c>
      <c r="AV1" s="68" t="s">
        <v>2786</v>
      </c>
      <c r="AW1" s="58" t="s">
        <v>2765</v>
      </c>
      <c r="AX1" s="58" t="s">
        <v>3344</v>
      </c>
      <c r="AY1" s="58" t="s">
        <v>3486</v>
      </c>
      <c r="AZ1" s="58" t="s">
        <v>2766</v>
      </c>
      <c r="BA1" s="212" t="s">
        <v>2983</v>
      </c>
      <c r="BB1" s="208" t="s">
        <v>2984</v>
      </c>
      <c r="BC1" s="58" t="s">
        <v>2087</v>
      </c>
      <c r="BG1" s="62"/>
      <c r="BH1" s="58" t="s">
        <v>2852</v>
      </c>
      <c r="BI1" s="58" t="s">
        <v>2917</v>
      </c>
      <c r="BJ1" s="58" t="s">
        <v>3049</v>
      </c>
    </row>
    <row r="2" spans="1:62" x14ac:dyDescent="0.3">
      <c r="A2" s="56" t="s">
        <v>2773</v>
      </c>
      <c r="B2" s="56" t="s">
        <v>2840</v>
      </c>
      <c r="C2" s="134" t="s">
        <v>2840</v>
      </c>
      <c r="D2" s="56" t="s">
        <v>962</v>
      </c>
      <c r="E2" s="76" t="s">
        <v>962</v>
      </c>
      <c r="F2" s="76" t="str">
        <f>VLOOKUP(E2,Codes!$G$1:$H$3,2,FALSE)</f>
        <v>hydro-PHS</v>
      </c>
      <c r="G2" s="56">
        <v>1</v>
      </c>
      <c r="H2" s="66" t="str">
        <f>VLOOKUP(I2,Codes!$A$1:$B$32,2,FALSE)</f>
        <v>FR</v>
      </c>
      <c r="I2" s="56" t="s">
        <v>7</v>
      </c>
      <c r="J2" s="56" t="s">
        <v>2330</v>
      </c>
      <c r="L2" s="56" t="s">
        <v>2228</v>
      </c>
      <c r="M2" s="69" t="s">
        <v>1400</v>
      </c>
      <c r="N2" s="70">
        <v>45.145277999999998</v>
      </c>
      <c r="O2" s="70">
        <v>6.0508329999999999</v>
      </c>
      <c r="P2" s="70">
        <v>45.145277999999998</v>
      </c>
      <c r="Q2" s="70">
        <v>6.0508329999999999</v>
      </c>
      <c r="R2" s="56">
        <v>12</v>
      </c>
      <c r="S2" s="56">
        <v>8</v>
      </c>
      <c r="T2" s="71" t="s">
        <v>1401</v>
      </c>
      <c r="U2" s="56">
        <v>1790</v>
      </c>
      <c r="V2" s="56">
        <v>1160</v>
      </c>
      <c r="AA2" s="56">
        <v>1420</v>
      </c>
      <c r="AB2" s="56">
        <v>1740</v>
      </c>
      <c r="AC2" s="73">
        <v>9.0496930114701668E-2</v>
      </c>
      <c r="AD2" s="73">
        <v>0.17111567419575632</v>
      </c>
      <c r="AE2" s="56">
        <v>1988</v>
      </c>
      <c r="AG2" s="56" t="s">
        <v>1518</v>
      </c>
      <c r="AH2" s="56">
        <v>3412</v>
      </c>
      <c r="AI2" s="70">
        <v>45.210816999999999</v>
      </c>
      <c r="AJ2" s="74">
        <v>6.1326960000000001</v>
      </c>
      <c r="AK2" s="75">
        <v>132</v>
      </c>
      <c r="AL2" s="56" t="s">
        <v>2083</v>
      </c>
      <c r="AM2" s="56">
        <v>3416</v>
      </c>
      <c r="AN2" s="74">
        <v>45.129731999999997</v>
      </c>
      <c r="AO2" s="74">
        <v>6.0435509999999999</v>
      </c>
      <c r="AP2" s="71">
        <v>16.5</v>
      </c>
      <c r="AQ2" s="72">
        <v>34.799999999999997</v>
      </c>
      <c r="AR2" s="71">
        <v>216.3</v>
      </c>
      <c r="AU2" s="56">
        <v>135</v>
      </c>
      <c r="AW2" s="56" t="s">
        <v>2057</v>
      </c>
      <c r="AZ2" s="56">
        <f>AP2*9.81*1000*AK2*0.87/3.6/1000000</f>
        <v>5.1634935000000004</v>
      </c>
      <c r="BA2" s="56" t="str">
        <f t="shared" ref="BA2:BA33" si="0">IF(Z2*U2/1000=0,IF(AQ2=0,IF(AP2=0,"MAXTURBFLOW","POTENTIAL"),"GETH"),"MAXPUMPTIME")</f>
        <v>GETH</v>
      </c>
      <c r="BB2" s="209">
        <f t="shared" ref="BB2:BB33" si="1">IF(BA2="MAXPUMPTIME",Z2*U2/1000,IF(BA2="GETH",AQ2,IF(BA2="POTENTIAL",1000*9.81*AP2*AK2*turbPumpEff/3600000,IF(BA2="MAXTURBFLOW",U2*AK2/AR2/3.6,"!!!"))))</f>
        <v>34.799999999999997</v>
      </c>
      <c r="BC2" s="67" t="s">
        <v>2468</v>
      </c>
      <c r="BD2" s="67" t="s">
        <v>2217</v>
      </c>
      <c r="BE2" s="56" t="s">
        <v>2086</v>
      </c>
      <c r="BF2" s="56" t="s">
        <v>2241</v>
      </c>
      <c r="BH2" s="73" t="s">
        <v>2853</v>
      </c>
      <c r="BI2" s="73"/>
      <c r="BJ2" s="279">
        <f t="shared" ref="BJ2:BJ10" si="2">BB2/(U2/1000)</f>
        <v>19.441340782122904</v>
      </c>
    </row>
    <row r="3" spans="1:62" x14ac:dyDescent="0.3">
      <c r="A3" s="56" t="s">
        <v>1049</v>
      </c>
      <c r="B3" s="56" t="s">
        <v>2840</v>
      </c>
      <c r="C3" s="134" t="s">
        <v>2840</v>
      </c>
      <c r="D3" s="56" t="s">
        <v>962</v>
      </c>
      <c r="E3" s="76" t="s">
        <v>962</v>
      </c>
      <c r="F3" s="76" t="str">
        <f>VLOOKUP(E3,Codes!$G$1:$H$3,2,FALSE)</f>
        <v>hydro-PHS</v>
      </c>
      <c r="G3" s="56">
        <v>2</v>
      </c>
      <c r="H3" s="132" t="s">
        <v>2832</v>
      </c>
      <c r="I3" s="56" t="s">
        <v>1048</v>
      </c>
      <c r="J3" s="56" t="s">
        <v>1051</v>
      </c>
      <c r="L3" s="56" t="s">
        <v>1052</v>
      </c>
      <c r="N3" s="70">
        <v>53.118611000000001</v>
      </c>
      <c r="O3" s="70">
        <v>-4.1138890000000004</v>
      </c>
      <c r="P3" s="397"/>
      <c r="Q3" s="397"/>
      <c r="R3" s="56">
        <v>6</v>
      </c>
      <c r="S3" s="56">
        <v>6</v>
      </c>
      <c r="T3" s="71" t="s">
        <v>42</v>
      </c>
      <c r="U3" s="56">
        <v>1728</v>
      </c>
      <c r="V3" s="56">
        <v>1650</v>
      </c>
      <c r="W3" s="56">
        <v>120</v>
      </c>
      <c r="X3" s="56">
        <v>16</v>
      </c>
      <c r="Y3" s="71">
        <v>5</v>
      </c>
      <c r="Z3" s="56">
        <v>7</v>
      </c>
      <c r="AA3" s="56">
        <v>2074</v>
      </c>
      <c r="AC3" s="73">
        <v>0.13691894609645008</v>
      </c>
      <c r="AE3" s="56">
        <v>1983</v>
      </c>
      <c r="AG3" s="56" t="s">
        <v>2058</v>
      </c>
      <c r="AH3" s="165"/>
      <c r="AI3" s="70">
        <v>53.136882</v>
      </c>
      <c r="AJ3" s="74">
        <v>-4.0700580000000004</v>
      </c>
      <c r="AK3" s="75">
        <v>6.7</v>
      </c>
      <c r="AL3" s="56" t="s">
        <v>2084</v>
      </c>
      <c r="AN3" s="74">
        <v>53.117128999999998</v>
      </c>
      <c r="AO3" s="74">
        <v>-4.1072829999999998</v>
      </c>
      <c r="AP3" s="71">
        <v>397</v>
      </c>
      <c r="AQ3" s="72">
        <v>9.1</v>
      </c>
      <c r="AR3" s="71">
        <v>60</v>
      </c>
      <c r="AW3" s="56" t="s">
        <v>2057</v>
      </c>
      <c r="AZ3" s="56">
        <f>U3*AK3/AR3/3.6</f>
        <v>53.6</v>
      </c>
      <c r="BA3" s="56" t="str">
        <f t="shared" si="0"/>
        <v>MAXPUMPTIME</v>
      </c>
      <c r="BB3" s="209">
        <f t="shared" si="1"/>
        <v>12.096</v>
      </c>
      <c r="BC3" s="67" t="s">
        <v>2468</v>
      </c>
      <c r="BD3" s="67" t="s">
        <v>2059</v>
      </c>
      <c r="BE3" s="67" t="s">
        <v>2060</v>
      </c>
      <c r="BF3" s="56" t="s">
        <v>2085</v>
      </c>
      <c r="BG3" s="72" t="s">
        <v>2218</v>
      </c>
      <c r="BH3" s="73" t="s">
        <v>2853</v>
      </c>
      <c r="BJ3" s="279">
        <f t="shared" si="2"/>
        <v>7</v>
      </c>
    </row>
    <row r="4" spans="1:62" x14ac:dyDescent="0.3">
      <c r="A4" s="56" t="s">
        <v>679</v>
      </c>
      <c r="B4" s="56" t="s">
        <v>2840</v>
      </c>
      <c r="C4" s="134" t="s">
        <v>2840</v>
      </c>
      <c r="D4" s="56" t="s">
        <v>962</v>
      </c>
      <c r="E4" s="76" t="s">
        <v>962</v>
      </c>
      <c r="F4" s="76" t="str">
        <f>VLOOKUP(E4,Codes!$G$1:$H$3,2,FALSE)</f>
        <v>hydro-PHS</v>
      </c>
      <c r="G4" s="56">
        <v>3</v>
      </c>
      <c r="H4" s="66" t="str">
        <f>VLOOKUP(I4,Codes!$A$1:$B$32,2,FALSE)</f>
        <v>LU</v>
      </c>
      <c r="I4" s="56" t="s">
        <v>11</v>
      </c>
      <c r="J4" s="56" t="s">
        <v>2080</v>
      </c>
      <c r="K4" s="56" t="s">
        <v>679</v>
      </c>
      <c r="L4" s="56" t="s">
        <v>679</v>
      </c>
      <c r="M4" s="69" t="s">
        <v>2079</v>
      </c>
      <c r="N4" s="70">
        <v>49.952221999999999</v>
      </c>
      <c r="O4" s="70">
        <v>6.1772220000000004</v>
      </c>
      <c r="P4" s="70">
        <v>49.952221999999999</v>
      </c>
      <c r="Q4" s="70">
        <v>6.1772220000000004</v>
      </c>
      <c r="R4" s="56">
        <v>11</v>
      </c>
      <c r="S4" s="56">
        <v>11</v>
      </c>
      <c r="T4" s="71" t="s">
        <v>42</v>
      </c>
      <c r="U4" s="56">
        <v>1296</v>
      </c>
      <c r="V4" s="56">
        <v>1050</v>
      </c>
      <c r="Y4" s="71">
        <v>4</v>
      </c>
      <c r="Z4" s="56">
        <v>7</v>
      </c>
      <c r="AA4" s="56">
        <v>1650</v>
      </c>
      <c r="AC4" s="73">
        <v>0.14523706914763268</v>
      </c>
      <c r="AE4" s="56">
        <v>1976</v>
      </c>
      <c r="AG4" s="56" t="s">
        <v>2077</v>
      </c>
      <c r="AH4" s="165"/>
      <c r="AI4" s="70">
        <v>49.945380999999998</v>
      </c>
      <c r="AJ4" s="74">
        <v>6.175834</v>
      </c>
      <c r="AK4" s="75">
        <v>10.8</v>
      </c>
      <c r="AL4" s="56" t="s">
        <v>2078</v>
      </c>
      <c r="AN4" s="74">
        <v>49.952714999999998</v>
      </c>
      <c r="AO4" s="74">
        <v>6.1795489999999997</v>
      </c>
      <c r="AP4" s="71">
        <v>278.89999999999998</v>
      </c>
      <c r="AQ4" s="72">
        <v>4.92</v>
      </c>
      <c r="AR4" s="71">
        <v>515</v>
      </c>
      <c r="AU4" s="56">
        <v>325</v>
      </c>
      <c r="AW4" s="56" t="s">
        <v>2057</v>
      </c>
      <c r="BA4" s="56" t="str">
        <f t="shared" si="0"/>
        <v>MAXPUMPTIME</v>
      </c>
      <c r="BB4" s="209">
        <f t="shared" si="1"/>
        <v>9.0719999999999992</v>
      </c>
      <c r="BC4" s="67" t="s">
        <v>2468</v>
      </c>
      <c r="BD4" s="56" t="s">
        <v>2082</v>
      </c>
      <c r="BE4" s="56" t="s">
        <v>2081</v>
      </c>
      <c r="BH4" s="73" t="s">
        <v>2853</v>
      </c>
      <c r="BJ4" s="279">
        <f t="shared" si="2"/>
        <v>6.9999999999999991</v>
      </c>
    </row>
    <row r="5" spans="1:62" x14ac:dyDescent="0.3">
      <c r="A5" s="56" t="s">
        <v>999</v>
      </c>
      <c r="B5" s="56" t="s">
        <v>2840</v>
      </c>
      <c r="C5" s="134" t="s">
        <v>2840</v>
      </c>
      <c r="D5" s="56" t="s">
        <v>2787</v>
      </c>
      <c r="E5" s="76" t="s">
        <v>2787</v>
      </c>
      <c r="F5" s="76" t="str">
        <f>VLOOKUP(E5,Codes!$G$1:$H$3,2,FALSE)</f>
        <v>hydro-STO</v>
      </c>
      <c r="G5" s="56">
        <v>4</v>
      </c>
      <c r="H5" s="66" t="str">
        <f>VLOOKUP(I5,Codes!$A$1:$B$32,2,FALSE)</f>
        <v>CH</v>
      </c>
      <c r="I5" s="56" t="s">
        <v>22</v>
      </c>
      <c r="J5" s="56" t="s">
        <v>2089</v>
      </c>
      <c r="K5" s="67" t="s">
        <v>2019</v>
      </c>
      <c r="L5" s="56" t="s">
        <v>999</v>
      </c>
      <c r="M5" s="69" t="s">
        <v>2091</v>
      </c>
      <c r="N5" s="70">
        <v>46.185296999999998</v>
      </c>
      <c r="O5" s="70">
        <v>7.2495609999999999</v>
      </c>
      <c r="P5" s="70">
        <v>46.192999999999998</v>
      </c>
      <c r="Q5" s="70">
        <v>7.2619999999999996</v>
      </c>
      <c r="R5" s="56">
        <v>3</v>
      </c>
      <c r="T5" s="71" t="s">
        <v>44</v>
      </c>
      <c r="U5" s="140">
        <v>1285</v>
      </c>
      <c r="AA5" s="56">
        <v>2901</v>
      </c>
      <c r="AC5" s="73">
        <v>0.26078622056311485</v>
      </c>
      <c r="AE5" s="56">
        <v>1998</v>
      </c>
      <c r="AG5" s="56" t="s">
        <v>2088</v>
      </c>
      <c r="AH5" s="56">
        <v>3371</v>
      </c>
      <c r="AI5" s="70">
        <v>46.080326999999997</v>
      </c>
      <c r="AJ5" s="74">
        <v>7.4032600000000004</v>
      </c>
      <c r="AK5" s="75">
        <v>400</v>
      </c>
      <c r="AL5" s="56" t="s">
        <v>2091</v>
      </c>
      <c r="AP5" s="71">
        <v>1869</v>
      </c>
      <c r="AR5" s="71">
        <v>75</v>
      </c>
      <c r="AW5" s="56" t="s">
        <v>2057</v>
      </c>
      <c r="AZ5" s="67"/>
      <c r="BA5" s="56" t="str">
        <f t="shared" si="0"/>
        <v>POTENTIAL</v>
      </c>
      <c r="BB5" s="209">
        <f t="shared" si="1"/>
        <v>1772.3726999999999</v>
      </c>
      <c r="BC5" s="67" t="s">
        <v>2090</v>
      </c>
      <c r="BD5" s="56" t="s">
        <v>2092</v>
      </c>
      <c r="BH5" s="73" t="s">
        <v>2853</v>
      </c>
      <c r="BJ5" s="279">
        <f t="shared" si="2"/>
        <v>1379.2783657587549</v>
      </c>
    </row>
    <row r="6" spans="1:62" x14ac:dyDescent="0.3">
      <c r="A6" s="56" t="s">
        <v>1854</v>
      </c>
      <c r="B6" s="56" t="s">
        <v>2840</v>
      </c>
      <c r="C6" s="134" t="s">
        <v>2840</v>
      </c>
      <c r="D6" s="56" t="s">
        <v>962</v>
      </c>
      <c r="E6" s="76" t="s">
        <v>962</v>
      </c>
      <c r="F6" s="76" t="str">
        <f>VLOOKUP(E6,Codes!$G$1:$H$3,2,FALSE)</f>
        <v>hydro-PHS</v>
      </c>
      <c r="G6" s="56">
        <v>5</v>
      </c>
      <c r="H6" s="66" t="str">
        <f>VLOOKUP(I6,Codes!$A$1:$B$32,2,FALSE)</f>
        <v>ES</v>
      </c>
      <c r="I6" s="56" t="s">
        <v>6</v>
      </c>
      <c r="J6" s="56" t="s">
        <v>2115</v>
      </c>
      <c r="K6" s="56" t="s">
        <v>1854</v>
      </c>
      <c r="L6" s="56" t="s">
        <v>2227</v>
      </c>
      <c r="M6" s="69" t="s">
        <v>2204</v>
      </c>
      <c r="N6" s="70">
        <v>41.211669999999998</v>
      </c>
      <c r="O6" s="70">
        <v>-6.6855599999999997</v>
      </c>
      <c r="P6" s="70">
        <v>41.210999999999999</v>
      </c>
      <c r="Q6" s="70">
        <v>-6.6589999999999998</v>
      </c>
      <c r="R6" s="56">
        <v>8</v>
      </c>
      <c r="S6" s="56">
        <v>8</v>
      </c>
      <c r="T6" s="71" t="s">
        <v>42</v>
      </c>
      <c r="U6" s="56">
        <v>1241.5999999999999</v>
      </c>
      <c r="V6" s="56">
        <v>400</v>
      </c>
      <c r="AA6" s="56">
        <v>2400</v>
      </c>
      <c r="AC6" s="73">
        <v>0.22050988942752106</v>
      </c>
      <c r="AE6" s="56">
        <v>1963</v>
      </c>
      <c r="AG6" s="168" t="s">
        <v>1854</v>
      </c>
      <c r="AH6" s="56">
        <v>2735</v>
      </c>
      <c r="AI6" s="70">
        <v>41.214582999999998</v>
      </c>
      <c r="AJ6" s="74">
        <v>-6.6837499999999999</v>
      </c>
      <c r="AK6" s="75">
        <v>56.6</v>
      </c>
      <c r="AL6" s="56" t="s">
        <v>2919</v>
      </c>
      <c r="AP6" s="71">
        <v>140</v>
      </c>
      <c r="AR6" s="71">
        <v>153.33333333333334</v>
      </c>
      <c r="AU6" s="56">
        <v>266.2</v>
      </c>
      <c r="AV6" s="166" t="s">
        <v>1733</v>
      </c>
      <c r="AW6" s="56" t="s">
        <v>2057</v>
      </c>
      <c r="BA6" s="56" t="str">
        <f t="shared" si="0"/>
        <v>POTENTIAL</v>
      </c>
      <c r="BB6" s="209">
        <f t="shared" si="1"/>
        <v>18.785823000000001</v>
      </c>
      <c r="BC6" s="67" t="s">
        <v>2468</v>
      </c>
      <c r="BD6" s="67" t="s">
        <v>2117</v>
      </c>
      <c r="BE6" s="67" t="s">
        <v>2116</v>
      </c>
      <c r="BF6" s="56" t="s">
        <v>2118</v>
      </c>
      <c r="BG6" s="72" t="s">
        <v>2221</v>
      </c>
      <c r="BH6" s="73" t="s">
        <v>2853</v>
      </c>
      <c r="BJ6" s="279">
        <f t="shared" si="2"/>
        <v>15.130334246134023</v>
      </c>
    </row>
    <row r="7" spans="1:62" x14ac:dyDescent="0.3">
      <c r="A7" s="56" t="s">
        <v>2101</v>
      </c>
      <c r="B7" s="56" t="s">
        <v>2840</v>
      </c>
      <c r="C7" s="134" t="s">
        <v>2840</v>
      </c>
      <c r="D7" s="244" t="s">
        <v>2787</v>
      </c>
      <c r="E7" s="157" t="s">
        <v>2787</v>
      </c>
      <c r="F7" s="76" t="str">
        <f>VLOOKUP(E7,Codes!$G$1:$H$3,2,FALSE)</f>
        <v>hydro-STO</v>
      </c>
      <c r="G7" s="56">
        <v>6</v>
      </c>
      <c r="H7" s="66" t="str">
        <f>VLOOKUP(I7,Codes!$A$1:$B$32,2,FALSE)</f>
        <v>NO</v>
      </c>
      <c r="I7" s="56" t="s">
        <v>21</v>
      </c>
      <c r="J7" s="56" t="s">
        <v>2104</v>
      </c>
      <c r="K7" s="56" t="s">
        <v>2100</v>
      </c>
      <c r="L7" s="56" t="s">
        <v>716</v>
      </c>
      <c r="M7" s="69" t="s">
        <v>2114</v>
      </c>
      <c r="N7" s="70">
        <v>59.528779999999998</v>
      </c>
      <c r="O7" s="70">
        <v>6.6542000000000003</v>
      </c>
      <c r="P7" s="70">
        <v>59.528779999999998</v>
      </c>
      <c r="Q7" s="70">
        <v>6.6542000000000003</v>
      </c>
      <c r="R7" s="56">
        <v>4</v>
      </c>
      <c r="T7" s="71" t="s">
        <v>42</v>
      </c>
      <c r="U7" s="56">
        <v>1240</v>
      </c>
      <c r="AA7" s="56">
        <v>3028</v>
      </c>
      <c r="AC7" s="73">
        <v>0.27856895777674739</v>
      </c>
      <c r="AE7" s="56">
        <v>1981</v>
      </c>
      <c r="AG7" s="56" t="s">
        <v>2109</v>
      </c>
      <c r="AH7" s="56">
        <v>3162</v>
      </c>
      <c r="AI7" s="70">
        <v>59.303750000000001</v>
      </c>
      <c r="AJ7" s="74">
        <v>6.9420830000000002</v>
      </c>
      <c r="AK7" s="75">
        <v>2325</v>
      </c>
      <c r="AP7" s="71">
        <v>538</v>
      </c>
      <c r="AW7" s="56" t="s">
        <v>2057</v>
      </c>
      <c r="AZ7" s="67"/>
      <c r="BA7" s="56" t="str">
        <f t="shared" si="0"/>
        <v>POTENTIAL</v>
      </c>
      <c r="BB7" s="209">
        <f t="shared" si="1"/>
        <v>2965.4526375</v>
      </c>
      <c r="BC7" s="67" t="s">
        <v>2105</v>
      </c>
      <c r="BD7" s="67" t="s">
        <v>2106</v>
      </c>
      <c r="BE7" s="56" t="s">
        <v>2107</v>
      </c>
      <c r="BF7" s="56" t="s">
        <v>2768</v>
      </c>
      <c r="BH7" s="73" t="s">
        <v>2853</v>
      </c>
      <c r="BJ7" s="279">
        <f t="shared" si="2"/>
        <v>2391.4940624999999</v>
      </c>
    </row>
    <row r="8" spans="1:62" x14ac:dyDescent="0.3">
      <c r="A8" s="56" t="s">
        <v>2150</v>
      </c>
      <c r="B8" s="56" t="s">
        <v>2840</v>
      </c>
      <c r="C8" s="134" t="s">
        <v>2840</v>
      </c>
      <c r="D8" s="56" t="s">
        <v>962</v>
      </c>
      <c r="E8" s="76" t="s">
        <v>962</v>
      </c>
      <c r="F8" s="76" t="str">
        <f>VLOOKUP(E8,Codes!$G$1:$H$3,2,FALSE)</f>
        <v>hydro-PHS</v>
      </c>
      <c r="G8" s="56">
        <v>7</v>
      </c>
      <c r="H8" s="66" t="str">
        <f>VLOOKUP(I8,Codes!$A$1:$B$32,2,FALSE)</f>
        <v>IT</v>
      </c>
      <c r="I8" s="67" t="s">
        <v>9</v>
      </c>
      <c r="J8" s="67" t="s">
        <v>512</v>
      </c>
      <c r="K8" s="67" t="s">
        <v>527</v>
      </c>
      <c r="L8" s="56" t="s">
        <v>527</v>
      </c>
      <c r="N8" s="70">
        <v>44.224722</v>
      </c>
      <c r="O8" s="70">
        <v>7.3861109999999996</v>
      </c>
      <c r="P8" s="397"/>
      <c r="Q8" s="397"/>
      <c r="R8" s="56">
        <v>8</v>
      </c>
      <c r="S8" s="56">
        <v>8</v>
      </c>
      <c r="T8" s="71" t="s">
        <v>42</v>
      </c>
      <c r="U8" s="56">
        <v>1184</v>
      </c>
      <c r="V8" s="56">
        <v>605.67656765676566</v>
      </c>
      <c r="AA8" s="56">
        <v>1992</v>
      </c>
      <c r="AC8" s="73">
        <v>0.1919270399763213</v>
      </c>
      <c r="AE8" s="56">
        <v>1982</v>
      </c>
      <c r="AG8" s="56" t="s">
        <v>2073</v>
      </c>
      <c r="AH8" s="165"/>
      <c r="AI8" s="70">
        <v>44.166283999999997</v>
      </c>
      <c r="AJ8" s="74">
        <v>7.3317740000000002</v>
      </c>
      <c r="AK8" s="75">
        <v>27.3</v>
      </c>
      <c r="AL8" s="56" t="s">
        <v>2072</v>
      </c>
      <c r="AN8" s="74">
        <v>44.222800999999997</v>
      </c>
      <c r="AO8" s="74">
        <v>7.3893139999999997</v>
      </c>
      <c r="AP8" s="71">
        <v>1048</v>
      </c>
      <c r="AQ8" s="72">
        <v>17.04</v>
      </c>
      <c r="AR8" s="71">
        <v>128</v>
      </c>
      <c r="AU8" s="56">
        <v>120</v>
      </c>
      <c r="AW8" s="56" t="s">
        <v>2057</v>
      </c>
      <c r="BA8" s="56" t="str">
        <f t="shared" si="0"/>
        <v>GETH</v>
      </c>
      <c r="BB8" s="209">
        <f t="shared" si="1"/>
        <v>17.04</v>
      </c>
      <c r="BC8" s="56" t="s">
        <v>2468</v>
      </c>
      <c r="BD8" s="56" t="s">
        <v>2075</v>
      </c>
      <c r="BE8" s="56" t="s">
        <v>2076</v>
      </c>
      <c r="BF8" s="56" t="s">
        <v>2758</v>
      </c>
      <c r="BH8" s="73" t="s">
        <v>2853</v>
      </c>
      <c r="BJ8" s="279">
        <f t="shared" si="2"/>
        <v>14.391891891891891</v>
      </c>
    </row>
    <row r="9" spans="1:62" x14ac:dyDescent="0.3">
      <c r="A9" s="56" t="s">
        <v>2119</v>
      </c>
      <c r="B9" s="56" t="s">
        <v>2840</v>
      </c>
      <c r="C9" s="134" t="s">
        <v>2840</v>
      </c>
      <c r="D9" s="244" t="s">
        <v>29</v>
      </c>
      <c r="E9" s="157" t="s">
        <v>2787</v>
      </c>
      <c r="F9" s="76" t="str">
        <f>VLOOKUP(D9,Codes!$G$1:$H$3,2,FALSE)</f>
        <v>hydro-ROR</v>
      </c>
      <c r="G9" s="56">
        <v>8</v>
      </c>
      <c r="H9" s="66" t="str">
        <f>VLOOKUP(I9,Codes!$A$1:$B$32,2,FALSE)</f>
        <v>RO</v>
      </c>
      <c r="I9" s="56" t="s">
        <v>16</v>
      </c>
      <c r="J9" s="56" t="s">
        <v>2123</v>
      </c>
      <c r="K9" s="67" t="s">
        <v>2120</v>
      </c>
      <c r="L9" s="56" t="s">
        <v>850</v>
      </c>
      <c r="M9" s="77" t="s">
        <v>2205</v>
      </c>
      <c r="N9" s="70">
        <v>44.673276600000001</v>
      </c>
      <c r="O9" s="70">
        <v>22.532036300000001</v>
      </c>
      <c r="P9" s="70">
        <v>44.656999999999996</v>
      </c>
      <c r="Q9" s="70">
        <v>22.52</v>
      </c>
      <c r="R9" s="56">
        <v>6</v>
      </c>
      <c r="U9" s="56">
        <v>1165.8000000000002</v>
      </c>
      <c r="AA9" s="56">
        <v>5400</v>
      </c>
      <c r="AC9" s="73">
        <v>0.52840661100079156</v>
      </c>
      <c r="AE9" s="56">
        <v>1972</v>
      </c>
      <c r="AF9" s="56">
        <v>1999</v>
      </c>
      <c r="AG9" s="56" t="s">
        <v>1771</v>
      </c>
      <c r="AH9" s="56">
        <v>3880</v>
      </c>
      <c r="AI9" s="70">
        <v>44.671871000000003</v>
      </c>
      <c r="AJ9" s="74">
        <v>22.527781000000001</v>
      </c>
      <c r="AK9" s="75">
        <v>2550</v>
      </c>
      <c r="AP9" s="71">
        <v>28</v>
      </c>
      <c r="AR9" s="71">
        <v>8700</v>
      </c>
      <c r="AW9" s="56" t="s">
        <v>2057</v>
      </c>
      <c r="AZ9" s="67"/>
      <c r="BA9" s="56" t="str">
        <f t="shared" si="0"/>
        <v>POTENTIAL</v>
      </c>
      <c r="BB9" s="209">
        <f t="shared" si="1"/>
        <v>169.27154999999999</v>
      </c>
      <c r="BC9" s="67" t="s">
        <v>2124</v>
      </c>
      <c r="BD9" s="56" t="s">
        <v>2125</v>
      </c>
      <c r="BE9" s="56" t="s">
        <v>2127</v>
      </c>
      <c r="BF9" s="56" t="s">
        <v>2222</v>
      </c>
      <c r="BH9" s="73" t="s">
        <v>2853</v>
      </c>
      <c r="BJ9" s="279">
        <f t="shared" si="2"/>
        <v>145.19776119402982</v>
      </c>
    </row>
    <row r="10" spans="1:62" x14ac:dyDescent="0.3">
      <c r="A10" s="56" t="s">
        <v>50</v>
      </c>
      <c r="B10" s="56" t="s">
        <v>2840</v>
      </c>
      <c r="C10" s="134" t="s">
        <v>2840</v>
      </c>
      <c r="D10" s="56" t="s">
        <v>962</v>
      </c>
      <c r="E10" s="76" t="s">
        <v>962</v>
      </c>
      <c r="F10" s="76" t="str">
        <f>VLOOKUP(E10,Codes!$G$1:$H$3,2,FALSE)</f>
        <v>hydro-PHS</v>
      </c>
      <c r="G10" s="56">
        <v>9</v>
      </c>
      <c r="H10" s="66" t="str">
        <f>VLOOKUP(I10,Codes!$A$1:$B$32,2,FALSE)</f>
        <v>BE</v>
      </c>
      <c r="I10" s="56" t="s">
        <v>0</v>
      </c>
      <c r="J10" s="56" t="s">
        <v>67</v>
      </c>
      <c r="K10" s="56" t="s">
        <v>50</v>
      </c>
      <c r="L10" s="56" t="s">
        <v>69</v>
      </c>
      <c r="M10" s="69" t="s">
        <v>2295</v>
      </c>
      <c r="N10" s="70">
        <v>50.386713999999998</v>
      </c>
      <c r="O10" s="70">
        <v>5.8572579999999999</v>
      </c>
      <c r="P10" s="70">
        <v>50.386713999999998</v>
      </c>
      <c r="Q10" s="70">
        <v>5.8572579999999999</v>
      </c>
      <c r="R10" s="56">
        <v>6</v>
      </c>
      <c r="S10" s="56">
        <v>6</v>
      </c>
      <c r="T10" s="71" t="s">
        <v>42</v>
      </c>
      <c r="U10" s="56">
        <v>1164</v>
      </c>
      <c r="V10" s="56">
        <v>1035</v>
      </c>
      <c r="W10" s="56">
        <v>120</v>
      </c>
      <c r="Y10" s="71">
        <v>5</v>
      </c>
      <c r="Z10" s="56">
        <v>5.75</v>
      </c>
      <c r="AA10" s="56">
        <v>1600</v>
      </c>
      <c r="AC10" s="73">
        <v>0.15680703248179273</v>
      </c>
      <c r="AE10" s="56">
        <v>1979</v>
      </c>
      <c r="AG10" s="56" t="s">
        <v>2188</v>
      </c>
      <c r="AH10" s="165"/>
      <c r="AI10" s="70">
        <v>50.383842000000001</v>
      </c>
      <c r="AJ10" s="74">
        <v>5.844163</v>
      </c>
      <c r="AK10" s="75">
        <v>8.5</v>
      </c>
      <c r="AL10" s="56" t="s">
        <v>2130</v>
      </c>
      <c r="AN10" s="74">
        <v>50.389707999999999</v>
      </c>
      <c r="AO10" s="74">
        <v>5.8612000000000002</v>
      </c>
      <c r="AP10" s="71">
        <v>245</v>
      </c>
      <c r="AQ10" s="72">
        <v>5</v>
      </c>
      <c r="AR10" s="71">
        <v>370</v>
      </c>
      <c r="AU10" s="56">
        <v>315</v>
      </c>
      <c r="AW10" s="56" t="s">
        <v>2057</v>
      </c>
      <c r="BA10" s="56" t="str">
        <f t="shared" si="0"/>
        <v>MAXPUMPTIME</v>
      </c>
      <c r="BB10" s="209">
        <f t="shared" si="1"/>
        <v>6.6929999999999996</v>
      </c>
      <c r="BC10" s="67" t="s">
        <v>2468</v>
      </c>
      <c r="BD10" s="56" t="s">
        <v>43</v>
      </c>
      <c r="BE10" s="56" t="s">
        <v>51</v>
      </c>
      <c r="BF10" s="56" t="s">
        <v>2131</v>
      </c>
      <c r="BG10" s="72" t="s">
        <v>2132</v>
      </c>
      <c r="BH10" s="73" t="s">
        <v>2853</v>
      </c>
      <c r="BJ10" s="279">
        <f t="shared" si="2"/>
        <v>5.75</v>
      </c>
    </row>
    <row r="11" spans="1:62" ht="14.5" x14ac:dyDescent="0.3">
      <c r="A11" s="56" t="s">
        <v>2167</v>
      </c>
      <c r="B11" s="56" t="s">
        <v>2840</v>
      </c>
      <c r="C11" s="134" t="s">
        <v>2840</v>
      </c>
      <c r="D11" s="56" t="s">
        <v>962</v>
      </c>
      <c r="E11" s="157" t="s">
        <v>2787</v>
      </c>
      <c r="F11" s="76" t="str">
        <f>VLOOKUP(E11,Codes!$G$1:$H$3,2,FALSE)</f>
        <v>hydro-STO</v>
      </c>
      <c r="G11" s="56">
        <v>10</v>
      </c>
      <c r="H11" s="66" t="str">
        <f>VLOOKUP(I11,Codes!$A$1:$B$32,2,FALSE)</f>
        <v>NO</v>
      </c>
      <c r="I11" s="56" t="s">
        <v>21</v>
      </c>
      <c r="J11" s="56" t="s">
        <v>2104</v>
      </c>
      <c r="K11" s="56" t="s">
        <v>2167</v>
      </c>
      <c r="L11" s="56" t="s">
        <v>747</v>
      </c>
      <c r="N11" s="70">
        <v>60.499443999999997</v>
      </c>
      <c r="O11" s="70">
        <v>7.1419439999999996</v>
      </c>
      <c r="R11" s="56">
        <v>4</v>
      </c>
      <c r="T11" s="71" t="s">
        <v>44</v>
      </c>
      <c r="U11" s="56">
        <v>1120</v>
      </c>
      <c r="AA11" s="56">
        <v>2840</v>
      </c>
      <c r="AC11" s="73">
        <v>0.28926697304520715</v>
      </c>
      <c r="AE11" s="56">
        <v>1980</v>
      </c>
      <c r="AG11" s="56" t="s">
        <v>2709</v>
      </c>
      <c r="AH11" s="56">
        <v>3111</v>
      </c>
      <c r="AI11" s="70">
        <v>60.552734999999998</v>
      </c>
      <c r="AJ11" s="74">
        <v>7.126417</v>
      </c>
      <c r="AK11" s="75">
        <v>142.30000000000001</v>
      </c>
      <c r="AL11" s="56" t="s">
        <v>747</v>
      </c>
      <c r="AP11" s="71">
        <v>1015.2678571428571</v>
      </c>
      <c r="AQ11" s="72">
        <v>8.48</v>
      </c>
      <c r="AW11" s="56" t="s">
        <v>2169</v>
      </c>
      <c r="BA11" s="56" t="str">
        <f t="shared" si="0"/>
        <v>GETH</v>
      </c>
      <c r="BB11" s="209">
        <f t="shared" si="1"/>
        <v>8.48</v>
      </c>
      <c r="BC11" s="56" t="s">
        <v>2468</v>
      </c>
      <c r="BD11" s="143" t="s">
        <v>2168</v>
      </c>
      <c r="BE11" s="143" t="s">
        <v>2223</v>
      </c>
      <c r="BF11" s="143" t="s">
        <v>2973</v>
      </c>
      <c r="BH11" s="73" t="s">
        <v>2853</v>
      </c>
      <c r="BJ11" s="280">
        <f>SUM(BB11:BB13)/(U11/1000)</f>
        <v>984.53372803332263</v>
      </c>
    </row>
    <row r="12" spans="1:62" s="112" customFormat="1" x14ac:dyDescent="0.3">
      <c r="A12" s="112" t="s">
        <v>2870</v>
      </c>
      <c r="C12" s="134" t="s">
        <v>2840</v>
      </c>
      <c r="D12" s="113"/>
      <c r="E12" s="114" t="s">
        <v>2475</v>
      </c>
      <c r="F12" s="316" t="str">
        <f>F11</f>
        <v>hydro-STO</v>
      </c>
      <c r="G12" s="113">
        <v>10</v>
      </c>
      <c r="H12" s="66" t="str">
        <f>VLOOKUP(I12,Codes!$A$1:$B$32,2,FALSE)</f>
        <v>NO</v>
      </c>
      <c r="I12" s="113" t="s">
        <v>21</v>
      </c>
      <c r="J12" s="113"/>
      <c r="K12" s="113" t="s">
        <v>2167</v>
      </c>
      <c r="L12" s="113"/>
      <c r="M12" s="115"/>
      <c r="N12" s="116"/>
      <c r="O12" s="116"/>
      <c r="P12" s="116"/>
      <c r="Q12" s="116"/>
      <c r="R12" s="113"/>
      <c r="S12" s="113"/>
      <c r="T12" s="117"/>
      <c r="U12" s="113"/>
      <c r="V12" s="113"/>
      <c r="W12" s="113"/>
      <c r="X12" s="113"/>
      <c r="Y12" s="117"/>
      <c r="Z12" s="113"/>
      <c r="AA12" s="113"/>
      <c r="AB12" s="113"/>
      <c r="AC12" s="118"/>
      <c r="AD12" s="118"/>
      <c r="AE12" s="113"/>
      <c r="AF12" s="113"/>
      <c r="AG12" s="172" t="s">
        <v>2711</v>
      </c>
      <c r="AH12" s="113">
        <v>3112</v>
      </c>
      <c r="AI12" s="116">
        <v>60.522041000000002</v>
      </c>
      <c r="AJ12" s="120">
        <v>7.2613979999999998</v>
      </c>
      <c r="AK12" s="121">
        <v>27.6</v>
      </c>
      <c r="AL12" s="113"/>
      <c r="AM12" s="113"/>
      <c r="AN12" s="120"/>
      <c r="AO12" s="120"/>
      <c r="AP12" s="117">
        <f>AP11</f>
        <v>1015.2678571428571</v>
      </c>
      <c r="AQ12" s="119"/>
      <c r="AR12" s="117"/>
      <c r="AS12" s="117"/>
      <c r="AT12" s="117"/>
      <c r="AU12" s="113"/>
      <c r="AV12" s="113"/>
      <c r="AW12" s="113"/>
      <c r="AX12" s="113"/>
      <c r="AY12" s="113"/>
      <c r="AZ12" s="113"/>
      <c r="BA12" s="56" t="str">
        <f t="shared" si="0"/>
        <v>POTENTIAL</v>
      </c>
      <c r="BB12" s="209">
        <f t="shared" si="1"/>
        <v>66.431717116071439</v>
      </c>
      <c r="BC12" s="113"/>
      <c r="BD12" s="113"/>
      <c r="BE12" s="113"/>
      <c r="BF12" s="113"/>
      <c r="BG12" s="119"/>
      <c r="BH12" s="73" t="s">
        <v>2853</v>
      </c>
      <c r="BI12" s="113"/>
      <c r="BJ12" s="279"/>
    </row>
    <row r="13" spans="1:62" s="112" customFormat="1" x14ac:dyDescent="0.3">
      <c r="A13" s="112" t="s">
        <v>2870</v>
      </c>
      <c r="C13" s="134" t="s">
        <v>2840</v>
      </c>
      <c r="D13" s="113"/>
      <c r="E13" s="114" t="s">
        <v>2475</v>
      </c>
      <c r="F13" s="316" t="str">
        <f>F12</f>
        <v>hydro-STO</v>
      </c>
      <c r="G13" s="113">
        <v>10</v>
      </c>
      <c r="H13" s="66" t="str">
        <f>VLOOKUP(I13,Codes!$A$1:$B$32,2,FALSE)</f>
        <v>NO</v>
      </c>
      <c r="I13" s="113" t="s">
        <v>21</v>
      </c>
      <c r="J13" s="113"/>
      <c r="K13" s="113" t="s">
        <v>2167</v>
      </c>
      <c r="L13" s="113"/>
      <c r="M13" s="115"/>
      <c r="N13" s="116"/>
      <c r="O13" s="116"/>
      <c r="P13" s="116"/>
      <c r="Q13" s="116"/>
      <c r="R13" s="113"/>
      <c r="S13" s="113"/>
      <c r="T13" s="117"/>
      <c r="U13" s="113"/>
      <c r="V13" s="113"/>
      <c r="W13" s="113"/>
      <c r="X13" s="113"/>
      <c r="Y13" s="117"/>
      <c r="Z13" s="113"/>
      <c r="AA13" s="113"/>
      <c r="AB13" s="113"/>
      <c r="AC13" s="118"/>
      <c r="AD13" s="118"/>
      <c r="AE13" s="113"/>
      <c r="AF13" s="113"/>
      <c r="AG13" s="172" t="s">
        <v>2712</v>
      </c>
      <c r="AH13" s="113">
        <v>3116</v>
      </c>
      <c r="AI13" s="116">
        <v>60.423110999999999</v>
      </c>
      <c r="AJ13" s="120">
        <v>7.413678</v>
      </c>
      <c r="AK13" s="121">
        <v>427</v>
      </c>
      <c r="AL13" s="113"/>
      <c r="AM13" s="113"/>
      <c r="AN13" s="120"/>
      <c r="AO13" s="120"/>
      <c r="AP13" s="117">
        <f>AP12</f>
        <v>1015.2678571428571</v>
      </c>
      <c r="AQ13" s="119"/>
      <c r="AR13" s="117"/>
      <c r="AS13" s="117"/>
      <c r="AT13" s="117"/>
      <c r="AU13" s="113"/>
      <c r="AV13" s="113"/>
      <c r="AW13" s="113"/>
      <c r="AX13" s="113"/>
      <c r="AY13" s="113"/>
      <c r="AZ13" s="113"/>
      <c r="BA13" s="56" t="str">
        <f t="shared" si="0"/>
        <v>POTENTIAL</v>
      </c>
      <c r="BB13" s="209">
        <f t="shared" si="1"/>
        <v>1027.76605828125</v>
      </c>
      <c r="BC13" s="113"/>
      <c r="BD13" s="113"/>
      <c r="BE13" s="113"/>
      <c r="BF13" s="113"/>
      <c r="BG13" s="119"/>
      <c r="BH13" s="73" t="s">
        <v>2853</v>
      </c>
      <c r="BI13" s="113"/>
      <c r="BJ13" s="279"/>
    </row>
    <row r="14" spans="1:62" x14ac:dyDescent="0.3">
      <c r="A14" s="56" t="s">
        <v>2170</v>
      </c>
      <c r="B14" s="56" t="s">
        <v>2840</v>
      </c>
      <c r="C14" s="134" t="s">
        <v>2840</v>
      </c>
      <c r="D14" s="56" t="s">
        <v>962</v>
      </c>
      <c r="E14" s="76" t="s">
        <v>962</v>
      </c>
      <c r="F14" s="76" t="str">
        <f>VLOOKUP(E14,Codes!$G$1:$H$3,2,FALSE)</f>
        <v>hydro-PHS</v>
      </c>
      <c r="G14" s="56">
        <v>11</v>
      </c>
      <c r="H14" s="66" t="str">
        <f>VLOOKUP(I14,Codes!$A$1:$B$32,2,FALSE)</f>
        <v>DE</v>
      </c>
      <c r="I14" s="56" t="s">
        <v>3</v>
      </c>
      <c r="J14" s="56" t="s">
        <v>2172</v>
      </c>
      <c r="K14" s="56" t="s">
        <v>363</v>
      </c>
      <c r="L14" s="56" t="s">
        <v>363</v>
      </c>
      <c r="M14" s="69" t="s">
        <v>2194</v>
      </c>
      <c r="N14" s="70">
        <v>50.508083999999997</v>
      </c>
      <c r="O14" s="70">
        <v>11.004471000000001</v>
      </c>
      <c r="P14" s="392">
        <v>50.508083999999997</v>
      </c>
      <c r="Q14" s="392">
        <v>11.004471000000001</v>
      </c>
      <c r="R14" s="56">
        <v>4</v>
      </c>
      <c r="S14" s="56">
        <v>4</v>
      </c>
      <c r="T14" s="71" t="s">
        <v>42</v>
      </c>
      <c r="U14" s="56">
        <v>1053</v>
      </c>
      <c r="V14" s="56">
        <v>1053</v>
      </c>
      <c r="Y14" s="71">
        <v>8</v>
      </c>
      <c r="AA14" s="56">
        <v>1806</v>
      </c>
      <c r="AC14" s="73">
        <v>0.19565362937482492</v>
      </c>
      <c r="AE14" s="56">
        <v>2004</v>
      </c>
      <c r="AG14" s="56" t="s">
        <v>2713</v>
      </c>
      <c r="AH14" s="165"/>
      <c r="AI14" s="70">
        <v>50.509453000000001</v>
      </c>
      <c r="AJ14" s="74">
        <v>11.031798</v>
      </c>
      <c r="AK14" s="75">
        <v>12</v>
      </c>
      <c r="AL14" s="56" t="s">
        <v>2772</v>
      </c>
      <c r="AN14" s="74">
        <v>50.498187000000001</v>
      </c>
      <c r="AO14" s="74">
        <v>11.007353999999999</v>
      </c>
      <c r="AP14" s="71">
        <v>302</v>
      </c>
      <c r="AQ14" s="72">
        <v>8.5</v>
      </c>
      <c r="AW14" s="56" t="s">
        <v>2057</v>
      </c>
      <c r="BA14" s="56" t="str">
        <f t="shared" si="0"/>
        <v>GETH</v>
      </c>
      <c r="BB14" s="209">
        <f t="shared" si="1"/>
        <v>8.5</v>
      </c>
      <c r="BC14" s="56" t="s">
        <v>2468</v>
      </c>
      <c r="BD14" s="56" t="s">
        <v>2171</v>
      </c>
      <c r="BE14" s="56" t="s">
        <v>2173</v>
      </c>
      <c r="BF14" s="56" t="s">
        <v>2174</v>
      </c>
      <c r="BH14" s="73" t="s">
        <v>2853</v>
      </c>
      <c r="BJ14" s="279">
        <f t="shared" ref="BJ14:BJ55" si="3">BB14/(U14/1000)</f>
        <v>8.0721747388414062</v>
      </c>
    </row>
    <row r="15" spans="1:62" x14ac:dyDescent="0.3">
      <c r="A15" s="56" t="s">
        <v>387</v>
      </c>
      <c r="B15" s="56" t="s">
        <v>2840</v>
      </c>
      <c r="C15" s="134" t="s">
        <v>2840</v>
      </c>
      <c r="D15" s="56" t="s">
        <v>962</v>
      </c>
      <c r="E15" s="76" t="s">
        <v>962</v>
      </c>
      <c r="F15" s="76" t="str">
        <f>VLOOKUP(E15,Codes!$G$1:$H$3,2,FALSE)</f>
        <v>hydro-PHS</v>
      </c>
      <c r="G15" s="56">
        <v>12</v>
      </c>
      <c r="H15" s="66" t="str">
        <f>VLOOKUP(I15,Codes!$A$1:$B$32,2,FALSE)</f>
        <v>DE</v>
      </c>
      <c r="I15" s="56" t="s">
        <v>3</v>
      </c>
      <c r="J15" s="56" t="s">
        <v>2172</v>
      </c>
      <c r="K15" s="67" t="s">
        <v>387</v>
      </c>
      <c r="L15" s="56" t="s">
        <v>387</v>
      </c>
      <c r="M15" s="69" t="s">
        <v>2195</v>
      </c>
      <c r="N15" s="70">
        <v>50.517527000000001</v>
      </c>
      <c r="O15" s="70">
        <v>12.880644</v>
      </c>
      <c r="P15" s="392">
        <v>50.517527000000001</v>
      </c>
      <c r="Q15" s="392">
        <v>12.880644</v>
      </c>
      <c r="R15" s="56">
        <v>7</v>
      </c>
      <c r="S15" s="56">
        <v>7</v>
      </c>
      <c r="T15" s="71" t="s">
        <v>2176</v>
      </c>
      <c r="U15" s="56">
        <v>1046</v>
      </c>
      <c r="V15" s="56">
        <v>1046</v>
      </c>
      <c r="AA15" s="56">
        <v>980</v>
      </c>
      <c r="AC15" s="73">
        <v>0.10687913365955462</v>
      </c>
      <c r="AE15" s="56">
        <v>1979</v>
      </c>
      <c r="AG15" s="56" t="s">
        <v>2177</v>
      </c>
      <c r="AH15" s="165"/>
      <c r="AI15" s="70">
        <v>50.506830999999998</v>
      </c>
      <c r="AJ15" s="74">
        <v>12.868891</v>
      </c>
      <c r="AK15" s="75">
        <v>6.3</v>
      </c>
      <c r="AL15" s="56" t="s">
        <v>2178</v>
      </c>
      <c r="AN15" s="74">
        <v>50.521552999999997</v>
      </c>
      <c r="AO15" s="74">
        <v>12.882842</v>
      </c>
      <c r="AP15" s="71">
        <v>288</v>
      </c>
      <c r="AQ15" s="72">
        <v>4.0179999999999998</v>
      </c>
      <c r="AW15" s="56" t="s">
        <v>2057</v>
      </c>
      <c r="BA15" s="56" t="str">
        <f t="shared" si="0"/>
        <v>GETH</v>
      </c>
      <c r="BB15" s="209">
        <f t="shared" si="1"/>
        <v>4.0179999999999998</v>
      </c>
      <c r="BC15" s="56" t="s">
        <v>2468</v>
      </c>
      <c r="BD15" s="56" t="s">
        <v>2175</v>
      </c>
      <c r="BE15" s="56" t="s">
        <v>2179</v>
      </c>
      <c r="BH15" s="73" t="s">
        <v>2853</v>
      </c>
      <c r="BJ15" s="279">
        <f t="shared" si="3"/>
        <v>3.8413001912045885</v>
      </c>
    </row>
    <row r="16" spans="1:62" x14ac:dyDescent="0.3">
      <c r="A16" s="67" t="s">
        <v>2184</v>
      </c>
      <c r="B16" s="56" t="s">
        <v>2840</v>
      </c>
      <c r="C16" s="134" t="s">
        <v>2840</v>
      </c>
      <c r="D16" s="56" t="s">
        <v>962</v>
      </c>
      <c r="E16" s="76" t="s">
        <v>962</v>
      </c>
      <c r="F16" s="76" t="str">
        <f>VLOOKUP(E16,Codes!$G$1:$H$3,2,FALSE)</f>
        <v>hydro-PHS</v>
      </c>
      <c r="G16" s="56">
        <v>13</v>
      </c>
      <c r="H16" s="66" t="str">
        <f>VLOOKUP(I16,Codes!$A$1:$B$32,2,FALSE)</f>
        <v>IT</v>
      </c>
      <c r="I16" s="67" t="s">
        <v>9</v>
      </c>
      <c r="J16" s="67" t="s">
        <v>512</v>
      </c>
      <c r="K16" s="67"/>
      <c r="L16" s="56" t="s">
        <v>532</v>
      </c>
      <c r="N16" s="70">
        <v>46.069443999999997</v>
      </c>
      <c r="O16" s="70">
        <v>8.7319440000000004</v>
      </c>
      <c r="P16" s="70">
        <v>46.069443999999997</v>
      </c>
      <c r="Q16" s="70">
        <v>8.7319440000000004</v>
      </c>
      <c r="R16" s="56">
        <v>8</v>
      </c>
      <c r="S16" s="56">
        <v>8</v>
      </c>
      <c r="T16" s="71" t="s">
        <v>44</v>
      </c>
      <c r="U16" s="56">
        <v>1040</v>
      </c>
      <c r="V16" s="56">
        <v>784</v>
      </c>
      <c r="AA16" s="56">
        <v>983</v>
      </c>
      <c r="AC16" s="73">
        <v>0.10782481265027466</v>
      </c>
      <c r="AE16" s="56">
        <v>1973</v>
      </c>
      <c r="AG16" s="56" t="s">
        <v>2183</v>
      </c>
      <c r="AH16" s="165"/>
      <c r="AI16" s="70">
        <v>46.078660999999997</v>
      </c>
      <c r="AJ16" s="74">
        <v>8.7553889999999992</v>
      </c>
      <c r="AK16" s="75">
        <v>10</v>
      </c>
      <c r="AL16" s="56" t="s">
        <v>2185</v>
      </c>
      <c r="AM16" s="56">
        <v>3395</v>
      </c>
      <c r="AN16" s="74">
        <v>45.985128000000003</v>
      </c>
      <c r="AO16" s="74">
        <v>8.6799269999999993</v>
      </c>
      <c r="AP16" s="71">
        <v>736.25</v>
      </c>
      <c r="AQ16" s="72">
        <v>17.68</v>
      </c>
      <c r="AR16" s="71">
        <v>160</v>
      </c>
      <c r="AU16" s="56">
        <v>94</v>
      </c>
      <c r="BA16" s="56" t="str">
        <f t="shared" si="0"/>
        <v>GETH</v>
      </c>
      <c r="BB16" s="209">
        <f t="shared" si="1"/>
        <v>17.68</v>
      </c>
      <c r="BC16" s="56" t="s">
        <v>2468</v>
      </c>
      <c r="BD16" s="67" t="s">
        <v>2186</v>
      </c>
      <c r="BE16" s="56" t="s">
        <v>2187</v>
      </c>
      <c r="BH16" s="73" t="s">
        <v>2853</v>
      </c>
      <c r="BJ16" s="279">
        <f t="shared" si="3"/>
        <v>17</v>
      </c>
    </row>
    <row r="17" spans="1:62" x14ac:dyDescent="0.3">
      <c r="A17" s="56" t="s">
        <v>515</v>
      </c>
      <c r="B17" s="56" t="s">
        <v>2840</v>
      </c>
      <c r="C17" s="134" t="s">
        <v>2840</v>
      </c>
      <c r="D17" s="56" t="s">
        <v>962</v>
      </c>
      <c r="E17" s="76" t="s">
        <v>962</v>
      </c>
      <c r="F17" s="76" t="str">
        <f>VLOOKUP(E17,Codes!$G$1:$H$3,2,FALSE)</f>
        <v>hydro-PHS</v>
      </c>
      <c r="G17" s="56">
        <v>14</v>
      </c>
      <c r="H17" s="66" t="str">
        <f>VLOOKUP(I17,Codes!$A$1:$B$32,2,FALSE)</f>
        <v>IT</v>
      </c>
      <c r="I17" s="67" t="s">
        <v>9</v>
      </c>
      <c r="J17" s="67" t="s">
        <v>512</v>
      </c>
      <c r="K17" s="67"/>
      <c r="L17" s="56" t="s">
        <v>515</v>
      </c>
      <c r="M17" s="69" t="s">
        <v>2202</v>
      </c>
      <c r="N17" s="70">
        <v>46.170833000000002</v>
      </c>
      <c r="O17" s="70">
        <v>10.347778</v>
      </c>
      <c r="P17" s="70">
        <v>46.170833000000002</v>
      </c>
      <c r="Q17" s="70">
        <v>10.347778</v>
      </c>
      <c r="R17" s="56">
        <v>8</v>
      </c>
      <c r="S17" s="56">
        <v>8</v>
      </c>
      <c r="T17" s="71" t="s">
        <v>42</v>
      </c>
      <c r="U17" s="56">
        <v>1000</v>
      </c>
      <c r="V17" s="56">
        <v>1120</v>
      </c>
      <c r="AA17" s="56">
        <v>737</v>
      </c>
      <c r="AB17" s="56">
        <v>1021</v>
      </c>
      <c r="AC17" s="73">
        <v>8.4074834588181616E-2</v>
      </c>
      <c r="AD17" s="73">
        <v>0.10399351390111143</v>
      </c>
      <c r="AE17" s="56">
        <v>1984</v>
      </c>
      <c r="AG17" s="56" t="s">
        <v>2714</v>
      </c>
      <c r="AH17" s="165"/>
      <c r="AI17" s="70">
        <v>46.19361</v>
      </c>
      <c r="AJ17" s="74">
        <v>10.471518</v>
      </c>
      <c r="AK17" s="75">
        <v>17.04</v>
      </c>
      <c r="AL17" s="56" t="s">
        <v>2189</v>
      </c>
      <c r="AN17" s="74">
        <v>46.172052000000001</v>
      </c>
      <c r="AO17" s="74">
        <v>10.336399</v>
      </c>
      <c r="AP17" s="71">
        <v>1265</v>
      </c>
      <c r="AQ17" s="72">
        <v>4.8899999999999997</v>
      </c>
      <c r="AW17" s="56" t="s">
        <v>2057</v>
      </c>
      <c r="BA17" s="56" t="str">
        <f t="shared" si="0"/>
        <v>GETH</v>
      </c>
      <c r="BB17" s="209">
        <f t="shared" si="1"/>
        <v>4.8899999999999997</v>
      </c>
      <c r="BC17" s="56" t="s">
        <v>2468</v>
      </c>
      <c r="BD17" s="56" t="s">
        <v>2190</v>
      </c>
      <c r="BE17" s="56" t="s">
        <v>2191</v>
      </c>
      <c r="BH17" s="73" t="s">
        <v>2853</v>
      </c>
      <c r="BJ17" s="279">
        <f t="shared" si="3"/>
        <v>4.8899999999999997</v>
      </c>
    </row>
    <row r="18" spans="1:62" x14ac:dyDescent="0.3">
      <c r="A18" s="56" t="s">
        <v>2192</v>
      </c>
      <c r="B18" s="56" t="s">
        <v>2840</v>
      </c>
      <c r="C18" s="134" t="s">
        <v>2840</v>
      </c>
      <c r="D18" s="56" t="s">
        <v>962</v>
      </c>
      <c r="E18" s="76" t="s">
        <v>962</v>
      </c>
      <c r="F18" s="76" t="str">
        <f>VLOOKUP(E18,Codes!$G$1:$H$3,2,FALSE)</f>
        <v>hydro-PHS</v>
      </c>
      <c r="G18" s="56">
        <v>15</v>
      </c>
      <c r="H18" s="66" t="str">
        <f>VLOOKUP(I18,Codes!$A$1:$B$32,2,FALSE)</f>
        <v>IT</v>
      </c>
      <c r="I18" s="67" t="s">
        <v>9</v>
      </c>
      <c r="J18" s="67" t="s">
        <v>512</v>
      </c>
      <c r="K18" s="67"/>
      <c r="L18" s="56" t="s">
        <v>518</v>
      </c>
      <c r="M18" s="69" t="s">
        <v>2193</v>
      </c>
      <c r="N18" s="70">
        <v>41.381388999999999</v>
      </c>
      <c r="O18" s="70">
        <v>14.090278</v>
      </c>
      <c r="P18" s="70">
        <v>41.381388999999999</v>
      </c>
      <c r="Q18" s="70">
        <v>14.090278</v>
      </c>
      <c r="R18" s="56">
        <v>4</v>
      </c>
      <c r="S18" s="56">
        <v>4</v>
      </c>
      <c r="T18" s="71" t="s">
        <v>42</v>
      </c>
      <c r="U18" s="56">
        <v>1000</v>
      </c>
      <c r="V18" s="56">
        <v>1029</v>
      </c>
      <c r="AA18" s="56">
        <v>1717</v>
      </c>
      <c r="AC18" s="73">
        <v>0.19587040839607575</v>
      </c>
      <c r="AE18" s="56">
        <v>1991</v>
      </c>
      <c r="AG18" s="56" t="s">
        <v>2196</v>
      </c>
      <c r="AH18" s="165"/>
      <c r="AI18" s="70">
        <v>41.396042999999999</v>
      </c>
      <c r="AJ18" s="74">
        <v>14.049766</v>
      </c>
      <c r="AK18" s="75">
        <v>6</v>
      </c>
      <c r="AL18" s="56" t="s">
        <v>2197</v>
      </c>
      <c r="AN18" s="74">
        <v>41.377395</v>
      </c>
      <c r="AO18" s="74">
        <v>14.09714</v>
      </c>
      <c r="AP18" s="71">
        <v>495</v>
      </c>
      <c r="AQ18" s="72">
        <v>7</v>
      </c>
      <c r="AR18" s="56">
        <v>250.56</v>
      </c>
      <c r="AS18" s="56"/>
      <c r="AT18" s="56"/>
      <c r="AU18" s="56">
        <v>250.56</v>
      </c>
      <c r="BA18" s="56" t="str">
        <f t="shared" si="0"/>
        <v>GETH</v>
      </c>
      <c r="BB18" s="209">
        <f t="shared" si="1"/>
        <v>7</v>
      </c>
      <c r="BC18" s="56" t="s">
        <v>2468</v>
      </c>
      <c r="BD18" s="56" t="s">
        <v>2198</v>
      </c>
      <c r="BE18" s="56" t="s">
        <v>2199</v>
      </c>
      <c r="BH18" s="73" t="s">
        <v>2853</v>
      </c>
      <c r="BJ18" s="279">
        <f t="shared" si="3"/>
        <v>7</v>
      </c>
    </row>
    <row r="19" spans="1:62" x14ac:dyDescent="0.3">
      <c r="A19" s="56" t="s">
        <v>2610</v>
      </c>
      <c r="B19" s="56" t="s">
        <v>2840</v>
      </c>
      <c r="C19" s="134" t="s">
        <v>2840</v>
      </c>
      <c r="D19" s="56" t="s">
        <v>962</v>
      </c>
      <c r="E19" s="76" t="s">
        <v>962</v>
      </c>
      <c r="F19" s="76" t="str">
        <f>VLOOKUP(E19,Codes!$G$1:$H$3,2,FALSE)</f>
        <v>hydro-PHS</v>
      </c>
      <c r="G19" s="56">
        <v>16</v>
      </c>
      <c r="H19" s="66" t="str">
        <f>VLOOKUP(I19,Codes!$A$1:$B$32,2,FALSE)</f>
        <v>DE</v>
      </c>
      <c r="I19" s="56" t="s">
        <v>3</v>
      </c>
      <c r="J19" s="56" t="s">
        <v>2200</v>
      </c>
      <c r="K19" s="56" t="s">
        <v>2611</v>
      </c>
      <c r="L19" s="56" t="s">
        <v>375</v>
      </c>
      <c r="M19" s="69" t="s">
        <v>3748</v>
      </c>
      <c r="N19" s="70">
        <v>47.652566</v>
      </c>
      <c r="O19" s="70">
        <v>7.9257770000000001</v>
      </c>
      <c r="P19" s="70">
        <v>47.63</v>
      </c>
      <c r="Q19" s="70">
        <v>7.8890000000000002</v>
      </c>
      <c r="R19" s="56">
        <v>4</v>
      </c>
      <c r="S19" s="56">
        <v>4</v>
      </c>
      <c r="T19" s="71" t="s">
        <v>42</v>
      </c>
      <c r="U19" s="56">
        <v>992</v>
      </c>
      <c r="V19" s="56">
        <v>1000</v>
      </c>
      <c r="Y19" s="71">
        <v>8</v>
      </c>
      <c r="AA19" s="56">
        <v>1160</v>
      </c>
      <c r="AC19" s="73">
        <v>0.13339662773325089</v>
      </c>
      <c r="AE19" s="56">
        <v>1976</v>
      </c>
      <c r="AG19" s="56" t="s">
        <v>2612</v>
      </c>
      <c r="AH19" s="165"/>
      <c r="AI19" s="70">
        <v>47.660210999999997</v>
      </c>
      <c r="AJ19" s="74">
        <v>7.9609389999999998</v>
      </c>
      <c r="AK19" s="75">
        <v>4.4000000000000004</v>
      </c>
      <c r="AL19" s="56" t="s">
        <v>2613</v>
      </c>
      <c r="AN19" s="74">
        <v>47.646743999999998</v>
      </c>
      <c r="AO19" s="74">
        <v>7.9197259999999998</v>
      </c>
      <c r="AP19" s="71">
        <v>626</v>
      </c>
      <c r="AQ19" s="72">
        <v>6.0730000000000004</v>
      </c>
      <c r="AR19" s="71">
        <v>180</v>
      </c>
      <c r="AU19" s="56">
        <v>144</v>
      </c>
      <c r="BA19" s="56" t="str">
        <f t="shared" si="0"/>
        <v>GETH</v>
      </c>
      <c r="BB19" s="209">
        <f t="shared" si="1"/>
        <v>6.0730000000000004</v>
      </c>
      <c r="BC19" s="56" t="s">
        <v>2468</v>
      </c>
      <c r="BD19" s="56" t="s">
        <v>2201</v>
      </c>
      <c r="BE19" s="56" t="s">
        <v>2614</v>
      </c>
      <c r="BH19" s="73" t="s">
        <v>2853</v>
      </c>
      <c r="BJ19" s="279">
        <f t="shared" si="3"/>
        <v>6.121975806451613</v>
      </c>
    </row>
    <row r="20" spans="1:62" ht="14.5" x14ac:dyDescent="0.3">
      <c r="A20" s="56" t="s">
        <v>2206</v>
      </c>
      <c r="B20" s="56" t="s">
        <v>2840</v>
      </c>
      <c r="C20" s="134" t="s">
        <v>2840</v>
      </c>
      <c r="D20" s="244" t="s">
        <v>2787</v>
      </c>
      <c r="E20" s="157" t="s">
        <v>2787</v>
      </c>
      <c r="F20" s="76" t="str">
        <f>VLOOKUP(E20,Codes!$G$1:$H$3,2,FALSE)</f>
        <v>hydro-STO</v>
      </c>
      <c r="G20" s="56">
        <v>17</v>
      </c>
      <c r="H20" s="66" t="str">
        <f>VLOOKUP(I20,Codes!$A$1:$B$32,2,FALSE)</f>
        <v>SE</v>
      </c>
      <c r="I20" s="56" t="s">
        <v>20</v>
      </c>
      <c r="J20" s="56" t="s">
        <v>2172</v>
      </c>
      <c r="L20" s="56" t="s">
        <v>2206</v>
      </c>
      <c r="M20" s="69" t="s">
        <v>2203</v>
      </c>
      <c r="N20" s="70">
        <v>66.885000000000005</v>
      </c>
      <c r="O20" s="70">
        <v>19.814800000000002</v>
      </c>
      <c r="P20" s="70">
        <v>66.885000000000005</v>
      </c>
      <c r="Q20" s="70">
        <v>19.814800000000002</v>
      </c>
      <c r="R20" s="56">
        <v>5</v>
      </c>
      <c r="T20" s="71" t="s">
        <v>42</v>
      </c>
      <c r="U20" s="56">
        <v>980</v>
      </c>
      <c r="AA20" s="56">
        <v>2131</v>
      </c>
      <c r="AC20" s="73">
        <v>0.24805952497357603</v>
      </c>
      <c r="AE20" s="56">
        <v>1951</v>
      </c>
      <c r="AG20" s="56" t="s">
        <v>2206</v>
      </c>
      <c r="AH20" s="167">
        <v>3697</v>
      </c>
      <c r="AI20" s="70">
        <v>66.886528999999996</v>
      </c>
      <c r="AJ20" s="74">
        <v>19.817778000000001</v>
      </c>
      <c r="AK20" s="75">
        <v>6.4</v>
      </c>
      <c r="AL20" s="56" t="s">
        <v>2203</v>
      </c>
      <c r="AP20" s="71">
        <v>107</v>
      </c>
      <c r="AR20" s="71">
        <v>1041</v>
      </c>
      <c r="AV20" s="56" t="s">
        <v>968</v>
      </c>
      <c r="BA20" s="56" t="str">
        <f t="shared" si="0"/>
        <v>POTENTIAL</v>
      </c>
      <c r="BB20" s="209">
        <f t="shared" si="1"/>
        <v>1.6234895999999999</v>
      </c>
      <c r="BC20" s="143" t="s">
        <v>2207</v>
      </c>
      <c r="BD20" s="56" t="s">
        <v>2208</v>
      </c>
      <c r="BE20" s="143" t="s">
        <v>2209</v>
      </c>
      <c r="BF20" s="56" t="s">
        <v>2666</v>
      </c>
      <c r="BH20" s="73" t="s">
        <v>2853</v>
      </c>
      <c r="BJ20" s="279">
        <f t="shared" si="3"/>
        <v>1.6566220408163264</v>
      </c>
    </row>
    <row r="21" spans="1:62" x14ac:dyDescent="0.3">
      <c r="A21" s="56" t="s">
        <v>2854</v>
      </c>
      <c r="B21" s="56" t="s">
        <v>2840</v>
      </c>
      <c r="C21" s="134" t="s">
        <v>2840</v>
      </c>
      <c r="D21" s="244" t="s">
        <v>2787</v>
      </c>
      <c r="E21" s="157" t="s">
        <v>2787</v>
      </c>
      <c r="F21" s="76" t="str">
        <f>VLOOKUP(E21,Codes!$G$1:$H$3,2,FALSE)</f>
        <v>hydro-STO</v>
      </c>
      <c r="G21" s="56">
        <v>18</v>
      </c>
      <c r="H21" s="66" t="str">
        <f>VLOOKUP(I21,Codes!$A$1:$B$32,2,FALSE)</f>
        <v>NO</v>
      </c>
      <c r="I21" s="56" t="s">
        <v>21</v>
      </c>
      <c r="J21" s="56" t="s">
        <v>2211</v>
      </c>
      <c r="K21" s="56" t="s">
        <v>2216</v>
      </c>
      <c r="L21" s="56" t="s">
        <v>2224</v>
      </c>
      <c r="M21" s="69" t="s">
        <v>2215</v>
      </c>
      <c r="N21" s="70">
        <v>58.659166999999997</v>
      </c>
      <c r="O21" s="70">
        <v>6.7169439999999998</v>
      </c>
      <c r="P21" s="70">
        <v>58.659166999999997</v>
      </c>
      <c r="Q21" s="70">
        <v>6.7169439999999998</v>
      </c>
      <c r="R21" s="56">
        <v>5</v>
      </c>
      <c r="T21" s="71" t="s">
        <v>2210</v>
      </c>
      <c r="U21" s="140">
        <f>960+320</f>
        <v>1280</v>
      </c>
      <c r="AA21" s="56">
        <v>3600</v>
      </c>
      <c r="AC21" s="73">
        <v>0.42778918548939082</v>
      </c>
      <c r="AE21" s="56">
        <v>1968</v>
      </c>
      <c r="AF21" s="56">
        <v>1988</v>
      </c>
      <c r="AG21" s="56" t="s">
        <v>2212</v>
      </c>
      <c r="AH21" s="165"/>
      <c r="AI21" s="70">
        <v>58.693491000000002</v>
      </c>
      <c r="AJ21" s="74">
        <v>8.0097649999999998</v>
      </c>
      <c r="AK21" s="75">
        <v>5.5</v>
      </c>
      <c r="AL21" s="56" t="s">
        <v>2215</v>
      </c>
      <c r="AP21" s="71">
        <v>442</v>
      </c>
      <c r="AR21" s="71">
        <v>254</v>
      </c>
      <c r="BA21" s="56" t="str">
        <f t="shared" si="0"/>
        <v>POTENTIAL</v>
      </c>
      <c r="BB21" s="209">
        <f t="shared" si="1"/>
        <v>5.7632932499999994</v>
      </c>
      <c r="BC21" s="56" t="s">
        <v>2213</v>
      </c>
      <c r="BD21" s="56" t="s">
        <v>2214</v>
      </c>
      <c r="BE21" s="56" t="s">
        <v>2767</v>
      </c>
      <c r="BH21" s="73" t="s">
        <v>2853</v>
      </c>
      <c r="BJ21" s="279">
        <f t="shared" si="3"/>
        <v>4.5025728515624994</v>
      </c>
    </row>
    <row r="22" spans="1:62" x14ac:dyDescent="0.3">
      <c r="A22" s="56" t="s">
        <v>2774</v>
      </c>
      <c r="B22" s="56" t="s">
        <v>2840</v>
      </c>
      <c r="C22" s="134" t="s">
        <v>2840</v>
      </c>
      <c r="D22" s="56" t="s">
        <v>2787</v>
      </c>
      <c r="E22" s="76" t="s">
        <v>2787</v>
      </c>
      <c r="F22" s="76" t="str">
        <f>VLOOKUP(E22,Codes!$G$1:$H$3,2,FALSE)</f>
        <v>hydro-STO</v>
      </c>
      <c r="G22" s="56">
        <v>19</v>
      </c>
      <c r="H22" s="66" t="str">
        <f>VLOOKUP(I22,Codes!$A$1:$B$32,2,FALSE)</f>
        <v>ES</v>
      </c>
      <c r="I22" s="56" t="s">
        <v>6</v>
      </c>
      <c r="L22" s="56" t="s">
        <v>2226</v>
      </c>
      <c r="M22" s="69" t="s">
        <v>2225</v>
      </c>
      <c r="N22" s="70">
        <v>39.729999999999997</v>
      </c>
      <c r="O22" s="70">
        <v>-6.8847199999999997</v>
      </c>
      <c r="P22" s="395"/>
      <c r="Q22" s="395"/>
      <c r="R22" s="56">
        <v>4</v>
      </c>
      <c r="T22" s="71" t="s">
        <v>42</v>
      </c>
      <c r="U22" s="56">
        <v>915</v>
      </c>
      <c r="AA22" s="56">
        <v>1021</v>
      </c>
      <c r="AC22" s="73">
        <v>0.12729260717950253</v>
      </c>
      <c r="AE22" s="56">
        <v>1969</v>
      </c>
      <c r="AG22" s="56" t="s">
        <v>2226</v>
      </c>
      <c r="AH22" s="56">
        <v>2800</v>
      </c>
      <c r="AI22" s="70">
        <v>39.732917</v>
      </c>
      <c r="AJ22" s="74">
        <v>-6.8854170000000003</v>
      </c>
      <c r="AK22" s="75">
        <v>3162</v>
      </c>
      <c r="AL22" s="56" t="s">
        <v>2225</v>
      </c>
      <c r="AP22" s="71">
        <v>130</v>
      </c>
      <c r="AR22" s="71">
        <v>8000</v>
      </c>
      <c r="BA22" s="56" t="str">
        <f t="shared" si="0"/>
        <v>POTENTIAL</v>
      </c>
      <c r="BB22" s="209">
        <f t="shared" si="1"/>
        <v>974.52049499999998</v>
      </c>
      <c r="BC22" s="67" t="s">
        <v>2230</v>
      </c>
      <c r="BD22" s="56" t="s">
        <v>2229</v>
      </c>
      <c r="BE22" s="56" t="s">
        <v>2231</v>
      </c>
      <c r="BF22" s="56" t="s">
        <v>2757</v>
      </c>
      <c r="BH22" s="73" t="s">
        <v>2853</v>
      </c>
      <c r="BJ22" s="279">
        <f t="shared" si="3"/>
        <v>1065.0497213114754</v>
      </c>
    </row>
    <row r="23" spans="1:62" x14ac:dyDescent="0.3">
      <c r="A23" s="56" t="s">
        <v>2473</v>
      </c>
      <c r="B23" s="56" t="s">
        <v>2840</v>
      </c>
      <c r="C23" s="134" t="s">
        <v>2840</v>
      </c>
      <c r="D23" s="56" t="s">
        <v>962</v>
      </c>
      <c r="E23" s="76" t="s">
        <v>962</v>
      </c>
      <c r="F23" s="76" t="str">
        <f>VLOOKUP(E23,Codes!$G$1:$H$3,2,FALSE)</f>
        <v>hydro-PHS</v>
      </c>
      <c r="G23" s="56">
        <v>20</v>
      </c>
      <c r="H23" s="66" t="str">
        <f>VLOOKUP(I23,Codes!$A$1:$B$32,2,FALSE)</f>
        <v>FR</v>
      </c>
      <c r="I23" s="56" t="s">
        <v>7</v>
      </c>
      <c r="M23" s="69" t="s">
        <v>2616</v>
      </c>
      <c r="N23" s="70">
        <v>44.7258</v>
      </c>
      <c r="O23" s="70">
        <v>2.6488670000000001</v>
      </c>
      <c r="P23" s="70">
        <v>44.7258</v>
      </c>
      <c r="Q23" s="70">
        <v>2.6488670000000001</v>
      </c>
      <c r="R23" s="56">
        <v>4</v>
      </c>
      <c r="S23" s="56">
        <v>4</v>
      </c>
      <c r="T23" s="71" t="s">
        <v>42</v>
      </c>
      <c r="U23" s="56">
        <v>910</v>
      </c>
      <c r="V23" s="56">
        <v>870</v>
      </c>
      <c r="AA23" s="56">
        <v>1906</v>
      </c>
      <c r="AC23" s="73">
        <v>0.23893514653268247</v>
      </c>
      <c r="AE23" s="56">
        <v>1982</v>
      </c>
      <c r="AG23" s="56" t="s">
        <v>2769</v>
      </c>
      <c r="AH23" s="165"/>
      <c r="AI23" s="70">
        <v>44.725065000000001</v>
      </c>
      <c r="AJ23" s="74">
        <v>2.6501169999999998</v>
      </c>
      <c r="AK23" s="75">
        <v>30</v>
      </c>
      <c r="AL23" s="56" t="s">
        <v>2617</v>
      </c>
      <c r="AM23" s="56">
        <v>3429</v>
      </c>
      <c r="AN23" s="74">
        <v>44.696368</v>
      </c>
      <c r="AO23" s="74">
        <v>2.5857779999999999</v>
      </c>
      <c r="AP23" s="71">
        <v>423</v>
      </c>
      <c r="AQ23" s="72">
        <v>36.4</v>
      </c>
      <c r="AR23" s="71">
        <v>240</v>
      </c>
      <c r="AU23" s="56">
        <v>240</v>
      </c>
      <c r="BA23" s="56" t="str">
        <f t="shared" si="0"/>
        <v>GETH</v>
      </c>
      <c r="BB23" s="209">
        <f t="shared" si="1"/>
        <v>36.4</v>
      </c>
      <c r="BC23" s="56" t="s">
        <v>2468</v>
      </c>
      <c r="BD23" s="56" t="s">
        <v>2615</v>
      </c>
      <c r="BE23" s="56" t="s">
        <v>2756</v>
      </c>
      <c r="BH23" s="73" t="s">
        <v>2853</v>
      </c>
      <c r="BJ23" s="279">
        <f t="shared" si="3"/>
        <v>40</v>
      </c>
    </row>
    <row r="24" spans="1:62" ht="14.5" x14ac:dyDescent="0.3">
      <c r="A24" s="376" t="s">
        <v>1393</v>
      </c>
      <c r="B24" s="56" t="s">
        <v>2840</v>
      </c>
      <c r="C24" s="134" t="s">
        <v>2840</v>
      </c>
      <c r="D24" s="56" t="s">
        <v>962</v>
      </c>
      <c r="E24" s="76" t="s">
        <v>962</v>
      </c>
      <c r="F24" s="76" t="str">
        <f>VLOOKUP(E24,Codes!$G$1:$H$3,2,FALSE)</f>
        <v>hydro-PHS</v>
      </c>
      <c r="G24" s="56">
        <v>21</v>
      </c>
      <c r="H24" s="66" t="str">
        <f>VLOOKUP(I24,Codes!$A$1:$B$32,2,FALSE)</f>
        <v>LT</v>
      </c>
      <c r="I24" s="56" t="s">
        <v>1378</v>
      </c>
      <c r="J24" s="56" t="s">
        <v>2234</v>
      </c>
      <c r="K24" s="67"/>
      <c r="L24" s="56" t="s">
        <v>1394</v>
      </c>
      <c r="N24" s="70">
        <v>54.799076999999997</v>
      </c>
      <c r="O24" s="70">
        <v>24.247084000000001</v>
      </c>
      <c r="P24" s="70">
        <v>54.799076999999997</v>
      </c>
      <c r="Q24" s="70">
        <v>24.247084000000001</v>
      </c>
      <c r="R24" s="56">
        <v>4</v>
      </c>
      <c r="S24" s="56">
        <v>4</v>
      </c>
      <c r="T24" s="71" t="s">
        <v>42</v>
      </c>
      <c r="U24" s="56">
        <v>900</v>
      </c>
      <c r="V24" s="56">
        <v>900</v>
      </c>
      <c r="W24" s="56">
        <v>120</v>
      </c>
      <c r="Y24" s="71">
        <v>12</v>
      </c>
      <c r="AA24" s="56">
        <v>1397</v>
      </c>
      <c r="AC24" s="73">
        <v>0.17707303470479377</v>
      </c>
      <c r="AE24" s="56">
        <v>1992</v>
      </c>
      <c r="AF24" s="56">
        <v>1998</v>
      </c>
      <c r="AG24" s="56" t="s">
        <v>2683</v>
      </c>
      <c r="AH24" s="165"/>
      <c r="AI24" s="70">
        <v>54.782794000000003</v>
      </c>
      <c r="AJ24" s="74">
        <v>24.270337999999999</v>
      </c>
      <c r="AK24" s="75">
        <v>41</v>
      </c>
      <c r="AL24" s="56" t="s">
        <v>2233</v>
      </c>
      <c r="AM24" s="56">
        <v>3739</v>
      </c>
      <c r="AN24" s="74">
        <v>54.873925999999997</v>
      </c>
      <c r="AO24" s="74">
        <v>24.000015999999999</v>
      </c>
      <c r="AP24" s="71">
        <v>103.5</v>
      </c>
      <c r="AQ24" s="72">
        <v>10.8</v>
      </c>
      <c r="AR24" s="71">
        <v>904</v>
      </c>
      <c r="AU24" s="56">
        <v>756</v>
      </c>
      <c r="AZ24" s="56" t="s">
        <v>2232</v>
      </c>
      <c r="BA24" s="56" t="str">
        <f t="shared" si="0"/>
        <v>GETH</v>
      </c>
      <c r="BB24" s="209">
        <f t="shared" si="1"/>
        <v>10.8</v>
      </c>
      <c r="BC24" s="56" t="s">
        <v>2468</v>
      </c>
      <c r="BD24" s="143" t="s">
        <v>2235</v>
      </c>
      <c r="BE24" s="56" t="s">
        <v>2236</v>
      </c>
      <c r="BH24" s="73" t="s">
        <v>2853</v>
      </c>
      <c r="BJ24" s="279">
        <f t="shared" si="3"/>
        <v>12</v>
      </c>
    </row>
    <row r="25" spans="1:62" x14ac:dyDescent="0.3">
      <c r="A25" s="67" t="s">
        <v>2244</v>
      </c>
      <c r="B25" s="56" t="s">
        <v>2840</v>
      </c>
      <c r="C25" s="134" t="s">
        <v>2840</v>
      </c>
      <c r="D25" s="244" t="s">
        <v>29</v>
      </c>
      <c r="E25" s="245" t="str">
        <f>D25</f>
        <v>RoR</v>
      </c>
      <c r="F25" s="76" t="str">
        <f>VLOOKUP(D25,Codes!$G$1:$H$3,2,FALSE)</f>
        <v>hydro-ROR</v>
      </c>
      <c r="G25" s="56">
        <v>22</v>
      </c>
      <c r="H25" s="66" t="str">
        <f>VLOOKUP(I25,Codes!$A$1:$B$32,2,FALSE)</f>
        <v>LV</v>
      </c>
      <c r="I25" s="56" t="s">
        <v>10</v>
      </c>
      <c r="J25" s="56" t="s">
        <v>2245</v>
      </c>
      <c r="K25" s="67"/>
      <c r="L25" s="56" t="s">
        <v>670</v>
      </c>
      <c r="M25" s="77" t="s">
        <v>2248</v>
      </c>
      <c r="N25" s="70">
        <v>56.582202700000003</v>
      </c>
      <c r="O25" s="70">
        <v>25.237312299999999</v>
      </c>
      <c r="P25" s="70">
        <v>56.576999999999998</v>
      </c>
      <c r="Q25" s="70">
        <v>25.231999999999999</v>
      </c>
      <c r="R25" s="56">
        <v>10</v>
      </c>
      <c r="T25" s="71" t="s">
        <v>42</v>
      </c>
      <c r="U25" s="56">
        <v>883.5</v>
      </c>
      <c r="AA25" s="56">
        <v>1563.9444444444443</v>
      </c>
      <c r="AC25" s="73">
        <v>0.2019357917493444</v>
      </c>
      <c r="AE25" s="56">
        <v>1965</v>
      </c>
      <c r="AF25" s="56">
        <v>2010</v>
      </c>
      <c r="AG25" s="56" t="s">
        <v>2250</v>
      </c>
      <c r="AH25" s="56">
        <v>3737</v>
      </c>
      <c r="AI25" s="70">
        <v>56.582202700000003</v>
      </c>
      <c r="AJ25" s="74">
        <v>25.237312299999999</v>
      </c>
      <c r="AK25" s="75">
        <v>500</v>
      </c>
      <c r="AL25" s="56" t="s">
        <v>2248</v>
      </c>
      <c r="AP25" s="71">
        <v>40</v>
      </c>
      <c r="AR25" s="71">
        <v>3000</v>
      </c>
      <c r="BA25" s="56" t="str">
        <f t="shared" si="0"/>
        <v>POTENTIAL</v>
      </c>
      <c r="BB25" s="209">
        <f t="shared" si="1"/>
        <v>47.414999999999999</v>
      </c>
      <c r="BC25" s="56" t="s">
        <v>2246</v>
      </c>
      <c r="BD25" s="56" t="s">
        <v>2247</v>
      </c>
      <c r="BE25" s="56" t="s">
        <v>2249</v>
      </c>
      <c r="BF25" s="56" t="s">
        <v>2251</v>
      </c>
      <c r="BG25" s="72" t="s">
        <v>2255</v>
      </c>
      <c r="BH25" s="73" t="s">
        <v>2853</v>
      </c>
      <c r="BJ25" s="279">
        <f t="shared" si="3"/>
        <v>53.667232597623091</v>
      </c>
    </row>
    <row r="26" spans="1:62" x14ac:dyDescent="0.3">
      <c r="A26" s="67" t="s">
        <v>45</v>
      </c>
      <c r="B26" s="56" t="s">
        <v>2840</v>
      </c>
      <c r="C26" s="134" t="s">
        <v>2840</v>
      </c>
      <c r="D26" s="56" t="s">
        <v>962</v>
      </c>
      <c r="E26" s="76" t="s">
        <v>962</v>
      </c>
      <c r="F26" s="76" t="str">
        <f>VLOOKUP(E26,Codes!$G$1:$H$3,2,FALSE)</f>
        <v>hydro-PHS</v>
      </c>
      <c r="G26" s="56">
        <v>23</v>
      </c>
      <c r="H26" s="66" t="str">
        <f>VLOOKUP(I26,Codes!$A$1:$B$32,2,FALSE)</f>
        <v>BG</v>
      </c>
      <c r="I26" s="56" t="s">
        <v>1</v>
      </c>
      <c r="J26" s="33" t="s">
        <v>2259</v>
      </c>
      <c r="K26" s="67" t="s">
        <v>49</v>
      </c>
      <c r="L26" s="56" t="s">
        <v>116</v>
      </c>
      <c r="M26" s="33" t="s">
        <v>2258</v>
      </c>
      <c r="N26" s="70">
        <v>42.158949999999997</v>
      </c>
      <c r="O26" s="70">
        <v>23.870844999999999</v>
      </c>
      <c r="P26" s="70">
        <v>42.176000000000002</v>
      </c>
      <c r="Q26" s="70">
        <v>23.870844999999999</v>
      </c>
      <c r="R26" s="56">
        <v>4</v>
      </c>
      <c r="S26" s="33">
        <v>4</v>
      </c>
      <c r="T26" s="71" t="s">
        <v>42</v>
      </c>
      <c r="U26" s="56">
        <v>864</v>
      </c>
      <c r="V26" s="56">
        <v>788</v>
      </c>
      <c r="Y26" s="71">
        <v>8.5</v>
      </c>
      <c r="Z26" s="33">
        <v>10.7</v>
      </c>
      <c r="AA26" s="56">
        <v>465.24200000000002</v>
      </c>
      <c r="AC26" s="73">
        <v>6.1427622294893569E-2</v>
      </c>
      <c r="AE26" s="56">
        <v>1999</v>
      </c>
      <c r="AG26" s="56" t="s">
        <v>46</v>
      </c>
      <c r="AH26" s="56">
        <v>3964</v>
      </c>
      <c r="AI26" s="70">
        <v>42.174582999999998</v>
      </c>
      <c r="AJ26" s="74">
        <v>23.80875</v>
      </c>
      <c r="AK26" s="75">
        <v>141.16</v>
      </c>
      <c r="AL26" s="56" t="s">
        <v>45</v>
      </c>
      <c r="AN26" s="74">
        <v>42.158715999999998</v>
      </c>
      <c r="AO26" s="74">
        <v>23.870958000000002</v>
      </c>
      <c r="AP26" s="71">
        <v>690</v>
      </c>
      <c r="AQ26" s="72">
        <v>27.34</v>
      </c>
      <c r="AZ26" s="56" t="s">
        <v>2261</v>
      </c>
      <c r="BA26" s="56" t="str">
        <f t="shared" si="0"/>
        <v>MAXPUMPTIME</v>
      </c>
      <c r="BB26" s="209">
        <f t="shared" si="1"/>
        <v>9.2447999999999997</v>
      </c>
      <c r="BC26" s="56" t="s">
        <v>2468</v>
      </c>
      <c r="BD26" s="33" t="s">
        <v>2260</v>
      </c>
      <c r="BE26" s="33" t="s">
        <v>47</v>
      </c>
      <c r="BF26" s="56" t="s">
        <v>48</v>
      </c>
      <c r="BH26" s="73" t="s">
        <v>2853</v>
      </c>
      <c r="BJ26" s="279">
        <f t="shared" si="3"/>
        <v>10.7</v>
      </c>
    </row>
    <row r="27" spans="1:62" x14ac:dyDescent="0.3">
      <c r="A27" s="56" t="s">
        <v>2482</v>
      </c>
      <c r="B27" s="56" t="s">
        <v>2840</v>
      </c>
      <c r="C27" s="134" t="s">
        <v>2840</v>
      </c>
      <c r="D27" s="56" t="s">
        <v>962</v>
      </c>
      <c r="E27" s="76" t="s">
        <v>962</v>
      </c>
      <c r="F27" s="76" t="str">
        <f>VLOOKUP(E27,Codes!$G$1:$H$3,2,FALSE)</f>
        <v>hydro-PHS</v>
      </c>
      <c r="G27" s="56">
        <v>24</v>
      </c>
      <c r="H27" s="66" t="str">
        <f>VLOOKUP(I27,Codes!$A$1:$B$32,2,FALSE)</f>
        <v>ES</v>
      </c>
      <c r="I27" s="56" t="s">
        <v>6</v>
      </c>
      <c r="M27" s="70" t="s">
        <v>2619</v>
      </c>
      <c r="N27" s="70">
        <v>39.260416999999997</v>
      </c>
      <c r="O27" s="70">
        <v>-0.91958300000000004</v>
      </c>
      <c r="P27" s="70">
        <v>39.26</v>
      </c>
      <c r="Q27" s="70">
        <v>-0.91200000000000003</v>
      </c>
      <c r="R27" s="56">
        <v>4</v>
      </c>
      <c r="S27" s="56">
        <v>4</v>
      </c>
      <c r="T27" s="71" t="s">
        <v>42</v>
      </c>
      <c r="U27" s="56">
        <v>852</v>
      </c>
      <c r="V27" s="56">
        <v>852</v>
      </c>
      <c r="AA27" s="56">
        <v>800</v>
      </c>
      <c r="AC27" s="73">
        <v>0.10711466303333729</v>
      </c>
      <c r="AD27" s="72"/>
      <c r="AG27" s="56" t="s">
        <v>2618</v>
      </c>
      <c r="AH27" s="56">
        <v>2819</v>
      </c>
      <c r="AI27" s="70">
        <v>39.234811999999998</v>
      </c>
      <c r="AJ27" s="74">
        <v>-0.92837000000000003</v>
      </c>
      <c r="AK27" s="75">
        <v>20</v>
      </c>
      <c r="AL27" s="56" t="s">
        <v>1863</v>
      </c>
      <c r="AM27" s="56">
        <v>2817</v>
      </c>
      <c r="AN27" s="74">
        <v>39.261273000000003</v>
      </c>
      <c r="AO27" s="74">
        <v>-0.91828500000000002</v>
      </c>
      <c r="AP27" s="71">
        <v>531</v>
      </c>
      <c r="AQ27" s="72">
        <v>24.5</v>
      </c>
      <c r="BA27" s="56" t="str">
        <f t="shared" si="0"/>
        <v>GETH</v>
      </c>
      <c r="BB27" s="209">
        <f t="shared" si="1"/>
        <v>24.5</v>
      </c>
      <c r="BC27" s="56" t="s">
        <v>2468</v>
      </c>
      <c r="BD27" s="67" t="s">
        <v>2715</v>
      </c>
      <c r="BE27" s="56" t="s">
        <v>2620</v>
      </c>
      <c r="BH27" s="73" t="s">
        <v>2853</v>
      </c>
      <c r="BJ27" s="279">
        <f t="shared" si="3"/>
        <v>28.75586854460094</v>
      </c>
    </row>
    <row r="28" spans="1:62" x14ac:dyDescent="0.3">
      <c r="A28" s="56" t="s">
        <v>2133</v>
      </c>
      <c r="B28" s="56" t="s">
        <v>2840</v>
      </c>
      <c r="C28" s="134" t="s">
        <v>2840</v>
      </c>
      <c r="D28" s="244" t="s">
        <v>2787</v>
      </c>
      <c r="E28" s="157" t="s">
        <v>2787</v>
      </c>
      <c r="F28" s="76" t="str">
        <f>VLOOKUP(E28,Codes!$G$1:$H$3,2,FALSE)</f>
        <v>hydro-STO</v>
      </c>
      <c r="G28" s="56">
        <v>25</v>
      </c>
      <c r="H28" s="66" t="str">
        <f>VLOOKUP(I28,Codes!$A$1:$B$32,2,FALSE)</f>
        <v>NO</v>
      </c>
      <c r="I28" s="56" t="s">
        <v>21</v>
      </c>
      <c r="J28" s="56" t="s">
        <v>2136</v>
      </c>
      <c r="K28" s="56" t="s">
        <v>693</v>
      </c>
      <c r="L28" s="56" t="s">
        <v>693</v>
      </c>
      <c r="M28" s="69" t="s">
        <v>693</v>
      </c>
      <c r="N28" s="70">
        <v>60.861060000000002</v>
      </c>
      <c r="O28" s="70">
        <v>7.3044880000000001</v>
      </c>
      <c r="P28" s="70">
        <v>60.861060000000002</v>
      </c>
      <c r="Q28" s="70">
        <v>7.3044880000000001</v>
      </c>
      <c r="R28" s="56">
        <v>3</v>
      </c>
      <c r="T28" s="71" t="s">
        <v>44</v>
      </c>
      <c r="U28" s="56">
        <v>840</v>
      </c>
      <c r="AA28" s="56">
        <v>2015</v>
      </c>
      <c r="AC28" s="73">
        <v>0.2736492726225786</v>
      </c>
      <c r="AE28" s="56">
        <v>1973</v>
      </c>
      <c r="AF28" s="56">
        <v>2006</v>
      </c>
      <c r="AG28" s="56" t="s">
        <v>2157</v>
      </c>
      <c r="AH28" s="56">
        <v>3104</v>
      </c>
      <c r="AI28" s="70">
        <v>60.817414999999997</v>
      </c>
      <c r="AJ28" s="74">
        <v>7.2543680000000004</v>
      </c>
      <c r="AK28" s="75">
        <v>196</v>
      </c>
      <c r="AL28" s="56" t="s">
        <v>2155</v>
      </c>
      <c r="AP28" s="71">
        <v>840</v>
      </c>
      <c r="AR28" s="71">
        <v>96</v>
      </c>
      <c r="AV28" s="56" t="s">
        <v>2151</v>
      </c>
      <c r="AW28" s="56" t="s">
        <v>2064</v>
      </c>
      <c r="AZ28" s="67"/>
      <c r="BA28" s="56" t="str">
        <f t="shared" si="0"/>
        <v>POTENTIAL</v>
      </c>
      <c r="BB28" s="209">
        <f t="shared" si="1"/>
        <v>390.32028000000003</v>
      </c>
      <c r="BC28" s="67" t="s">
        <v>2135</v>
      </c>
      <c r="BD28" s="56" t="s">
        <v>2152</v>
      </c>
      <c r="BE28" s="56" t="s">
        <v>2156</v>
      </c>
      <c r="BH28" s="73" t="s">
        <v>2853</v>
      </c>
      <c r="BJ28" s="279">
        <f t="shared" si="3"/>
        <v>464.66700000000003</v>
      </c>
    </row>
    <row r="29" spans="1:62" x14ac:dyDescent="0.3">
      <c r="A29" s="56" t="s">
        <v>2254</v>
      </c>
      <c r="B29" s="56" t="s">
        <v>2840</v>
      </c>
      <c r="C29" s="134" t="s">
        <v>2840</v>
      </c>
      <c r="D29" s="56" t="s">
        <v>962</v>
      </c>
      <c r="E29" s="76" t="s">
        <v>962</v>
      </c>
      <c r="F29" s="76" t="str">
        <f>VLOOKUP(E29,Codes!$G$1:$H$3,2,FALSE)</f>
        <v>hydro-PHS</v>
      </c>
      <c r="G29" s="56">
        <v>26</v>
      </c>
      <c r="H29" s="66" t="str">
        <f>VLOOKUP(I29,Codes!$A$1:$B$32,2,FALSE)</f>
        <v>ES</v>
      </c>
      <c r="I29" s="56" t="s">
        <v>6</v>
      </c>
      <c r="J29" s="56" t="s">
        <v>2253</v>
      </c>
      <c r="L29" s="56" t="s">
        <v>931</v>
      </c>
      <c r="M29" s="69" t="s">
        <v>2252</v>
      </c>
      <c r="N29" s="70">
        <v>41.270159999999997</v>
      </c>
      <c r="O29" s="70">
        <v>-6.3208000000000002</v>
      </c>
      <c r="P29" s="70">
        <v>41.270159999999997</v>
      </c>
      <c r="Q29" s="70">
        <v>-6.3208000000000002</v>
      </c>
      <c r="R29" s="56">
        <v>6</v>
      </c>
      <c r="S29" s="56">
        <v>6</v>
      </c>
      <c r="T29" s="71" t="s">
        <v>42</v>
      </c>
      <c r="U29" s="56">
        <v>810</v>
      </c>
      <c r="V29" s="56">
        <v>728</v>
      </c>
      <c r="AA29" s="56">
        <v>885.6</v>
      </c>
      <c r="AC29" s="73">
        <v>0.12472431363601795</v>
      </c>
      <c r="AE29" s="56">
        <v>1977</v>
      </c>
      <c r="AG29" s="56" t="s">
        <v>2744</v>
      </c>
      <c r="AH29" s="56">
        <v>2733</v>
      </c>
      <c r="AI29" s="70">
        <v>41.274583</v>
      </c>
      <c r="AJ29" s="74">
        <v>-6.3237500000000004</v>
      </c>
      <c r="AK29" s="75">
        <v>2648.6</v>
      </c>
      <c r="AL29" s="56" t="s">
        <v>2252</v>
      </c>
      <c r="AP29" s="71">
        <v>344.85500000000002</v>
      </c>
      <c r="AR29" s="71">
        <v>232.5</v>
      </c>
      <c r="AU29" s="56">
        <v>232.5</v>
      </c>
      <c r="AZ29" s="67"/>
      <c r="BA29" s="56" t="str">
        <f t="shared" si="0"/>
        <v>POTENTIAL</v>
      </c>
      <c r="BB29" s="209">
        <f t="shared" si="1"/>
        <v>2165.4026358247502</v>
      </c>
      <c r="BC29" s="56" t="s">
        <v>2256</v>
      </c>
      <c r="BD29" s="56" t="s">
        <v>2257</v>
      </c>
      <c r="BE29" s="56" t="s">
        <v>2269</v>
      </c>
      <c r="BH29" s="73" t="s">
        <v>2853</v>
      </c>
      <c r="BJ29" s="279">
        <f t="shared" si="3"/>
        <v>2673.3365874379629</v>
      </c>
    </row>
    <row r="30" spans="1:62" x14ac:dyDescent="0.3">
      <c r="A30" s="56" t="s">
        <v>2474</v>
      </c>
      <c r="B30" s="56" t="s">
        <v>2840</v>
      </c>
      <c r="C30" s="134" t="s">
        <v>2840</v>
      </c>
      <c r="D30" s="56" t="s">
        <v>962</v>
      </c>
      <c r="E30" s="76" t="s">
        <v>962</v>
      </c>
      <c r="F30" s="76" t="str">
        <f>VLOOKUP(E30,Codes!$G$1:$H$3,2,FALSE)</f>
        <v>hydro-PHS</v>
      </c>
      <c r="G30" s="56">
        <v>27</v>
      </c>
      <c r="H30" s="66" t="str">
        <f>VLOOKUP(I30,Codes!$A$1:$B$32,2,FALSE)</f>
        <v>FR</v>
      </c>
      <c r="I30" s="56" t="s">
        <v>7</v>
      </c>
      <c r="J30" s="56" t="s">
        <v>2330</v>
      </c>
      <c r="L30" s="56" t="s">
        <v>2623</v>
      </c>
      <c r="M30" s="69" t="s">
        <v>2627</v>
      </c>
      <c r="N30" s="70">
        <v>45.201999999999998</v>
      </c>
      <c r="O30" s="70">
        <v>6.5759999999999996</v>
      </c>
      <c r="P30" s="70">
        <v>45.201999999999998</v>
      </c>
      <c r="Q30" s="70">
        <v>6.5759999999999996</v>
      </c>
      <c r="R30" s="56">
        <v>5</v>
      </c>
      <c r="S30" s="56">
        <v>4</v>
      </c>
      <c r="T30" s="71" t="s">
        <v>2625</v>
      </c>
      <c r="U30" s="56">
        <v>748</v>
      </c>
      <c r="V30" s="56">
        <v>630</v>
      </c>
      <c r="AA30" s="56">
        <v>919</v>
      </c>
      <c r="AC30" s="73">
        <v>0.140156242946435</v>
      </c>
      <c r="AE30" s="56">
        <v>1986</v>
      </c>
      <c r="AG30" s="56" t="s">
        <v>1548</v>
      </c>
      <c r="AH30" s="56">
        <v>3413</v>
      </c>
      <c r="AI30" s="70">
        <v>45.180416999999998</v>
      </c>
      <c r="AJ30" s="74">
        <v>6.5795830000000004</v>
      </c>
      <c r="AK30" s="75">
        <v>39.5</v>
      </c>
      <c r="AL30" s="56" t="s">
        <v>2624</v>
      </c>
      <c r="AN30" s="74">
        <v>45.207796999999999</v>
      </c>
      <c r="AO30" s="74">
        <v>6.5662330000000004</v>
      </c>
      <c r="AP30" s="71">
        <v>1150</v>
      </c>
      <c r="AQ30" s="72">
        <v>3.15</v>
      </c>
      <c r="BA30" s="56" t="str">
        <f t="shared" si="0"/>
        <v>GETH</v>
      </c>
      <c r="BB30" s="209">
        <f t="shared" si="1"/>
        <v>3.15</v>
      </c>
      <c r="BC30" s="56" t="s">
        <v>2468</v>
      </c>
      <c r="BD30" s="56" t="s">
        <v>2626</v>
      </c>
      <c r="BE30" s="56" t="s">
        <v>2628</v>
      </c>
      <c r="BH30" s="73" t="s">
        <v>2853</v>
      </c>
      <c r="BJ30" s="279">
        <f t="shared" si="3"/>
        <v>4.2112299465240639</v>
      </c>
    </row>
    <row r="31" spans="1:62" ht="13.5" customHeight="1" x14ac:dyDescent="0.3">
      <c r="A31" s="56" t="s">
        <v>2285</v>
      </c>
      <c r="B31" s="56" t="s">
        <v>2840</v>
      </c>
      <c r="C31" s="134" t="s">
        <v>2840</v>
      </c>
      <c r="D31" s="56" t="s">
        <v>962</v>
      </c>
      <c r="E31" s="76" t="s">
        <v>962</v>
      </c>
      <c r="F31" s="76" t="str">
        <f>VLOOKUP(E31,Codes!$G$1:$H$3,2,FALSE)</f>
        <v>hydro-PHS</v>
      </c>
      <c r="G31" s="56">
        <v>28</v>
      </c>
      <c r="H31" s="66" t="str">
        <f>VLOOKUP(I31,Codes!$A$1:$B$32,2,FALSE)</f>
        <v>SK</v>
      </c>
      <c r="I31" s="56" t="s">
        <v>18</v>
      </c>
      <c r="L31" s="56" t="s">
        <v>2285</v>
      </c>
      <c r="M31" s="33"/>
      <c r="N31" s="70">
        <v>49.008789999999998</v>
      </c>
      <c r="O31" s="70">
        <v>19.912237000000001</v>
      </c>
      <c r="P31" s="70">
        <v>49.008789999999998</v>
      </c>
      <c r="Q31" s="70">
        <v>19.912237000000001</v>
      </c>
      <c r="R31" s="56">
        <v>7</v>
      </c>
      <c r="S31" s="56">
        <v>7</v>
      </c>
      <c r="T31" s="71" t="s">
        <v>2286</v>
      </c>
      <c r="U31" s="56">
        <v>734.4</v>
      </c>
      <c r="V31" s="56">
        <v>600</v>
      </c>
      <c r="W31" s="56">
        <v>140</v>
      </c>
      <c r="X31" s="56">
        <v>90</v>
      </c>
      <c r="AA31" s="56">
        <v>1279</v>
      </c>
      <c r="AC31" s="73">
        <v>0.198671883892858</v>
      </c>
      <c r="AE31" s="56">
        <v>1983</v>
      </c>
      <c r="AG31" s="56" t="s">
        <v>2289</v>
      </c>
      <c r="AH31" s="165"/>
      <c r="AI31" s="70">
        <v>49.021445999999997</v>
      </c>
      <c r="AJ31" s="74">
        <v>19.909604000000002</v>
      </c>
      <c r="AK31" s="75">
        <v>3.7</v>
      </c>
      <c r="AL31" s="56" t="s">
        <v>2290</v>
      </c>
      <c r="AN31" s="74">
        <v>49.012467999999998</v>
      </c>
      <c r="AO31" s="74">
        <v>19.931315000000001</v>
      </c>
      <c r="AP31" s="71">
        <v>415.77499999999998</v>
      </c>
      <c r="AQ31" s="72">
        <v>3.63</v>
      </c>
      <c r="AR31" s="71">
        <v>188</v>
      </c>
      <c r="BA31" s="56" t="str">
        <f t="shared" si="0"/>
        <v>GETH</v>
      </c>
      <c r="BB31" s="209">
        <f t="shared" si="1"/>
        <v>3.63</v>
      </c>
      <c r="BC31" s="56" t="s">
        <v>2468</v>
      </c>
      <c r="BD31" s="56" t="s">
        <v>2287</v>
      </c>
      <c r="BE31" s="56" t="s">
        <v>2288</v>
      </c>
      <c r="BF31" s="56" t="s">
        <v>2291</v>
      </c>
      <c r="BG31" s="72" t="s">
        <v>2292</v>
      </c>
      <c r="BH31" s="73" t="s">
        <v>2853</v>
      </c>
      <c r="BJ31" s="279">
        <f t="shared" si="3"/>
        <v>4.9428104575163401</v>
      </c>
    </row>
    <row r="32" spans="1:62" ht="14.5" x14ac:dyDescent="0.3">
      <c r="A32" s="67" t="s">
        <v>27</v>
      </c>
      <c r="B32" s="56" t="s">
        <v>2840</v>
      </c>
      <c r="C32" s="134" t="s">
        <v>2840</v>
      </c>
      <c r="D32" s="56" t="s">
        <v>962</v>
      </c>
      <c r="E32" s="76" t="s">
        <v>962</v>
      </c>
      <c r="F32" s="76" t="str">
        <f>VLOOKUP(E32,Codes!$G$1:$H$3,2,FALSE)</f>
        <v>hydro-PHS</v>
      </c>
      <c r="G32" s="56">
        <v>29</v>
      </c>
      <c r="H32" s="66" t="str">
        <f>VLOOKUP(I32,Codes!$A$1:$B$32,2,FALSE)</f>
        <v>AT</v>
      </c>
      <c r="I32" s="56" t="s">
        <v>13</v>
      </c>
      <c r="J32" s="56" t="s">
        <v>2180</v>
      </c>
      <c r="K32" s="140" t="s">
        <v>2975</v>
      </c>
      <c r="L32" s="56" t="s">
        <v>23</v>
      </c>
      <c r="M32" s="69" t="s">
        <v>1379</v>
      </c>
      <c r="N32" s="70">
        <v>47.079379000000003</v>
      </c>
      <c r="O32" s="70">
        <v>13.339188</v>
      </c>
      <c r="P32" s="70">
        <v>47.079379000000003</v>
      </c>
      <c r="Q32" s="70">
        <v>13.339188</v>
      </c>
      <c r="R32" s="56">
        <v>2</v>
      </c>
      <c r="S32" s="56">
        <v>2</v>
      </c>
      <c r="T32" s="71" t="s">
        <v>42</v>
      </c>
      <c r="U32" s="56">
        <v>120</v>
      </c>
      <c r="V32" s="56">
        <v>116</v>
      </c>
      <c r="AA32" s="56">
        <v>37.4</v>
      </c>
      <c r="AC32" s="73">
        <v>3.5554034527340482E-2</v>
      </c>
      <c r="AE32" s="56">
        <v>1979</v>
      </c>
      <c r="AG32" s="56" t="s">
        <v>2181</v>
      </c>
      <c r="AH32" s="56">
        <v>3305</v>
      </c>
      <c r="AI32" s="70">
        <v>47.082917000000002</v>
      </c>
      <c r="AJ32" s="74">
        <v>13.33375</v>
      </c>
      <c r="AK32" s="75">
        <v>205</v>
      </c>
      <c r="AL32" s="56" t="s">
        <v>27</v>
      </c>
      <c r="AN32" s="74">
        <v>47.067295999999999</v>
      </c>
      <c r="AO32" s="74">
        <v>13.351609</v>
      </c>
      <c r="AP32" s="71">
        <v>198</v>
      </c>
      <c r="AQ32" s="72">
        <v>2.9</v>
      </c>
      <c r="AZ32" s="67"/>
      <c r="BA32" s="56" t="str">
        <f t="shared" si="0"/>
        <v>GETH</v>
      </c>
      <c r="BB32" s="209">
        <f t="shared" si="1"/>
        <v>2.9</v>
      </c>
      <c r="BC32" s="56" t="s">
        <v>32</v>
      </c>
      <c r="BD32" s="56" t="s">
        <v>2182</v>
      </c>
      <c r="BE32" s="143" t="s">
        <v>2974</v>
      </c>
      <c r="BH32" s="73" t="s">
        <v>2853</v>
      </c>
      <c r="BJ32" s="279">
        <f t="shared" si="3"/>
        <v>24.166666666666668</v>
      </c>
    </row>
    <row r="33" spans="1:62" s="140" customFormat="1" x14ac:dyDescent="0.3">
      <c r="A33" s="175" t="s">
        <v>2775</v>
      </c>
      <c r="B33" s="140" t="s">
        <v>2840</v>
      </c>
      <c r="C33" s="176" t="s">
        <v>2840</v>
      </c>
      <c r="D33" s="140" t="s">
        <v>962</v>
      </c>
      <c r="E33" s="156" t="s">
        <v>962</v>
      </c>
      <c r="F33" s="156" t="str">
        <f>VLOOKUP(E33,Codes!$G$1:$H$3,2,FALSE)</f>
        <v>hydro-PHS</v>
      </c>
      <c r="G33" s="56">
        <v>30</v>
      </c>
      <c r="H33" s="132" t="str">
        <f>VLOOKUP(I33,Codes!$A$1:$B$32,2,FALSE)</f>
        <v>AT</v>
      </c>
      <c r="I33" s="140" t="s">
        <v>13</v>
      </c>
      <c r="J33" s="140" t="s">
        <v>2180</v>
      </c>
      <c r="K33" s="140" t="s">
        <v>2975</v>
      </c>
      <c r="L33" s="140" t="s">
        <v>23</v>
      </c>
      <c r="M33" s="177" t="s">
        <v>1379</v>
      </c>
      <c r="N33" s="178">
        <v>46.870327000000003</v>
      </c>
      <c r="O33" s="178">
        <v>13.329065999999999</v>
      </c>
      <c r="P33" s="70">
        <v>46.870327000000003</v>
      </c>
      <c r="Q33" s="70">
        <v>13.329065999999999</v>
      </c>
      <c r="R33" s="140">
        <v>4</v>
      </c>
      <c r="S33" s="140">
        <v>4</v>
      </c>
      <c r="T33" s="179" t="s">
        <v>44</v>
      </c>
      <c r="U33" s="140">
        <v>730</v>
      </c>
      <c r="V33" s="140">
        <v>290</v>
      </c>
      <c r="Y33" s="179"/>
      <c r="AA33" s="140">
        <v>618</v>
      </c>
      <c r="AC33" s="180">
        <v>9.6574873655687135E-2</v>
      </c>
      <c r="AD33" s="180"/>
      <c r="AE33" s="140">
        <v>1979</v>
      </c>
      <c r="AG33" s="140" t="s">
        <v>27</v>
      </c>
      <c r="AH33" s="165"/>
      <c r="AI33" s="186">
        <v>47.067295999999999</v>
      </c>
      <c r="AJ33" s="183">
        <v>13.351609</v>
      </c>
      <c r="AK33" s="184">
        <v>4.4000000000000004</v>
      </c>
      <c r="AL33" s="140" t="s">
        <v>2740</v>
      </c>
      <c r="AN33" s="181">
        <v>46.868788000000002</v>
      </c>
      <c r="AO33" s="181">
        <v>13.328605</v>
      </c>
      <c r="AP33" s="179">
        <v>1106</v>
      </c>
      <c r="AQ33" s="182">
        <v>1.3</v>
      </c>
      <c r="AR33" s="179">
        <v>80</v>
      </c>
      <c r="AS33" s="179"/>
      <c r="AT33" s="179"/>
      <c r="AU33" s="140">
        <v>23.2</v>
      </c>
      <c r="AV33" s="140" t="s">
        <v>27</v>
      </c>
      <c r="BA33" s="56" t="str">
        <f t="shared" si="0"/>
        <v>GETH</v>
      </c>
      <c r="BB33" s="209">
        <f t="shared" si="1"/>
        <v>1.3</v>
      </c>
      <c r="BC33" s="175" t="s">
        <v>2468</v>
      </c>
      <c r="BD33" s="175" t="s">
        <v>28</v>
      </c>
      <c r="BE33" s="140" t="s">
        <v>2182</v>
      </c>
      <c r="BF33" s="140" t="s">
        <v>2741</v>
      </c>
      <c r="BG33" s="182"/>
      <c r="BH33" s="180" t="s">
        <v>2853</v>
      </c>
      <c r="BJ33" s="279">
        <f t="shared" si="3"/>
        <v>1.7808219178082192</v>
      </c>
    </row>
    <row r="34" spans="1:62" s="140" customFormat="1" ht="14.5" x14ac:dyDescent="0.3">
      <c r="A34" s="175" t="s">
        <v>2972</v>
      </c>
      <c r="B34" s="140" t="s">
        <v>2840</v>
      </c>
      <c r="C34" s="176" t="s">
        <v>2840</v>
      </c>
      <c r="D34" s="140" t="s">
        <v>962</v>
      </c>
      <c r="E34" s="156" t="s">
        <v>962</v>
      </c>
      <c r="F34" s="156" t="str">
        <f>VLOOKUP(E34,Codes!$G$1:$H$3,2,FALSE)</f>
        <v>hydro-PHS</v>
      </c>
      <c r="G34" s="56">
        <v>31</v>
      </c>
      <c r="H34" s="132" t="str">
        <f>VLOOKUP(I34,Codes!$A$1:$B$32,2,FALSE)</f>
        <v>AT</v>
      </c>
      <c r="I34" s="140" t="s">
        <v>13</v>
      </c>
      <c r="J34" s="140" t="s">
        <v>2180</v>
      </c>
      <c r="K34" s="140" t="s">
        <v>2975</v>
      </c>
      <c r="L34" s="140" t="s">
        <v>23</v>
      </c>
      <c r="M34" s="177" t="s">
        <v>1379</v>
      </c>
      <c r="N34" s="189">
        <v>46.870327000000003</v>
      </c>
      <c r="O34" s="189">
        <v>13.329065999999999</v>
      </c>
      <c r="P34" s="393">
        <v>46.870327000000003</v>
      </c>
      <c r="Q34" s="393">
        <v>13.329065999999999</v>
      </c>
      <c r="R34" s="140">
        <v>2</v>
      </c>
      <c r="S34" s="140">
        <v>2</v>
      </c>
      <c r="T34" s="179" t="s">
        <v>42</v>
      </c>
      <c r="U34" s="188">
        <v>430</v>
      </c>
      <c r="V34" s="188">
        <v>430</v>
      </c>
      <c r="Y34" s="179"/>
      <c r="AC34" s="180"/>
      <c r="AD34" s="180"/>
      <c r="AE34" s="140">
        <v>2016</v>
      </c>
      <c r="AG34" s="140" t="s">
        <v>2976</v>
      </c>
      <c r="AH34" s="165"/>
      <c r="AI34" s="183">
        <v>46.917946000000001</v>
      </c>
      <c r="AJ34" s="190">
        <v>13.375251</v>
      </c>
      <c r="AK34" s="185">
        <v>7.8</v>
      </c>
      <c r="AL34" s="140" t="s">
        <v>2977</v>
      </c>
      <c r="AN34" s="181">
        <v>46.982748000000001</v>
      </c>
      <c r="AO34" s="181">
        <v>13.328867000000001</v>
      </c>
      <c r="AP34" s="179">
        <f>2319-1585</f>
        <v>734</v>
      </c>
      <c r="AQ34" s="187">
        <f>9.81*1000*AP34*AK34*0.87/3600000</f>
        <v>13.5730179</v>
      </c>
      <c r="AR34" s="179"/>
      <c r="AS34" s="179"/>
      <c r="AT34" s="179"/>
      <c r="BA34" s="56" t="str">
        <f t="shared" ref="BA34:BA56" si="4">IF(Z34*U34/1000=0,IF(AQ34=0,IF(AP34=0,"MAXTURBFLOW","POTENTIAL"),"GETH"),"MAXPUMPTIME")</f>
        <v>GETH</v>
      </c>
      <c r="BB34" s="209">
        <f t="shared" ref="BB34:BB56" si="5">IF(BA34="MAXPUMPTIME",Z34*U34/1000,IF(BA34="GETH",AQ34,IF(BA34="POTENTIAL",1000*9.81*AP34*AK34*turbPumpEff/3600000,IF(BA34="MAXTURBFLOW",U34*AK34/AR34/3.6,"!!!"))))</f>
        <v>13.5730179</v>
      </c>
      <c r="BC34" s="143" t="s">
        <v>2971</v>
      </c>
      <c r="BD34" s="175"/>
      <c r="BG34" s="182"/>
      <c r="BH34" s="180"/>
      <c r="BJ34" s="279">
        <f t="shared" si="3"/>
        <v>31.565157906976744</v>
      </c>
    </row>
    <row r="35" spans="1:62" x14ac:dyDescent="0.3">
      <c r="A35" s="56" t="s">
        <v>2262</v>
      </c>
      <c r="B35" s="56" t="s">
        <v>2840</v>
      </c>
      <c r="C35" s="134" t="s">
        <v>2840</v>
      </c>
      <c r="D35" s="56" t="s">
        <v>962</v>
      </c>
      <c r="E35" s="76" t="s">
        <v>962</v>
      </c>
      <c r="F35" s="76" t="str">
        <f>VLOOKUP(E35,Codes!$G$1:$H$3,2,FALSE)</f>
        <v>hydro-PHS</v>
      </c>
      <c r="G35" s="56">
        <v>32</v>
      </c>
      <c r="H35" s="66" t="str">
        <f>VLOOKUP(I35,Codes!$A$1:$B$32,2,FALSE)</f>
        <v>FR</v>
      </c>
      <c r="I35" s="78" t="s">
        <v>7</v>
      </c>
      <c r="J35" s="56" t="s">
        <v>2330</v>
      </c>
      <c r="L35" s="56" t="s">
        <v>258</v>
      </c>
      <c r="N35" s="70">
        <v>49.925556</v>
      </c>
      <c r="O35" s="70">
        <v>4.6133329999999999</v>
      </c>
      <c r="P35" s="70">
        <v>49.925556</v>
      </c>
      <c r="Q35" s="70">
        <v>4.6133329999999999</v>
      </c>
      <c r="R35" s="56">
        <v>4</v>
      </c>
      <c r="S35" s="56">
        <v>4</v>
      </c>
      <c r="T35" s="71" t="s">
        <v>42</v>
      </c>
      <c r="U35" s="56">
        <v>720</v>
      </c>
      <c r="V35" s="56">
        <v>720</v>
      </c>
      <c r="W35" s="56">
        <v>120</v>
      </c>
      <c r="AA35" s="56">
        <v>1000</v>
      </c>
      <c r="AC35" s="73">
        <v>0.15844043907014474</v>
      </c>
      <c r="AE35" s="56">
        <v>1976</v>
      </c>
      <c r="AG35" s="56" t="s">
        <v>2264</v>
      </c>
      <c r="AH35" s="165"/>
      <c r="AI35" s="70">
        <v>49.917399000000003</v>
      </c>
      <c r="AJ35" s="74">
        <v>4.6272080000000004</v>
      </c>
      <c r="AK35" s="75">
        <v>8.3000000000000007</v>
      </c>
      <c r="AL35" s="56" t="s">
        <v>2265</v>
      </c>
      <c r="AM35" s="140"/>
      <c r="AN35" s="74">
        <v>49.925015000000002</v>
      </c>
      <c r="AO35" s="74">
        <v>4.607558</v>
      </c>
      <c r="AP35" s="71">
        <v>245.5</v>
      </c>
      <c r="AQ35" s="72">
        <v>3.6</v>
      </c>
      <c r="AR35" s="71">
        <v>400</v>
      </c>
      <c r="BA35" s="56" t="str">
        <f t="shared" si="4"/>
        <v>GETH</v>
      </c>
      <c r="BB35" s="209">
        <f t="shared" si="5"/>
        <v>3.6</v>
      </c>
      <c r="BC35" s="56" t="s">
        <v>2263</v>
      </c>
      <c r="BD35" s="56" t="s">
        <v>2266</v>
      </c>
      <c r="BE35" s="56" t="s">
        <v>2267</v>
      </c>
      <c r="BF35" s="56" t="s">
        <v>2269</v>
      </c>
      <c r="BH35" s="73" t="s">
        <v>2853</v>
      </c>
      <c r="BJ35" s="279">
        <f t="shared" si="3"/>
        <v>5</v>
      </c>
    </row>
    <row r="36" spans="1:62" x14ac:dyDescent="0.3">
      <c r="A36" s="56" t="s">
        <v>2776</v>
      </c>
      <c r="B36" s="56" t="s">
        <v>2840</v>
      </c>
      <c r="C36" s="134" t="s">
        <v>2840</v>
      </c>
      <c r="D36" s="244" t="s">
        <v>29</v>
      </c>
      <c r="E36" s="245" t="str">
        <f>D36</f>
        <v>RoR</v>
      </c>
      <c r="F36" s="76" t="str">
        <f>VLOOKUP(E36,Codes!$G$1:$H$3,2,FALSE)</f>
        <v>hydro-ROR</v>
      </c>
      <c r="G36" s="56">
        <v>33</v>
      </c>
      <c r="H36" s="66" t="str">
        <f>VLOOKUP(I36,Codes!$A$1:$B$32,2,FALSE)</f>
        <v>SK</v>
      </c>
      <c r="I36" s="56" t="s">
        <v>18</v>
      </c>
      <c r="J36" s="56" t="s">
        <v>2294</v>
      </c>
      <c r="K36" s="67"/>
      <c r="L36" s="56" t="s">
        <v>2668</v>
      </c>
      <c r="M36" s="77" t="s">
        <v>2205</v>
      </c>
      <c r="N36" s="70">
        <v>47.880088600000001</v>
      </c>
      <c r="O36" s="70">
        <v>17.5385141</v>
      </c>
      <c r="P36" s="70">
        <v>47.880088600000001</v>
      </c>
      <c r="Q36" s="70">
        <v>17.5385141</v>
      </c>
      <c r="R36" s="56">
        <v>8</v>
      </c>
      <c r="T36" s="71" t="s">
        <v>2129</v>
      </c>
      <c r="U36" s="56">
        <v>720</v>
      </c>
      <c r="AA36" s="56">
        <v>2158.7260000000001</v>
      </c>
      <c r="AC36" s="73">
        <v>0.34202949527213727</v>
      </c>
      <c r="AE36" s="56">
        <v>1995</v>
      </c>
      <c r="AG36" s="56" t="s">
        <v>2760</v>
      </c>
      <c r="AH36" s="173">
        <v>3806</v>
      </c>
      <c r="AI36" s="70">
        <v>47.882354999999997</v>
      </c>
      <c r="AJ36" s="74">
        <v>17.535067000000002</v>
      </c>
      <c r="AK36" s="75">
        <v>197</v>
      </c>
      <c r="AP36" s="71">
        <v>20</v>
      </c>
      <c r="AR36" s="71">
        <v>4000</v>
      </c>
      <c r="BA36" s="56" t="str">
        <f t="shared" si="4"/>
        <v>POTENTIAL</v>
      </c>
      <c r="BB36" s="209">
        <f t="shared" si="5"/>
        <v>9.3407549999999997</v>
      </c>
      <c r="BC36" s="56" t="s">
        <v>2293</v>
      </c>
      <c r="BD36" s="56" t="s">
        <v>2296</v>
      </c>
      <c r="BE36" s="56" t="s">
        <v>2297</v>
      </c>
      <c r="BH36" s="73" t="s">
        <v>2853</v>
      </c>
      <c r="BJ36" s="279">
        <f t="shared" si="3"/>
        <v>12.973270833333334</v>
      </c>
    </row>
    <row r="37" spans="1:62" x14ac:dyDescent="0.3">
      <c r="A37" s="56" t="s">
        <v>2479</v>
      </c>
      <c r="B37" s="56" t="s">
        <v>2840</v>
      </c>
      <c r="C37" s="134" t="s">
        <v>2840</v>
      </c>
      <c r="D37" s="56" t="s">
        <v>962</v>
      </c>
      <c r="E37" s="76" t="s">
        <v>962</v>
      </c>
      <c r="F37" s="76" t="str">
        <f>VLOOKUP(E37,Codes!$G$1:$H$3,2,FALSE)</f>
        <v>hydro-PHS</v>
      </c>
      <c r="G37" s="56">
        <v>34</v>
      </c>
      <c r="H37" s="66" t="str">
        <f>VLOOKUP(I37,Codes!$A$1:$B$32,2,FALSE)</f>
        <v>PL</v>
      </c>
      <c r="I37" s="56" t="s">
        <v>14</v>
      </c>
      <c r="L37" s="56" t="s">
        <v>2479</v>
      </c>
      <c r="N37" s="70">
        <v>54.722271999999997</v>
      </c>
      <c r="O37" s="70">
        <v>18.082356000000001</v>
      </c>
      <c r="P37" s="392">
        <v>54.722271999999997</v>
      </c>
      <c r="Q37" s="392">
        <v>18.082356000000001</v>
      </c>
      <c r="R37" s="56">
        <v>4</v>
      </c>
      <c r="S37" s="56">
        <v>4</v>
      </c>
      <c r="T37" s="71" t="s">
        <v>42</v>
      </c>
      <c r="U37" s="56">
        <v>716</v>
      </c>
      <c r="V37" s="56">
        <v>800</v>
      </c>
      <c r="AA37" s="56">
        <v>706.6</v>
      </c>
      <c r="AC37" s="73">
        <v>0.11257945566733839</v>
      </c>
      <c r="AD37" s="72"/>
      <c r="AE37" s="56">
        <v>1983</v>
      </c>
      <c r="AF37" s="56">
        <v>2011</v>
      </c>
      <c r="AG37" s="56" t="s">
        <v>2630</v>
      </c>
      <c r="AH37" s="165"/>
      <c r="AI37" s="70">
        <v>54.712682000000001</v>
      </c>
      <c r="AJ37" s="74">
        <v>18.056424</v>
      </c>
      <c r="AK37" s="75">
        <v>13</v>
      </c>
      <c r="AL37" s="56" t="s">
        <v>2479</v>
      </c>
      <c r="AN37" s="74">
        <v>54.761884000000002</v>
      </c>
      <c r="AO37" s="74">
        <v>18.058195000000001</v>
      </c>
      <c r="AP37" s="71">
        <v>119.3</v>
      </c>
      <c r="AQ37" s="72">
        <v>3.6</v>
      </c>
      <c r="BA37" s="56" t="str">
        <f t="shared" si="4"/>
        <v>GETH</v>
      </c>
      <c r="BB37" s="209">
        <f t="shared" si="5"/>
        <v>3.6</v>
      </c>
      <c r="BC37" s="56" t="s">
        <v>2468</v>
      </c>
      <c r="BD37" s="56" t="s">
        <v>2629</v>
      </c>
      <c r="BE37" s="56" t="s">
        <v>2755</v>
      </c>
      <c r="BH37" s="73" t="s">
        <v>2853</v>
      </c>
      <c r="BJ37" s="279">
        <f t="shared" si="3"/>
        <v>5.027932960893855</v>
      </c>
    </row>
    <row r="38" spans="1:62" ht="12" customHeight="1" x14ac:dyDescent="0.3">
      <c r="A38" s="56" t="s">
        <v>2102</v>
      </c>
      <c r="B38" s="56" t="s">
        <v>2840</v>
      </c>
      <c r="C38" s="134" t="s">
        <v>2840</v>
      </c>
      <c r="D38" s="56" t="s">
        <v>962</v>
      </c>
      <c r="E38" s="76" t="s">
        <v>962</v>
      </c>
      <c r="F38" s="76" t="str">
        <f>VLOOKUP(E38,Codes!$G$1:$H$3,2,FALSE)</f>
        <v>hydro-PHS</v>
      </c>
      <c r="G38" s="56">
        <v>35</v>
      </c>
      <c r="H38" s="66" t="str">
        <f>VLOOKUP(I38,Codes!$A$1:$B$32,2,FALSE)</f>
        <v>NO</v>
      </c>
      <c r="I38" s="56" t="s">
        <v>21</v>
      </c>
      <c r="J38" s="56" t="s">
        <v>2104</v>
      </c>
      <c r="K38" s="56" t="s">
        <v>2100</v>
      </c>
      <c r="L38" s="56" t="s">
        <v>716</v>
      </c>
      <c r="M38" s="69" t="s">
        <v>2114</v>
      </c>
      <c r="N38" s="70">
        <v>59.482770000000002</v>
      </c>
      <c r="O38" s="70">
        <v>6.67265</v>
      </c>
      <c r="R38" s="56">
        <v>4</v>
      </c>
      <c r="S38" s="56">
        <v>4</v>
      </c>
      <c r="T38" s="71" t="s">
        <v>42</v>
      </c>
      <c r="U38" s="56">
        <v>640</v>
      </c>
      <c r="V38" s="56">
        <v>300</v>
      </c>
      <c r="AA38" s="56">
        <v>952</v>
      </c>
      <c r="AB38" s="56">
        <v>1189</v>
      </c>
      <c r="AC38" s="73">
        <v>0.16968971024412502</v>
      </c>
      <c r="AD38" s="73">
        <v>0.45212563693056507</v>
      </c>
      <c r="AE38" s="56">
        <v>1985</v>
      </c>
      <c r="AG38" s="56" t="s">
        <v>2109</v>
      </c>
      <c r="AH38" s="56">
        <v>3162</v>
      </c>
      <c r="AI38" s="70">
        <v>59.303750000000001</v>
      </c>
      <c r="AJ38" s="74">
        <v>6.9420830000000002</v>
      </c>
      <c r="AK38" s="75">
        <v>2325</v>
      </c>
      <c r="AL38" s="56" t="s">
        <v>2113</v>
      </c>
      <c r="AN38" s="74">
        <v>59.496032999999997</v>
      </c>
      <c r="AO38" s="74">
        <v>6.5395159999999999</v>
      </c>
      <c r="AP38" s="71">
        <v>465</v>
      </c>
      <c r="AQ38" s="72">
        <v>250.2</v>
      </c>
      <c r="AV38" s="56" t="s">
        <v>2101</v>
      </c>
      <c r="AW38" s="56" t="s">
        <v>2057</v>
      </c>
      <c r="BA38" s="56" t="str">
        <f t="shared" si="4"/>
        <v>GETH</v>
      </c>
      <c r="BB38" s="209">
        <f t="shared" si="5"/>
        <v>250.2</v>
      </c>
      <c r="BC38" s="56" t="s">
        <v>2105</v>
      </c>
      <c r="BD38" s="67" t="s">
        <v>2108</v>
      </c>
      <c r="BE38" s="56" t="s">
        <v>2111</v>
      </c>
      <c r="BF38" s="56" t="s">
        <v>2112</v>
      </c>
      <c r="BH38" s="73" t="s">
        <v>2853</v>
      </c>
      <c r="BJ38" s="279">
        <f t="shared" si="3"/>
        <v>390.9375</v>
      </c>
    </row>
    <row r="39" spans="1:62" x14ac:dyDescent="0.3">
      <c r="A39" s="67" t="s">
        <v>797</v>
      </c>
      <c r="B39" s="56" t="s">
        <v>2840</v>
      </c>
      <c r="C39" s="134" t="s">
        <v>2840</v>
      </c>
      <c r="D39" s="56" t="s">
        <v>962</v>
      </c>
      <c r="E39" s="76" t="s">
        <v>962</v>
      </c>
      <c r="F39" s="76" t="str">
        <f>VLOOKUP(E39,Codes!$G$1:$H$3,2,FALSE)</f>
        <v>hydro-PHS</v>
      </c>
      <c r="G39" s="56">
        <v>36</v>
      </c>
      <c r="H39" s="66" t="str">
        <f>VLOOKUP(I39,Codes!$A$1:$B$32,2,FALSE)</f>
        <v>PT</v>
      </c>
      <c r="I39" s="56" t="s">
        <v>15</v>
      </c>
      <c r="J39" s="56" t="s">
        <v>2306</v>
      </c>
      <c r="K39" s="67"/>
      <c r="L39" s="56" t="s">
        <v>798</v>
      </c>
      <c r="M39" s="77" t="s">
        <v>2307</v>
      </c>
      <c r="N39" s="70">
        <v>41.872835000000002</v>
      </c>
      <c r="O39" s="70">
        <v>8.2040749999999996</v>
      </c>
      <c r="P39" s="70">
        <v>41.872835000000002</v>
      </c>
      <c r="Q39" s="70">
        <v>8.2040749999999996</v>
      </c>
      <c r="R39" s="56">
        <v>2</v>
      </c>
      <c r="S39" s="56">
        <v>2</v>
      </c>
      <c r="T39" s="71" t="s">
        <v>42</v>
      </c>
      <c r="U39" s="67">
        <v>630</v>
      </c>
      <c r="V39" s="56">
        <v>630</v>
      </c>
      <c r="AA39" s="56">
        <v>933.8</v>
      </c>
      <c r="AC39" s="73">
        <v>0.16908763657565848</v>
      </c>
      <c r="AE39" s="56">
        <v>1992</v>
      </c>
      <c r="AG39" s="56" t="s">
        <v>2308</v>
      </c>
      <c r="AH39" s="56">
        <v>2713</v>
      </c>
      <c r="AI39" s="70">
        <v>41.872563999999997</v>
      </c>
      <c r="AJ39" s="74">
        <v>-8.2023650000000004</v>
      </c>
      <c r="AK39" s="75">
        <v>390</v>
      </c>
      <c r="AL39" s="56" t="s">
        <v>2309</v>
      </c>
      <c r="AM39" s="56">
        <v>2714</v>
      </c>
      <c r="AN39" s="74">
        <v>41.812573</v>
      </c>
      <c r="AO39" s="74">
        <v>-8.3535959999999996</v>
      </c>
      <c r="AP39" s="71">
        <v>257.5</v>
      </c>
      <c r="AR39" s="71">
        <v>250</v>
      </c>
      <c r="BA39" s="56" t="str">
        <f t="shared" si="4"/>
        <v>POTENTIAL</v>
      </c>
      <c r="BB39" s="209">
        <f t="shared" si="5"/>
        <v>238.08256875000001</v>
      </c>
      <c r="BC39" s="56" t="s">
        <v>2311</v>
      </c>
      <c r="BD39" s="56" t="s">
        <v>2310</v>
      </c>
      <c r="BH39" s="73" t="s">
        <v>2853</v>
      </c>
      <c r="BJ39" s="279">
        <f t="shared" si="3"/>
        <v>377.90883928571429</v>
      </c>
    </row>
    <row r="40" spans="1:62" x14ac:dyDescent="0.3">
      <c r="A40" s="56" t="s">
        <v>2481</v>
      </c>
      <c r="B40" s="56" t="s">
        <v>2840</v>
      </c>
      <c r="C40" s="134" t="s">
        <v>2840</v>
      </c>
      <c r="D40" s="56" t="s">
        <v>962</v>
      </c>
      <c r="E40" s="76" t="s">
        <v>962</v>
      </c>
      <c r="F40" s="76" t="str">
        <f>VLOOKUP(E40,Codes!$G$1:$H$3,2,FALSE)</f>
        <v>hydro-PHS</v>
      </c>
      <c r="G40" s="56">
        <v>37</v>
      </c>
      <c r="H40" s="66" t="str">
        <f>VLOOKUP(I40,Codes!$A$1:$B$32,2,FALSE)</f>
        <v>ES</v>
      </c>
      <c r="I40" s="56" t="s">
        <v>6</v>
      </c>
      <c r="M40" s="70"/>
      <c r="N40" s="70">
        <v>39.260416999999997</v>
      </c>
      <c r="O40" s="70">
        <v>-0.91958300000000004</v>
      </c>
      <c r="P40" s="70">
        <v>39.26</v>
      </c>
      <c r="Q40" s="70">
        <v>-0.91200000000000003</v>
      </c>
      <c r="R40" s="56">
        <v>4</v>
      </c>
      <c r="S40" s="56">
        <v>4</v>
      </c>
      <c r="T40" s="71" t="s">
        <v>42</v>
      </c>
      <c r="U40" s="56">
        <v>628</v>
      </c>
      <c r="V40" s="56">
        <v>555</v>
      </c>
      <c r="AA40" s="56">
        <v>1006</v>
      </c>
      <c r="AC40" s="73">
        <v>0.18274136755937459</v>
      </c>
      <c r="AD40" s="72"/>
      <c r="AG40" s="56" t="s">
        <v>2618</v>
      </c>
      <c r="AH40" s="56">
        <v>2819</v>
      </c>
      <c r="AI40" s="70">
        <v>39.234811999999998</v>
      </c>
      <c r="AJ40" s="74">
        <v>-0.92837000000000003</v>
      </c>
      <c r="AK40" s="75">
        <v>20</v>
      </c>
      <c r="AL40" s="56" t="s">
        <v>1863</v>
      </c>
      <c r="AM40" s="56">
        <v>2817</v>
      </c>
      <c r="AN40" s="74">
        <v>39.261273000000003</v>
      </c>
      <c r="AO40" s="74">
        <v>-0.91828500000000002</v>
      </c>
      <c r="AP40" s="71">
        <v>450</v>
      </c>
      <c r="AQ40" s="72">
        <v>24.5</v>
      </c>
      <c r="BA40" s="56" t="str">
        <f t="shared" si="4"/>
        <v>GETH</v>
      </c>
      <c r="BB40" s="209">
        <f t="shared" si="5"/>
        <v>24.5</v>
      </c>
      <c r="BC40" s="56" t="s">
        <v>2468</v>
      </c>
      <c r="BD40" s="56" t="s">
        <v>2759</v>
      </c>
      <c r="BH40" s="73" t="s">
        <v>2853</v>
      </c>
      <c r="BJ40" s="279">
        <f t="shared" si="3"/>
        <v>39.012738853503187</v>
      </c>
    </row>
    <row r="41" spans="1:62" x14ac:dyDescent="0.3">
      <c r="A41" s="67" t="s">
        <v>2299</v>
      </c>
      <c r="B41" s="56" t="s">
        <v>2840</v>
      </c>
      <c r="C41" s="134" t="s">
        <v>2840</v>
      </c>
      <c r="D41" s="56" t="s">
        <v>962</v>
      </c>
      <c r="E41" s="76" t="s">
        <v>962</v>
      </c>
      <c r="F41" s="76" t="str">
        <f>VLOOKUP(E41,Codes!$G$1:$H$3,2,FALSE)</f>
        <v>hydro-PHS</v>
      </c>
      <c r="G41" s="56">
        <v>38</v>
      </c>
      <c r="H41" s="66" t="str">
        <f>VLOOKUP(I41,Codes!$A$1:$B$32,2,FALSE)</f>
        <v>CZ</v>
      </c>
      <c r="I41" s="67" t="s">
        <v>2</v>
      </c>
      <c r="J41" s="67" t="s">
        <v>2298</v>
      </c>
      <c r="K41" s="67"/>
      <c r="L41" s="56" t="s">
        <v>2300</v>
      </c>
      <c r="M41" s="33" t="s">
        <v>2301</v>
      </c>
      <c r="N41" s="70">
        <v>50.084297999999997</v>
      </c>
      <c r="O41" s="70">
        <v>17.181028999999999</v>
      </c>
      <c r="P41" s="70">
        <v>50.084297999999997</v>
      </c>
      <c r="Q41" s="70">
        <v>17.181028999999999</v>
      </c>
      <c r="R41" s="56">
        <v>2</v>
      </c>
      <c r="S41" s="56">
        <v>2</v>
      </c>
      <c r="T41" s="71" t="s">
        <v>42</v>
      </c>
      <c r="U41" s="56">
        <v>624</v>
      </c>
      <c r="V41" s="56">
        <v>650</v>
      </c>
      <c r="AA41" s="56">
        <v>152</v>
      </c>
      <c r="AC41" s="73">
        <v>2.7788015467686927E-2</v>
      </c>
      <c r="AE41" s="56">
        <v>1996</v>
      </c>
      <c r="AG41" s="56" t="s">
        <v>2304</v>
      </c>
      <c r="AH41" s="165"/>
      <c r="AI41" s="70">
        <v>50.075180000000003</v>
      </c>
      <c r="AJ41" s="74">
        <v>17.159209000000001</v>
      </c>
      <c r="AK41" s="75">
        <v>2.72</v>
      </c>
      <c r="AL41" s="56" t="s">
        <v>2305</v>
      </c>
      <c r="AN41" s="74">
        <v>50.082633000000001</v>
      </c>
      <c r="AO41" s="74">
        <v>17.182297999999999</v>
      </c>
      <c r="AP41" s="71">
        <v>510</v>
      </c>
      <c r="AQ41" s="72">
        <v>2.2999999999999998</v>
      </c>
      <c r="BA41" s="56" t="str">
        <f t="shared" si="4"/>
        <v>GETH</v>
      </c>
      <c r="BB41" s="209">
        <f t="shared" si="5"/>
        <v>2.2999999999999998</v>
      </c>
      <c r="BC41" s="56" t="s">
        <v>2302</v>
      </c>
      <c r="BD41" s="56" t="s">
        <v>2303</v>
      </c>
      <c r="BH41" s="73" t="s">
        <v>2853</v>
      </c>
      <c r="BJ41" s="279">
        <f t="shared" si="3"/>
        <v>3.6858974358974357</v>
      </c>
    </row>
    <row r="42" spans="1:62" x14ac:dyDescent="0.3">
      <c r="A42" s="56" t="s">
        <v>2312</v>
      </c>
      <c r="B42" s="56" t="s">
        <v>2840</v>
      </c>
      <c r="C42" s="134" t="s">
        <v>2840</v>
      </c>
      <c r="D42" s="244" t="s">
        <v>2787</v>
      </c>
      <c r="E42" s="157" t="s">
        <v>2787</v>
      </c>
      <c r="F42" s="76" t="str">
        <f>VLOOKUP(E42,Codes!$G$1:$H$3,2,FALSE)</f>
        <v>hydro-STO</v>
      </c>
      <c r="G42" s="56">
        <v>39</v>
      </c>
      <c r="H42" s="66" t="str">
        <f>VLOOKUP(I42,Codes!$A$1:$B$32,2,FALSE)</f>
        <v>NO</v>
      </c>
      <c r="I42" s="56" t="s">
        <v>21</v>
      </c>
      <c r="J42" s="56" t="s">
        <v>2104</v>
      </c>
      <c r="L42" s="56" t="s">
        <v>2313</v>
      </c>
      <c r="M42" s="33"/>
      <c r="N42" s="70">
        <v>66.728333000000006</v>
      </c>
      <c r="O42" s="70">
        <v>13.913611</v>
      </c>
      <c r="R42" s="56">
        <v>2</v>
      </c>
      <c r="T42" s="71" t="s">
        <v>42</v>
      </c>
      <c r="U42" s="56">
        <v>600</v>
      </c>
      <c r="AA42" s="56">
        <v>2200</v>
      </c>
      <c r="AC42" s="73">
        <v>0.41828275914518215</v>
      </c>
      <c r="AE42" s="56">
        <v>1993</v>
      </c>
      <c r="AF42" s="56">
        <v>2010</v>
      </c>
      <c r="AG42" s="56" t="s">
        <v>3750</v>
      </c>
      <c r="AH42" s="56">
        <v>3052</v>
      </c>
      <c r="AI42" s="70">
        <v>66.701481999999999</v>
      </c>
      <c r="AJ42" s="74">
        <v>14.175053999999999</v>
      </c>
      <c r="AK42" s="75">
        <v>3468</v>
      </c>
      <c r="AP42" s="71">
        <v>543</v>
      </c>
      <c r="AR42" s="71">
        <v>70</v>
      </c>
      <c r="BA42" s="56" t="str">
        <f t="shared" si="4"/>
        <v>POTENTIAL</v>
      </c>
      <c r="BB42" s="209">
        <f t="shared" si="5"/>
        <v>4464.4162230000002</v>
      </c>
      <c r="BC42" s="56" t="s">
        <v>2314</v>
      </c>
      <c r="BD42" s="56" t="s">
        <v>2316</v>
      </c>
      <c r="BH42" s="73" t="s">
        <v>2853</v>
      </c>
      <c r="BJ42" s="279">
        <f t="shared" si="3"/>
        <v>7440.6937050000006</v>
      </c>
    </row>
    <row r="43" spans="1:62" x14ac:dyDescent="0.3">
      <c r="A43" s="56" t="s">
        <v>2317</v>
      </c>
      <c r="B43" s="56" t="s">
        <v>2840</v>
      </c>
      <c r="C43" s="134" t="s">
        <v>2840</v>
      </c>
      <c r="D43" s="244" t="s">
        <v>2787</v>
      </c>
      <c r="E43" s="157" t="s">
        <v>2787</v>
      </c>
      <c r="F43" s="76" t="str">
        <f>VLOOKUP(E43,Codes!$G$1:$H$3,2,FALSE)</f>
        <v>hydro-STO</v>
      </c>
      <c r="G43" s="56">
        <v>40</v>
      </c>
      <c r="H43" s="66" t="str">
        <f>VLOOKUP(I43,Codes!$A$1:$B$32,2,FALSE)</f>
        <v>SE</v>
      </c>
      <c r="I43" s="56" t="s">
        <v>20</v>
      </c>
      <c r="J43" s="56" t="s">
        <v>2172</v>
      </c>
      <c r="K43" s="67"/>
      <c r="L43" s="67" t="s">
        <v>977</v>
      </c>
      <c r="M43" s="33" t="s">
        <v>2318</v>
      </c>
      <c r="N43" s="70">
        <v>63.518999999999998</v>
      </c>
      <c r="O43" s="70">
        <v>20.36</v>
      </c>
      <c r="P43" s="70">
        <v>63.78</v>
      </c>
      <c r="Q43" s="70">
        <v>20.302</v>
      </c>
      <c r="R43" s="56">
        <v>4</v>
      </c>
      <c r="T43" s="71" t="s">
        <v>42</v>
      </c>
      <c r="U43" s="56">
        <v>599</v>
      </c>
      <c r="AA43" s="56">
        <v>2256</v>
      </c>
      <c r="AC43" s="73">
        <v>0.42964603337298418</v>
      </c>
      <c r="AE43" s="56">
        <v>1958</v>
      </c>
      <c r="AF43" s="56">
        <v>2010</v>
      </c>
      <c r="AG43" s="56" t="s">
        <v>2322</v>
      </c>
      <c r="AH43" s="165"/>
      <c r="AI43" s="70">
        <v>63.870435999999998</v>
      </c>
      <c r="AJ43" s="74">
        <v>20.015263000000001</v>
      </c>
      <c r="AK43" s="75">
        <v>0</v>
      </c>
      <c r="AP43" s="71">
        <v>75</v>
      </c>
      <c r="AR43" s="71">
        <v>975</v>
      </c>
      <c r="AZ43" s="56" t="s">
        <v>2321</v>
      </c>
      <c r="BA43" s="56" t="str">
        <f t="shared" si="4"/>
        <v>POTENTIAL</v>
      </c>
      <c r="BB43" s="209">
        <f t="shared" si="5"/>
        <v>0</v>
      </c>
      <c r="BC43" s="56" t="s">
        <v>2320</v>
      </c>
      <c r="BD43" s="56" t="s">
        <v>2319</v>
      </c>
      <c r="BF43" s="56" t="s">
        <v>979</v>
      </c>
      <c r="BH43" s="73" t="s">
        <v>2853</v>
      </c>
      <c r="BJ43" s="279">
        <f t="shared" si="3"/>
        <v>0</v>
      </c>
    </row>
    <row r="44" spans="1:62" x14ac:dyDescent="0.3">
      <c r="A44" s="56" t="s">
        <v>2778</v>
      </c>
      <c r="B44" s="56" t="s">
        <v>2840</v>
      </c>
      <c r="C44" s="134" t="s">
        <v>2840</v>
      </c>
      <c r="D44" s="56" t="s">
        <v>962</v>
      </c>
      <c r="E44" s="76" t="s">
        <v>962</v>
      </c>
      <c r="F44" s="76" t="str">
        <f>VLOOKUP(E44,Codes!$G$1:$H$3,2,FALSE)</f>
        <v>hydro-PHS</v>
      </c>
      <c r="G44" s="56">
        <v>41</v>
      </c>
      <c r="H44" s="66" t="str">
        <f>VLOOKUP(I44,Codes!$A$1:$B$32,2,FALSE)</f>
        <v>AT</v>
      </c>
      <c r="I44" s="56" t="s">
        <v>13</v>
      </c>
      <c r="J44" s="56" t="s">
        <v>2180</v>
      </c>
      <c r="N44" s="70">
        <v>47.196722000000001</v>
      </c>
      <c r="O44" s="70">
        <v>12.720815999999999</v>
      </c>
      <c r="R44" s="56">
        <v>4</v>
      </c>
      <c r="S44" s="56">
        <v>4</v>
      </c>
      <c r="T44" s="71" t="s">
        <v>42</v>
      </c>
      <c r="U44" s="56">
        <v>592</v>
      </c>
      <c r="V44" s="56">
        <v>604</v>
      </c>
      <c r="AA44" s="56">
        <v>150.4</v>
      </c>
      <c r="AC44" s="73">
        <v>2.8981753827749722E-2</v>
      </c>
      <c r="AE44" s="56">
        <v>1956</v>
      </c>
      <c r="AF44" s="56">
        <v>2011</v>
      </c>
      <c r="AG44" s="56" t="s">
        <v>2633</v>
      </c>
      <c r="AH44" s="357">
        <v>3295</v>
      </c>
      <c r="AI44" s="70">
        <v>47.197916999999997</v>
      </c>
      <c r="AJ44" s="74">
        <v>11.02125</v>
      </c>
      <c r="AK44" s="75">
        <v>85.4</v>
      </c>
      <c r="AL44" s="56" t="s">
        <v>2471</v>
      </c>
      <c r="AM44" s="56">
        <v>3297</v>
      </c>
      <c r="AN44" s="74">
        <v>47.189686999999999</v>
      </c>
      <c r="AO44" s="74">
        <v>12.718928</v>
      </c>
      <c r="AP44" s="71">
        <v>380</v>
      </c>
      <c r="AQ44" s="72">
        <v>72.819999999999993</v>
      </c>
      <c r="BA44" s="56" t="str">
        <f t="shared" si="4"/>
        <v>GETH</v>
      </c>
      <c r="BB44" s="209">
        <f t="shared" si="5"/>
        <v>72.819999999999993</v>
      </c>
      <c r="BC44" s="56" t="s">
        <v>2468</v>
      </c>
      <c r="BD44" s="56" t="s">
        <v>2631</v>
      </c>
      <c r="BE44" s="56" t="s">
        <v>2632</v>
      </c>
      <c r="BH44" s="73" t="s">
        <v>2853</v>
      </c>
      <c r="BJ44" s="279">
        <f t="shared" si="3"/>
        <v>123.00675675675676</v>
      </c>
    </row>
    <row r="45" spans="1:62" ht="12.75" customHeight="1" x14ac:dyDescent="0.3">
      <c r="A45" s="56" t="s">
        <v>520</v>
      </c>
      <c r="B45" s="56" t="s">
        <v>2840</v>
      </c>
      <c r="C45" s="134" t="s">
        <v>2840</v>
      </c>
      <c r="D45" s="56" t="s">
        <v>962</v>
      </c>
      <c r="E45" s="76" t="s">
        <v>962</v>
      </c>
      <c r="F45" s="76" t="str">
        <f>VLOOKUP(E45,Codes!$G$1:$H$3,2,FALSE)</f>
        <v>hydro-PHS</v>
      </c>
      <c r="G45" s="56">
        <v>42</v>
      </c>
      <c r="H45" s="66" t="str">
        <f>VLOOKUP(I45,Codes!$A$1:$B$32,2,FALSE)</f>
        <v>IT</v>
      </c>
      <c r="I45" s="67" t="s">
        <v>9</v>
      </c>
      <c r="J45" s="67" t="s">
        <v>512</v>
      </c>
      <c r="L45" s="56" t="s">
        <v>521</v>
      </c>
      <c r="M45" s="69" t="s">
        <v>2202</v>
      </c>
      <c r="N45" s="70">
        <v>46.044199999999996</v>
      </c>
      <c r="O45" s="70">
        <v>10.3521</v>
      </c>
      <c r="P45" s="70">
        <v>46.044199999999996</v>
      </c>
      <c r="Q45" s="70">
        <v>10.3521</v>
      </c>
      <c r="R45" s="56">
        <v>2</v>
      </c>
      <c r="S45" s="56">
        <v>2</v>
      </c>
      <c r="T45" s="71" t="s">
        <v>44</v>
      </c>
      <c r="U45" s="56">
        <v>560</v>
      </c>
      <c r="V45" s="56">
        <v>210</v>
      </c>
      <c r="AA45" s="56">
        <v>342</v>
      </c>
      <c r="AB45" s="56">
        <v>230</v>
      </c>
      <c r="AC45" s="73">
        <v>6.96685244939865E-2</v>
      </c>
      <c r="AD45" s="73">
        <v>0.12494160338102843</v>
      </c>
      <c r="AE45" s="56">
        <v>1973</v>
      </c>
      <c r="AG45" s="56" t="s">
        <v>1687</v>
      </c>
      <c r="AH45" s="56">
        <v>3377</v>
      </c>
      <c r="AI45" s="70">
        <v>46.046804999999999</v>
      </c>
      <c r="AJ45" s="74">
        <v>10.430052</v>
      </c>
      <c r="AK45" s="75">
        <v>38.799999999999997</v>
      </c>
      <c r="AL45" s="56" t="s">
        <v>521</v>
      </c>
      <c r="AN45" s="74">
        <v>46.047947999999998</v>
      </c>
      <c r="AO45" s="74">
        <v>10.350704</v>
      </c>
      <c r="AP45" s="71">
        <v>1424</v>
      </c>
      <c r="AR45" s="71">
        <v>45</v>
      </c>
      <c r="AU45" s="56">
        <v>13.5</v>
      </c>
      <c r="AV45" s="56" t="s">
        <v>3749</v>
      </c>
      <c r="AZ45" s="56" t="s">
        <v>2325</v>
      </c>
      <c r="BA45" s="56" t="str">
        <f t="shared" si="4"/>
        <v>POTENTIAL</v>
      </c>
      <c r="BB45" s="209">
        <f t="shared" si="5"/>
        <v>130.98678240000001</v>
      </c>
      <c r="BC45" s="56" t="s">
        <v>2323</v>
      </c>
      <c r="BD45" s="56" t="s">
        <v>2324</v>
      </c>
      <c r="BE45" s="56" t="s">
        <v>2326</v>
      </c>
      <c r="BH45" s="73" t="s">
        <v>2853</v>
      </c>
      <c r="BJ45" s="279">
        <f t="shared" si="3"/>
        <v>233.90496857142855</v>
      </c>
    </row>
    <row r="46" spans="1:62" x14ac:dyDescent="0.3">
      <c r="A46" s="56" t="s">
        <v>2327</v>
      </c>
      <c r="B46" s="56" t="s">
        <v>2840</v>
      </c>
      <c r="C46" s="134" t="s">
        <v>2840</v>
      </c>
      <c r="D46" s="56" t="s">
        <v>2787</v>
      </c>
      <c r="E46" s="76" t="s">
        <v>2787</v>
      </c>
      <c r="F46" s="76" t="str">
        <f>VLOOKUP(E46,Codes!$G$1:$H$3,2,FALSE)</f>
        <v>hydro-STO</v>
      </c>
      <c r="G46" s="56">
        <v>43</v>
      </c>
      <c r="H46" s="66" t="str">
        <f>VLOOKUP(I46,Codes!$A$1:$B$32,2,FALSE)</f>
        <v>FR</v>
      </c>
      <c r="I46" s="56" t="s">
        <v>7</v>
      </c>
      <c r="J46" s="56" t="s">
        <v>2330</v>
      </c>
      <c r="L46" s="56" t="s">
        <v>234</v>
      </c>
      <c r="N46" s="70">
        <v>45.685437</v>
      </c>
      <c r="O46" s="70">
        <v>6.6224970000000001</v>
      </c>
      <c r="R46" s="56">
        <v>6</v>
      </c>
      <c r="T46" s="71" t="s">
        <v>44</v>
      </c>
      <c r="U46" s="56">
        <v>546</v>
      </c>
      <c r="AA46" s="56">
        <v>1000</v>
      </c>
      <c r="AC46" s="73">
        <v>0.2089324471254656</v>
      </c>
      <c r="AE46" s="56">
        <v>1961</v>
      </c>
      <c r="AG46" s="56" t="s">
        <v>1520</v>
      </c>
      <c r="AH46" s="56">
        <v>3394</v>
      </c>
      <c r="AI46" s="70">
        <v>45.686250000000001</v>
      </c>
      <c r="AJ46" s="74">
        <v>6.6245830000000003</v>
      </c>
      <c r="AK46" s="75">
        <v>187</v>
      </c>
      <c r="AR46" s="71">
        <v>50</v>
      </c>
      <c r="BA46" s="56" t="str">
        <f t="shared" si="4"/>
        <v>MAXTURBFLOW</v>
      </c>
      <c r="BB46" s="209">
        <f t="shared" si="5"/>
        <v>567.23333333333335</v>
      </c>
      <c r="BC46" s="56" t="s">
        <v>2328</v>
      </c>
      <c r="BD46" s="56" t="s">
        <v>2329</v>
      </c>
      <c r="BE46" s="56" t="s">
        <v>2331</v>
      </c>
      <c r="BH46" s="73" t="s">
        <v>2853</v>
      </c>
      <c r="BJ46" s="279">
        <f t="shared" si="3"/>
        <v>1038.8888888888889</v>
      </c>
    </row>
    <row r="47" spans="1:62" x14ac:dyDescent="0.3">
      <c r="A47" s="56" t="s">
        <v>2777</v>
      </c>
      <c r="B47" s="56" t="s">
        <v>2840</v>
      </c>
      <c r="C47" s="134" t="s">
        <v>2840</v>
      </c>
      <c r="D47" s="56" t="s">
        <v>962</v>
      </c>
      <c r="E47" s="76" t="s">
        <v>962</v>
      </c>
      <c r="F47" s="76" t="str">
        <f>VLOOKUP(E47,Codes!$G$1:$H$3,2,FALSE)</f>
        <v>hydro-PHS</v>
      </c>
      <c r="G47" s="56">
        <v>44</v>
      </c>
      <c r="H47" s="66" t="str">
        <f>VLOOKUP(I47,Codes!$A$1:$B$32,2,FALSE)</f>
        <v>AT</v>
      </c>
      <c r="I47" s="56" t="s">
        <v>13</v>
      </c>
      <c r="J47" s="56" t="s">
        <v>2365</v>
      </c>
      <c r="L47" s="56" t="s">
        <v>1095</v>
      </c>
      <c r="M47" s="33" t="s">
        <v>2369</v>
      </c>
      <c r="N47" s="70">
        <v>46.975805000000001</v>
      </c>
      <c r="O47" s="70">
        <v>10.043101999999999</v>
      </c>
      <c r="P47" s="70">
        <v>46.975805000000001</v>
      </c>
      <c r="Q47" s="70">
        <v>10.043101999999999</v>
      </c>
      <c r="R47" s="56">
        <v>3</v>
      </c>
      <c r="S47" s="56">
        <v>3</v>
      </c>
      <c r="T47" s="71" t="s">
        <v>2370</v>
      </c>
      <c r="U47" s="56">
        <v>525</v>
      </c>
      <c r="V47" s="56">
        <v>480</v>
      </c>
      <c r="AA47" s="56">
        <v>1441.56</v>
      </c>
      <c r="AC47" s="73">
        <v>0.31323620481731362</v>
      </c>
      <c r="AE47" s="56">
        <v>2008</v>
      </c>
      <c r="AG47" s="56" t="s">
        <v>2366</v>
      </c>
      <c r="AH47" s="165"/>
      <c r="AI47" s="70">
        <v>46.970536000000003</v>
      </c>
      <c r="AJ47" s="74">
        <v>10.125780000000001</v>
      </c>
      <c r="AK47" s="75">
        <v>42</v>
      </c>
      <c r="AL47" s="56" t="s">
        <v>2469</v>
      </c>
      <c r="AN47" s="74">
        <v>46.975220999999998</v>
      </c>
      <c r="AO47" s="74">
        <v>10.039701000000001</v>
      </c>
      <c r="AP47" s="71">
        <v>780</v>
      </c>
      <c r="AQ47" s="72">
        <v>2.34</v>
      </c>
      <c r="AZ47" s="56" t="s">
        <v>2371</v>
      </c>
      <c r="BA47" s="56" t="str">
        <f t="shared" si="4"/>
        <v>GETH</v>
      </c>
      <c r="BB47" s="209">
        <f t="shared" si="5"/>
        <v>2.34</v>
      </c>
      <c r="BC47" s="56" t="s">
        <v>2368</v>
      </c>
      <c r="BD47" s="56" t="s">
        <v>2367</v>
      </c>
      <c r="BE47" s="56" t="s">
        <v>2269</v>
      </c>
      <c r="BH47" s="73" t="s">
        <v>2853</v>
      </c>
      <c r="BJ47" s="279">
        <f t="shared" si="3"/>
        <v>4.4571428571428564</v>
      </c>
    </row>
    <row r="48" spans="1:62" x14ac:dyDescent="0.3">
      <c r="A48" s="56" t="s">
        <v>1889</v>
      </c>
      <c r="B48" s="56" t="s">
        <v>2840</v>
      </c>
      <c r="C48" s="134" t="s">
        <v>2840</v>
      </c>
      <c r="D48" s="56" t="s">
        <v>2787</v>
      </c>
      <c r="E48" s="76" t="s">
        <v>29</v>
      </c>
      <c r="F48" s="76" t="str">
        <f>VLOOKUP(E48,Codes!$G$1:$H$3,2,FALSE)</f>
        <v>hydro-ROR</v>
      </c>
      <c r="G48" s="56">
        <v>45</v>
      </c>
      <c r="H48" s="66" t="str">
        <f>VLOOKUP(I48,Codes!$A$1:$B$32,2,FALSE)</f>
        <v>ES</v>
      </c>
      <c r="I48" s="56" t="s">
        <v>6</v>
      </c>
      <c r="J48" s="56" t="s">
        <v>2253</v>
      </c>
      <c r="M48" s="70" t="s">
        <v>2204</v>
      </c>
      <c r="N48" s="70">
        <v>41.047618999999997</v>
      </c>
      <c r="O48" s="70">
        <v>-6.8040250000000002</v>
      </c>
      <c r="P48" s="70">
        <v>41.047618999999997</v>
      </c>
      <c r="Q48" s="70">
        <v>-6.8040250000000002</v>
      </c>
      <c r="R48" s="56">
        <v>6</v>
      </c>
      <c r="T48" s="56" t="s">
        <v>42</v>
      </c>
      <c r="U48" s="56">
        <v>525</v>
      </c>
      <c r="AD48" s="72"/>
      <c r="AE48" s="56">
        <v>1956</v>
      </c>
      <c r="AG48" s="56" t="s">
        <v>1889</v>
      </c>
      <c r="AH48" s="56">
        <v>2744</v>
      </c>
      <c r="AI48" s="70">
        <v>41.047424999999997</v>
      </c>
      <c r="AJ48" s="74">
        <v>-6.8039610000000001</v>
      </c>
      <c r="AK48" s="75">
        <v>181.5</v>
      </c>
      <c r="AP48" s="71">
        <v>83</v>
      </c>
      <c r="AV48" s="168" t="s">
        <v>1854</v>
      </c>
      <c r="BA48" s="56" t="str">
        <f t="shared" si="4"/>
        <v>POTENTIAL</v>
      </c>
      <c r="BB48" s="209">
        <f t="shared" si="5"/>
        <v>35.714163374999998</v>
      </c>
      <c r="BC48" s="67" t="s">
        <v>2621</v>
      </c>
      <c r="BD48" s="56" t="s">
        <v>2622</v>
      </c>
      <c r="BH48" s="73" t="s">
        <v>2853</v>
      </c>
      <c r="BJ48" s="279">
        <f t="shared" si="3"/>
        <v>68.026977857142853</v>
      </c>
    </row>
    <row r="49" spans="1:62" x14ac:dyDescent="0.3">
      <c r="A49" s="56" t="s">
        <v>2779</v>
      </c>
      <c r="B49" s="56" t="s">
        <v>2840</v>
      </c>
      <c r="C49" s="134" t="s">
        <v>2840</v>
      </c>
      <c r="D49" s="56" t="s">
        <v>962</v>
      </c>
      <c r="E49" s="76" t="s">
        <v>962</v>
      </c>
      <c r="F49" s="76" t="str">
        <f>VLOOKUP(E49,Codes!$G$1:$H$3,2,FALSE)</f>
        <v>hydro-PHS</v>
      </c>
      <c r="G49" s="56">
        <v>46</v>
      </c>
      <c r="H49" s="66" t="str">
        <f>VLOOKUP(I49,Codes!$A$1:$B$32,2,FALSE)</f>
        <v>PT</v>
      </c>
      <c r="I49" s="56" t="s">
        <v>15</v>
      </c>
      <c r="K49" s="67"/>
      <c r="L49" s="56" t="s">
        <v>2665</v>
      </c>
      <c r="M49" s="33" t="s">
        <v>2332</v>
      </c>
      <c r="N49" s="70">
        <v>38.195562000000002</v>
      </c>
      <c r="O49" s="70">
        <v>-7.4977080000000003</v>
      </c>
      <c r="P49" s="70">
        <v>38.195562000000002</v>
      </c>
      <c r="Q49" s="70">
        <v>-7.4977080000000003</v>
      </c>
      <c r="R49" s="56">
        <v>4</v>
      </c>
      <c r="S49" s="56">
        <v>4</v>
      </c>
      <c r="T49" s="71" t="s">
        <v>42</v>
      </c>
      <c r="U49" s="56">
        <v>519.20000000000005</v>
      </c>
      <c r="V49" s="56">
        <v>433.8</v>
      </c>
      <c r="AA49" s="56">
        <v>739</v>
      </c>
      <c r="AB49" s="56">
        <v>213.8</v>
      </c>
      <c r="AC49" s="73">
        <v>0.16237093378359518</v>
      </c>
      <c r="AD49" s="73">
        <f>AB49/(V49*24*365/1000)</f>
        <v>5.626185498862131E-2</v>
      </c>
      <c r="AE49" s="56">
        <v>2004</v>
      </c>
      <c r="AF49" s="56">
        <v>2013</v>
      </c>
      <c r="AG49" s="56" t="s">
        <v>1732</v>
      </c>
      <c r="AH49" s="56">
        <v>2857</v>
      </c>
      <c r="AI49" s="70">
        <v>38.195416999999999</v>
      </c>
      <c r="AJ49" s="74">
        <v>-7.4954169999999998</v>
      </c>
      <c r="AK49" s="75">
        <v>3150</v>
      </c>
      <c r="AL49" s="56" t="s">
        <v>2333</v>
      </c>
      <c r="AN49" s="74">
        <v>38.110595000000004</v>
      </c>
      <c r="AO49" s="74">
        <v>-7.6291570000000002</v>
      </c>
      <c r="AP49" s="71">
        <v>63.1</v>
      </c>
      <c r="AQ49" s="72">
        <v>5.76</v>
      </c>
      <c r="AR49" s="71">
        <v>203.2</v>
      </c>
      <c r="BA49" s="56" t="str">
        <f t="shared" si="4"/>
        <v>GETH</v>
      </c>
      <c r="BB49" s="209">
        <f t="shared" si="5"/>
        <v>5.76</v>
      </c>
      <c r="BC49" s="56" t="s">
        <v>2269</v>
      </c>
      <c r="BD49" s="56" t="s">
        <v>2334</v>
      </c>
      <c r="BE49" s="56" t="s">
        <v>2335</v>
      </c>
      <c r="BH49" s="73" t="s">
        <v>2853</v>
      </c>
      <c r="BJ49" s="279">
        <f t="shared" si="3"/>
        <v>11.093990755007704</v>
      </c>
    </row>
    <row r="50" spans="1:62" x14ac:dyDescent="0.3">
      <c r="A50" s="56" t="s">
        <v>843</v>
      </c>
      <c r="B50" s="56" t="s">
        <v>2840</v>
      </c>
      <c r="C50" s="134" t="s">
        <v>2840</v>
      </c>
      <c r="D50" s="244" t="s">
        <v>2787</v>
      </c>
      <c r="E50" s="157" t="s">
        <v>2787</v>
      </c>
      <c r="F50" s="76" t="str">
        <f>VLOOKUP(E50,Codes!$G$1:$H$3,2,FALSE)</f>
        <v>hydro-STO</v>
      </c>
      <c r="G50" s="56">
        <v>47</v>
      </c>
      <c r="H50" s="66" t="str">
        <f>VLOOKUP(I50,Codes!$A$1:$B$32,2,FALSE)</f>
        <v>RO</v>
      </c>
      <c r="I50" s="56" t="s">
        <v>16</v>
      </c>
      <c r="J50" s="67" t="s">
        <v>2276</v>
      </c>
      <c r="K50" s="56" t="s">
        <v>2268</v>
      </c>
      <c r="L50" s="56" t="s">
        <v>843</v>
      </c>
      <c r="M50" s="33" t="s">
        <v>2270</v>
      </c>
      <c r="N50" s="70">
        <v>45.447004999999997</v>
      </c>
      <c r="O50" s="70">
        <v>23.768191000000002</v>
      </c>
      <c r="P50" s="70">
        <v>45.447004999999997</v>
      </c>
      <c r="Q50" s="70">
        <v>23.768191000000002</v>
      </c>
      <c r="R50" s="56">
        <v>3</v>
      </c>
      <c r="T50" s="71" t="s">
        <v>44</v>
      </c>
      <c r="U50" s="56">
        <v>510</v>
      </c>
      <c r="W50" s="56">
        <v>300</v>
      </c>
      <c r="AA50" s="56">
        <v>1150</v>
      </c>
      <c r="AC50" s="73">
        <v>0.25723271284329385</v>
      </c>
      <c r="AE50" s="56">
        <v>1973</v>
      </c>
      <c r="AG50" s="56" t="s">
        <v>2271</v>
      </c>
      <c r="AH50" s="56">
        <v>3856</v>
      </c>
      <c r="AI50" s="70">
        <v>45.430556000000003</v>
      </c>
      <c r="AJ50" s="74">
        <v>23.733332999999998</v>
      </c>
      <c r="AK50" s="75">
        <v>340</v>
      </c>
      <c r="AP50" s="71">
        <v>800</v>
      </c>
      <c r="AZ50" s="56" t="s">
        <v>2274</v>
      </c>
      <c r="BA50" s="56" t="str">
        <f t="shared" si="4"/>
        <v>POTENTIAL</v>
      </c>
      <c r="BB50" s="209">
        <f t="shared" si="5"/>
        <v>644.84400000000005</v>
      </c>
      <c r="BC50" s="56" t="s">
        <v>2273</v>
      </c>
      <c r="BD50" s="56" t="s">
        <v>2272</v>
      </c>
      <c r="BE50" s="56" t="s">
        <v>2275</v>
      </c>
      <c r="BH50" s="73" t="s">
        <v>2853</v>
      </c>
      <c r="BJ50" s="279">
        <f t="shared" si="3"/>
        <v>1264.4000000000001</v>
      </c>
    </row>
    <row r="51" spans="1:62" ht="14.5" x14ac:dyDescent="0.3">
      <c r="A51" s="56" t="s">
        <v>34</v>
      </c>
      <c r="B51" s="56" t="s">
        <v>2840</v>
      </c>
      <c r="C51" s="134" t="s">
        <v>2840</v>
      </c>
      <c r="D51" s="56" t="s">
        <v>2787</v>
      </c>
      <c r="E51" s="76" t="s">
        <v>2787</v>
      </c>
      <c r="F51" s="76" t="str">
        <f>VLOOKUP(E51,Codes!$G$1:$H$3,2,FALSE)</f>
        <v>hydro-STO</v>
      </c>
      <c r="G51" s="56">
        <v>48</v>
      </c>
      <c r="H51" s="66" t="str">
        <f>VLOOKUP(I51,Codes!$A$1:$B$32,2,FALSE)</f>
        <v>AT</v>
      </c>
      <c r="I51" s="56" t="s">
        <v>13</v>
      </c>
      <c r="J51" s="56" t="s">
        <v>2455</v>
      </c>
      <c r="K51" s="78" t="s">
        <v>33</v>
      </c>
      <c r="L51" s="56" t="s">
        <v>34</v>
      </c>
      <c r="M51" s="33"/>
      <c r="N51" s="70">
        <v>47.269798000000002</v>
      </c>
      <c r="O51" s="70">
        <v>10.967834</v>
      </c>
      <c r="P51" s="70">
        <v>47.269798000000002</v>
      </c>
      <c r="Q51" s="70">
        <v>10.967834</v>
      </c>
      <c r="R51" s="67">
        <v>2</v>
      </c>
      <c r="S51" s="78"/>
      <c r="T51" s="79" t="s">
        <v>44</v>
      </c>
      <c r="U51" s="67">
        <v>500</v>
      </c>
      <c r="V51" s="67"/>
      <c r="Z51" s="78"/>
      <c r="AA51" s="56">
        <v>718.6</v>
      </c>
      <c r="AC51" s="73">
        <v>0.16395163130276066</v>
      </c>
      <c r="AE51" s="56">
        <v>1981</v>
      </c>
      <c r="AF51" s="71"/>
      <c r="AG51" s="56" t="s">
        <v>2277</v>
      </c>
      <c r="AH51" s="165"/>
      <c r="AI51" s="70">
        <v>47.212035</v>
      </c>
      <c r="AJ51" s="74">
        <v>11.000964</v>
      </c>
      <c r="AK51" s="75">
        <v>3</v>
      </c>
      <c r="AP51" s="71">
        <v>1257.5</v>
      </c>
      <c r="AZ51" s="78"/>
      <c r="BA51" s="56" t="str">
        <f t="shared" si="4"/>
        <v>POTENTIAL</v>
      </c>
      <c r="BB51" s="209">
        <f t="shared" si="5"/>
        <v>8.9436543749999995</v>
      </c>
      <c r="BC51" s="174" t="s">
        <v>36</v>
      </c>
      <c r="BD51" s="143" t="s">
        <v>37</v>
      </c>
      <c r="BE51" s="143" t="s">
        <v>2281</v>
      </c>
      <c r="BH51" s="73" t="s">
        <v>2853</v>
      </c>
      <c r="BJ51" s="279">
        <f t="shared" si="3"/>
        <v>17.887308749999999</v>
      </c>
    </row>
    <row r="52" spans="1:62" x14ac:dyDescent="0.3">
      <c r="A52" s="56" t="s">
        <v>2476</v>
      </c>
      <c r="B52" s="56" t="s">
        <v>2840</v>
      </c>
      <c r="C52" s="134" t="s">
        <v>2840</v>
      </c>
      <c r="D52" s="56" t="s">
        <v>962</v>
      </c>
      <c r="E52" s="76" t="s">
        <v>962</v>
      </c>
      <c r="F52" s="76" t="str">
        <f>VLOOKUP(E52,Codes!$G$1:$H$3,2,FALSE)</f>
        <v>hydro-PHS</v>
      </c>
      <c r="G52" s="56">
        <v>49</v>
      </c>
      <c r="H52" s="66" t="str">
        <f>VLOOKUP(I52,Codes!$A$1:$B$32,2,FALSE)</f>
        <v>IT</v>
      </c>
      <c r="I52" s="56" t="s">
        <v>9</v>
      </c>
      <c r="J52" s="56" t="s">
        <v>512</v>
      </c>
      <c r="L52" s="56" t="s">
        <v>2634</v>
      </c>
      <c r="M52" s="69" t="s">
        <v>2476</v>
      </c>
      <c r="N52" s="70">
        <v>37.118299999999998</v>
      </c>
      <c r="O52" s="70">
        <v>15.1394</v>
      </c>
      <c r="P52" s="70">
        <v>37.118299999999998</v>
      </c>
      <c r="Q52" s="70">
        <v>15.1394</v>
      </c>
      <c r="R52" s="56">
        <v>4</v>
      </c>
      <c r="S52" s="56">
        <v>4</v>
      </c>
      <c r="T52" s="71" t="s">
        <v>2064</v>
      </c>
      <c r="U52" s="56">
        <v>500</v>
      </c>
      <c r="V52" s="56">
        <v>600</v>
      </c>
      <c r="AD52" s="72"/>
      <c r="AG52" s="56" t="s">
        <v>2722</v>
      </c>
      <c r="AH52" s="165"/>
      <c r="AI52" s="70">
        <v>37.129075999999998</v>
      </c>
      <c r="AJ52" s="74">
        <v>15.139324999999999</v>
      </c>
      <c r="AK52" s="75">
        <v>5.6</v>
      </c>
      <c r="AL52" s="56" t="s">
        <v>2723</v>
      </c>
      <c r="AN52" s="74">
        <v>37.111313000000003</v>
      </c>
      <c r="AO52" s="74">
        <v>15.142173</v>
      </c>
      <c r="AP52" s="71">
        <v>312</v>
      </c>
      <c r="AQ52" s="72">
        <v>4</v>
      </c>
      <c r="AR52" s="71">
        <v>196</v>
      </c>
      <c r="AZ52" s="56" t="s">
        <v>2371</v>
      </c>
      <c r="BA52" s="56" t="str">
        <f t="shared" si="4"/>
        <v>GETH</v>
      </c>
      <c r="BB52" s="209">
        <f t="shared" si="5"/>
        <v>4</v>
      </c>
      <c r="BC52" s="56" t="s">
        <v>2468</v>
      </c>
      <c r="BD52" s="56" t="s">
        <v>2635</v>
      </c>
      <c r="BH52" s="73" t="s">
        <v>2853</v>
      </c>
      <c r="BJ52" s="279">
        <f t="shared" si="3"/>
        <v>8</v>
      </c>
    </row>
    <row r="53" spans="1:62" x14ac:dyDescent="0.3">
      <c r="A53" s="56" t="s">
        <v>2478</v>
      </c>
      <c r="B53" s="56" t="s">
        <v>2840</v>
      </c>
      <c r="C53" s="134" t="s">
        <v>2840</v>
      </c>
      <c r="D53" s="56" t="s">
        <v>962</v>
      </c>
      <c r="E53" s="76" t="s">
        <v>962</v>
      </c>
      <c r="F53" s="76" t="str">
        <f>VLOOKUP(E53,Codes!$G$1:$H$3,2,FALSE)</f>
        <v>hydro-PHS</v>
      </c>
      <c r="G53" s="56">
        <v>50</v>
      </c>
      <c r="H53" s="66" t="str">
        <f>VLOOKUP(I53,Codes!$A$1:$B$32,2,FALSE)</f>
        <v>PL</v>
      </c>
      <c r="I53" s="78" t="s">
        <v>14</v>
      </c>
      <c r="J53" s="56" t="s">
        <v>2636</v>
      </c>
      <c r="N53" s="70">
        <v>49.780391000000002</v>
      </c>
      <c r="O53" s="70">
        <v>19.211573000000001</v>
      </c>
      <c r="P53" s="70">
        <v>49.780391000000002</v>
      </c>
      <c r="Q53" s="70">
        <v>19.211573000000001</v>
      </c>
      <c r="R53" s="56">
        <v>4</v>
      </c>
      <c r="S53" s="56">
        <v>4</v>
      </c>
      <c r="T53" s="71" t="s">
        <v>42</v>
      </c>
      <c r="U53" s="56">
        <v>500</v>
      </c>
      <c r="V53" s="56">
        <v>540</v>
      </c>
      <c r="W53" s="56">
        <v>180</v>
      </c>
      <c r="Y53" s="71">
        <v>4</v>
      </c>
      <c r="Z53" s="56">
        <v>5.5</v>
      </c>
      <c r="AA53" s="56">
        <v>640</v>
      </c>
      <c r="AB53" s="56">
        <v>850</v>
      </c>
      <c r="AC53" s="73">
        <v>0.14601870864704541</v>
      </c>
      <c r="AD53" s="72">
        <v>0.17956583094616405</v>
      </c>
      <c r="AE53" s="56">
        <v>1979</v>
      </c>
      <c r="AG53" s="56" t="s">
        <v>2638</v>
      </c>
      <c r="AH53" s="165"/>
      <c r="AI53" s="70">
        <v>49.787309999999998</v>
      </c>
      <c r="AJ53" s="74">
        <v>19.229977000000002</v>
      </c>
      <c r="AK53" s="75">
        <v>2</v>
      </c>
      <c r="AL53" s="56" t="s">
        <v>2637</v>
      </c>
      <c r="AM53" s="56">
        <v>3768</v>
      </c>
      <c r="AN53" s="74">
        <v>49.807045000000002</v>
      </c>
      <c r="AO53" s="74">
        <v>19.201388000000001</v>
      </c>
      <c r="AQ53" s="72">
        <v>2</v>
      </c>
      <c r="AR53" s="71">
        <v>140.4</v>
      </c>
      <c r="AU53" s="56">
        <v>119.2</v>
      </c>
      <c r="BA53" s="56" t="str">
        <f t="shared" si="4"/>
        <v>MAXPUMPTIME</v>
      </c>
      <c r="BB53" s="209">
        <f t="shared" si="5"/>
        <v>2.75</v>
      </c>
      <c r="BC53" s="56" t="s">
        <v>2468</v>
      </c>
      <c r="BD53" s="56" t="s">
        <v>2639</v>
      </c>
      <c r="BH53" s="73" t="s">
        <v>2853</v>
      </c>
      <c r="BJ53" s="279">
        <f t="shared" si="3"/>
        <v>5.5</v>
      </c>
    </row>
    <row r="54" spans="1:62" x14ac:dyDescent="0.3">
      <c r="A54" s="56" t="s">
        <v>2780</v>
      </c>
      <c r="B54" s="56" t="s">
        <v>2840</v>
      </c>
      <c r="C54" s="134" t="s">
        <v>2840</v>
      </c>
      <c r="D54" s="56" t="s">
        <v>962</v>
      </c>
      <c r="E54" s="76" t="s">
        <v>962</v>
      </c>
      <c r="F54" s="76" t="str">
        <f>VLOOKUP(E54,Codes!$G$1:$H$3,2,FALSE)</f>
        <v>hydro-PHS</v>
      </c>
      <c r="G54" s="56">
        <v>51</v>
      </c>
      <c r="H54" s="66" t="str">
        <f>VLOOKUP(I54,Codes!$A$1:$B$32,2,FALSE)</f>
        <v>AT</v>
      </c>
      <c r="I54" s="78" t="s">
        <v>13</v>
      </c>
      <c r="J54" s="56" t="s">
        <v>2643</v>
      </c>
      <c r="L54" s="56" t="s">
        <v>2644</v>
      </c>
      <c r="N54" s="70">
        <v>47.085109000000003</v>
      </c>
      <c r="O54" s="70">
        <v>9.8812890000000007</v>
      </c>
      <c r="P54" s="70">
        <v>47.112000000000002</v>
      </c>
      <c r="Q54" s="70">
        <v>9.8719999999999999</v>
      </c>
      <c r="R54" s="56">
        <v>5</v>
      </c>
      <c r="S54" s="56">
        <v>5</v>
      </c>
      <c r="T54" s="71" t="s">
        <v>42</v>
      </c>
      <c r="U54" s="56">
        <v>493</v>
      </c>
      <c r="V54" s="56">
        <v>317</v>
      </c>
      <c r="AA54" s="56">
        <v>818</v>
      </c>
      <c r="AC54" s="73">
        <v>0.1892800831536561</v>
      </c>
      <c r="AE54" s="56">
        <v>1943</v>
      </c>
      <c r="AF54" s="56">
        <v>2011</v>
      </c>
      <c r="AG54" s="56" t="s">
        <v>2470</v>
      </c>
      <c r="AH54" s="165"/>
      <c r="AI54" s="70">
        <v>47.076025000000001</v>
      </c>
      <c r="AJ54" s="74">
        <v>9.8745429999999992</v>
      </c>
      <c r="AK54" s="75">
        <v>2.2400000000000002</v>
      </c>
      <c r="AL54" s="56" t="s">
        <v>2472</v>
      </c>
      <c r="AN54" s="74">
        <v>47.085935999999997</v>
      </c>
      <c r="AO54" s="74">
        <v>9.8764800000000008</v>
      </c>
      <c r="AP54" s="71">
        <v>353</v>
      </c>
      <c r="AQ54" s="72">
        <v>1.75</v>
      </c>
      <c r="AR54" s="71">
        <v>158</v>
      </c>
      <c r="AU54" s="56">
        <v>113</v>
      </c>
      <c r="BA54" s="56" t="str">
        <f t="shared" si="4"/>
        <v>GETH</v>
      </c>
      <c r="BB54" s="209">
        <f t="shared" si="5"/>
        <v>1.75</v>
      </c>
      <c r="BC54" s="56" t="s">
        <v>2468</v>
      </c>
      <c r="BD54" s="56" t="s">
        <v>2645</v>
      </c>
      <c r="BE54" s="56" t="s">
        <v>2646</v>
      </c>
      <c r="BH54" s="73" t="s">
        <v>2853</v>
      </c>
      <c r="BJ54" s="279">
        <f t="shared" si="3"/>
        <v>3.5496957403651117</v>
      </c>
    </row>
    <row r="55" spans="1:62" x14ac:dyDescent="0.3">
      <c r="A55" s="56" t="s">
        <v>2342</v>
      </c>
      <c r="B55" s="56" t="s">
        <v>2840</v>
      </c>
      <c r="C55" s="134" t="s">
        <v>2840</v>
      </c>
      <c r="D55" s="244" t="s">
        <v>29</v>
      </c>
      <c r="E55" s="245" t="str">
        <f>D55</f>
        <v>RoR</v>
      </c>
      <c r="F55" s="76" t="str">
        <f>VLOOKUP(E55,Codes!$G$1:$H$3,2,FALSE)</f>
        <v>hydro-ROR</v>
      </c>
      <c r="G55" s="56">
        <v>52</v>
      </c>
      <c r="H55" s="66" t="str">
        <f>VLOOKUP(I55,Codes!$A$1:$B$32,2,FALSE)</f>
        <v>HR</v>
      </c>
      <c r="I55" s="78" t="s">
        <v>8</v>
      </c>
      <c r="J55" s="56" t="s">
        <v>2343</v>
      </c>
      <c r="K55" s="67"/>
      <c r="L55" s="56" t="s">
        <v>2347</v>
      </c>
      <c r="M55" s="69" t="s">
        <v>2344</v>
      </c>
      <c r="N55" s="70">
        <v>43.458100000000002</v>
      </c>
      <c r="O55" s="70">
        <v>16.7027</v>
      </c>
      <c r="P55" s="70">
        <v>43.458100000000002</v>
      </c>
      <c r="Q55" s="70">
        <v>16.7027</v>
      </c>
      <c r="R55" s="56">
        <v>4</v>
      </c>
      <c r="T55" s="71" t="s">
        <v>42</v>
      </c>
      <c r="U55" s="56">
        <v>486</v>
      </c>
      <c r="AA55" s="56">
        <v>1701.4599999999998</v>
      </c>
      <c r="AC55" s="73">
        <v>0.39937788068190883</v>
      </c>
      <c r="AE55" s="56">
        <v>1962</v>
      </c>
      <c r="AF55" s="56">
        <v>2015</v>
      </c>
      <c r="AG55" s="56" t="s">
        <v>2347</v>
      </c>
      <c r="AH55" s="165"/>
      <c r="AI55" s="70">
        <v>43.546056</v>
      </c>
      <c r="AJ55" s="74">
        <v>16.736651999999999</v>
      </c>
      <c r="AK55" s="75">
        <v>0</v>
      </c>
      <c r="AP55" s="71">
        <v>250.4</v>
      </c>
      <c r="AR55" s="71">
        <v>220</v>
      </c>
      <c r="AY55" s="56" t="s">
        <v>2959</v>
      </c>
      <c r="AZ55" s="56" t="s">
        <v>2349</v>
      </c>
      <c r="BA55" s="56" t="str">
        <f t="shared" si="4"/>
        <v>POTENTIAL</v>
      </c>
      <c r="BB55" s="209">
        <f t="shared" si="5"/>
        <v>0</v>
      </c>
      <c r="BC55" s="56" t="s">
        <v>2345</v>
      </c>
      <c r="BD55" s="56" t="s">
        <v>2346</v>
      </c>
      <c r="BE55" s="56" t="s">
        <v>2348</v>
      </c>
      <c r="BH55" s="73" t="s">
        <v>2853</v>
      </c>
      <c r="BJ55" s="279">
        <f t="shared" si="3"/>
        <v>0</v>
      </c>
    </row>
    <row r="56" spans="1:62" ht="14.5" x14ac:dyDescent="0.3">
      <c r="A56" s="56" t="s">
        <v>742</v>
      </c>
      <c r="B56" s="56" t="s">
        <v>2840</v>
      </c>
      <c r="C56" s="134" t="s">
        <v>2840</v>
      </c>
      <c r="D56" s="244" t="s">
        <v>2787</v>
      </c>
      <c r="E56" s="157" t="s">
        <v>2787</v>
      </c>
      <c r="F56" s="76" t="str">
        <f>VLOOKUP(E56,Codes!$G$1:$H$3,2,FALSE)</f>
        <v>hydro-STO</v>
      </c>
      <c r="G56" s="56">
        <v>53</v>
      </c>
      <c r="H56" s="66" t="str">
        <f>VLOOKUP(I56,Codes!$A$1:$B$32,2,FALSE)</f>
        <v>NO</v>
      </c>
      <c r="I56" s="56" t="s">
        <v>21</v>
      </c>
      <c r="L56" s="56" t="s">
        <v>742</v>
      </c>
      <c r="N56" s="70">
        <v>66.302778000000004</v>
      </c>
      <c r="O56" s="70">
        <v>14.260278</v>
      </c>
      <c r="R56" s="56">
        <v>4</v>
      </c>
      <c r="T56" s="71" t="s">
        <v>42</v>
      </c>
      <c r="U56" s="56">
        <v>485</v>
      </c>
      <c r="AA56" s="56">
        <v>1975</v>
      </c>
      <c r="AC56" s="73">
        <v>0.46454083372731098</v>
      </c>
      <c r="AG56" s="56" t="s">
        <v>2336</v>
      </c>
      <c r="AH56" s="56">
        <v>3054</v>
      </c>
      <c r="AI56" s="70">
        <v>66.179582999999994</v>
      </c>
      <c r="AJ56" s="74">
        <v>14.450417</v>
      </c>
      <c r="AK56" s="75">
        <v>1244.7</v>
      </c>
      <c r="AP56" s="185">
        <v>520</v>
      </c>
      <c r="BA56" s="56" t="str">
        <f t="shared" si="4"/>
        <v>POTENTIAL</v>
      </c>
      <c r="BB56" s="209">
        <f t="shared" si="5"/>
        <v>1534.4537130000001</v>
      </c>
      <c r="BC56" s="143" t="s">
        <v>2337</v>
      </c>
      <c r="BH56" s="73" t="s">
        <v>2853</v>
      </c>
      <c r="BJ56" s="280">
        <f>SUM(BB56:BB59)/(U56/1000)</f>
        <v>5827.6652226804126</v>
      </c>
    </row>
    <row r="57" spans="1:62" s="102" customFormat="1" x14ac:dyDescent="0.3">
      <c r="A57" s="101" t="s">
        <v>2871</v>
      </c>
      <c r="B57" s="101"/>
      <c r="C57" s="134" t="s">
        <v>2840</v>
      </c>
      <c r="E57" s="103" t="s">
        <v>2475</v>
      </c>
      <c r="F57" s="316" t="str">
        <f>F56</f>
        <v>hydro-STO</v>
      </c>
      <c r="G57" s="102">
        <v>53</v>
      </c>
      <c r="H57" s="66" t="str">
        <f>VLOOKUP(I57,Codes!$A$1:$B$32,2,FALSE)</f>
        <v>NO</v>
      </c>
      <c r="I57" s="102" t="s">
        <v>21</v>
      </c>
      <c r="L57" s="102" t="s">
        <v>742</v>
      </c>
      <c r="M57" s="104"/>
      <c r="N57" s="105"/>
      <c r="O57" s="105"/>
      <c r="P57" s="105"/>
      <c r="Q57" s="105"/>
      <c r="T57" s="106"/>
      <c r="Y57" s="106"/>
      <c r="AC57" s="107"/>
      <c r="AD57" s="107"/>
      <c r="AG57" s="172" t="s">
        <v>2338</v>
      </c>
      <c r="AH57" s="170">
        <v>3053</v>
      </c>
      <c r="AI57" s="105">
        <v>66.236999999999995</v>
      </c>
      <c r="AJ57" s="109">
        <v>14.932</v>
      </c>
      <c r="AK57" s="110">
        <v>706</v>
      </c>
      <c r="AN57" s="109"/>
      <c r="AO57" s="109"/>
      <c r="AP57" s="106"/>
      <c r="AQ57" s="108"/>
      <c r="AR57" s="106"/>
      <c r="AS57" s="106"/>
      <c r="AT57" s="106"/>
      <c r="BA57" s="205" t="str">
        <f>IF(Z57*U57/1000=0,IF(AQ57=0,IF(AP56=0,"MAXTURBFLOW","POTENTIAL"),"GETH"),"MAXPUMPTIME")</f>
        <v>POTENTIAL</v>
      </c>
      <c r="BB57" s="210">
        <f>IF(BA56="MAXPUMPTIME",Z56*U56/1000,IF(BA56="GETH",AQ56,IF(BA56="POTENTIAL",1000*9.81*AP56*AK57*turbPumpEff/3600000,IF(BA56="MAXTURBFLOW",U56*AK57/AR56/3.6,"!!!"))))</f>
        <v>870.34974</v>
      </c>
      <c r="BC57" s="102" t="s">
        <v>2340</v>
      </c>
      <c r="BG57" s="108"/>
      <c r="BH57" s="73" t="s">
        <v>2853</v>
      </c>
      <c r="BJ57" s="279"/>
    </row>
    <row r="58" spans="1:62" s="102" customFormat="1" ht="14.5" x14ac:dyDescent="0.3">
      <c r="A58" s="101" t="s">
        <v>2871</v>
      </c>
      <c r="B58" s="101"/>
      <c r="C58" s="134" t="s">
        <v>2840</v>
      </c>
      <c r="E58" s="103" t="s">
        <v>2475</v>
      </c>
      <c r="F58" s="316" t="str">
        <f t="shared" ref="F58:F59" si="6">F57</f>
        <v>hydro-STO</v>
      </c>
      <c r="G58" s="102">
        <v>53</v>
      </c>
      <c r="H58" s="66" t="str">
        <f>VLOOKUP(I58,Codes!$A$1:$B$32,2,FALSE)</f>
        <v>NO</v>
      </c>
      <c r="I58" s="102" t="s">
        <v>21</v>
      </c>
      <c r="L58" s="102" t="s">
        <v>742</v>
      </c>
      <c r="M58" s="104"/>
      <c r="N58" s="105"/>
      <c r="O58" s="105"/>
      <c r="P58" s="105"/>
      <c r="Q58" s="105"/>
      <c r="T58" s="106"/>
      <c r="Y58" s="106"/>
      <c r="AC58" s="107"/>
      <c r="AD58" s="107"/>
      <c r="AG58" s="172" t="s">
        <v>2339</v>
      </c>
      <c r="AH58" s="170">
        <v>3055</v>
      </c>
      <c r="AI58" s="105">
        <v>66.06</v>
      </c>
      <c r="AJ58" s="109">
        <v>14.46</v>
      </c>
      <c r="AK58" s="110">
        <v>314</v>
      </c>
      <c r="AN58" s="109"/>
      <c r="AO58" s="109"/>
      <c r="AP58" s="106"/>
      <c r="AQ58" s="108"/>
      <c r="AR58" s="106"/>
      <c r="AS58" s="106"/>
      <c r="AT58" s="106"/>
      <c r="BA58" s="205" t="str">
        <f>IF(Z58*U58/1000=0,IF(AQ58=0,IF(AP56=0,"MAXTURBFLOW","POTENTIAL"),"GETH"),"MAXPUMPTIME")</f>
        <v>POTENTIAL</v>
      </c>
      <c r="BB58" s="210">
        <f>IF(BA56="MAXPUMPTIME",Z56*U56/1000,IF(BA56="GETH",AQ56,IF(BA56="POTENTIAL",1000*9.81*AP56*AK58*turbPumpEff/3600000,IF(BA56="MAXTURBFLOW",U56*AK58/AR56/3.6,"!!!"))))</f>
        <v>387.09606000000002</v>
      </c>
      <c r="BC58" s="171" t="s">
        <v>2341</v>
      </c>
      <c r="BG58" s="108"/>
      <c r="BH58" s="73" t="s">
        <v>2853</v>
      </c>
      <c r="BJ58" s="279"/>
    </row>
    <row r="59" spans="1:62" s="102" customFormat="1" ht="12.75" customHeight="1" x14ac:dyDescent="0.3">
      <c r="A59" s="101" t="s">
        <v>2871</v>
      </c>
      <c r="B59" s="101"/>
      <c r="C59" s="134" t="s">
        <v>2840</v>
      </c>
      <c r="E59" s="103" t="s">
        <v>2475</v>
      </c>
      <c r="F59" s="316" t="str">
        <f t="shared" si="6"/>
        <v>hydro-STO</v>
      </c>
      <c r="G59" s="102">
        <v>53</v>
      </c>
      <c r="H59" s="66" t="str">
        <f>VLOOKUP(I59,Codes!$A$1:$B$32,2,FALSE)</f>
        <v>NO</v>
      </c>
      <c r="I59" s="102" t="s">
        <v>21</v>
      </c>
      <c r="L59" s="102" t="s">
        <v>742</v>
      </c>
      <c r="M59" s="104"/>
      <c r="N59" s="105"/>
      <c r="O59" s="105"/>
      <c r="P59" s="105"/>
      <c r="Q59" s="105"/>
      <c r="T59" s="106"/>
      <c r="Y59" s="106"/>
      <c r="AC59" s="107"/>
      <c r="AD59" s="107"/>
      <c r="AG59" s="172" t="s">
        <v>2716</v>
      </c>
      <c r="AH59" s="165"/>
      <c r="AI59" s="105">
        <v>66.069721999999999</v>
      </c>
      <c r="AJ59" s="109">
        <v>14.253333</v>
      </c>
      <c r="AK59" s="110">
        <v>28</v>
      </c>
      <c r="AN59" s="109"/>
      <c r="AO59" s="109"/>
      <c r="AP59" s="106"/>
      <c r="AQ59" s="108"/>
      <c r="AR59" s="106"/>
      <c r="AS59" s="106"/>
      <c r="AT59" s="106"/>
      <c r="BA59" s="205" t="str">
        <f>IF(Z59*U59/1000=0,IF(AQ59=0,IF(AP56=0,"MAXTURBFLOW","POTENTIAL"),"GETH"),"MAXPUMPTIME")</f>
        <v>POTENTIAL</v>
      </c>
      <c r="BB59" s="210">
        <f>IF(BA56="MAXPUMPTIME",Z56*U56/1000,IF(BA56="GETH",AQ56,IF(BA56="POTENTIAL",1000*9.81*AP56*AK59*turbPumpEff/3600000,IF(BA56="MAXTURBFLOW",U56*AK59/AR56/3.6,"!!!"))))</f>
        <v>34.518120000000003</v>
      </c>
      <c r="BC59" s="102" t="s">
        <v>2717</v>
      </c>
      <c r="BG59" s="108"/>
      <c r="BH59" s="73" t="s">
        <v>2853</v>
      </c>
      <c r="BJ59" s="279"/>
    </row>
    <row r="60" spans="1:62" x14ac:dyDescent="0.3">
      <c r="A60" s="56" t="s">
        <v>2781</v>
      </c>
      <c r="B60" s="56" t="s">
        <v>2840</v>
      </c>
      <c r="C60" s="134" t="s">
        <v>2840</v>
      </c>
      <c r="D60" s="56" t="s">
        <v>962</v>
      </c>
      <c r="E60" s="76" t="s">
        <v>962</v>
      </c>
      <c r="F60" s="76" t="str">
        <f>VLOOKUP(E60,Codes!$G$1:$H$3,2,FALSE)</f>
        <v>hydro-PHS</v>
      </c>
      <c r="G60" s="56">
        <v>54</v>
      </c>
      <c r="H60" s="66" t="str">
        <f>VLOOKUP(I60,Codes!$A$1:$B$32,2,FALSE)</f>
        <v>DE</v>
      </c>
      <c r="I60" s="56" t="s">
        <v>3</v>
      </c>
      <c r="K60" s="67"/>
      <c r="L60" s="56" t="s">
        <v>420</v>
      </c>
      <c r="M60" s="77"/>
      <c r="N60" s="70">
        <v>51.166548800000001</v>
      </c>
      <c r="O60" s="70">
        <v>9.0465868</v>
      </c>
      <c r="P60" s="70">
        <v>51.182000000000002</v>
      </c>
      <c r="Q60" s="70">
        <v>9.06</v>
      </c>
      <c r="R60" s="56">
        <v>2</v>
      </c>
      <c r="S60" s="56">
        <v>2</v>
      </c>
      <c r="T60" s="71" t="s">
        <v>42</v>
      </c>
      <c r="U60" s="56">
        <v>480</v>
      </c>
      <c r="V60" s="56">
        <v>476</v>
      </c>
      <c r="AA60" s="56">
        <v>1175</v>
      </c>
      <c r="AC60" s="73">
        <v>0.27925127386113013</v>
      </c>
      <c r="AE60" s="56">
        <v>1974</v>
      </c>
      <c r="AG60" s="56" t="s">
        <v>2396</v>
      </c>
      <c r="AH60" s="165"/>
      <c r="AI60" s="70">
        <v>51.158332999999999</v>
      </c>
      <c r="AJ60" s="74">
        <v>9.0250000000000004</v>
      </c>
      <c r="AK60" s="75">
        <v>4.4000000000000004</v>
      </c>
      <c r="AL60" s="56" t="s">
        <v>2397</v>
      </c>
      <c r="AM60" s="56">
        <v>3212</v>
      </c>
      <c r="AN60" s="74">
        <v>51.182806999999997</v>
      </c>
      <c r="AO60" s="74">
        <v>9.0590779999999995</v>
      </c>
      <c r="AP60" s="71">
        <v>329</v>
      </c>
      <c r="AQ60" s="72">
        <v>3.4279999999999999</v>
      </c>
      <c r="BA60" s="56" t="str">
        <f>IF(Z60*U60/1000=0,IF(AQ60=0,IF(AP60=0,"MAXTURBFLOW","POTENTIAL"),"GETH"),"MAXPUMPTIME")</f>
        <v>GETH</v>
      </c>
      <c r="BB60" s="209">
        <f>IF(BA60="MAXPUMPTIME",Z60*U60/1000,IF(BA60="GETH",AQ60,IF(BA60="POTENTIAL",1000*9.81*AP60*AK60*turbPumpEff/3600000,IF(BA60="MAXTURBFLOW",U60*AK60/AR60/3.6,"!!!"))))</f>
        <v>3.4279999999999999</v>
      </c>
      <c r="BC60" s="56" t="s">
        <v>2398</v>
      </c>
      <c r="BD60" s="56" t="s">
        <v>2399</v>
      </c>
      <c r="BE60" s="56" t="s">
        <v>2269</v>
      </c>
      <c r="BH60" s="73" t="s">
        <v>2853</v>
      </c>
      <c r="BJ60" s="279">
        <f>BB60/(U60/1000)</f>
        <v>7.1416666666666666</v>
      </c>
    </row>
    <row r="61" spans="1:62" x14ac:dyDescent="0.3">
      <c r="A61" s="56" t="s">
        <v>1919</v>
      </c>
      <c r="B61" s="56" t="s">
        <v>2840</v>
      </c>
      <c r="C61" s="134" t="s">
        <v>2840</v>
      </c>
      <c r="D61" s="56" t="s">
        <v>2787</v>
      </c>
      <c r="E61" s="76" t="s">
        <v>29</v>
      </c>
      <c r="F61" s="76" t="str">
        <f>VLOOKUP(E61,Codes!$G$1:$H$3,2,FALSE)</f>
        <v>hydro-ROR</v>
      </c>
      <c r="G61" s="56">
        <v>55</v>
      </c>
      <c r="H61" s="66" t="str">
        <f>VLOOKUP(I61,Codes!$A$1:$B$32,2,FALSE)</f>
        <v>ES</v>
      </c>
      <c r="I61" s="56" t="s">
        <v>6</v>
      </c>
      <c r="J61" s="56" t="s">
        <v>2253</v>
      </c>
      <c r="M61" s="70" t="s">
        <v>2640</v>
      </c>
      <c r="N61" s="70">
        <v>39.665284</v>
      </c>
      <c r="O61" s="70">
        <v>-7.5402310000000003</v>
      </c>
      <c r="P61" s="395"/>
      <c r="Q61" s="395"/>
      <c r="R61" s="56">
        <v>4</v>
      </c>
      <c r="U61" s="56">
        <v>473</v>
      </c>
      <c r="AA61" s="56">
        <v>517</v>
      </c>
      <c r="AC61" s="73">
        <v>0.12468894088683019</v>
      </c>
      <c r="AD61" s="72"/>
      <c r="AG61" s="56" t="s">
        <v>1919</v>
      </c>
      <c r="AH61" s="56">
        <v>2803</v>
      </c>
      <c r="AI61" s="70">
        <v>39.664855000000003</v>
      </c>
      <c r="AJ61" s="74">
        <v>-7.5399630000000002</v>
      </c>
      <c r="AK61" s="75">
        <v>260</v>
      </c>
      <c r="AP61" s="71">
        <v>43</v>
      </c>
      <c r="BA61" s="56" t="str">
        <f>IF(Z61*U61/1000=0,IF(AQ61=0,IF(AP61=0,"MAXTURBFLOW","POTENTIAL"),"GETH"),"MAXPUMPTIME")</f>
        <v>POTENTIAL</v>
      </c>
      <c r="BB61" s="209">
        <f>IF(BA61="MAXPUMPTIME",Z61*U61/1000,IF(BA61="GETH",AQ61,IF(BA61="POTENTIAL",1000*9.81*AP61*AK61*turbPumpEff/3600000,IF(BA61="MAXTURBFLOW",U61*AK61/AR61/3.6,"!!!"))))</f>
        <v>26.504985000000001</v>
      </c>
      <c r="BC61" s="56" t="s">
        <v>2641</v>
      </c>
      <c r="BD61" s="56" t="s">
        <v>2642</v>
      </c>
      <c r="BE61" s="56" t="s">
        <v>2739</v>
      </c>
      <c r="BH61" s="73" t="s">
        <v>2853</v>
      </c>
      <c r="BJ61" s="279">
        <f>BB61/(U61/1000)</f>
        <v>56.035909090909094</v>
      </c>
    </row>
    <row r="62" spans="1:62" x14ac:dyDescent="0.3">
      <c r="A62" s="56" t="s">
        <v>968</v>
      </c>
      <c r="B62" s="56" t="s">
        <v>2840</v>
      </c>
      <c r="C62" s="134" t="s">
        <v>2840</v>
      </c>
      <c r="D62" s="244" t="s">
        <v>2787</v>
      </c>
      <c r="E62" s="157" t="s">
        <v>2787</v>
      </c>
      <c r="F62" s="76" t="str">
        <f>VLOOKUP(E62,Codes!$G$1:$H$3,2,FALSE)</f>
        <v>hydro-STO</v>
      </c>
      <c r="G62" s="56">
        <v>56</v>
      </c>
      <c r="H62" s="66" t="str">
        <f>VLOOKUP(I62,Codes!$A$1:$B$32,2,FALSE)</f>
        <v>SE</v>
      </c>
      <c r="I62" s="56" t="s">
        <v>20</v>
      </c>
      <c r="J62" s="56" t="s">
        <v>2172</v>
      </c>
      <c r="K62" s="67"/>
      <c r="L62" s="67" t="s">
        <v>968</v>
      </c>
      <c r="M62" s="33" t="s">
        <v>2203</v>
      </c>
      <c r="N62" s="70">
        <v>66.954280999999995</v>
      </c>
      <c r="O62" s="70">
        <v>19.796075999999999</v>
      </c>
      <c r="P62" s="70">
        <v>66.954280999999995</v>
      </c>
      <c r="Q62" s="70">
        <v>19.796075999999999</v>
      </c>
      <c r="R62" s="56">
        <v>2</v>
      </c>
      <c r="T62" s="71" t="s">
        <v>42</v>
      </c>
      <c r="U62" s="56">
        <v>465</v>
      </c>
      <c r="AA62" s="56">
        <v>2063</v>
      </c>
      <c r="AC62" s="73">
        <v>0.5061098722090972</v>
      </c>
      <c r="AE62" s="56">
        <v>1915</v>
      </c>
      <c r="AF62" s="56">
        <v>1975</v>
      </c>
      <c r="AG62" s="56" t="s">
        <v>968</v>
      </c>
      <c r="AH62" s="56">
        <v>3696</v>
      </c>
      <c r="AI62" s="70">
        <v>66.959011000000004</v>
      </c>
      <c r="AJ62" s="74">
        <v>19.805440000000001</v>
      </c>
      <c r="AK62" s="75">
        <v>610</v>
      </c>
      <c r="AP62" s="71">
        <v>60</v>
      </c>
      <c r="AR62" s="71">
        <v>940</v>
      </c>
      <c r="BA62" s="56" t="str">
        <f>IF(Z62*U62/1000=0,IF(AQ62=0,IF(AP62=0,"MAXTURBFLOW","POTENTIAL"),"GETH"),"MAXPUMPTIME")</f>
        <v>POTENTIAL</v>
      </c>
      <c r="BB62" s="209">
        <f>IF(BA62="MAXPUMPTIME",Z62*U62/1000,IF(BA62="GETH",AQ62,IF(BA62="POTENTIAL",1000*9.81*AP62*AK62*turbPumpEff/3600000,IF(BA62="MAXTURBFLOW",U62*AK62/AR62/3.6,"!!!"))))</f>
        <v>86.769450000000006</v>
      </c>
      <c r="BC62" s="56" t="s">
        <v>2351</v>
      </c>
      <c r="BD62" s="56" t="s">
        <v>2350</v>
      </c>
      <c r="BF62" s="56" t="s">
        <v>970</v>
      </c>
      <c r="BH62" s="73" t="s">
        <v>2853</v>
      </c>
      <c r="BJ62" s="279">
        <f>BB62/(U62/1000)</f>
        <v>186.60096774193548</v>
      </c>
    </row>
    <row r="63" spans="1:62" x14ac:dyDescent="0.3">
      <c r="A63" s="56" t="s">
        <v>981</v>
      </c>
      <c r="B63" s="56" t="s">
        <v>2840</v>
      </c>
      <c r="C63" s="134" t="s">
        <v>2840</v>
      </c>
      <c r="D63" s="244" t="s">
        <v>2787</v>
      </c>
      <c r="E63" s="157" t="s">
        <v>2787</v>
      </c>
      <c r="F63" s="76" t="str">
        <f>VLOOKUP(E63,Codes!$G$1:$H$3,2,FALSE)</f>
        <v>hydro-STO</v>
      </c>
      <c r="G63" s="56">
        <v>57</v>
      </c>
      <c r="H63" s="66" t="str">
        <f>VLOOKUP(I63,Codes!$A$1:$B$32,2,FALSE)</f>
        <v>SE</v>
      </c>
      <c r="I63" s="56" t="s">
        <v>20</v>
      </c>
      <c r="J63" s="56" t="s">
        <v>2172</v>
      </c>
      <c r="K63" s="67"/>
      <c r="L63" s="56" t="s">
        <v>981</v>
      </c>
      <c r="M63" s="33" t="s">
        <v>2203</v>
      </c>
      <c r="N63" s="70">
        <v>66.691102000000001</v>
      </c>
      <c r="O63" s="70">
        <v>20.343575999999999</v>
      </c>
      <c r="P63" s="70">
        <v>66.679000000000002</v>
      </c>
      <c r="Q63" s="70">
        <v>20.323</v>
      </c>
      <c r="R63" s="56">
        <v>3</v>
      </c>
      <c r="T63" s="71" t="s">
        <v>42</v>
      </c>
      <c r="U63" s="56">
        <v>463</v>
      </c>
      <c r="AA63" s="56">
        <v>1960</v>
      </c>
      <c r="AC63" s="73">
        <v>0.48291824539047146</v>
      </c>
      <c r="AE63" s="56">
        <v>1963</v>
      </c>
      <c r="AG63" s="56" t="s">
        <v>2361</v>
      </c>
      <c r="AH63" s="56">
        <v>3700</v>
      </c>
      <c r="AI63" s="70">
        <v>66.686993999999999</v>
      </c>
      <c r="AJ63" s="74">
        <v>20.334741000000001</v>
      </c>
      <c r="AK63" s="75">
        <v>54</v>
      </c>
      <c r="AP63" s="71">
        <v>87</v>
      </c>
      <c r="AV63" s="56" t="s">
        <v>2206</v>
      </c>
      <c r="BA63" s="56" t="str">
        <f>IF(Z63*U63/1000=0,IF(AQ63=0,IF(AP63=0,"MAXTURBFLOW","POTENTIAL"),"GETH"),"MAXPUMPTIME")</f>
        <v>POTENTIAL</v>
      </c>
      <c r="BB63" s="209">
        <f>IF(BA63="MAXPUMPTIME",Z63*U63/1000,IF(BA63="GETH",AQ63,IF(BA63="POTENTIAL",1000*9.81*AP63*AK63*turbPumpEff/3600000,IF(BA63="MAXTURBFLOW",U63*AK63/AR63/3.6,"!!!"))))</f>
        <v>11.137783500000001</v>
      </c>
      <c r="BC63" s="56" t="s">
        <v>2360</v>
      </c>
      <c r="BD63" s="56" t="s">
        <v>2362</v>
      </c>
      <c r="BF63" s="56" t="s">
        <v>983</v>
      </c>
      <c r="BH63" s="73" t="s">
        <v>2853</v>
      </c>
      <c r="BJ63" s="279">
        <f>BB63/(U63/1000)</f>
        <v>24.055687904967606</v>
      </c>
    </row>
    <row r="64" spans="1:62" x14ac:dyDescent="0.3">
      <c r="A64" s="56" t="s">
        <v>2649</v>
      </c>
      <c r="B64" s="56" t="s">
        <v>2840</v>
      </c>
      <c r="C64" s="134" t="s">
        <v>2840</v>
      </c>
      <c r="D64" s="56" t="s">
        <v>962</v>
      </c>
      <c r="E64" s="76" t="s">
        <v>962</v>
      </c>
      <c r="F64" s="76" t="str">
        <f>VLOOKUP(E64,Codes!$G$1:$H$3,2,FALSE)</f>
        <v>hydro-PHS</v>
      </c>
      <c r="G64" s="56">
        <v>58</v>
      </c>
      <c r="H64" s="66" t="str">
        <f>VLOOKUP(I64,Codes!$A$1:$B$32,2,FALSE)</f>
        <v>FR</v>
      </c>
      <c r="I64" s="56" t="s">
        <v>7</v>
      </c>
      <c r="M64" s="69" t="s">
        <v>2647</v>
      </c>
      <c r="N64" s="70">
        <v>45.384999999999998</v>
      </c>
      <c r="O64" s="70">
        <v>5.9989999999999997</v>
      </c>
      <c r="P64" s="70">
        <v>45.389000000000003</v>
      </c>
      <c r="Q64" s="70">
        <v>5.9889999999999999</v>
      </c>
      <c r="R64" s="56">
        <v>2</v>
      </c>
      <c r="S64" s="56">
        <v>2</v>
      </c>
      <c r="T64" s="71" t="s">
        <v>42</v>
      </c>
      <c r="U64" s="56">
        <v>460</v>
      </c>
      <c r="V64" s="56">
        <v>480</v>
      </c>
      <c r="AA64" s="56">
        <v>855</v>
      </c>
      <c r="AC64" s="73">
        <v>0.21203463976430675</v>
      </c>
      <c r="AE64" s="56">
        <v>1979</v>
      </c>
      <c r="AF64" s="56">
        <v>2011</v>
      </c>
      <c r="AG64" s="56" t="s">
        <v>2647</v>
      </c>
      <c r="AH64" s="165"/>
      <c r="AI64" s="70">
        <v>45.382336000000002</v>
      </c>
      <c r="AJ64" s="74">
        <v>6.0593180000000002</v>
      </c>
      <c r="AK64" s="75">
        <v>4.7</v>
      </c>
      <c r="AL64" s="56" t="s">
        <v>2649</v>
      </c>
      <c r="AN64" s="74">
        <v>45.383141000000002</v>
      </c>
      <c r="AO64" s="74">
        <v>5.9879980000000002</v>
      </c>
      <c r="AP64" s="71">
        <v>261</v>
      </c>
      <c r="AQ64" s="72">
        <v>2.88</v>
      </c>
      <c r="AR64" s="71">
        <v>220</v>
      </c>
      <c r="AU64" s="56">
        <v>170</v>
      </c>
      <c r="BA64" s="56" t="str">
        <f>IF(Z64*U64/1000=0,IF(AQ64=0,IF(AP64=0,"MAXTURBFLOW","POTENTIAL"),"GETH"),"MAXPUMPTIME")</f>
        <v>GETH</v>
      </c>
      <c r="BB64" s="209">
        <f>IF(BA64="MAXPUMPTIME",Z64*U64/1000,IF(BA64="GETH",AQ64,IF(BA64="POTENTIAL",1000*9.81*AP64*AK64*turbPumpEff/3600000,IF(BA64="MAXTURBFLOW",U64*AK64/AR64/3.6,"!!!"))))</f>
        <v>2.88</v>
      </c>
      <c r="BC64" s="56" t="s">
        <v>2468</v>
      </c>
      <c r="BD64" s="56" t="s">
        <v>2648</v>
      </c>
      <c r="BE64" s="67" t="s">
        <v>2650</v>
      </c>
      <c r="BF64" s="56" t="s">
        <v>2651</v>
      </c>
      <c r="BG64" s="72" t="s">
        <v>2653</v>
      </c>
      <c r="BH64" s="73" t="s">
        <v>2853</v>
      </c>
      <c r="BJ64" s="280">
        <f>SUM(BB64:BB65)/(U64/1000)</f>
        <v>8.5476125543478254</v>
      </c>
    </row>
    <row r="65" spans="1:62" s="102" customFormat="1" ht="14.5" x14ac:dyDescent="0.3">
      <c r="A65" s="101" t="s">
        <v>2872</v>
      </c>
      <c r="B65" s="101"/>
      <c r="C65" s="134" t="s">
        <v>2840</v>
      </c>
      <c r="E65" s="103"/>
      <c r="F65" s="103"/>
      <c r="G65" s="102">
        <v>58</v>
      </c>
      <c r="H65" s="66" t="str">
        <f>VLOOKUP(I65,Codes!$A$1:$B$32,2,FALSE)</f>
        <v>FR</v>
      </c>
      <c r="I65" s="102" t="s">
        <v>7</v>
      </c>
      <c r="M65" s="104"/>
      <c r="N65" s="105"/>
      <c r="O65" s="105"/>
      <c r="P65" s="105"/>
      <c r="Q65" s="105"/>
      <c r="T65" s="106"/>
      <c r="Y65" s="106"/>
      <c r="AC65" s="107"/>
      <c r="AD65" s="107"/>
      <c r="AG65" s="172" t="s">
        <v>2652</v>
      </c>
      <c r="AH65" s="165"/>
      <c r="AI65" s="105">
        <v>45.287565999999998</v>
      </c>
      <c r="AJ65" s="109">
        <v>6.358784</v>
      </c>
      <c r="AK65" s="110">
        <v>1.7</v>
      </c>
      <c r="AN65" s="109"/>
      <c r="AO65" s="109"/>
      <c r="AP65" s="106"/>
      <c r="AQ65" s="108"/>
      <c r="AR65" s="106"/>
      <c r="AS65" s="106"/>
      <c r="AT65" s="106"/>
      <c r="BA65" s="205" t="str">
        <f>IF(Z65*U65/1000=0,IF(AQ65=0,IF(AP64=0,"MAXTURBFLOW","POTENTIAL"),"GETH"),"MAXPUMPTIME")</f>
        <v>POTENTIAL</v>
      </c>
      <c r="BB65" s="209">
        <f>IF(BA65="MAXPUMPTIME",Z65*U65/1000,IF(BA65="GETH",AQ65,IF(BA65="POTENTIAL",1000*9.81*AP64*AK65*turbPumpEff/3600000,IF(BA65="MAXTURBFLOW",U65*AK65/AR65/3.6,"!!!"))))</f>
        <v>1.0519017749999999</v>
      </c>
      <c r="BC65" s="171" t="s">
        <v>2653</v>
      </c>
      <c r="BG65" s="108"/>
      <c r="BH65" s="73" t="s">
        <v>2853</v>
      </c>
      <c r="BJ65" s="279"/>
    </row>
    <row r="66" spans="1:62" s="66" customFormat="1" x14ac:dyDescent="0.3">
      <c r="A66" s="56" t="s">
        <v>984</v>
      </c>
      <c r="B66" s="56" t="s">
        <v>2840</v>
      </c>
      <c r="C66" s="134" t="s">
        <v>2840</v>
      </c>
      <c r="D66" s="244" t="s">
        <v>2787</v>
      </c>
      <c r="E66" s="157" t="s">
        <v>2787</v>
      </c>
      <c r="F66" s="76" t="str">
        <f>VLOOKUP(E66,Codes!$G$1:$H$3,2,FALSE)</f>
        <v>hydro-STO</v>
      </c>
      <c r="G66" s="56">
        <v>59</v>
      </c>
      <c r="H66" s="66" t="str">
        <f>VLOOKUP(I66,Codes!$A$1:$B$32,2,FALSE)</f>
        <v>SE</v>
      </c>
      <c r="I66" s="56" t="s">
        <v>20</v>
      </c>
      <c r="J66" s="56"/>
      <c r="K66" s="67"/>
      <c r="L66" s="67" t="s">
        <v>984</v>
      </c>
      <c r="M66" s="33" t="s">
        <v>986</v>
      </c>
      <c r="N66" s="70">
        <v>66.499583000000001</v>
      </c>
      <c r="O66" s="70">
        <v>20.354583000000002</v>
      </c>
      <c r="P66" s="70">
        <v>66.486999999999995</v>
      </c>
      <c r="Q66" s="70">
        <v>20.36</v>
      </c>
      <c r="R66" s="56">
        <v>3</v>
      </c>
      <c r="S66" s="56"/>
      <c r="T66" s="71" t="s">
        <v>42</v>
      </c>
      <c r="U66" s="56">
        <v>456</v>
      </c>
      <c r="V66" s="56"/>
      <c r="W66" s="56"/>
      <c r="X66" s="56"/>
      <c r="Y66" s="71"/>
      <c r="Z66" s="56"/>
      <c r="AA66" s="56">
        <v>1857</v>
      </c>
      <c r="AB66" s="56"/>
      <c r="AC66" s="73">
        <v>0.46456404529461914</v>
      </c>
      <c r="AD66" s="73"/>
      <c r="AE66" s="56">
        <v>1967</v>
      </c>
      <c r="AF66" s="56"/>
      <c r="AG66" s="56" t="s">
        <v>984</v>
      </c>
      <c r="AH66" s="56">
        <v>3703</v>
      </c>
      <c r="AI66" s="70">
        <v>66.502426</v>
      </c>
      <c r="AJ66" s="74">
        <v>20.374414999999999</v>
      </c>
      <c r="AK66" s="75">
        <v>68</v>
      </c>
      <c r="AL66" s="56"/>
      <c r="AM66" s="56"/>
      <c r="AN66" s="74"/>
      <c r="AO66" s="74"/>
      <c r="AP66" s="71">
        <v>135</v>
      </c>
      <c r="AQ66" s="72"/>
      <c r="AR66" s="71"/>
      <c r="AS66" s="71"/>
      <c r="AT66" s="71"/>
      <c r="AU66" s="56"/>
      <c r="AV66" s="56"/>
      <c r="AW66" s="56"/>
      <c r="AX66" s="56"/>
      <c r="AY66" s="56"/>
      <c r="AZ66" s="56"/>
      <c r="BA66" s="56" t="str">
        <f t="shared" ref="BA66:BA72" si="7">IF(Z66*U66/1000=0,IF(AQ66=0,IF(AP66=0,"MAXTURBFLOW","POTENTIAL"),"GETH"),"MAXPUMPTIME")</f>
        <v>POTENTIAL</v>
      </c>
      <c r="BB66" s="209">
        <f t="shared" ref="BB66:BB72" si="8">IF(BA66="MAXPUMPTIME",Z66*U66/1000,IF(BA66="GETH",AQ66,IF(BA66="POTENTIAL",1000*9.81*AP66*AK66*turbPumpEff/3600000,IF(BA66="MAXTURBFLOW",U66*AK66/AR66/3.6,"!!!"))))</f>
        <v>21.763484999999999</v>
      </c>
      <c r="BC66" s="56" t="s">
        <v>2363</v>
      </c>
      <c r="BD66" s="56" t="s">
        <v>2364</v>
      </c>
      <c r="BE66" s="56"/>
      <c r="BF66" s="56" t="s">
        <v>985</v>
      </c>
      <c r="BG66" s="72"/>
      <c r="BH66" s="73" t="s">
        <v>2853</v>
      </c>
      <c r="BI66" s="56"/>
      <c r="BJ66" s="279">
        <f t="shared" ref="BJ66:BJ71" si="9">BB66/(U66/1000)</f>
        <v>47.72694078947368</v>
      </c>
    </row>
    <row r="67" spans="1:62" s="66" customFormat="1" x14ac:dyDescent="0.3">
      <c r="A67" s="67" t="s">
        <v>1483</v>
      </c>
      <c r="B67" s="56" t="s">
        <v>2840</v>
      </c>
      <c r="C67" s="134" t="s">
        <v>2840</v>
      </c>
      <c r="D67" s="56" t="s">
        <v>962</v>
      </c>
      <c r="E67" s="76" t="s">
        <v>962</v>
      </c>
      <c r="F67" s="76" t="str">
        <f>VLOOKUP(E67,Codes!$G$1:$H$3,2,FALSE)</f>
        <v>hydro-PHS</v>
      </c>
      <c r="G67" s="56">
        <v>60</v>
      </c>
      <c r="H67" s="66" t="str">
        <f>VLOOKUP(I67,Codes!$A$1:$B$32,2,FALSE)</f>
        <v>CZ</v>
      </c>
      <c r="I67" s="56" t="s">
        <v>2</v>
      </c>
      <c r="J67" s="56" t="s">
        <v>57</v>
      </c>
      <c r="K67" s="67"/>
      <c r="L67" s="56" t="s">
        <v>2373</v>
      </c>
      <c r="M67" s="77" t="s">
        <v>2372</v>
      </c>
      <c r="N67" s="70">
        <v>49.124429999999997</v>
      </c>
      <c r="O67" s="70">
        <v>16.124206999999998</v>
      </c>
      <c r="P67" s="70">
        <v>49.124429999999997</v>
      </c>
      <c r="Q67" s="70">
        <v>16.124206999999998</v>
      </c>
      <c r="R67" s="56">
        <v>4</v>
      </c>
      <c r="S67" s="56">
        <v>4</v>
      </c>
      <c r="T67" s="71" t="s">
        <v>42</v>
      </c>
      <c r="U67" s="56">
        <v>450</v>
      </c>
      <c r="V67" s="56">
        <v>450</v>
      </c>
      <c r="W67" s="56"/>
      <c r="X67" s="56"/>
      <c r="Y67" s="71"/>
      <c r="Z67" s="56"/>
      <c r="AA67" s="56">
        <v>170</v>
      </c>
      <c r="AB67" s="56"/>
      <c r="AC67" s="73">
        <v>4.3095799427079369E-2</v>
      </c>
      <c r="AD67" s="73"/>
      <c r="AE67" s="56">
        <v>1978</v>
      </c>
      <c r="AF67" s="56">
        <v>2007</v>
      </c>
      <c r="AG67" s="56" t="s">
        <v>1483</v>
      </c>
      <c r="AH67" s="56">
        <v>3786</v>
      </c>
      <c r="AI67" s="70">
        <v>49.128749999999997</v>
      </c>
      <c r="AJ67" s="74">
        <v>16.117083000000001</v>
      </c>
      <c r="AK67" s="75">
        <v>127.3</v>
      </c>
      <c r="AL67" s="56" t="s">
        <v>1495</v>
      </c>
      <c r="AM67" s="56">
        <v>3788</v>
      </c>
      <c r="AN67" s="74"/>
      <c r="AO67" s="74"/>
      <c r="AP67" s="71">
        <v>80</v>
      </c>
      <c r="AQ67" s="72">
        <v>2.2999999999999998</v>
      </c>
      <c r="AR67" s="71"/>
      <c r="AS67" s="71"/>
      <c r="AT67" s="71"/>
      <c r="AU67" s="56"/>
      <c r="AV67" s="56"/>
      <c r="AW67" s="56" t="s">
        <v>2375</v>
      </c>
      <c r="AX67" s="56"/>
      <c r="AY67" s="56"/>
      <c r="AZ67" s="56"/>
      <c r="BA67" s="56" t="str">
        <f t="shared" si="7"/>
        <v>GETH</v>
      </c>
      <c r="BB67" s="209">
        <f t="shared" si="8"/>
        <v>2.2999999999999998</v>
      </c>
      <c r="BC67" s="56" t="s">
        <v>2374</v>
      </c>
      <c r="BD67" s="56" t="s">
        <v>2269</v>
      </c>
      <c r="BE67" s="56"/>
      <c r="BF67" s="56"/>
      <c r="BG67" s="72"/>
      <c r="BH67" s="73" t="s">
        <v>2853</v>
      </c>
      <c r="BI67" s="56"/>
      <c r="BJ67" s="279">
        <f t="shared" si="9"/>
        <v>5.1111111111111107</v>
      </c>
    </row>
    <row r="68" spans="1:62" s="66" customFormat="1" x14ac:dyDescent="0.3">
      <c r="A68" s="56" t="s">
        <v>522</v>
      </c>
      <c r="B68" s="56" t="s">
        <v>2840</v>
      </c>
      <c r="C68" s="134" t="s">
        <v>2840</v>
      </c>
      <c r="D68" s="56" t="s">
        <v>962</v>
      </c>
      <c r="E68" s="76" t="s">
        <v>962</v>
      </c>
      <c r="F68" s="76" t="str">
        <f>VLOOKUP(E68,Codes!$G$1:$H$3,2,FALSE)</f>
        <v>hydro-PHS</v>
      </c>
      <c r="G68" s="56">
        <v>61</v>
      </c>
      <c r="H68" s="66" t="str">
        <f>VLOOKUP(I68,Codes!$A$1:$B$32,2,FALSE)</f>
        <v>IT</v>
      </c>
      <c r="I68" s="67" t="s">
        <v>9</v>
      </c>
      <c r="J68" s="67" t="s">
        <v>512</v>
      </c>
      <c r="K68" s="56"/>
      <c r="L68" s="56" t="s">
        <v>2380</v>
      </c>
      <c r="M68" s="69"/>
      <c r="N68" s="394"/>
      <c r="O68" s="394"/>
      <c r="P68" s="394"/>
      <c r="Q68" s="394"/>
      <c r="R68" s="56">
        <v>6</v>
      </c>
      <c r="S68" s="56">
        <v>6</v>
      </c>
      <c r="T68" s="71" t="s">
        <v>2377</v>
      </c>
      <c r="U68" s="56">
        <v>448</v>
      </c>
      <c r="V68" s="56">
        <v>448</v>
      </c>
      <c r="W68" s="56"/>
      <c r="X68" s="56"/>
      <c r="Y68" s="71"/>
      <c r="Z68" s="56"/>
      <c r="AA68" s="56">
        <v>290.89999999999998</v>
      </c>
      <c r="AB68" s="56"/>
      <c r="AC68" s="73">
        <v>7.4073734558847498E-2</v>
      </c>
      <c r="AD68" s="73"/>
      <c r="AE68" s="56">
        <v>1950</v>
      </c>
      <c r="AF68" s="56"/>
      <c r="AG68" s="56" t="s">
        <v>524</v>
      </c>
      <c r="AH68" s="165"/>
      <c r="AI68" s="70">
        <v>42.507601999999999</v>
      </c>
      <c r="AJ68" s="74">
        <v>13.405393</v>
      </c>
      <c r="AK68" s="75">
        <v>1.69</v>
      </c>
      <c r="AL68" s="56" t="s">
        <v>2386</v>
      </c>
      <c r="AM68" s="56"/>
      <c r="AN68" s="74">
        <v>42.560955</v>
      </c>
      <c r="AO68" s="74">
        <v>13.563338999999999</v>
      </c>
      <c r="AP68" s="71">
        <v>656.6</v>
      </c>
      <c r="AQ68" s="72"/>
      <c r="AR68" s="71">
        <v>85</v>
      </c>
      <c r="AS68" s="71"/>
      <c r="AT68" s="71"/>
      <c r="AU68" s="56">
        <v>7.73</v>
      </c>
      <c r="AV68" s="56" t="s">
        <v>524</v>
      </c>
      <c r="AW68" s="56"/>
      <c r="AX68" s="56"/>
      <c r="AY68" s="56"/>
      <c r="AZ68" s="67"/>
      <c r="BA68" s="56" t="str">
        <f t="shared" si="7"/>
        <v>POTENTIAL</v>
      </c>
      <c r="BB68" s="209">
        <f t="shared" si="8"/>
        <v>2.6307122205</v>
      </c>
      <c r="BC68" s="56" t="s">
        <v>2379</v>
      </c>
      <c r="BD68" s="56" t="s">
        <v>2269</v>
      </c>
      <c r="BE68" s="56" t="s">
        <v>2376</v>
      </c>
      <c r="BF68" s="56" t="s">
        <v>2378</v>
      </c>
      <c r="BG68" s="72"/>
      <c r="BH68" s="73" t="s">
        <v>2853</v>
      </c>
      <c r="BI68" s="56"/>
      <c r="BJ68" s="279">
        <f t="shared" si="9"/>
        <v>5.8721254921875001</v>
      </c>
    </row>
    <row r="69" spans="1:62" s="66" customFormat="1" x14ac:dyDescent="0.3">
      <c r="A69" s="56" t="s">
        <v>2655</v>
      </c>
      <c r="B69" s="56" t="s">
        <v>2840</v>
      </c>
      <c r="C69" s="134" t="s">
        <v>2840</v>
      </c>
      <c r="D69" s="56" t="s">
        <v>962</v>
      </c>
      <c r="E69" s="76" t="s">
        <v>962</v>
      </c>
      <c r="F69" s="76" t="str">
        <f>VLOOKUP(E69,Codes!$G$1:$H$3,2,FALSE)</f>
        <v>hydro-PHS</v>
      </c>
      <c r="G69" s="56">
        <v>62</v>
      </c>
      <c r="H69" s="66" t="str">
        <f>VLOOKUP(I69,Codes!$A$1:$B$32,2,FALSE)</f>
        <v>ES</v>
      </c>
      <c r="I69" s="56" t="s">
        <v>6</v>
      </c>
      <c r="J69" s="56"/>
      <c r="K69" s="56"/>
      <c r="L69" s="56"/>
      <c r="M69" s="69"/>
      <c r="N69" s="70">
        <v>42.500363999999998</v>
      </c>
      <c r="O69" s="70">
        <v>0.99148899999999995</v>
      </c>
      <c r="P69" s="70"/>
      <c r="Q69" s="70"/>
      <c r="R69" s="56">
        <v>4</v>
      </c>
      <c r="S69" s="56">
        <v>4</v>
      </c>
      <c r="T69" s="71"/>
      <c r="U69" s="56">
        <v>446</v>
      </c>
      <c r="V69" s="56">
        <v>468</v>
      </c>
      <c r="W69" s="56"/>
      <c r="X69" s="56"/>
      <c r="Y69" s="71"/>
      <c r="Z69" s="56"/>
      <c r="AA69" s="56">
        <v>493</v>
      </c>
      <c r="AB69" s="56"/>
      <c r="AC69" s="73">
        <v>0.12609869563304615</v>
      </c>
      <c r="AD69" s="72"/>
      <c r="AE69" s="56">
        <v>1986</v>
      </c>
      <c r="AF69" s="56"/>
      <c r="AG69" s="56" t="s">
        <v>2656</v>
      </c>
      <c r="AH69" s="165"/>
      <c r="AI69" s="70">
        <v>42.503464000000001</v>
      </c>
      <c r="AJ69" s="74">
        <v>0.99068599999999996</v>
      </c>
      <c r="AK69" s="75">
        <v>3</v>
      </c>
      <c r="AL69" s="56" t="s">
        <v>2480</v>
      </c>
      <c r="AM69" s="80"/>
      <c r="AN69" s="74">
        <v>42.504322000000002</v>
      </c>
      <c r="AO69" s="74">
        <v>0.99031100000000005</v>
      </c>
      <c r="AP69" s="71">
        <v>372</v>
      </c>
      <c r="AQ69" s="72">
        <v>0.9</v>
      </c>
      <c r="AR69" s="71">
        <v>125</v>
      </c>
      <c r="AS69" s="71"/>
      <c r="AT69" s="71"/>
      <c r="AU69" s="56"/>
      <c r="AV69" s="56"/>
      <c r="AW69" s="56"/>
      <c r="AX69" s="56"/>
      <c r="AY69" s="56"/>
      <c r="AZ69" s="56"/>
      <c r="BA69" s="56" t="str">
        <f t="shared" si="7"/>
        <v>GETH</v>
      </c>
      <c r="BB69" s="209">
        <f t="shared" si="8"/>
        <v>0.9</v>
      </c>
      <c r="BC69" s="56" t="s">
        <v>2468</v>
      </c>
      <c r="BD69" s="56" t="s">
        <v>2654</v>
      </c>
      <c r="BE69" s="56" t="s">
        <v>2657</v>
      </c>
      <c r="BF69" s="56" t="s">
        <v>2658</v>
      </c>
      <c r="BG69" s="72"/>
      <c r="BH69" s="73" t="s">
        <v>2853</v>
      </c>
      <c r="BI69" s="56"/>
      <c r="BJ69" s="279">
        <f t="shared" si="9"/>
        <v>2.0179372197309418</v>
      </c>
    </row>
    <row r="70" spans="1:62" x14ac:dyDescent="0.3">
      <c r="A70" s="56" t="s">
        <v>2390</v>
      </c>
      <c r="B70" s="56" t="s">
        <v>2840</v>
      </c>
      <c r="C70" s="134" t="s">
        <v>2840</v>
      </c>
      <c r="D70" s="56" t="s">
        <v>29</v>
      </c>
      <c r="E70" s="76" t="s">
        <v>29</v>
      </c>
      <c r="F70" s="76" t="str">
        <f>VLOOKUP(E70,Codes!$G$1:$H$3,2,FALSE)</f>
        <v>hydro-ROR</v>
      </c>
      <c r="G70" s="56">
        <v>63</v>
      </c>
      <c r="H70" s="66" t="str">
        <f>VLOOKUP(I70,Codes!$A$1:$B$32,2,FALSE)</f>
        <v>PT</v>
      </c>
      <c r="I70" s="56" t="s">
        <v>15</v>
      </c>
      <c r="J70" s="56" t="s">
        <v>2306</v>
      </c>
      <c r="K70" s="67"/>
      <c r="L70" s="56" t="s">
        <v>2669</v>
      </c>
      <c r="M70" s="77" t="s">
        <v>2204</v>
      </c>
      <c r="N70" s="70">
        <v>41.378306000000002</v>
      </c>
      <c r="O70" s="70">
        <v>-6.3515829999999998</v>
      </c>
      <c r="P70" s="70">
        <v>41.378306000000002</v>
      </c>
      <c r="Q70" s="70">
        <v>-6.3515829999999998</v>
      </c>
      <c r="R70" s="56">
        <v>4</v>
      </c>
      <c r="T70" s="71" t="s">
        <v>42</v>
      </c>
      <c r="U70" s="56">
        <v>441</v>
      </c>
      <c r="AA70" s="56">
        <v>1112.5999999999999</v>
      </c>
      <c r="AC70" s="73">
        <v>0.28780544083174375</v>
      </c>
      <c r="AE70" s="56">
        <v>1958</v>
      </c>
      <c r="AF70" s="56">
        <v>2011</v>
      </c>
      <c r="AG70" s="56" t="s">
        <v>1731</v>
      </c>
      <c r="AH70" s="56">
        <v>2730</v>
      </c>
      <c r="AI70" s="70">
        <v>41.379297000000001</v>
      </c>
      <c r="AJ70" s="74">
        <v>-6.3516560000000002</v>
      </c>
      <c r="AK70" s="75">
        <v>13.43</v>
      </c>
      <c r="AP70" s="71">
        <v>74</v>
      </c>
      <c r="AV70" s="56" t="s">
        <v>1734</v>
      </c>
      <c r="BA70" s="56" t="str">
        <f t="shared" si="7"/>
        <v>POTENTIAL</v>
      </c>
      <c r="BB70" s="209">
        <f t="shared" si="8"/>
        <v>2.356098765</v>
      </c>
      <c r="BC70" s="56" t="s">
        <v>2394</v>
      </c>
      <c r="BD70" s="56" t="s">
        <v>2391</v>
      </c>
      <c r="BE70" s="56" t="s">
        <v>2392</v>
      </c>
      <c r="BH70" s="73" t="s">
        <v>2853</v>
      </c>
      <c r="BJ70" s="279">
        <f t="shared" si="9"/>
        <v>5.3426275850340135</v>
      </c>
    </row>
    <row r="71" spans="1:62" x14ac:dyDescent="0.3">
      <c r="A71" s="56" t="s">
        <v>2353</v>
      </c>
      <c r="B71" s="56" t="s">
        <v>2840</v>
      </c>
      <c r="C71" s="134" t="s">
        <v>2840</v>
      </c>
      <c r="D71" s="56" t="s">
        <v>962</v>
      </c>
      <c r="E71" s="76" t="s">
        <v>962</v>
      </c>
      <c r="F71" s="76" t="str">
        <f>VLOOKUP(E71,Codes!$G$1:$H$3,2,FALSE)</f>
        <v>hydro-PHS</v>
      </c>
      <c r="G71" s="56">
        <v>64</v>
      </c>
      <c r="H71" s="66" t="str">
        <f>VLOOKUP(I71,Codes!$A$1:$B$32,2,FALSE)</f>
        <v>CH</v>
      </c>
      <c r="I71" s="56" t="s">
        <v>22</v>
      </c>
      <c r="J71" s="67"/>
      <c r="K71" s="56" t="s">
        <v>2352</v>
      </c>
      <c r="L71" s="56" t="s">
        <v>1023</v>
      </c>
      <c r="M71" s="33" t="s">
        <v>2356</v>
      </c>
      <c r="N71" s="70">
        <v>46.85</v>
      </c>
      <c r="O71" s="70">
        <v>9.0008330000000001</v>
      </c>
      <c r="R71" s="56">
        <v>6</v>
      </c>
      <c r="S71" s="56">
        <v>6</v>
      </c>
      <c r="T71" s="71" t="s">
        <v>2730</v>
      </c>
      <c r="U71" s="56">
        <v>441</v>
      </c>
      <c r="V71" s="56">
        <v>140</v>
      </c>
      <c r="AE71" s="56">
        <v>1968</v>
      </c>
      <c r="AG71" s="56" t="s">
        <v>2029</v>
      </c>
      <c r="AH71" s="56">
        <v>3311</v>
      </c>
      <c r="AI71" s="70">
        <v>46.845416999999998</v>
      </c>
      <c r="AJ71" s="74">
        <v>9.0104170000000003</v>
      </c>
      <c r="AK71" s="75">
        <v>92</v>
      </c>
      <c r="AL71" s="56" t="s">
        <v>2353</v>
      </c>
      <c r="AP71" s="71">
        <v>623</v>
      </c>
      <c r="AQ71" s="72">
        <v>0.67</v>
      </c>
      <c r="AR71" s="71">
        <v>55.3</v>
      </c>
      <c r="AU71" s="56">
        <v>20</v>
      </c>
      <c r="BA71" s="56" t="str">
        <f t="shared" si="7"/>
        <v>GETH</v>
      </c>
      <c r="BB71" s="209">
        <f t="shared" si="8"/>
        <v>0.67</v>
      </c>
      <c r="BC71" s="56" t="s">
        <v>2354</v>
      </c>
      <c r="BD71" s="56" t="s">
        <v>2355</v>
      </c>
      <c r="BE71" s="56" t="s">
        <v>2269</v>
      </c>
      <c r="BF71" s="56" t="s">
        <v>2729</v>
      </c>
      <c r="BH71" s="73" t="s">
        <v>2853</v>
      </c>
      <c r="BJ71" s="279">
        <f t="shared" si="9"/>
        <v>1.5192743764172336</v>
      </c>
    </row>
    <row r="72" spans="1:62" x14ac:dyDescent="0.3">
      <c r="A72" s="56" t="s">
        <v>2873</v>
      </c>
      <c r="B72" s="56" t="s">
        <v>2840</v>
      </c>
      <c r="C72" s="134" t="s">
        <v>2840</v>
      </c>
      <c r="D72" s="56" t="s">
        <v>962</v>
      </c>
      <c r="E72" s="76" t="s">
        <v>962</v>
      </c>
      <c r="F72" s="76" t="str">
        <f>VLOOKUP(E72,Codes!$G$1:$H$3,2,FALSE)</f>
        <v>hydro-PHS</v>
      </c>
      <c r="G72" s="56">
        <v>65</v>
      </c>
      <c r="H72" s="66" t="str">
        <f>VLOOKUP(I72,Codes!$A$1:$B$32,2,FALSE)</f>
        <v>FR</v>
      </c>
      <c r="I72" s="56" t="s">
        <v>7</v>
      </c>
      <c r="J72" s="56" t="s">
        <v>2330</v>
      </c>
      <c r="L72" s="56" t="s">
        <v>231</v>
      </c>
      <c r="M72" s="69" t="s">
        <v>2384</v>
      </c>
      <c r="N72" s="70">
        <v>44.059699999999999</v>
      </c>
      <c r="O72" s="70">
        <v>2.77</v>
      </c>
      <c r="P72" s="70">
        <v>44.059699999999999</v>
      </c>
      <c r="Q72" s="70">
        <v>2.77</v>
      </c>
      <c r="R72" s="56">
        <v>5</v>
      </c>
      <c r="S72" s="56">
        <v>1</v>
      </c>
      <c r="T72" s="71" t="s">
        <v>2387</v>
      </c>
      <c r="U72" s="56">
        <v>440</v>
      </c>
      <c r="V72" s="56">
        <v>32.92</v>
      </c>
      <c r="AE72" s="56">
        <v>1952</v>
      </c>
      <c r="AF72" s="56">
        <v>1983</v>
      </c>
      <c r="AG72" s="56" t="s">
        <v>2385</v>
      </c>
      <c r="AH72" s="56">
        <v>3438</v>
      </c>
      <c r="AI72" s="70">
        <v>44.092185000000001</v>
      </c>
      <c r="AJ72" s="74">
        <v>2.7022810000000002</v>
      </c>
      <c r="AK72" s="75">
        <v>10.9</v>
      </c>
      <c r="AP72" s="71">
        <v>461.2</v>
      </c>
      <c r="AQ72" s="72">
        <v>0.71</v>
      </c>
      <c r="BA72" s="56" t="str">
        <f t="shared" si="7"/>
        <v>GETH</v>
      </c>
      <c r="BB72" s="209">
        <f t="shared" si="8"/>
        <v>0.71</v>
      </c>
      <c r="BC72" s="56" t="s">
        <v>2269</v>
      </c>
      <c r="BD72" s="56" t="s">
        <v>2389</v>
      </c>
      <c r="BH72" s="73" t="s">
        <v>2853</v>
      </c>
      <c r="BJ72" s="280">
        <f>SUM(BB72:BB73)/(U72/1000)</f>
        <v>416.60480295454545</v>
      </c>
    </row>
    <row r="73" spans="1:62" s="102" customFormat="1" x14ac:dyDescent="0.3">
      <c r="A73" s="101" t="s">
        <v>2874</v>
      </c>
      <c r="B73" s="101"/>
      <c r="C73" s="134" t="s">
        <v>2840</v>
      </c>
      <c r="E73" s="103" t="s">
        <v>2787</v>
      </c>
      <c r="F73" s="316" t="str">
        <f>F72</f>
        <v>hydro-PHS</v>
      </c>
      <c r="G73" s="102">
        <v>65</v>
      </c>
      <c r="H73" s="66" t="str">
        <f>VLOOKUP(I73,Codes!$A$1:$B$32,2,FALSE)</f>
        <v>FR</v>
      </c>
      <c r="I73" s="102" t="s">
        <v>7</v>
      </c>
      <c r="M73" s="104"/>
      <c r="N73" s="105"/>
      <c r="O73" s="105"/>
      <c r="P73" s="105"/>
      <c r="Q73" s="105"/>
      <c r="T73" s="106"/>
      <c r="Y73" s="106"/>
      <c r="AC73" s="107"/>
      <c r="AD73" s="107"/>
      <c r="AG73" s="172" t="s">
        <v>1563</v>
      </c>
      <c r="AH73" s="170">
        <v>3436</v>
      </c>
      <c r="AI73" s="105">
        <v>44.199409000000003</v>
      </c>
      <c r="AJ73" s="109">
        <v>2.7393529999999999</v>
      </c>
      <c r="AK73" s="110">
        <v>167</v>
      </c>
      <c r="AN73" s="109"/>
      <c r="AO73" s="109"/>
      <c r="AP73" s="106"/>
      <c r="AQ73" s="108"/>
      <c r="AR73" s="106"/>
      <c r="AS73" s="106"/>
      <c r="AT73" s="106"/>
      <c r="BA73" s="205" t="str">
        <f>IF(Z73*U73/1000=0,IF(AQ73=0,IF(AP72=0,"MAXTURBFLOW","POTENTIAL"),"GETH"),"MAXPUMPTIME")</f>
        <v>POTENTIAL</v>
      </c>
      <c r="BB73" s="209">
        <f>IF(Z73*U73/1000=0,IF(AQ73=0,1000*9.81*AP72*AK73*turbPumpEff/3600000,AQ73),Z73*U73/1000)</f>
        <v>182.59611329999998</v>
      </c>
      <c r="BC73" s="102" t="s">
        <v>2388</v>
      </c>
      <c r="BG73" s="108"/>
      <c r="BH73" s="73" t="s">
        <v>2853</v>
      </c>
      <c r="BJ73" s="279"/>
    </row>
    <row r="74" spans="1:62" x14ac:dyDescent="0.3">
      <c r="A74" s="56" t="s">
        <v>2405</v>
      </c>
      <c r="B74" s="56" t="s">
        <v>2840</v>
      </c>
      <c r="C74" s="134" t="s">
        <v>2840</v>
      </c>
      <c r="D74" s="244" t="s">
        <v>2787</v>
      </c>
      <c r="E74" s="157" t="s">
        <v>2787</v>
      </c>
      <c r="F74" s="76" t="str">
        <f>VLOOKUP(E74,Codes!$G$1:$H$3,2,FALSE)</f>
        <v>hydro-STO</v>
      </c>
      <c r="G74" s="56">
        <v>66</v>
      </c>
      <c r="H74" s="66" t="str">
        <f>VLOOKUP(I74,Codes!$A$1:$B$32,2,FALSE)</f>
        <v>EL</v>
      </c>
      <c r="I74" s="56" t="s">
        <v>5</v>
      </c>
      <c r="K74" s="67"/>
      <c r="L74" s="56" t="s">
        <v>439</v>
      </c>
      <c r="M74" s="77" t="s">
        <v>2406</v>
      </c>
      <c r="N74" s="70">
        <v>38.883951099999997</v>
      </c>
      <c r="O74" s="70">
        <v>21.493796100000001</v>
      </c>
      <c r="P74" s="70">
        <v>38.883951099999997</v>
      </c>
      <c r="Q74" s="70">
        <v>21.493796100000001</v>
      </c>
      <c r="R74" s="56">
        <v>4</v>
      </c>
      <c r="T74" s="71" t="s">
        <v>42</v>
      </c>
      <c r="U74" s="56">
        <v>437</v>
      </c>
      <c r="AA74" s="56">
        <v>714</v>
      </c>
      <c r="AC74" s="73">
        <v>0.18638686708736846</v>
      </c>
      <c r="AE74" s="56">
        <v>1976</v>
      </c>
      <c r="AG74" s="56" t="s">
        <v>2405</v>
      </c>
      <c r="AH74" s="56">
        <v>4026</v>
      </c>
      <c r="AI74" s="70">
        <v>38.887233999999999</v>
      </c>
      <c r="AJ74" s="74">
        <v>21.495304000000001</v>
      </c>
      <c r="AK74" s="75">
        <v>4750</v>
      </c>
      <c r="AP74" s="71">
        <v>160</v>
      </c>
      <c r="BA74" s="56" t="str">
        <f t="shared" ref="BA74:BA108" si="10">IF(Z74*U74/1000=0,IF(AQ74=0,IF(AP74=0,"MAXTURBFLOW","POTENTIAL"),"GETH"),"MAXPUMPTIME")</f>
        <v>POTENTIAL</v>
      </c>
      <c r="BB74" s="209">
        <f t="shared" ref="BB74:BB108" si="11">IF(BA74="MAXPUMPTIME",Z74*U74/1000,IF(BA74="GETH",AQ74,IF(BA74="POTENTIAL",1000*9.81*AP74*AK74*turbPumpEff/3600000,IF(BA74="MAXTURBFLOW",U74*AK74/AR74/3.6,"!!!"))))</f>
        <v>1801.77</v>
      </c>
      <c r="BC74" s="56" t="s">
        <v>2407</v>
      </c>
      <c r="BD74" s="56" t="s">
        <v>2408</v>
      </c>
      <c r="BE74" s="56" t="s">
        <v>2409</v>
      </c>
      <c r="BF74" s="56" t="s">
        <v>2410</v>
      </c>
      <c r="BH74" s="73" t="s">
        <v>2853</v>
      </c>
      <c r="BJ74" s="279">
        <f t="shared" ref="BJ74:BJ107" si="12">BB74/(U74/1000)</f>
        <v>4123.04347826087</v>
      </c>
    </row>
    <row r="75" spans="1:62" x14ac:dyDescent="0.3">
      <c r="A75" s="56" t="s">
        <v>701</v>
      </c>
      <c r="B75" s="56" t="s">
        <v>2840</v>
      </c>
      <c r="C75" s="134" t="s">
        <v>2840</v>
      </c>
      <c r="D75" s="244" t="s">
        <v>2787</v>
      </c>
      <c r="E75" s="157" t="s">
        <v>2787</v>
      </c>
      <c r="F75" s="76" t="str">
        <f>VLOOKUP(E75,Codes!$G$1:$H$3,2,FALSE)</f>
        <v>hydro-STO</v>
      </c>
      <c r="G75" s="56">
        <v>67</v>
      </c>
      <c r="H75" s="66" t="str">
        <f>VLOOKUP(I75,Codes!$A$1:$B$32,2,FALSE)</f>
        <v>NO</v>
      </c>
      <c r="I75" s="56" t="s">
        <v>21</v>
      </c>
      <c r="J75" s="56" t="s">
        <v>2104</v>
      </c>
      <c r="L75" s="56" t="s">
        <v>701</v>
      </c>
      <c r="N75" s="70">
        <v>59.444355000000002</v>
      </c>
      <c r="O75" s="70">
        <v>8.038259</v>
      </c>
      <c r="P75" s="70">
        <v>59.444355000000002</v>
      </c>
      <c r="Q75" s="70">
        <v>8.038259</v>
      </c>
      <c r="R75" s="56">
        <v>4</v>
      </c>
      <c r="T75" s="71" t="s">
        <v>42</v>
      </c>
      <c r="U75" s="56">
        <v>430</v>
      </c>
      <c r="AA75" s="56">
        <v>2124</v>
      </c>
      <c r="AC75" s="73">
        <v>0.5634878945609092</v>
      </c>
      <c r="AG75" s="56" t="s">
        <v>2413</v>
      </c>
      <c r="AH75" s="165"/>
      <c r="AI75" s="70">
        <v>59.609687000000001</v>
      </c>
      <c r="AJ75" s="74">
        <v>7.8543219999999998</v>
      </c>
      <c r="AK75" s="75">
        <v>11.2</v>
      </c>
      <c r="AL75" s="56" t="s">
        <v>2414</v>
      </c>
      <c r="AN75" s="74">
        <v>59.441267000000003</v>
      </c>
      <c r="AO75" s="74">
        <v>8.0354530000000004</v>
      </c>
      <c r="AP75" s="71">
        <v>377</v>
      </c>
      <c r="BA75" s="56" t="str">
        <f t="shared" si="10"/>
        <v>POTENTIAL</v>
      </c>
      <c r="BB75" s="209">
        <f t="shared" si="11"/>
        <v>10.0102548</v>
      </c>
      <c r="BC75" s="56" t="s">
        <v>2411</v>
      </c>
      <c r="BD75" s="56" t="s">
        <v>2412</v>
      </c>
      <c r="BE75" s="56" t="s">
        <v>2415</v>
      </c>
      <c r="BF75" s="56" t="s">
        <v>2416</v>
      </c>
      <c r="BG75" s="72" t="s">
        <v>2420</v>
      </c>
      <c r="BH75" s="73" t="s">
        <v>2853</v>
      </c>
      <c r="BJ75" s="279">
        <f t="shared" si="12"/>
        <v>23.279662325581395</v>
      </c>
    </row>
    <row r="76" spans="1:62" x14ac:dyDescent="0.3">
      <c r="A76" s="67" t="s">
        <v>1733</v>
      </c>
      <c r="B76" s="56" t="s">
        <v>2840</v>
      </c>
      <c r="C76" s="134" t="s">
        <v>2840</v>
      </c>
      <c r="D76" s="56" t="s">
        <v>29</v>
      </c>
      <c r="E76" s="76" t="s">
        <v>29</v>
      </c>
      <c r="F76" s="76" t="str">
        <f>VLOOKUP(E76,Codes!$G$1:$H$3,2,FALSE)</f>
        <v>hydro-ROR</v>
      </c>
      <c r="G76" s="56">
        <v>68</v>
      </c>
      <c r="H76" s="66" t="str">
        <f>VLOOKUP(I76,Codes!$A$1:$B$32,2,FALSE)</f>
        <v>PT</v>
      </c>
      <c r="I76" s="56" t="s">
        <v>15</v>
      </c>
      <c r="J76" s="56" t="s">
        <v>2306</v>
      </c>
      <c r="K76" s="67"/>
      <c r="L76" s="56" t="s">
        <v>2669</v>
      </c>
      <c r="M76" s="77" t="s">
        <v>2204</v>
      </c>
      <c r="N76" s="70">
        <v>41.301692000000003</v>
      </c>
      <c r="O76" s="70">
        <v>-6.4697089999999999</v>
      </c>
      <c r="P76" s="70">
        <v>41.301692000000003</v>
      </c>
      <c r="Q76" s="70">
        <v>-6.4697089999999999</v>
      </c>
      <c r="R76" s="56">
        <v>4</v>
      </c>
      <c r="T76" s="71" t="s">
        <v>42</v>
      </c>
      <c r="U76" s="56">
        <v>429.5</v>
      </c>
      <c r="AA76" s="56">
        <v>1058.0999999999999</v>
      </c>
      <c r="AC76" s="73">
        <v>0.28103608050683704</v>
      </c>
      <c r="AE76" s="56">
        <v>1964</v>
      </c>
      <c r="AF76" s="67">
        <v>2011</v>
      </c>
      <c r="AG76" s="166" t="s">
        <v>1733</v>
      </c>
      <c r="AH76" s="56">
        <v>2732</v>
      </c>
      <c r="AI76" s="70">
        <v>41.300930000000001</v>
      </c>
      <c r="AJ76" s="74">
        <v>-6.4694010000000004</v>
      </c>
      <c r="AK76" s="75">
        <v>14.43</v>
      </c>
      <c r="AP76" s="71">
        <v>68.331781140861466</v>
      </c>
      <c r="AV76" s="56" t="s">
        <v>1731</v>
      </c>
      <c r="BA76" s="56" t="str">
        <f t="shared" si="10"/>
        <v>POTENTIAL</v>
      </c>
      <c r="BB76" s="209">
        <f t="shared" si="11"/>
        <v>2.3376249371158329</v>
      </c>
      <c r="BC76" s="56" t="s">
        <v>2393</v>
      </c>
      <c r="BH76" s="73" t="s">
        <v>2853</v>
      </c>
      <c r="BJ76" s="279">
        <f t="shared" si="12"/>
        <v>5.4426657441579342</v>
      </c>
    </row>
    <row r="77" spans="1:62" ht="14.5" x14ac:dyDescent="0.3">
      <c r="A77" s="56" t="s">
        <v>493</v>
      </c>
      <c r="B77" s="56" t="s">
        <v>2840</v>
      </c>
      <c r="C77" s="134" t="s">
        <v>2840</v>
      </c>
      <c r="D77" s="56" t="s">
        <v>29</v>
      </c>
      <c r="E77" s="76" t="s">
        <v>29</v>
      </c>
      <c r="F77" s="76" t="str">
        <f>VLOOKUP(E77,Codes!$G$1:$H$3,2,FALSE)</f>
        <v>hydro-ROR</v>
      </c>
      <c r="G77" s="56">
        <v>69</v>
      </c>
      <c r="H77" s="66" t="str">
        <f>VLOOKUP(I77,Codes!$A$1:$B$32,2,FALSE)</f>
        <v>IT</v>
      </c>
      <c r="I77" s="67" t="s">
        <v>9</v>
      </c>
      <c r="J77" s="67" t="s">
        <v>492</v>
      </c>
      <c r="L77" s="56" t="s">
        <v>493</v>
      </c>
      <c r="M77" s="69" t="s">
        <v>2432</v>
      </c>
      <c r="N77" s="70">
        <v>46.291753</v>
      </c>
      <c r="O77" s="70">
        <v>10.266454</v>
      </c>
      <c r="P77" s="70">
        <v>46.291753</v>
      </c>
      <c r="Q77" s="70">
        <v>10.266454</v>
      </c>
      <c r="R77" s="56">
        <v>4</v>
      </c>
      <c r="T77" s="71" t="s">
        <v>44</v>
      </c>
      <c r="U77" s="56">
        <v>428</v>
      </c>
      <c r="AA77" s="56">
        <v>728.4</v>
      </c>
      <c r="AC77" s="73">
        <v>0.19414432567630671</v>
      </c>
      <c r="AE77" s="56">
        <v>1960</v>
      </c>
      <c r="AG77" s="56" t="s">
        <v>2431</v>
      </c>
      <c r="AH77" s="165"/>
      <c r="AI77" s="70">
        <v>46.328836000000003</v>
      </c>
      <c r="AJ77" s="74">
        <v>10.24729</v>
      </c>
      <c r="AK77" s="75">
        <v>1.2</v>
      </c>
      <c r="AP77" s="71">
        <v>588.20000000000005</v>
      </c>
      <c r="AV77" s="56" t="s">
        <v>494</v>
      </c>
      <c r="AZ77" s="67"/>
      <c r="BA77" s="56" t="str">
        <f t="shared" si="10"/>
        <v>POTENTIAL</v>
      </c>
      <c r="BB77" s="209">
        <f t="shared" si="11"/>
        <v>1.6733701799999998</v>
      </c>
      <c r="BC77" s="143" t="s">
        <v>2428</v>
      </c>
      <c r="BD77" s="143" t="s">
        <v>2429</v>
      </c>
      <c r="BE77" s="56" t="s">
        <v>2430</v>
      </c>
      <c r="BF77" s="56" t="s">
        <v>2437</v>
      </c>
      <c r="BH77" s="73" t="s">
        <v>2853</v>
      </c>
      <c r="BJ77" s="279">
        <f t="shared" si="12"/>
        <v>3.9097434112149529</v>
      </c>
    </row>
    <row r="78" spans="1:62" x14ac:dyDescent="0.3">
      <c r="A78" s="56" t="s">
        <v>1527</v>
      </c>
      <c r="B78" s="56" t="s">
        <v>2840</v>
      </c>
      <c r="C78" s="134" t="s">
        <v>2840</v>
      </c>
      <c r="D78" s="56" t="s">
        <v>29</v>
      </c>
      <c r="E78" s="76" t="s">
        <v>29</v>
      </c>
      <c r="F78" s="76" t="str">
        <f>VLOOKUP(E78,Codes!$G$1:$H$3,2,FALSE)</f>
        <v>hydro-ROR</v>
      </c>
      <c r="G78" s="56">
        <v>70</v>
      </c>
      <c r="H78" s="66" t="str">
        <f>VLOOKUP(I78,Codes!$A$1:$B$32,2,FALSE)</f>
        <v>FR</v>
      </c>
      <c r="I78" s="56" t="s">
        <v>7</v>
      </c>
      <c r="J78" s="56" t="s">
        <v>2451</v>
      </c>
      <c r="L78" s="56" t="s">
        <v>1527</v>
      </c>
      <c r="M78" s="69" t="s">
        <v>2091</v>
      </c>
      <c r="N78" s="70">
        <v>46.052714000000002</v>
      </c>
      <c r="O78" s="70">
        <v>5.812862</v>
      </c>
      <c r="P78" s="70">
        <v>46.052714000000002</v>
      </c>
      <c r="Q78" s="70">
        <v>5.812862</v>
      </c>
      <c r="R78" s="56">
        <v>6</v>
      </c>
      <c r="T78" s="71" t="s">
        <v>42</v>
      </c>
      <c r="U78" s="56">
        <v>420</v>
      </c>
      <c r="AA78" s="56">
        <v>1700</v>
      </c>
      <c r="AC78" s="73">
        <v>0.46174070814727897</v>
      </c>
      <c r="AE78" s="56">
        <v>1948</v>
      </c>
      <c r="AG78" s="56" t="s">
        <v>1527</v>
      </c>
      <c r="AH78" s="56">
        <v>3373</v>
      </c>
      <c r="AI78" s="70">
        <v>46.053750000000001</v>
      </c>
      <c r="AJ78" s="74">
        <v>5.8129169999999997</v>
      </c>
      <c r="AK78" s="75">
        <v>56</v>
      </c>
      <c r="AP78" s="71">
        <v>67</v>
      </c>
      <c r="AR78" s="71">
        <v>750</v>
      </c>
      <c r="BA78" s="56" t="str">
        <f t="shared" si="10"/>
        <v>POTENTIAL</v>
      </c>
      <c r="BB78" s="209">
        <f t="shared" si="11"/>
        <v>8.895054</v>
      </c>
      <c r="BC78" s="56" t="s">
        <v>2449</v>
      </c>
      <c r="BD78" s="56" t="s">
        <v>2450</v>
      </c>
      <c r="BE78" s="56" t="s">
        <v>2452</v>
      </c>
      <c r="BH78" s="73" t="s">
        <v>2853</v>
      </c>
      <c r="BJ78" s="279">
        <f t="shared" si="12"/>
        <v>21.178699999999999</v>
      </c>
    </row>
    <row r="79" spans="1:62" ht="12.75" customHeight="1" x14ac:dyDescent="0.3">
      <c r="A79" s="67" t="s">
        <v>1695</v>
      </c>
      <c r="B79" s="56" t="s">
        <v>2840</v>
      </c>
      <c r="C79" s="134" t="s">
        <v>2840</v>
      </c>
      <c r="D79" s="244" t="s">
        <v>29</v>
      </c>
      <c r="E79" s="245" t="str">
        <f>D79</f>
        <v>RoR</v>
      </c>
      <c r="F79" s="76" t="str">
        <f>VLOOKUP(E79,Codes!$G$1:$H$3,2,FALSE)</f>
        <v>hydro-ROR</v>
      </c>
      <c r="G79" s="56">
        <v>71</v>
      </c>
      <c r="H79" s="66" t="str">
        <f>VLOOKUP(I79,Codes!$A$1:$B$32,2,FALSE)</f>
        <v>LV</v>
      </c>
      <c r="I79" s="56" t="s">
        <v>10</v>
      </c>
      <c r="J79" s="56" t="s">
        <v>2245</v>
      </c>
      <c r="K79" s="67"/>
      <c r="L79" s="56" t="s">
        <v>673</v>
      </c>
      <c r="M79" s="77" t="s">
        <v>2248</v>
      </c>
      <c r="N79" s="70">
        <v>56.8513187</v>
      </c>
      <c r="O79" s="70">
        <v>24.272038899999998</v>
      </c>
      <c r="P79" s="70">
        <v>56.8513187</v>
      </c>
      <c r="Q79" s="70">
        <v>24.272038899999998</v>
      </c>
      <c r="R79" s="56">
        <v>6</v>
      </c>
      <c r="T79" s="71" t="s">
        <v>2129</v>
      </c>
      <c r="U79" s="56">
        <v>402</v>
      </c>
      <c r="AA79" s="56">
        <v>674</v>
      </c>
      <c r="AC79" s="73">
        <v>0.19126362256706428</v>
      </c>
      <c r="AE79" s="56">
        <v>1974</v>
      </c>
      <c r="AG79" s="56" t="s">
        <v>1695</v>
      </c>
      <c r="AH79" s="56">
        <v>3735</v>
      </c>
      <c r="AI79" s="70">
        <v>56.852083</v>
      </c>
      <c r="AJ79" s="74">
        <v>24.274583</v>
      </c>
      <c r="AK79" s="75">
        <v>340</v>
      </c>
      <c r="AL79" s="56" t="s">
        <v>2248</v>
      </c>
      <c r="AP79" s="71">
        <v>18</v>
      </c>
      <c r="AV79" s="56" t="s">
        <v>1696</v>
      </c>
      <c r="AZ79" s="67" t="s">
        <v>2448</v>
      </c>
      <c r="BA79" s="56" t="str">
        <f t="shared" si="10"/>
        <v>POTENTIAL</v>
      </c>
      <c r="BB79" s="209">
        <f t="shared" si="11"/>
        <v>14.508990000000001</v>
      </c>
      <c r="BC79" s="56" t="s">
        <v>2246</v>
      </c>
      <c r="BD79" s="56" t="s">
        <v>2442</v>
      </c>
      <c r="BE79" s="56" t="s">
        <v>2444</v>
      </c>
      <c r="BF79" s="56" t="s">
        <v>2445</v>
      </c>
      <c r="BH79" s="73" t="s">
        <v>2853</v>
      </c>
      <c r="BJ79" s="279">
        <f t="shared" si="12"/>
        <v>36.092014925373135</v>
      </c>
    </row>
    <row r="80" spans="1:62" x14ac:dyDescent="0.3">
      <c r="A80" s="67" t="s">
        <v>2400</v>
      </c>
      <c r="B80" s="56" t="s">
        <v>2840</v>
      </c>
      <c r="C80" s="134" t="s">
        <v>2840</v>
      </c>
      <c r="D80" s="56" t="s">
        <v>962</v>
      </c>
      <c r="E80" s="76" t="s">
        <v>962</v>
      </c>
      <c r="F80" s="76" t="str">
        <f>VLOOKUP(E80,Codes!$G$1:$H$3,2,FALSE)</f>
        <v>hydro-PHS</v>
      </c>
      <c r="G80" s="56">
        <v>72</v>
      </c>
      <c r="H80" s="66" t="s">
        <v>2832</v>
      </c>
      <c r="I80" s="67" t="s">
        <v>1048</v>
      </c>
      <c r="J80" s="67" t="s">
        <v>1181</v>
      </c>
      <c r="L80" s="56" t="s">
        <v>1182</v>
      </c>
      <c r="M80" s="33" t="s">
        <v>2401</v>
      </c>
      <c r="N80" s="70">
        <v>56.406388999999997</v>
      </c>
      <c r="O80" s="70">
        <v>-5.1130560000000003</v>
      </c>
      <c r="P80" s="70">
        <v>56.406388999999997</v>
      </c>
      <c r="Q80" s="70">
        <v>-5.1130560000000003</v>
      </c>
      <c r="R80" s="56">
        <v>4</v>
      </c>
      <c r="S80" s="56">
        <v>4</v>
      </c>
      <c r="T80" s="71" t="s">
        <v>42</v>
      </c>
      <c r="U80" s="56">
        <v>400</v>
      </c>
      <c r="V80" s="56">
        <v>400</v>
      </c>
      <c r="AA80" s="56">
        <v>705</v>
      </c>
      <c r="AC80" s="73">
        <v>0.20106091718001368</v>
      </c>
      <c r="AE80" s="56">
        <v>1965</v>
      </c>
      <c r="AG80" s="56" t="s">
        <v>2400</v>
      </c>
      <c r="AH80" s="165"/>
      <c r="AI80" s="70">
        <v>56.407086999999997</v>
      </c>
      <c r="AJ80" s="74">
        <v>-5.1127190000000002</v>
      </c>
      <c r="AK80" s="75">
        <v>10</v>
      </c>
      <c r="AL80" s="56" t="s">
        <v>2402</v>
      </c>
      <c r="AM80" s="173">
        <v>3053</v>
      </c>
      <c r="AN80" s="74">
        <v>56.380200000000002</v>
      </c>
      <c r="AO80" s="74">
        <v>-5.0737079999999999</v>
      </c>
      <c r="AP80" s="71">
        <v>349.5</v>
      </c>
      <c r="AQ80" s="72">
        <v>10</v>
      </c>
      <c r="AR80" s="71">
        <v>167</v>
      </c>
      <c r="AU80" s="56">
        <v>200</v>
      </c>
      <c r="BA80" s="56" t="str">
        <f t="shared" si="10"/>
        <v>GETH</v>
      </c>
      <c r="BB80" s="209">
        <f t="shared" si="11"/>
        <v>10</v>
      </c>
      <c r="BC80" s="56" t="s">
        <v>2403</v>
      </c>
      <c r="BD80" s="56" t="s">
        <v>2269</v>
      </c>
      <c r="BE80" s="56" t="s">
        <v>2404</v>
      </c>
      <c r="BF80" s="56" t="s">
        <v>2742</v>
      </c>
      <c r="BH80" s="73" t="s">
        <v>2853</v>
      </c>
      <c r="BJ80" s="279">
        <f t="shared" si="12"/>
        <v>25</v>
      </c>
    </row>
    <row r="81" spans="1:62" x14ac:dyDescent="0.3">
      <c r="A81" s="67" t="s">
        <v>1104</v>
      </c>
      <c r="B81" s="56" t="s">
        <v>2840</v>
      </c>
      <c r="C81" s="134" t="s">
        <v>2840</v>
      </c>
      <c r="D81" s="56" t="s">
        <v>2787</v>
      </c>
      <c r="E81" s="76" t="s">
        <v>2787</v>
      </c>
      <c r="F81" s="76" t="str">
        <f>VLOOKUP(E81,Codes!$G$1:$H$3,2,FALSE)</f>
        <v>hydro-STO</v>
      </c>
      <c r="G81" s="56">
        <v>73</v>
      </c>
      <c r="H81" s="66" t="str">
        <f>VLOOKUP(I81,Codes!$A$1:$B$32,2,FALSE)</f>
        <v>AT</v>
      </c>
      <c r="I81" s="56" t="s">
        <v>13</v>
      </c>
      <c r="J81" s="56" t="s">
        <v>2455</v>
      </c>
      <c r="L81" s="56" t="s">
        <v>1104</v>
      </c>
      <c r="M81" s="69" t="s">
        <v>2453</v>
      </c>
      <c r="N81" s="70">
        <v>47.034140999999998</v>
      </c>
      <c r="O81" s="70">
        <v>10.748120999999999</v>
      </c>
      <c r="P81" s="70">
        <v>47.036000000000001</v>
      </c>
      <c r="Q81" s="70">
        <v>10.707000000000001</v>
      </c>
      <c r="R81" s="56">
        <v>5</v>
      </c>
      <c r="T81" s="71" t="s">
        <v>44</v>
      </c>
      <c r="U81" s="56">
        <v>392</v>
      </c>
      <c r="AA81" s="56">
        <v>661</v>
      </c>
      <c r="AC81" s="73">
        <v>0.19235962694454922</v>
      </c>
      <c r="AE81" s="56">
        <v>1964</v>
      </c>
      <c r="AG81" s="56" t="s">
        <v>1425</v>
      </c>
      <c r="AH81" s="56">
        <v>3309</v>
      </c>
      <c r="AI81" s="70">
        <v>46.955500999999998</v>
      </c>
      <c r="AJ81" s="74">
        <v>10.740614000000001</v>
      </c>
      <c r="AK81" s="75">
        <v>140</v>
      </c>
      <c r="AP81" s="71">
        <v>844</v>
      </c>
      <c r="AR81" s="71">
        <v>54</v>
      </c>
      <c r="BA81" s="56" t="str">
        <f t="shared" si="10"/>
        <v>POTENTIAL</v>
      </c>
      <c r="BB81" s="209">
        <f t="shared" si="11"/>
        <v>280.12781999999999</v>
      </c>
      <c r="BC81" s="56" t="s">
        <v>2454</v>
      </c>
      <c r="BH81" s="73" t="s">
        <v>2853</v>
      </c>
      <c r="BJ81" s="279">
        <f t="shared" si="12"/>
        <v>714.6117857142857</v>
      </c>
    </row>
    <row r="82" spans="1:62" x14ac:dyDescent="0.3">
      <c r="A82" s="56" t="s">
        <v>2096</v>
      </c>
      <c r="B82" s="56" t="s">
        <v>2840</v>
      </c>
      <c r="C82" s="134" t="s">
        <v>2840</v>
      </c>
      <c r="D82" s="56" t="s">
        <v>2787</v>
      </c>
      <c r="E82" s="76" t="s">
        <v>2787</v>
      </c>
      <c r="F82" s="76" t="str">
        <f>VLOOKUP(E82,Codes!$G$1:$H$3,2,FALSE)</f>
        <v>hydro-STO</v>
      </c>
      <c r="G82" s="56">
        <v>74</v>
      </c>
      <c r="H82" s="66" t="str">
        <f>VLOOKUP(I82,Codes!$A$1:$B$32,2,FALSE)</f>
        <v>CH</v>
      </c>
      <c r="I82" s="56" t="s">
        <v>22</v>
      </c>
      <c r="J82" s="56" t="s">
        <v>2089</v>
      </c>
      <c r="K82" s="67" t="s">
        <v>2019</v>
      </c>
      <c r="L82" s="56" t="s">
        <v>2096</v>
      </c>
      <c r="M82" s="69" t="s">
        <v>2091</v>
      </c>
      <c r="N82" s="70">
        <v>46.183329999999998</v>
      </c>
      <c r="O82" s="70">
        <v>7.3</v>
      </c>
      <c r="R82" s="56">
        <v>6</v>
      </c>
      <c r="T82" s="71" t="s">
        <v>44</v>
      </c>
      <c r="U82" s="56">
        <v>390</v>
      </c>
      <c r="AA82" s="56">
        <v>932.875</v>
      </c>
      <c r="AC82" s="73">
        <v>0.27287099925703623</v>
      </c>
      <c r="AE82" s="56" t="s">
        <v>2064</v>
      </c>
      <c r="AG82" s="56" t="s">
        <v>2088</v>
      </c>
      <c r="AH82" s="56">
        <v>3371</v>
      </c>
      <c r="AI82" s="70">
        <v>46.080326999999997</v>
      </c>
      <c r="AJ82" s="74">
        <v>7.4032600000000004</v>
      </c>
      <c r="AK82" s="75">
        <v>400</v>
      </c>
      <c r="AP82" s="71">
        <v>1008</v>
      </c>
      <c r="AR82" s="71">
        <v>46</v>
      </c>
      <c r="AU82" s="67"/>
      <c r="AV82" s="56" t="s">
        <v>2093</v>
      </c>
      <c r="AW82" s="56" t="s">
        <v>2057</v>
      </c>
      <c r="BA82" s="56" t="str">
        <f t="shared" si="10"/>
        <v>POTENTIAL</v>
      </c>
      <c r="BB82" s="209">
        <f t="shared" si="11"/>
        <v>955.88639999999998</v>
      </c>
      <c r="BC82" s="56" t="s">
        <v>2097</v>
      </c>
      <c r="BD82" s="56" t="s">
        <v>2098</v>
      </c>
      <c r="BH82" s="73" t="s">
        <v>2853</v>
      </c>
      <c r="BJ82" s="279">
        <f t="shared" si="12"/>
        <v>2450.9907692307693</v>
      </c>
    </row>
    <row r="83" spans="1:62" s="66" customFormat="1" x14ac:dyDescent="0.3">
      <c r="A83" s="56" t="s">
        <v>2782</v>
      </c>
      <c r="B83" s="56" t="s">
        <v>2840</v>
      </c>
      <c r="C83" s="134" t="s">
        <v>2840</v>
      </c>
      <c r="D83" s="56" t="s">
        <v>962</v>
      </c>
      <c r="E83" s="76" t="s">
        <v>962</v>
      </c>
      <c r="F83" s="76" t="str">
        <f>VLOOKUP(E83,Codes!$G$1:$H$3,2,FALSE)</f>
        <v>hydro-PHS</v>
      </c>
      <c r="G83" s="56">
        <v>75</v>
      </c>
      <c r="H83" s="66" t="str">
        <f>VLOOKUP(I83,Codes!$A$1:$B$32,2,FALSE)</f>
        <v>EL</v>
      </c>
      <c r="I83" s="56" t="s">
        <v>5</v>
      </c>
      <c r="J83" s="56"/>
      <c r="K83" s="67"/>
      <c r="L83" s="56" t="s">
        <v>451</v>
      </c>
      <c r="M83" s="77" t="s">
        <v>2456</v>
      </c>
      <c r="N83" s="70">
        <v>41.354444000000001</v>
      </c>
      <c r="O83" s="70">
        <v>24.366944</v>
      </c>
      <c r="P83" s="70">
        <v>41.354444000000001</v>
      </c>
      <c r="Q83" s="70">
        <v>24.366944</v>
      </c>
      <c r="R83" s="56">
        <v>3</v>
      </c>
      <c r="S83" s="56">
        <v>3</v>
      </c>
      <c r="T83" s="71" t="s">
        <v>42</v>
      </c>
      <c r="U83" s="56">
        <v>384</v>
      </c>
      <c r="V83" s="56">
        <v>384</v>
      </c>
      <c r="W83" s="56"/>
      <c r="X83" s="56"/>
      <c r="Y83" s="71"/>
      <c r="Z83" s="56"/>
      <c r="AA83" s="56">
        <v>440</v>
      </c>
      <c r="AB83" s="56"/>
      <c r="AC83" s="73">
        <v>0.13071336223286942</v>
      </c>
      <c r="AD83" s="73"/>
      <c r="AE83" s="56">
        <v>1997</v>
      </c>
      <c r="AF83" s="56"/>
      <c r="AG83" s="56" t="s">
        <v>2458</v>
      </c>
      <c r="AH83" s="56">
        <v>3991</v>
      </c>
      <c r="AI83" s="70">
        <v>41.353996000000002</v>
      </c>
      <c r="AJ83" s="74">
        <v>24.366377</v>
      </c>
      <c r="AK83" s="75">
        <v>565</v>
      </c>
      <c r="AL83" s="56" t="s">
        <v>2460</v>
      </c>
      <c r="AM83" s="56">
        <v>3992</v>
      </c>
      <c r="AN83" s="74">
        <v>41.336469000000001</v>
      </c>
      <c r="AO83" s="74">
        <v>24.462064999999999</v>
      </c>
      <c r="AP83" s="71">
        <v>135</v>
      </c>
      <c r="AQ83" s="72">
        <v>3.82</v>
      </c>
      <c r="AR83" s="71"/>
      <c r="AS83" s="71"/>
      <c r="AT83" s="71"/>
      <c r="AU83" s="56"/>
      <c r="AV83" s="56"/>
      <c r="AW83" s="56" t="s">
        <v>2457</v>
      </c>
      <c r="AX83" s="56"/>
      <c r="AY83" s="56"/>
      <c r="AZ83" s="56"/>
      <c r="BA83" s="56" t="str">
        <f t="shared" si="10"/>
        <v>GETH</v>
      </c>
      <c r="BB83" s="209">
        <f t="shared" si="11"/>
        <v>3.82</v>
      </c>
      <c r="BC83" s="56" t="s">
        <v>2459</v>
      </c>
      <c r="BD83" s="56" t="s">
        <v>2461</v>
      </c>
      <c r="BE83" s="56" t="s">
        <v>2269</v>
      </c>
      <c r="BF83" s="56"/>
      <c r="BG83" s="72"/>
      <c r="BH83" s="73" t="s">
        <v>2853</v>
      </c>
      <c r="BI83" s="56"/>
      <c r="BJ83" s="279">
        <f t="shared" si="12"/>
        <v>9.9479166666666661</v>
      </c>
    </row>
    <row r="84" spans="1:62" x14ac:dyDescent="0.3">
      <c r="A84" s="56" t="s">
        <v>2662</v>
      </c>
      <c r="B84" s="56" t="s">
        <v>2840</v>
      </c>
      <c r="C84" s="134" t="s">
        <v>2840</v>
      </c>
      <c r="D84" s="56" t="s">
        <v>2787</v>
      </c>
      <c r="E84" s="76" t="s">
        <v>2787</v>
      </c>
      <c r="F84" s="76" t="str">
        <f>VLOOKUP(E84,Codes!$G$1:$H$3,2,FALSE)</f>
        <v>hydro-STO</v>
      </c>
      <c r="G84" s="56">
        <v>76</v>
      </c>
      <c r="H84" s="66" t="str">
        <f>VLOOKUP(I84,Codes!$A$1:$B$32,2,FALSE)</f>
        <v>FR</v>
      </c>
      <c r="I84" s="56" t="s">
        <v>7</v>
      </c>
      <c r="L84" s="56" t="s">
        <v>243</v>
      </c>
      <c r="M84" s="69" t="s">
        <v>2659</v>
      </c>
      <c r="N84" s="70">
        <v>44.471643999999998</v>
      </c>
      <c r="O84" s="70">
        <v>6.2706179999999998</v>
      </c>
      <c r="P84" s="70">
        <v>44.471643999999998</v>
      </c>
      <c r="Q84" s="70">
        <v>6.2706179999999998</v>
      </c>
      <c r="R84" s="56">
        <v>4</v>
      </c>
      <c r="T84" s="71" t="s">
        <v>42</v>
      </c>
      <c r="U84" s="56">
        <v>380</v>
      </c>
      <c r="AA84" s="56">
        <v>700</v>
      </c>
      <c r="AC84" s="73">
        <v>0.21014205602987621</v>
      </c>
      <c r="AE84" s="56">
        <v>1960</v>
      </c>
      <c r="AG84" s="56" t="s">
        <v>2662</v>
      </c>
      <c r="AH84" s="56">
        <v>3433</v>
      </c>
      <c r="AI84" s="70">
        <v>44.471885</v>
      </c>
      <c r="AJ84" s="74">
        <v>6.2706480000000004</v>
      </c>
      <c r="AK84" s="75">
        <v>1270</v>
      </c>
      <c r="AP84" s="71">
        <v>128</v>
      </c>
      <c r="AR84" s="71">
        <v>300</v>
      </c>
      <c r="BA84" s="56" t="str">
        <f t="shared" si="10"/>
        <v>POTENTIAL</v>
      </c>
      <c r="BB84" s="209">
        <f t="shared" si="11"/>
        <v>385.38911999999999</v>
      </c>
      <c r="BC84" s="56" t="s">
        <v>2661</v>
      </c>
      <c r="BD84" s="56" t="s">
        <v>2660</v>
      </c>
      <c r="BH84" s="73" t="s">
        <v>2853</v>
      </c>
      <c r="BJ84" s="279">
        <f t="shared" si="12"/>
        <v>1014.1818947368421</v>
      </c>
    </row>
    <row r="85" spans="1:62" x14ac:dyDescent="0.3">
      <c r="A85" s="56" t="s">
        <v>2663</v>
      </c>
      <c r="B85" s="56" t="s">
        <v>2840</v>
      </c>
      <c r="C85" s="134" t="s">
        <v>2840</v>
      </c>
      <c r="D85" s="244" t="s">
        <v>2787</v>
      </c>
      <c r="E85" s="157" t="s">
        <v>2787</v>
      </c>
      <c r="F85" s="76" t="str">
        <f>VLOOKUP(E85,Codes!$G$1:$H$3,2,FALSE)</f>
        <v>hydro-STO</v>
      </c>
      <c r="G85" s="56">
        <v>77</v>
      </c>
      <c r="H85" s="66" t="str">
        <f>VLOOKUP(I85,Codes!$A$1:$B$32,2,FALSE)</f>
        <v>NO</v>
      </c>
      <c r="I85" s="56" t="s">
        <v>21</v>
      </c>
      <c r="J85" s="56" t="s">
        <v>2672</v>
      </c>
      <c r="L85" s="56" t="s">
        <v>2664</v>
      </c>
      <c r="N85" s="70">
        <v>61.305857000000003</v>
      </c>
      <c r="O85" s="70">
        <v>7.7911260000000002</v>
      </c>
      <c r="P85" s="70">
        <v>61.305857000000003</v>
      </c>
      <c r="Q85" s="70">
        <v>7.7911260000000002</v>
      </c>
      <c r="R85" s="56">
        <v>2</v>
      </c>
      <c r="T85" s="71" t="s">
        <v>44</v>
      </c>
      <c r="U85" s="56">
        <v>380</v>
      </c>
      <c r="AA85" s="56">
        <v>1400</v>
      </c>
      <c r="AC85" s="73">
        <v>0.42028411205975241</v>
      </c>
      <c r="AE85" s="56">
        <v>2004</v>
      </c>
      <c r="AG85" s="56" t="s">
        <v>2663</v>
      </c>
      <c r="AH85" s="165"/>
      <c r="AI85" s="70">
        <v>61.298879999999997</v>
      </c>
      <c r="AJ85" s="74">
        <v>8.2096269999999993</v>
      </c>
      <c r="AK85" s="75">
        <v>313</v>
      </c>
      <c r="AL85" s="56" t="s">
        <v>2670</v>
      </c>
      <c r="AN85" s="74">
        <v>61.289566000000001</v>
      </c>
      <c r="AO85" s="74">
        <v>7.7495750000000001</v>
      </c>
      <c r="AP85" s="71">
        <v>1047</v>
      </c>
      <c r="BA85" s="56" t="str">
        <f t="shared" si="10"/>
        <v>POTENTIAL</v>
      </c>
      <c r="BB85" s="209">
        <f t="shared" si="11"/>
        <v>776.92085324999994</v>
      </c>
      <c r="BC85" s="56" t="s">
        <v>2674</v>
      </c>
      <c r="BD85" s="56" t="s">
        <v>2673</v>
      </c>
      <c r="BE85" s="56" t="s">
        <v>2671</v>
      </c>
      <c r="BH85" s="73" t="s">
        <v>2853</v>
      </c>
      <c r="BJ85" s="279">
        <f t="shared" si="12"/>
        <v>2044.5285611842103</v>
      </c>
    </row>
    <row r="86" spans="1:62" x14ac:dyDescent="0.3">
      <c r="A86" s="56" t="s">
        <v>2675</v>
      </c>
      <c r="B86" s="56" t="s">
        <v>2840</v>
      </c>
      <c r="C86" s="134" t="s">
        <v>2840</v>
      </c>
      <c r="D86" s="56" t="s">
        <v>962</v>
      </c>
      <c r="E86" s="76" t="s">
        <v>962</v>
      </c>
      <c r="F86" s="76" t="str">
        <f>VLOOKUP(E86,Codes!$G$1:$H$3,2,FALSE)</f>
        <v>hydro-PHS</v>
      </c>
      <c r="G86" s="56">
        <v>78</v>
      </c>
      <c r="H86" s="66" t="str">
        <f>VLOOKUP(I86,Codes!$A$1:$B$32,2,FALSE)</f>
        <v>ES</v>
      </c>
      <c r="I86" s="56" t="s">
        <v>6</v>
      </c>
      <c r="J86" s="56" t="s">
        <v>2115</v>
      </c>
      <c r="L86" s="56" t="s">
        <v>2678</v>
      </c>
      <c r="M86" s="69" t="s">
        <v>2679</v>
      </c>
      <c r="N86" s="70">
        <v>36.908369</v>
      </c>
      <c r="O86" s="70">
        <v>-4.7628919999999999</v>
      </c>
      <c r="P86" s="70">
        <v>36.921999999999997</v>
      </c>
      <c r="Q86" s="70">
        <v>-4.7770000000000001</v>
      </c>
      <c r="R86" s="56">
        <v>4</v>
      </c>
      <c r="S86" s="56">
        <v>4</v>
      </c>
      <c r="T86" s="71" t="s">
        <v>2064</v>
      </c>
      <c r="U86" s="56">
        <v>380</v>
      </c>
      <c r="V86" s="56">
        <v>360</v>
      </c>
      <c r="AD86" s="72"/>
      <c r="AE86" s="56">
        <v>1977</v>
      </c>
      <c r="AG86" s="56" t="s">
        <v>2771</v>
      </c>
      <c r="AH86" s="165"/>
      <c r="AI86" s="70">
        <v>36.903770000000002</v>
      </c>
      <c r="AJ86" s="74">
        <v>-4.7780940000000003</v>
      </c>
      <c r="AK86" s="75">
        <v>4</v>
      </c>
      <c r="AL86" s="56" t="s">
        <v>2677</v>
      </c>
      <c r="AN86" s="74">
        <v>36.907857999999997</v>
      </c>
      <c r="AO86" s="74">
        <v>-4.7625799999999998</v>
      </c>
      <c r="AP86" s="71">
        <v>341</v>
      </c>
      <c r="AQ86" s="72">
        <v>1</v>
      </c>
      <c r="AR86" s="71">
        <v>108.8</v>
      </c>
      <c r="AU86" s="56">
        <v>98</v>
      </c>
      <c r="BA86" s="56" t="str">
        <f t="shared" si="10"/>
        <v>GETH</v>
      </c>
      <c r="BB86" s="209">
        <f t="shared" si="11"/>
        <v>1</v>
      </c>
      <c r="BC86" s="56" t="s">
        <v>2468</v>
      </c>
      <c r="BD86" s="56" t="s">
        <v>2676</v>
      </c>
      <c r="BE86" s="56" t="s">
        <v>2680</v>
      </c>
      <c r="BF86" s="56" t="s">
        <v>2681</v>
      </c>
      <c r="BG86" s="72" t="s">
        <v>2682</v>
      </c>
      <c r="BH86" s="73" t="s">
        <v>2853</v>
      </c>
      <c r="BJ86" s="279">
        <f t="shared" si="12"/>
        <v>2.6315789473684212</v>
      </c>
    </row>
    <row r="87" spans="1:62" x14ac:dyDescent="0.3">
      <c r="A87" s="56" t="s">
        <v>1734</v>
      </c>
      <c r="B87" s="56" t="s">
        <v>2840</v>
      </c>
      <c r="C87" s="134" t="s">
        <v>2840</v>
      </c>
      <c r="D87" s="56" t="s">
        <v>29</v>
      </c>
      <c r="E87" s="76" t="s">
        <v>29</v>
      </c>
      <c r="F87" s="76" t="str">
        <f>VLOOKUP(E87,Codes!$G$1:$H$3,2,FALSE)</f>
        <v>hydro-ROR</v>
      </c>
      <c r="G87" s="56">
        <v>79</v>
      </c>
      <c r="H87" s="66" t="str">
        <f>VLOOKUP(I87,Codes!$A$1:$B$32,2,FALSE)</f>
        <v>PT</v>
      </c>
      <c r="I87" s="56" t="s">
        <v>15</v>
      </c>
      <c r="K87" s="67"/>
      <c r="L87" s="56" t="s">
        <v>2669</v>
      </c>
      <c r="M87" s="77"/>
      <c r="N87" s="70">
        <v>41.489750000000001</v>
      </c>
      <c r="O87" s="70">
        <v>-6.2639189999999996</v>
      </c>
      <c r="P87" s="70">
        <v>41.489750000000001</v>
      </c>
      <c r="Q87" s="70">
        <v>-6.2639189999999996</v>
      </c>
      <c r="R87" s="56">
        <v>4</v>
      </c>
      <c r="T87" s="71" t="s">
        <v>42</v>
      </c>
      <c r="U87" s="56">
        <v>369.52</v>
      </c>
      <c r="AA87" s="56">
        <v>897.8</v>
      </c>
      <c r="AC87" s="73">
        <v>0.27716614760220476</v>
      </c>
      <c r="AE87" s="56">
        <v>1960</v>
      </c>
      <c r="AF87" s="56">
        <v>1995</v>
      </c>
      <c r="AG87" s="56" t="s">
        <v>1734</v>
      </c>
      <c r="AH87" s="56">
        <v>2727</v>
      </c>
      <c r="AI87" s="70">
        <v>41.489981</v>
      </c>
      <c r="AJ87" s="74">
        <v>-6.2642439999999997</v>
      </c>
      <c r="AK87" s="75">
        <v>6.66</v>
      </c>
      <c r="AP87" s="71">
        <v>54.060456808833081</v>
      </c>
      <c r="AR87" s="71">
        <v>470</v>
      </c>
      <c r="BA87" s="56" t="str">
        <f t="shared" si="10"/>
        <v>POTENTIAL</v>
      </c>
      <c r="BB87" s="209">
        <f t="shared" si="11"/>
        <v>0.85357109434374323</v>
      </c>
      <c r="BC87" s="56" t="s">
        <v>2395</v>
      </c>
      <c r="BH87" s="73" t="s">
        <v>2853</v>
      </c>
      <c r="BJ87" s="279">
        <f t="shared" si="12"/>
        <v>2.3099455898022931</v>
      </c>
    </row>
    <row r="88" spans="1:62" x14ac:dyDescent="0.3">
      <c r="A88" s="67" t="s">
        <v>1484</v>
      </c>
      <c r="B88" s="56" t="s">
        <v>2840</v>
      </c>
      <c r="C88" s="134" t="s">
        <v>2840</v>
      </c>
      <c r="D88" s="244" t="s">
        <v>29</v>
      </c>
      <c r="E88" s="245" t="str">
        <f>D88</f>
        <v>RoR</v>
      </c>
      <c r="F88" s="76" t="str">
        <f>VLOOKUP(E88,Codes!$G$1:$H$3,2,FALSE)</f>
        <v>hydro-ROR</v>
      </c>
      <c r="G88" s="56">
        <v>80</v>
      </c>
      <c r="H88" s="66" t="str">
        <f>VLOOKUP(I88,Codes!$A$1:$B$32,2,FALSE)</f>
        <v>CZ</v>
      </c>
      <c r="I88" s="56" t="s">
        <v>2</v>
      </c>
      <c r="J88" s="56" t="s">
        <v>2298</v>
      </c>
      <c r="K88" s="67"/>
      <c r="L88" s="56" t="s">
        <v>167</v>
      </c>
      <c r="M88" s="77" t="s">
        <v>2687</v>
      </c>
      <c r="N88" s="70">
        <v>49.6068444</v>
      </c>
      <c r="O88" s="70">
        <v>14.181225299999999</v>
      </c>
      <c r="P88" s="70">
        <v>49.563000000000002</v>
      </c>
      <c r="Q88" s="70">
        <v>14.21</v>
      </c>
      <c r="R88" s="56">
        <v>4</v>
      </c>
      <c r="T88" s="71" t="s">
        <v>2129</v>
      </c>
      <c r="U88" s="56">
        <v>364</v>
      </c>
      <c r="W88" s="56">
        <v>128</v>
      </c>
      <c r="AA88" s="56">
        <v>300</v>
      </c>
      <c r="AC88" s="73">
        <v>9.4019601206459524E-2</v>
      </c>
      <c r="AE88" s="56">
        <v>1961</v>
      </c>
      <c r="AF88" s="56">
        <v>2002</v>
      </c>
      <c r="AG88" s="56" t="s">
        <v>1484</v>
      </c>
      <c r="AH88" s="56">
        <v>3263</v>
      </c>
      <c r="AI88" s="70">
        <v>49.6068444</v>
      </c>
      <c r="AJ88" s="74">
        <v>14.181225299999999</v>
      </c>
      <c r="AK88" s="75">
        <v>703.8</v>
      </c>
      <c r="AP88" s="71">
        <v>70.5</v>
      </c>
      <c r="AR88" s="71">
        <v>200</v>
      </c>
      <c r="AZ88" s="56" t="s">
        <v>2685</v>
      </c>
      <c r="BA88" s="56" t="str">
        <f t="shared" si="10"/>
        <v>POTENTIAL</v>
      </c>
      <c r="BB88" s="209">
        <f t="shared" si="11"/>
        <v>117.63163642499998</v>
      </c>
      <c r="BC88" s="56" t="s">
        <v>2684</v>
      </c>
      <c r="BD88" s="56" t="s">
        <v>2686</v>
      </c>
      <c r="BE88" s="56" t="s">
        <v>2688</v>
      </c>
      <c r="BF88" s="56" t="s">
        <v>2689</v>
      </c>
      <c r="BH88" s="73" t="s">
        <v>2853</v>
      </c>
      <c r="BJ88" s="279">
        <f t="shared" si="12"/>
        <v>323.16383633241753</v>
      </c>
    </row>
    <row r="89" spans="1:62" ht="11.25" customHeight="1" x14ac:dyDescent="0.3">
      <c r="A89" s="56" t="s">
        <v>1519</v>
      </c>
      <c r="B89" s="56" t="s">
        <v>2840</v>
      </c>
      <c r="C89" s="134" t="s">
        <v>2840</v>
      </c>
      <c r="D89" s="56" t="s">
        <v>2787</v>
      </c>
      <c r="E89" s="76" t="s">
        <v>2787</v>
      </c>
      <c r="F89" s="76" t="str">
        <f>VLOOKUP(E89,Codes!$G$1:$H$3,2,FALSE)</f>
        <v>hydro-STO</v>
      </c>
      <c r="G89" s="56">
        <v>81</v>
      </c>
      <c r="H89" s="66" t="str">
        <f>VLOOKUP(I89,Codes!$A$1:$B$32,2,FALSE)</f>
        <v>FR</v>
      </c>
      <c r="I89" s="56" t="s">
        <v>7</v>
      </c>
      <c r="J89" s="56" t="s">
        <v>2330</v>
      </c>
      <c r="L89" s="56" t="s">
        <v>228</v>
      </c>
      <c r="M89" s="69" t="s">
        <v>2690</v>
      </c>
      <c r="N89" s="70">
        <v>44.961181000000003</v>
      </c>
      <c r="O89" s="70">
        <v>5.6887509999999999</v>
      </c>
      <c r="P89" s="70">
        <v>44.961181000000003</v>
      </c>
      <c r="Q89" s="70">
        <v>5.6887509999999999</v>
      </c>
      <c r="R89" s="56">
        <v>4</v>
      </c>
      <c r="T89" s="71" t="s">
        <v>42</v>
      </c>
      <c r="U89" s="56">
        <v>364</v>
      </c>
      <c r="AA89" s="56">
        <v>480</v>
      </c>
      <c r="AC89" s="73">
        <v>0.15043136193033524</v>
      </c>
      <c r="AE89" s="56">
        <v>1963</v>
      </c>
      <c r="AG89" s="56" t="s">
        <v>1519</v>
      </c>
      <c r="AH89" s="56">
        <v>3421</v>
      </c>
      <c r="AI89" s="70">
        <v>44.961091000000003</v>
      </c>
      <c r="AJ89" s="74">
        <v>5.6890539999999996</v>
      </c>
      <c r="AK89" s="75">
        <v>275</v>
      </c>
      <c r="AP89" s="71">
        <v>120</v>
      </c>
      <c r="AR89" s="71">
        <v>338</v>
      </c>
      <c r="BA89" s="56" t="str">
        <f t="shared" si="10"/>
        <v>POTENTIAL</v>
      </c>
      <c r="BB89" s="209">
        <f t="shared" si="11"/>
        <v>78.234750000000005</v>
      </c>
      <c r="BC89" s="56" t="s">
        <v>2691</v>
      </c>
      <c r="BD89" s="56" t="s">
        <v>2692</v>
      </c>
      <c r="BH89" s="73" t="s">
        <v>2853</v>
      </c>
      <c r="BJ89" s="279">
        <f t="shared" si="12"/>
        <v>214.93063186813188</v>
      </c>
    </row>
    <row r="90" spans="1:62" x14ac:dyDescent="0.3">
      <c r="A90" s="56" t="s">
        <v>2467</v>
      </c>
      <c r="B90" s="56" t="s">
        <v>2840</v>
      </c>
      <c r="C90" s="134" t="s">
        <v>2840</v>
      </c>
      <c r="D90" s="243" t="s">
        <v>962</v>
      </c>
      <c r="E90" s="76" t="s">
        <v>962</v>
      </c>
      <c r="F90" s="76" t="str">
        <f>VLOOKUP(E90,Codes!$G$1:$H$3,2,FALSE)</f>
        <v>hydro-PHS</v>
      </c>
      <c r="G90" s="56">
        <v>82</v>
      </c>
      <c r="H90" s="66" t="str">
        <f>VLOOKUP(I90,Codes!$A$1:$B$32,2,FALSE)</f>
        <v>AT</v>
      </c>
      <c r="I90" s="56" t="s">
        <v>13</v>
      </c>
      <c r="J90" s="56" t="s">
        <v>2180</v>
      </c>
      <c r="K90" s="33" t="s">
        <v>2467</v>
      </c>
      <c r="M90" s="33" t="s">
        <v>2280</v>
      </c>
      <c r="N90" s="70">
        <v>47.146110999999998</v>
      </c>
      <c r="O90" s="70">
        <v>11.967222</v>
      </c>
      <c r="R90" s="67">
        <v>2</v>
      </c>
      <c r="S90" s="78">
        <v>2</v>
      </c>
      <c r="T90" s="79" t="s">
        <v>42</v>
      </c>
      <c r="U90" s="67">
        <v>360</v>
      </c>
      <c r="V90" s="67">
        <v>360</v>
      </c>
      <c r="Z90" s="78"/>
      <c r="AA90" s="56">
        <v>175.2</v>
      </c>
      <c r="AC90" s="73">
        <v>5.5517529850178722E-2</v>
      </c>
      <c r="AE90" s="56">
        <v>1988</v>
      </c>
      <c r="AF90" s="79"/>
      <c r="AG90" s="56" t="s">
        <v>38</v>
      </c>
      <c r="AH90" s="56">
        <v>3302</v>
      </c>
      <c r="AI90" s="70">
        <v>47.121366000000002</v>
      </c>
      <c r="AJ90" s="74">
        <v>12.061754000000001</v>
      </c>
      <c r="AK90" s="75">
        <v>68.7</v>
      </c>
      <c r="AL90" s="56" t="s">
        <v>2283</v>
      </c>
      <c r="AN90" s="74">
        <v>47.121465999999998</v>
      </c>
      <c r="AO90" s="74">
        <v>11.867184</v>
      </c>
      <c r="AP90" s="71">
        <v>726</v>
      </c>
      <c r="AQ90" s="72">
        <v>11.17</v>
      </c>
      <c r="AZ90" s="78"/>
      <c r="BA90" s="56" t="str">
        <f t="shared" si="10"/>
        <v>GETH</v>
      </c>
      <c r="BB90" s="209">
        <f t="shared" si="11"/>
        <v>11.17</v>
      </c>
      <c r="BC90" s="33" t="s">
        <v>39</v>
      </c>
      <c r="BD90" s="56" t="s">
        <v>40</v>
      </c>
      <c r="BE90" s="56" t="s">
        <v>2282</v>
      </c>
      <c r="BH90" s="73" t="s">
        <v>2853</v>
      </c>
      <c r="BJ90" s="279">
        <f t="shared" si="12"/>
        <v>31.027777777777779</v>
      </c>
    </row>
    <row r="91" spans="1:62" x14ac:dyDescent="0.3">
      <c r="A91" s="56" t="s">
        <v>2718</v>
      </c>
      <c r="B91" s="56" t="s">
        <v>2840</v>
      </c>
      <c r="C91" s="134" t="s">
        <v>2840</v>
      </c>
      <c r="D91" s="56" t="s">
        <v>2787</v>
      </c>
      <c r="E91" s="76" t="s">
        <v>2787</v>
      </c>
      <c r="F91" s="76" t="str">
        <f>VLOOKUP(E91,Codes!$G$1:$H$3,2,FALSE)</f>
        <v>hydro-STO</v>
      </c>
      <c r="G91" s="56">
        <v>83</v>
      </c>
      <c r="H91" s="66" t="str">
        <f>VLOOKUP(I91,Codes!$A$1:$B$32,2,FALSE)</f>
        <v>FR</v>
      </c>
      <c r="I91" s="56" t="s">
        <v>7</v>
      </c>
      <c r="J91" s="56" t="s">
        <v>2330</v>
      </c>
      <c r="K91" s="33"/>
      <c r="L91" s="56" t="s">
        <v>2718</v>
      </c>
      <c r="M91" s="33" t="s">
        <v>2719</v>
      </c>
      <c r="N91" s="70">
        <v>45.21293</v>
      </c>
      <c r="O91" s="70">
        <v>6.7152599999999998</v>
      </c>
      <c r="P91" s="70">
        <v>45.21293</v>
      </c>
      <c r="Q91" s="70">
        <v>6.7152599999999998</v>
      </c>
      <c r="R91" s="67">
        <v>2</v>
      </c>
      <c r="S91" s="78"/>
      <c r="T91" s="79" t="s">
        <v>44</v>
      </c>
      <c r="U91" s="67">
        <v>357</v>
      </c>
      <c r="V91" s="67"/>
      <c r="Z91" s="78"/>
      <c r="AA91" s="56">
        <v>578</v>
      </c>
      <c r="AC91" s="73">
        <v>0.1846962832589116</v>
      </c>
      <c r="AE91" s="56">
        <v>1968</v>
      </c>
      <c r="AF91" s="79"/>
      <c r="AG91" s="56" t="s">
        <v>1525</v>
      </c>
      <c r="AH91" s="56">
        <v>3411</v>
      </c>
      <c r="AI91" s="70">
        <v>45.228749999999998</v>
      </c>
      <c r="AJ91" s="74">
        <v>6.94625</v>
      </c>
      <c r="AK91" s="75">
        <v>332.2</v>
      </c>
      <c r="AP91" s="71">
        <v>880</v>
      </c>
      <c r="AR91" s="71">
        <v>73</v>
      </c>
      <c r="AZ91" s="78"/>
      <c r="BA91" s="56" t="str">
        <f t="shared" si="10"/>
        <v>POTENTIAL</v>
      </c>
      <c r="BB91" s="209">
        <f t="shared" si="11"/>
        <v>693.05557199999998</v>
      </c>
      <c r="BC91" s="33" t="s">
        <v>2720</v>
      </c>
      <c r="BD91" s="56" t="s">
        <v>2721</v>
      </c>
      <c r="BH91" s="73" t="s">
        <v>2853</v>
      </c>
      <c r="BJ91" s="279">
        <f t="shared" si="12"/>
        <v>1941.3321344537815</v>
      </c>
    </row>
    <row r="92" spans="1:62" x14ac:dyDescent="0.3">
      <c r="A92" s="398" t="s">
        <v>2783</v>
      </c>
      <c r="B92" s="56" t="s">
        <v>2840</v>
      </c>
      <c r="C92" s="134" t="s">
        <v>2840</v>
      </c>
      <c r="D92" s="56" t="s">
        <v>962</v>
      </c>
      <c r="E92" s="76" t="s">
        <v>962</v>
      </c>
      <c r="F92" s="76" t="str">
        <f>VLOOKUP(E92,Codes!$G$1:$H$3,2,FALSE)</f>
        <v>hydro-PHS</v>
      </c>
      <c r="G92" s="56">
        <v>84</v>
      </c>
      <c r="H92" s="66" t="str">
        <f>VLOOKUP(I92,Codes!$A$1:$B$32,2,FALSE)</f>
        <v>DE</v>
      </c>
      <c r="I92" s="56" t="s">
        <v>3</v>
      </c>
      <c r="J92" s="56" t="s">
        <v>2200</v>
      </c>
      <c r="K92" s="67"/>
      <c r="L92" s="56" t="s">
        <v>2667</v>
      </c>
      <c r="M92" s="33"/>
      <c r="N92" s="70">
        <v>47.565607</v>
      </c>
      <c r="O92" s="70">
        <v>7.9536300000000004</v>
      </c>
      <c r="P92" s="70">
        <v>47.565607</v>
      </c>
      <c r="Q92" s="70">
        <v>7.9536300000000004</v>
      </c>
      <c r="R92" s="56">
        <v>4</v>
      </c>
      <c r="S92" s="56">
        <v>4</v>
      </c>
      <c r="T92" s="71" t="s">
        <v>2697</v>
      </c>
      <c r="U92" s="56">
        <v>360</v>
      </c>
      <c r="V92" s="56">
        <v>300</v>
      </c>
      <c r="AE92" s="56">
        <v>1964</v>
      </c>
      <c r="AG92" s="56" t="s">
        <v>2357</v>
      </c>
      <c r="AH92" s="165"/>
      <c r="AI92" s="70">
        <v>47.580925999999998</v>
      </c>
      <c r="AJ92" s="74">
        <v>7.9596809999999998</v>
      </c>
      <c r="AK92" s="75">
        <v>2.1</v>
      </c>
      <c r="AL92" s="56" t="s">
        <v>2920</v>
      </c>
      <c r="AP92" s="71">
        <v>413</v>
      </c>
      <c r="AQ92" s="72">
        <v>2.0640000000000001</v>
      </c>
      <c r="BA92" s="56" t="str">
        <f t="shared" si="10"/>
        <v>GETH</v>
      </c>
      <c r="BB92" s="209">
        <f t="shared" si="11"/>
        <v>2.0640000000000001</v>
      </c>
      <c r="BC92" s="56" t="s">
        <v>2358</v>
      </c>
      <c r="BD92" s="56" t="s">
        <v>2359</v>
      </c>
      <c r="BE92" s="56" t="s">
        <v>2269</v>
      </c>
      <c r="BH92" s="73" t="s">
        <v>2853</v>
      </c>
      <c r="BJ92" s="279">
        <f t="shared" si="12"/>
        <v>5.7333333333333334</v>
      </c>
    </row>
    <row r="93" spans="1:62" x14ac:dyDescent="0.3">
      <c r="A93" s="56" t="s">
        <v>1053</v>
      </c>
      <c r="B93" s="56" t="s">
        <v>2840</v>
      </c>
      <c r="C93" s="134" t="s">
        <v>2840</v>
      </c>
      <c r="D93" s="33" t="s">
        <v>962</v>
      </c>
      <c r="E93" s="76" t="s">
        <v>962</v>
      </c>
      <c r="F93" s="76" t="str">
        <f>VLOOKUP(E93,Codes!$G$1:$H$3,2,FALSE)</f>
        <v>hydro-PHS</v>
      </c>
      <c r="G93" s="56">
        <v>85</v>
      </c>
      <c r="H93" s="132" t="s">
        <v>2832</v>
      </c>
      <c r="I93" s="56" t="s">
        <v>1048</v>
      </c>
      <c r="J93" s="56" t="s">
        <v>1051</v>
      </c>
      <c r="L93" s="56" t="s">
        <v>1052</v>
      </c>
      <c r="M93" s="33"/>
      <c r="N93" s="70">
        <v>52.980832999999997</v>
      </c>
      <c r="O93" s="70">
        <v>-3.9688889999999999</v>
      </c>
      <c r="P93" s="397"/>
      <c r="Q93" s="397"/>
      <c r="R93" s="56">
        <v>4</v>
      </c>
      <c r="S93" s="56">
        <v>4</v>
      </c>
      <c r="U93" s="56">
        <v>360</v>
      </c>
      <c r="V93" s="56">
        <v>300</v>
      </c>
      <c r="W93" s="56">
        <v>60</v>
      </c>
      <c r="AE93" s="56">
        <v>1963</v>
      </c>
      <c r="AG93" s="56" t="s">
        <v>2694</v>
      </c>
      <c r="AH93" s="165"/>
      <c r="AI93" s="70">
        <v>52.980939999999997</v>
      </c>
      <c r="AJ93" s="74">
        <v>-3.9899710000000002</v>
      </c>
      <c r="AK93" s="75">
        <v>1.7</v>
      </c>
      <c r="AL93" s="56" t="s">
        <v>2695</v>
      </c>
      <c r="AM93" s="165"/>
      <c r="AN93" s="74">
        <v>52.981065999999998</v>
      </c>
      <c r="AO93" s="74">
        <v>-3.9664959999999998</v>
      </c>
      <c r="AP93" s="71">
        <v>307.5</v>
      </c>
      <c r="AQ93" s="72">
        <v>1.3</v>
      </c>
      <c r="AR93" s="71">
        <v>27</v>
      </c>
      <c r="AU93" s="56">
        <v>22</v>
      </c>
      <c r="AZ93" s="56" t="s">
        <v>2696</v>
      </c>
      <c r="BA93" s="56" t="str">
        <f t="shared" si="10"/>
        <v>GETH</v>
      </c>
      <c r="BB93" s="209">
        <f t="shared" si="11"/>
        <v>1.3</v>
      </c>
      <c r="BC93" s="56" t="s">
        <v>2468</v>
      </c>
      <c r="BD93" s="56" t="s">
        <v>2693</v>
      </c>
      <c r="BE93" s="56" t="s">
        <v>2698</v>
      </c>
      <c r="BH93" s="73" t="s">
        <v>2853</v>
      </c>
      <c r="BJ93" s="279">
        <f t="shared" si="12"/>
        <v>3.6111111111111112</v>
      </c>
    </row>
    <row r="94" spans="1:62" x14ac:dyDescent="0.3">
      <c r="A94" s="56" t="s">
        <v>2477</v>
      </c>
      <c r="B94" s="56" t="s">
        <v>2840</v>
      </c>
      <c r="C94" s="134" t="s">
        <v>2840</v>
      </c>
      <c r="D94" s="56" t="s">
        <v>962</v>
      </c>
      <c r="E94" s="76" t="s">
        <v>962</v>
      </c>
      <c r="F94" s="76" t="str">
        <f>VLOOKUP(E94,Codes!$G$1:$H$3,2,FALSE)</f>
        <v>hydro-PHS</v>
      </c>
      <c r="G94" s="56">
        <v>86</v>
      </c>
      <c r="H94" s="66" t="str">
        <f>VLOOKUP(I94,Codes!$A$1:$B$32,2,FALSE)</f>
        <v>IT</v>
      </c>
      <c r="I94" s="56" t="s">
        <v>9</v>
      </c>
      <c r="N94" s="70">
        <v>46.067701999999997</v>
      </c>
      <c r="O94" s="70">
        <v>10.982813999999999</v>
      </c>
      <c r="P94" s="70">
        <v>46.067701999999997</v>
      </c>
      <c r="Q94" s="70">
        <v>10.982813999999999</v>
      </c>
      <c r="R94" s="56">
        <v>15</v>
      </c>
      <c r="S94" s="56">
        <v>2</v>
      </c>
      <c r="T94" s="71" t="s">
        <v>2708</v>
      </c>
      <c r="U94" s="56">
        <v>350</v>
      </c>
      <c r="V94" s="56">
        <v>350</v>
      </c>
      <c r="AD94" s="72"/>
      <c r="AG94" s="56" t="s">
        <v>2705</v>
      </c>
      <c r="AH94" s="165"/>
      <c r="AI94" s="70">
        <v>46.123626000000002</v>
      </c>
      <c r="AJ94" s="74">
        <v>10.957356000000001</v>
      </c>
      <c r="AK94" s="75">
        <v>32.700000000000003</v>
      </c>
      <c r="AL94" s="56" t="s">
        <v>2706</v>
      </c>
      <c r="AN94" s="74">
        <v>46.066760000000002</v>
      </c>
      <c r="AO94" s="74">
        <v>10.983506</v>
      </c>
      <c r="AP94" s="71">
        <v>580.9</v>
      </c>
      <c r="AR94" s="71">
        <v>41</v>
      </c>
      <c r="BA94" s="56" t="str">
        <f t="shared" si="10"/>
        <v>POTENTIAL</v>
      </c>
      <c r="BB94" s="209">
        <f t="shared" si="11"/>
        <v>45.033415672499999</v>
      </c>
      <c r="BC94" s="56" t="s">
        <v>2468</v>
      </c>
      <c r="BD94" s="56" t="s">
        <v>2707</v>
      </c>
      <c r="BH94" s="73" t="s">
        <v>2853</v>
      </c>
      <c r="BJ94" s="279">
        <f t="shared" si="12"/>
        <v>128.66690192142858</v>
      </c>
    </row>
    <row r="95" spans="1:62" x14ac:dyDescent="0.3">
      <c r="A95" s="56" t="s">
        <v>2699</v>
      </c>
      <c r="B95" s="56" t="s">
        <v>2840</v>
      </c>
      <c r="C95" s="134" t="s">
        <v>2840</v>
      </c>
      <c r="D95" s="56" t="s">
        <v>29</v>
      </c>
      <c r="E95" s="76" t="s">
        <v>29</v>
      </c>
      <c r="F95" s="76" t="str">
        <f>VLOOKUP(E95,Codes!$G$1:$H$3,2,FALSE)</f>
        <v>hydro-ROR</v>
      </c>
      <c r="G95" s="56">
        <v>87</v>
      </c>
      <c r="H95" s="66" t="str">
        <f>VLOOKUP(I95,Codes!$A$1:$B$32,2,FALSE)</f>
        <v>FR</v>
      </c>
      <c r="I95" s="56" t="s">
        <v>7</v>
      </c>
      <c r="J95" s="56" t="s">
        <v>2701</v>
      </c>
      <c r="L95" s="56" t="s">
        <v>213</v>
      </c>
      <c r="M95" s="69" t="s">
        <v>2700</v>
      </c>
      <c r="N95" s="70">
        <v>44.303735000000003</v>
      </c>
      <c r="O95" s="70">
        <v>4.7424249999999999</v>
      </c>
      <c r="P95" s="70">
        <v>44.303735000000003</v>
      </c>
      <c r="Q95" s="70">
        <v>4.6509999999999998</v>
      </c>
      <c r="R95" s="56">
        <v>6</v>
      </c>
      <c r="T95" s="71" t="s">
        <v>2129</v>
      </c>
      <c r="U95" s="56">
        <v>348</v>
      </c>
      <c r="AA95" s="56">
        <v>739.8</v>
      </c>
      <c r="AC95" s="73">
        <v>0.2425122141188133</v>
      </c>
      <c r="AE95" s="56">
        <v>1952</v>
      </c>
      <c r="AG95" s="56" t="s">
        <v>2703</v>
      </c>
      <c r="AH95" s="165"/>
      <c r="AI95" s="70">
        <v>44.303735000000003</v>
      </c>
      <c r="AJ95" s="74">
        <v>4.7424249999999999</v>
      </c>
      <c r="AK95" s="75">
        <v>0.2</v>
      </c>
      <c r="AP95" s="71">
        <v>23</v>
      </c>
      <c r="AR95" s="71">
        <v>1980</v>
      </c>
      <c r="BA95" s="56" t="str">
        <f t="shared" si="10"/>
        <v>POTENTIAL</v>
      </c>
      <c r="BB95" s="211">
        <f t="shared" si="11"/>
        <v>1.0905450000000001E-2</v>
      </c>
      <c r="BC95" s="56" t="s">
        <v>2702</v>
      </c>
      <c r="BD95" s="56" t="s">
        <v>2704</v>
      </c>
      <c r="BH95" s="73" t="s">
        <v>2853</v>
      </c>
      <c r="BJ95" s="279">
        <f t="shared" si="12"/>
        <v>3.1337500000000004E-2</v>
      </c>
    </row>
    <row r="96" spans="1:62" x14ac:dyDescent="0.3">
      <c r="A96" s="56" t="s">
        <v>2061</v>
      </c>
      <c r="B96" s="56" t="s">
        <v>2840</v>
      </c>
      <c r="C96" s="134" t="s">
        <v>2840</v>
      </c>
      <c r="D96" s="56" t="s">
        <v>962</v>
      </c>
      <c r="E96" s="76" t="s">
        <v>962</v>
      </c>
      <c r="F96" s="76" t="str">
        <f>VLOOKUP(E96,Codes!$G$1:$H$3,2,FALSE)</f>
        <v>hydro-PHS</v>
      </c>
      <c r="G96" s="56">
        <v>88</v>
      </c>
      <c r="H96" s="66" t="str">
        <f>VLOOKUP(I96,Codes!$A$1:$B$32,2,FALSE)</f>
        <v>CH</v>
      </c>
      <c r="I96" s="56" t="s">
        <v>22</v>
      </c>
      <c r="J96" s="56" t="s">
        <v>2153</v>
      </c>
      <c r="K96" s="56" t="s">
        <v>2066</v>
      </c>
      <c r="L96" s="56" t="s">
        <v>2066</v>
      </c>
      <c r="M96" s="69" t="s">
        <v>2067</v>
      </c>
      <c r="N96" s="70">
        <v>46.565359106343998</v>
      </c>
      <c r="O96" s="70">
        <v>8.3277561798094997</v>
      </c>
      <c r="P96" s="70">
        <v>46.565359106343998</v>
      </c>
      <c r="Q96" s="70">
        <v>8.3277561798094997</v>
      </c>
      <c r="R96" s="56">
        <v>4</v>
      </c>
      <c r="S96" s="56">
        <v>4</v>
      </c>
      <c r="T96" s="71" t="s">
        <v>42</v>
      </c>
      <c r="U96" s="56">
        <v>348</v>
      </c>
      <c r="V96" s="56">
        <v>352</v>
      </c>
      <c r="AA96" s="56">
        <v>600</v>
      </c>
      <c r="AB96" s="56">
        <v>720</v>
      </c>
      <c r="AC96" s="73">
        <v>0.19668468298362796</v>
      </c>
      <c r="AD96" s="73">
        <v>0.2333395557214859</v>
      </c>
      <c r="AE96" s="56">
        <v>1980</v>
      </c>
      <c r="AG96" s="56" t="s">
        <v>2041</v>
      </c>
      <c r="AH96" s="56">
        <v>3330</v>
      </c>
      <c r="AI96" s="70">
        <v>46.547083000000001</v>
      </c>
      <c r="AJ96" s="74">
        <v>8.2712500000000002</v>
      </c>
      <c r="AK96" s="75">
        <v>61</v>
      </c>
      <c r="AL96" s="56" t="s">
        <v>2066</v>
      </c>
      <c r="AM96" s="56">
        <v>3323</v>
      </c>
      <c r="AN96" s="74">
        <v>46.547083000000001</v>
      </c>
      <c r="AO96" s="74">
        <v>8.2712500000000002</v>
      </c>
      <c r="AP96" s="71">
        <v>400</v>
      </c>
      <c r="AQ96" s="72">
        <v>53.42</v>
      </c>
      <c r="AR96" s="71">
        <v>96.7</v>
      </c>
      <c r="AU96" s="56">
        <v>74.8</v>
      </c>
      <c r="AW96" s="56" t="s">
        <v>2057</v>
      </c>
      <c r="AZ96" s="67"/>
      <c r="BA96" s="56" t="str">
        <f t="shared" si="10"/>
        <v>GETH</v>
      </c>
      <c r="BB96" s="209">
        <f t="shared" si="11"/>
        <v>53.42</v>
      </c>
      <c r="BC96" s="67" t="s">
        <v>2070</v>
      </c>
      <c r="BD96" s="56" t="s">
        <v>2219</v>
      </c>
      <c r="BE96" s="56" t="s">
        <v>2729</v>
      </c>
      <c r="BH96" s="73" t="s">
        <v>2853</v>
      </c>
      <c r="BJ96" s="279">
        <f t="shared" si="12"/>
        <v>153.5057471264368</v>
      </c>
    </row>
    <row r="97" spans="1:62" x14ac:dyDescent="0.3">
      <c r="A97" s="56" t="s">
        <v>2724</v>
      </c>
      <c r="B97" s="56" t="s">
        <v>2840</v>
      </c>
      <c r="C97" s="134" t="s">
        <v>2840</v>
      </c>
      <c r="D97" s="244" t="s">
        <v>29</v>
      </c>
      <c r="E97" s="76" t="s">
        <v>29</v>
      </c>
      <c r="F97" s="76" t="str">
        <f>VLOOKUP(E97,Codes!$G$1:$H$3,2,FALSE)</f>
        <v>hydro-ROR</v>
      </c>
      <c r="G97" s="56">
        <v>89</v>
      </c>
      <c r="H97" s="66" t="str">
        <f>VLOOKUP(I97,Codes!$A$1:$B$32,2,FALSE)</f>
        <v>CH</v>
      </c>
      <c r="I97" s="56" t="s">
        <v>22</v>
      </c>
      <c r="J97" s="56" t="s">
        <v>2726</v>
      </c>
      <c r="M97" s="33"/>
      <c r="N97" s="70">
        <v>46.332099999999997</v>
      </c>
      <c r="O97" s="70">
        <v>8.0119600000000002</v>
      </c>
      <c r="P97" s="70">
        <v>44.3</v>
      </c>
      <c r="Q97" s="70">
        <v>22.603999999999999</v>
      </c>
      <c r="R97" s="56">
        <v>3</v>
      </c>
      <c r="T97" s="71" t="s">
        <v>44</v>
      </c>
      <c r="U97" s="56">
        <v>340</v>
      </c>
      <c r="AA97" s="56">
        <v>564</v>
      </c>
      <c r="AC97" s="73">
        <v>0.18923380440471876</v>
      </c>
      <c r="AE97" s="56">
        <v>1969</v>
      </c>
      <c r="AG97" s="56" t="s">
        <v>2727</v>
      </c>
      <c r="AH97" s="165"/>
      <c r="AI97" s="70">
        <v>46.371958999999997</v>
      </c>
      <c r="AJ97" s="74">
        <v>8.0022179999999992</v>
      </c>
      <c r="AK97" s="75">
        <v>9.1999999999999993</v>
      </c>
      <c r="AP97" s="71">
        <v>750</v>
      </c>
      <c r="AR97" s="71">
        <v>55</v>
      </c>
      <c r="BA97" s="56" t="str">
        <f t="shared" si="10"/>
        <v>POTENTIAL</v>
      </c>
      <c r="BB97" s="209">
        <f t="shared" si="11"/>
        <v>16.358174999999999</v>
      </c>
      <c r="BC97" s="56" t="s">
        <v>2725</v>
      </c>
      <c r="BD97" s="56" t="s">
        <v>2728</v>
      </c>
      <c r="BE97" s="56" t="s">
        <v>2729</v>
      </c>
      <c r="BH97" s="73" t="s">
        <v>2853</v>
      </c>
      <c r="BJ97" s="279">
        <f t="shared" si="12"/>
        <v>48.112279411764703</v>
      </c>
    </row>
    <row r="98" spans="1:62" x14ac:dyDescent="0.3">
      <c r="A98" s="56" t="s">
        <v>2422</v>
      </c>
      <c r="B98" s="56" t="s">
        <v>2840</v>
      </c>
      <c r="C98" s="134" t="s">
        <v>2840</v>
      </c>
      <c r="D98" s="56" t="s">
        <v>2787</v>
      </c>
      <c r="E98" s="76" t="s">
        <v>2787</v>
      </c>
      <c r="F98" s="76" t="str">
        <f>VLOOKUP(E98,Codes!$G$1:$H$3,2,FALSE)</f>
        <v>hydro-STO</v>
      </c>
      <c r="G98" s="56">
        <v>90</v>
      </c>
      <c r="H98" s="66" t="str">
        <f>VLOOKUP(I98,Codes!$A$1:$B$32,2,FALSE)</f>
        <v>FR</v>
      </c>
      <c r="I98" s="56" t="s">
        <v>7</v>
      </c>
      <c r="J98" s="56" t="s">
        <v>2330</v>
      </c>
      <c r="L98" s="56" t="s">
        <v>246</v>
      </c>
      <c r="M98" s="69" t="s">
        <v>2228</v>
      </c>
      <c r="N98" s="70">
        <v>45.625267999999998</v>
      </c>
      <c r="O98" s="70">
        <v>6.791353</v>
      </c>
      <c r="P98" s="70">
        <v>45.625267999999998</v>
      </c>
      <c r="Q98" s="70">
        <v>6.791353</v>
      </c>
      <c r="R98" s="56">
        <v>4</v>
      </c>
      <c r="T98" s="71" t="s">
        <v>44</v>
      </c>
      <c r="U98" s="56">
        <v>332</v>
      </c>
      <c r="AG98" s="56" t="s">
        <v>2424</v>
      </c>
      <c r="AH98" s="56">
        <v>3398</v>
      </c>
      <c r="AI98" s="70">
        <v>45.493203000000001</v>
      </c>
      <c r="AJ98" s="74">
        <v>6.9330059999999998</v>
      </c>
      <c r="AK98" s="75">
        <v>230</v>
      </c>
      <c r="AP98" s="71">
        <v>750</v>
      </c>
      <c r="AZ98" s="56" t="s">
        <v>2427</v>
      </c>
      <c r="BA98" s="56" t="str">
        <f t="shared" si="10"/>
        <v>POTENTIAL</v>
      </c>
      <c r="BB98" s="209">
        <f t="shared" si="11"/>
        <v>408.95437500000003</v>
      </c>
      <c r="BC98" s="56" t="s">
        <v>2425</v>
      </c>
      <c r="BD98" s="56" t="s">
        <v>2426</v>
      </c>
      <c r="BH98" s="73" t="s">
        <v>2853</v>
      </c>
      <c r="BJ98" s="279">
        <f t="shared" si="12"/>
        <v>1231.7902861445784</v>
      </c>
    </row>
    <row r="99" spans="1:62" x14ac:dyDescent="0.3">
      <c r="A99" s="56" t="s">
        <v>934</v>
      </c>
      <c r="B99" s="56" t="s">
        <v>2840</v>
      </c>
      <c r="C99" s="134" t="s">
        <v>2840</v>
      </c>
      <c r="D99" s="56" t="s">
        <v>2787</v>
      </c>
      <c r="E99" s="76" t="s">
        <v>2787</v>
      </c>
      <c r="F99" s="76" t="str">
        <f>VLOOKUP(E99,Codes!$G$1:$H$3,2,FALSE)</f>
        <v>hydro-STO</v>
      </c>
      <c r="G99" s="56">
        <v>91</v>
      </c>
      <c r="H99" s="66" t="str">
        <f>VLOOKUP(I99,Codes!$A$1:$B$32,2,FALSE)</f>
        <v>ES</v>
      </c>
      <c r="I99" s="56" t="s">
        <v>6</v>
      </c>
      <c r="L99" s="56" t="s">
        <v>934</v>
      </c>
      <c r="M99" s="33" t="s">
        <v>1993</v>
      </c>
      <c r="N99" s="70">
        <v>41.368983</v>
      </c>
      <c r="O99" s="70">
        <v>0.27338099999999999</v>
      </c>
      <c r="P99" s="70">
        <v>41.368983</v>
      </c>
      <c r="Q99" s="70">
        <v>0.27338099999999999</v>
      </c>
      <c r="R99" s="56">
        <v>4</v>
      </c>
      <c r="T99" s="71" t="s">
        <v>42</v>
      </c>
      <c r="U99" s="56">
        <v>324</v>
      </c>
      <c r="AA99" s="56">
        <v>743</v>
      </c>
      <c r="AC99" s="73">
        <v>0.261602769398039</v>
      </c>
      <c r="AE99" s="56">
        <v>1966</v>
      </c>
      <c r="AF99" s="56">
        <v>2010</v>
      </c>
      <c r="AG99" s="56" t="s">
        <v>934</v>
      </c>
      <c r="AH99" s="56">
        <v>3503</v>
      </c>
      <c r="AI99" s="70">
        <v>41.369221000000003</v>
      </c>
      <c r="AJ99" s="74">
        <v>0.27279599999999998</v>
      </c>
      <c r="AK99" s="75">
        <v>1533.8</v>
      </c>
      <c r="AP99" s="71">
        <v>47</v>
      </c>
      <c r="AR99" s="71">
        <v>600</v>
      </c>
      <c r="BA99" s="56" t="str">
        <f t="shared" si="10"/>
        <v>POTENTIAL</v>
      </c>
      <c r="BB99" s="209">
        <f t="shared" si="11"/>
        <v>170.90404844999998</v>
      </c>
      <c r="BC99" s="56" t="s">
        <v>2462</v>
      </c>
      <c r="BD99" s="56" t="s">
        <v>2464</v>
      </c>
      <c r="BE99" s="56" t="s">
        <v>2463</v>
      </c>
      <c r="BH99" s="73" t="s">
        <v>2853</v>
      </c>
      <c r="BJ99" s="279">
        <f t="shared" si="12"/>
        <v>527.48163101851844</v>
      </c>
    </row>
    <row r="100" spans="1:62" x14ac:dyDescent="0.3">
      <c r="A100" s="391" t="s">
        <v>3340</v>
      </c>
      <c r="B100" s="56" t="s">
        <v>2840</v>
      </c>
      <c r="C100" s="134" t="s">
        <v>2840</v>
      </c>
      <c r="D100" s="244" t="s">
        <v>29</v>
      </c>
      <c r="E100" s="245" t="str">
        <f>D100</f>
        <v>RoR</v>
      </c>
      <c r="F100" s="76" t="str">
        <f>VLOOKUP(E100,Codes!$G$1:$H$3,2,FALSE)</f>
        <v>hydro-ROR</v>
      </c>
      <c r="G100" s="56">
        <v>92</v>
      </c>
      <c r="H100" s="66" t="str">
        <f>VLOOKUP(I100,Codes!$A$1:$B$32,2,FALSE)</f>
        <v>RO</v>
      </c>
      <c r="I100" s="56" t="s">
        <v>16</v>
      </c>
      <c r="J100" s="56" t="s">
        <v>2123</v>
      </c>
      <c r="K100" s="67" t="s">
        <v>2120</v>
      </c>
      <c r="L100" s="56" t="s">
        <v>854</v>
      </c>
      <c r="M100" s="77" t="s">
        <v>2205</v>
      </c>
      <c r="N100" s="70">
        <v>44.308028</v>
      </c>
      <c r="O100" s="70">
        <v>22.5680646</v>
      </c>
      <c r="P100" s="70">
        <v>44.3</v>
      </c>
      <c r="Q100" s="70">
        <v>22.603999999999999</v>
      </c>
      <c r="R100" s="56">
        <v>10</v>
      </c>
      <c r="T100" s="71" t="s">
        <v>2129</v>
      </c>
      <c r="U100" s="56">
        <v>321</v>
      </c>
      <c r="AA100" s="56">
        <v>1300</v>
      </c>
      <c r="AC100" s="73">
        <v>0.46199455130733796</v>
      </c>
      <c r="AE100" s="56">
        <v>1984</v>
      </c>
      <c r="AG100" s="56" t="s">
        <v>1773</v>
      </c>
      <c r="AH100" s="56">
        <v>3891</v>
      </c>
      <c r="AI100" s="70">
        <v>44.305433000000001</v>
      </c>
      <c r="AJ100" s="74">
        <v>22.563907</v>
      </c>
      <c r="AK100" s="75">
        <v>868</v>
      </c>
      <c r="AP100" s="71">
        <v>35</v>
      </c>
      <c r="AR100" s="71">
        <v>8700</v>
      </c>
      <c r="AV100" s="56" t="s">
        <v>2119</v>
      </c>
      <c r="AW100" s="56" t="s">
        <v>2057</v>
      </c>
      <c r="BA100" s="56" t="str">
        <f t="shared" si="10"/>
        <v>POTENTIAL</v>
      </c>
      <c r="BB100" s="209">
        <f t="shared" si="11"/>
        <v>72.023385000000005</v>
      </c>
      <c r="BC100" s="56" t="s">
        <v>2128</v>
      </c>
      <c r="BD100" s="56" t="s">
        <v>2126</v>
      </c>
      <c r="BE100" s="56" t="s">
        <v>2127</v>
      </c>
      <c r="BH100" s="73" t="s">
        <v>2853</v>
      </c>
      <c r="BJ100" s="279">
        <f t="shared" si="12"/>
        <v>224.37191588785046</v>
      </c>
    </row>
    <row r="101" spans="1:62" x14ac:dyDescent="0.3">
      <c r="A101" s="56" t="s">
        <v>777</v>
      </c>
      <c r="B101" s="56" t="s">
        <v>2840</v>
      </c>
      <c r="C101" s="134" t="s">
        <v>2840</v>
      </c>
      <c r="D101" s="244" t="s">
        <v>2787</v>
      </c>
      <c r="E101" s="157" t="s">
        <v>2787</v>
      </c>
      <c r="F101" s="76" t="str">
        <f>VLOOKUP(E101,Codes!$G$1:$H$3,2,FALSE)</f>
        <v>hydro-STO</v>
      </c>
      <c r="G101" s="56">
        <v>93</v>
      </c>
      <c r="H101" s="66" t="str">
        <f>VLOOKUP(I101,Codes!$A$1:$B$32,2,FALSE)</f>
        <v>NO</v>
      </c>
      <c r="I101" s="56" t="s">
        <v>21</v>
      </c>
      <c r="J101" s="56" t="s">
        <v>2104</v>
      </c>
      <c r="L101" s="56" t="s">
        <v>777</v>
      </c>
      <c r="N101" s="70">
        <v>59.617114999999998</v>
      </c>
      <c r="O101" s="70">
        <v>7.8564309999999997</v>
      </c>
      <c r="P101" s="70">
        <v>59.617114999999998</v>
      </c>
      <c r="Q101" s="70">
        <v>7.8564309999999997</v>
      </c>
      <c r="R101" s="56">
        <v>3</v>
      </c>
      <c r="T101" s="71" t="s">
        <v>42</v>
      </c>
      <c r="U101" s="56">
        <v>300</v>
      </c>
      <c r="AA101" s="56">
        <v>1017</v>
      </c>
      <c r="AC101" s="73">
        <v>0.3867214236824093</v>
      </c>
      <c r="AE101" s="56">
        <v>1964</v>
      </c>
      <c r="AG101" s="56" t="s">
        <v>2419</v>
      </c>
      <c r="AH101" s="165"/>
      <c r="AI101" s="70">
        <v>59.70317</v>
      </c>
      <c r="AJ101" s="74">
        <v>7.9030300000000002</v>
      </c>
      <c r="AK101" s="75">
        <v>2360</v>
      </c>
      <c r="AL101" s="56" t="s">
        <v>2413</v>
      </c>
      <c r="AN101" s="74">
        <v>59.609687000000001</v>
      </c>
      <c r="AO101" s="74">
        <v>7.8543219999999998</v>
      </c>
      <c r="AP101" s="71">
        <v>278</v>
      </c>
      <c r="BA101" s="56" t="str">
        <f t="shared" si="10"/>
        <v>POTENTIAL</v>
      </c>
      <c r="BB101" s="209">
        <f t="shared" si="11"/>
        <v>1555.40166</v>
      </c>
      <c r="BC101" s="56" t="s">
        <v>2417</v>
      </c>
      <c r="BD101" s="56" t="s">
        <v>2418</v>
      </c>
      <c r="BF101" s="56" t="s">
        <v>2421</v>
      </c>
      <c r="BH101" s="73" t="s">
        <v>2853</v>
      </c>
      <c r="BJ101" s="279">
        <f t="shared" si="12"/>
        <v>5184.6722</v>
      </c>
    </row>
    <row r="102" spans="1:62" ht="14.5" x14ac:dyDescent="0.3">
      <c r="A102" s="57" t="s">
        <v>987</v>
      </c>
      <c r="B102" s="56" t="s">
        <v>2840</v>
      </c>
      <c r="C102" s="134" t="s">
        <v>2840</v>
      </c>
      <c r="D102" s="244" t="s">
        <v>2787</v>
      </c>
      <c r="E102" s="245" t="str">
        <f>D102</f>
        <v>STO</v>
      </c>
      <c r="F102" s="76" t="str">
        <f>VLOOKUP(E102,Codes!$G$1:$H$3,2,FALSE)</f>
        <v>hydro-STO</v>
      </c>
      <c r="G102" s="56">
        <v>94</v>
      </c>
      <c r="H102" s="66" t="str">
        <f>VLOOKUP(I102,Codes!$A$1:$B$32,2,FALSE)</f>
        <v>SE</v>
      </c>
      <c r="I102" s="57" t="s">
        <v>20</v>
      </c>
      <c r="J102" s="57" t="s">
        <v>2172</v>
      </c>
      <c r="K102" s="81"/>
      <c r="L102" s="81" t="s">
        <v>987</v>
      </c>
      <c r="M102" s="57" t="s">
        <v>2438</v>
      </c>
      <c r="N102" s="70">
        <v>63.539774000000001</v>
      </c>
      <c r="O102" s="70">
        <v>16.761382999999999</v>
      </c>
      <c r="P102" s="70">
        <v>63.548000000000002</v>
      </c>
      <c r="Q102" s="70">
        <v>16.643000000000001</v>
      </c>
      <c r="R102" s="56">
        <v>3</v>
      </c>
      <c r="S102" s="57"/>
      <c r="T102" s="71" t="s">
        <v>42</v>
      </c>
      <c r="U102" s="56">
        <v>296</v>
      </c>
      <c r="X102" s="57"/>
      <c r="Z102" s="57"/>
      <c r="AA102" s="57">
        <v>970</v>
      </c>
      <c r="AC102" s="73">
        <v>0.37383379272496314</v>
      </c>
      <c r="AE102" s="57">
        <v>1954</v>
      </c>
      <c r="AF102" s="57"/>
      <c r="AG102" s="57" t="s">
        <v>2441</v>
      </c>
      <c r="AH102" s="165"/>
      <c r="AI102" s="70">
        <v>63.563923000000003</v>
      </c>
      <c r="AJ102" s="74">
        <v>16.650549999999999</v>
      </c>
      <c r="AK102" s="75">
        <v>0</v>
      </c>
      <c r="AL102" s="57" t="s">
        <v>2921</v>
      </c>
      <c r="AP102" s="71">
        <v>99</v>
      </c>
      <c r="AU102" s="57"/>
      <c r="AV102" s="57"/>
      <c r="AW102" s="57"/>
      <c r="AX102" s="57"/>
      <c r="AY102" s="57"/>
      <c r="AZ102" s="57"/>
      <c r="BA102" s="56" t="str">
        <f t="shared" si="10"/>
        <v>POTENTIAL</v>
      </c>
      <c r="BB102" s="209">
        <f t="shared" si="11"/>
        <v>0</v>
      </c>
      <c r="BC102" s="206" t="s">
        <v>2439</v>
      </c>
      <c r="BD102" s="57" t="s">
        <v>2440</v>
      </c>
      <c r="BE102" s="57"/>
      <c r="BF102" s="57" t="s">
        <v>989</v>
      </c>
      <c r="BH102" s="73" t="s">
        <v>2853</v>
      </c>
      <c r="BJ102" s="279">
        <f t="shared" si="12"/>
        <v>0</v>
      </c>
    </row>
    <row r="103" spans="1:62" x14ac:dyDescent="0.3">
      <c r="A103" s="140" t="s">
        <v>2866</v>
      </c>
      <c r="B103" s="56" t="s">
        <v>2840</v>
      </c>
      <c r="C103" s="134" t="s">
        <v>2840</v>
      </c>
      <c r="D103" s="56" t="s">
        <v>2787</v>
      </c>
      <c r="E103" s="76" t="s">
        <v>2787</v>
      </c>
      <c r="F103" s="76" t="str">
        <f>VLOOKUP(E103,Codes!$G$1:$H$3,2,FALSE)</f>
        <v>hydro-STO</v>
      </c>
      <c r="G103" s="56">
        <v>95</v>
      </c>
      <c r="H103" s="66" t="str">
        <f>VLOOKUP(I103,Codes!$A$1:$B$32,2,FALSE)</f>
        <v>CH</v>
      </c>
      <c r="I103" s="56" t="s">
        <v>22</v>
      </c>
      <c r="J103" s="56" t="s">
        <v>2089</v>
      </c>
      <c r="K103" s="67" t="s">
        <v>2019</v>
      </c>
      <c r="L103" s="56" t="s">
        <v>2093</v>
      </c>
      <c r="M103" s="69" t="s">
        <v>2091</v>
      </c>
      <c r="N103" s="70">
        <v>46.033152000000001</v>
      </c>
      <c r="O103" s="70">
        <v>7.3079099999999997</v>
      </c>
      <c r="P103" s="70">
        <v>46.033152000000001</v>
      </c>
      <c r="Q103" s="70">
        <v>7.3079099999999997</v>
      </c>
      <c r="R103" s="56">
        <v>6</v>
      </c>
      <c r="T103" s="71" t="s">
        <v>44</v>
      </c>
      <c r="U103" s="56">
        <v>290</v>
      </c>
      <c r="AA103" s="56">
        <v>733.95299999999997</v>
      </c>
      <c r="AC103" s="73">
        <v>0.28871462625976541</v>
      </c>
      <c r="AE103" s="56" t="s">
        <v>2064</v>
      </c>
      <c r="AG103" s="56" t="s">
        <v>2088</v>
      </c>
      <c r="AH103" s="56">
        <v>3371</v>
      </c>
      <c r="AI103" s="70">
        <v>46.080326999999997</v>
      </c>
      <c r="AJ103" s="74">
        <v>7.4032600000000004</v>
      </c>
      <c r="AK103" s="75">
        <v>400</v>
      </c>
      <c r="AP103" s="71">
        <v>874</v>
      </c>
      <c r="AR103" s="71">
        <v>45</v>
      </c>
      <c r="AW103" s="56" t="s">
        <v>2057</v>
      </c>
      <c r="BA103" s="56" t="str">
        <f t="shared" si="10"/>
        <v>POTENTIAL</v>
      </c>
      <c r="BB103" s="209">
        <f t="shared" si="11"/>
        <v>828.81420000000003</v>
      </c>
      <c r="BC103" s="67" t="s">
        <v>2094</v>
      </c>
      <c r="BD103" s="56" t="s">
        <v>2095</v>
      </c>
      <c r="BH103" s="73" t="s">
        <v>2853</v>
      </c>
      <c r="BJ103" s="279">
        <f t="shared" si="12"/>
        <v>2857.9800000000005</v>
      </c>
    </row>
    <row r="104" spans="1:62" x14ac:dyDescent="0.3">
      <c r="A104" s="56" t="s">
        <v>2278</v>
      </c>
      <c r="B104" s="56" t="s">
        <v>2840</v>
      </c>
      <c r="C104" s="134" t="s">
        <v>2840</v>
      </c>
      <c r="D104" s="56" t="s">
        <v>962</v>
      </c>
      <c r="E104" s="76" t="s">
        <v>962</v>
      </c>
      <c r="F104" s="76" t="str">
        <f>VLOOKUP(E104,Codes!$G$1:$H$3,2,FALSE)</f>
        <v>hydro-PHS</v>
      </c>
      <c r="G104" s="56">
        <v>96</v>
      </c>
      <c r="H104" s="66" t="str">
        <f>VLOOKUP(I104,Codes!$A$1:$B$32,2,FALSE)</f>
        <v>AT</v>
      </c>
      <c r="I104" s="56" t="s">
        <v>13</v>
      </c>
      <c r="J104" s="56" t="s">
        <v>2455</v>
      </c>
      <c r="K104" s="33" t="s">
        <v>33</v>
      </c>
      <c r="L104" s="56" t="s">
        <v>2278</v>
      </c>
      <c r="M104" s="33"/>
      <c r="N104" s="70">
        <v>47.209373999999997</v>
      </c>
      <c r="O104" s="70">
        <v>11.005618</v>
      </c>
      <c r="P104" s="70">
        <v>47.209373999999997</v>
      </c>
      <c r="Q104" s="70">
        <v>11.005618</v>
      </c>
      <c r="R104" s="56">
        <v>2</v>
      </c>
      <c r="S104" s="33">
        <v>2</v>
      </c>
      <c r="T104" s="71" t="s">
        <v>42</v>
      </c>
      <c r="U104" s="56">
        <v>289</v>
      </c>
      <c r="V104" s="56">
        <v>250</v>
      </c>
      <c r="Z104" s="33">
        <v>12.6</v>
      </c>
      <c r="AA104" s="56">
        <v>55.5</v>
      </c>
      <c r="AC104" s="73">
        <v>2.1907543063124514E-2</v>
      </c>
      <c r="AE104" s="56">
        <v>1981</v>
      </c>
      <c r="AF104" s="71"/>
      <c r="AG104" s="56" t="s">
        <v>35</v>
      </c>
      <c r="AH104" s="56">
        <v>3295</v>
      </c>
      <c r="AI104" s="70">
        <v>47.197916999999997</v>
      </c>
      <c r="AJ104" s="74">
        <v>11.02125</v>
      </c>
      <c r="AK104" s="75">
        <v>60</v>
      </c>
      <c r="AL104" s="56" t="s">
        <v>2277</v>
      </c>
      <c r="AN104" s="74">
        <v>47.212035</v>
      </c>
      <c r="AO104" s="74">
        <v>11.000964</v>
      </c>
      <c r="AP104" s="71">
        <v>380</v>
      </c>
      <c r="AQ104" s="72">
        <v>2.69</v>
      </c>
      <c r="AU104" s="56">
        <v>132</v>
      </c>
      <c r="AZ104" s="78" t="s">
        <v>2279</v>
      </c>
      <c r="BA104" s="56" t="str">
        <f t="shared" si="10"/>
        <v>MAXPUMPTIME</v>
      </c>
      <c r="BB104" s="209">
        <f t="shared" si="11"/>
        <v>3.6414</v>
      </c>
      <c r="BC104" s="33" t="s">
        <v>36</v>
      </c>
      <c r="BD104" s="56" t="s">
        <v>37</v>
      </c>
      <c r="BE104" s="56" t="s">
        <v>2269</v>
      </c>
      <c r="BH104" s="73" t="s">
        <v>2853</v>
      </c>
      <c r="BJ104" s="279">
        <f t="shared" si="12"/>
        <v>12.600000000000001</v>
      </c>
    </row>
    <row r="105" spans="1:62" x14ac:dyDescent="0.3">
      <c r="A105" s="56" t="s">
        <v>2134</v>
      </c>
      <c r="B105" s="56" t="s">
        <v>2840</v>
      </c>
      <c r="C105" s="134" t="s">
        <v>2840</v>
      </c>
      <c r="D105" s="56" t="s">
        <v>962</v>
      </c>
      <c r="E105" s="76" t="s">
        <v>962</v>
      </c>
      <c r="F105" s="76" t="str">
        <f>VLOOKUP(E105,Codes!$G$1:$H$3,2,FALSE)</f>
        <v>hydro-PHS</v>
      </c>
      <c r="G105" s="56">
        <v>97</v>
      </c>
      <c r="H105" s="66" t="str">
        <f>VLOOKUP(I105,Codes!$A$1:$B$32,2,FALSE)</f>
        <v>NO</v>
      </c>
      <c r="I105" s="56" t="s">
        <v>21</v>
      </c>
      <c r="J105" s="56" t="s">
        <v>2136</v>
      </c>
      <c r="K105" s="56" t="s">
        <v>693</v>
      </c>
      <c r="L105" s="56" t="s">
        <v>693</v>
      </c>
      <c r="M105" s="69" t="s">
        <v>693</v>
      </c>
      <c r="N105" s="70">
        <v>60.883144999999999</v>
      </c>
      <c r="O105" s="70">
        <v>7.2483139999999997</v>
      </c>
      <c r="P105" s="70">
        <v>60.883144999999999</v>
      </c>
      <c r="Q105" s="70">
        <v>7.2483139999999997</v>
      </c>
      <c r="R105" s="56">
        <v>2</v>
      </c>
      <c r="S105" s="56">
        <v>2</v>
      </c>
      <c r="T105" s="71" t="s">
        <v>42</v>
      </c>
      <c r="U105" s="56">
        <v>270</v>
      </c>
      <c r="V105" s="56">
        <v>270</v>
      </c>
      <c r="AA105" s="56">
        <v>350</v>
      </c>
      <c r="AB105" s="56">
        <v>285</v>
      </c>
      <c r="AC105" s="73">
        <v>0.14787774313213511</v>
      </c>
      <c r="AD105" s="73">
        <v>0.12041473369331002</v>
      </c>
      <c r="AE105" s="56">
        <v>1975</v>
      </c>
      <c r="AG105" s="56" t="s">
        <v>2158</v>
      </c>
      <c r="AH105" s="56">
        <v>3107</v>
      </c>
      <c r="AI105" s="70">
        <v>60.805292999999999</v>
      </c>
      <c r="AJ105" s="74">
        <v>7.7497199999999999</v>
      </c>
      <c r="AK105" s="75">
        <v>448</v>
      </c>
      <c r="AL105" s="56" t="s">
        <v>2154</v>
      </c>
      <c r="AN105" s="74">
        <v>60.790472000000001</v>
      </c>
      <c r="AO105" s="74">
        <v>7.5625</v>
      </c>
      <c r="AP105" s="71">
        <v>400</v>
      </c>
      <c r="AQ105" s="72">
        <v>9.44</v>
      </c>
      <c r="AR105" s="71">
        <v>79</v>
      </c>
      <c r="AW105" s="56" t="s">
        <v>2064</v>
      </c>
      <c r="BA105" s="56" t="str">
        <f t="shared" si="10"/>
        <v>GETH</v>
      </c>
      <c r="BB105" s="209">
        <f t="shared" si="11"/>
        <v>9.44</v>
      </c>
      <c r="BC105" s="56" t="s">
        <v>2135</v>
      </c>
      <c r="BD105" s="56" t="s">
        <v>2152</v>
      </c>
      <c r="BE105" s="56" t="s">
        <v>2164</v>
      </c>
      <c r="BF105" s="56" t="s">
        <v>2166</v>
      </c>
      <c r="BH105" s="73" t="s">
        <v>2853</v>
      </c>
      <c r="BJ105" s="279">
        <f t="shared" si="12"/>
        <v>34.962962962962962</v>
      </c>
    </row>
    <row r="106" spans="1:62" x14ac:dyDescent="0.3">
      <c r="A106" s="56" t="s">
        <v>1696</v>
      </c>
      <c r="B106" s="56" t="s">
        <v>2840</v>
      </c>
      <c r="C106" s="134" t="s">
        <v>2840</v>
      </c>
      <c r="D106" s="244" t="s">
        <v>29</v>
      </c>
      <c r="E106" s="245" t="str">
        <f>D106</f>
        <v>RoR</v>
      </c>
      <c r="F106" s="76" t="str">
        <f>VLOOKUP(E106,Codes!$G$1:$H$3,2,FALSE)</f>
        <v>hydro-ROR</v>
      </c>
      <c r="G106" s="56">
        <v>98</v>
      </c>
      <c r="H106" s="66" t="str">
        <f>VLOOKUP(I106,Codes!$A$1:$B$32,2,FALSE)</f>
        <v>LV</v>
      </c>
      <c r="I106" s="56" t="s">
        <v>10</v>
      </c>
      <c r="J106" s="56" t="s">
        <v>2245</v>
      </c>
      <c r="L106" s="56" t="s">
        <v>1696</v>
      </c>
      <c r="M106" s="69" t="s">
        <v>2248</v>
      </c>
      <c r="N106" s="70">
        <v>56.740499999999997</v>
      </c>
      <c r="O106" s="70">
        <v>24.711300000000001</v>
      </c>
      <c r="P106" s="70">
        <v>56.758000000000003</v>
      </c>
      <c r="Q106" s="70">
        <v>24.711300000000001</v>
      </c>
      <c r="R106" s="56">
        <v>7</v>
      </c>
      <c r="T106" s="71" t="s">
        <v>2129</v>
      </c>
      <c r="U106" s="56">
        <v>264.10000000000002</v>
      </c>
      <c r="AA106" s="56">
        <v>551.4</v>
      </c>
      <c r="AC106" s="73">
        <v>0.23817539505626667</v>
      </c>
      <c r="AE106" s="56">
        <v>1940</v>
      </c>
      <c r="AF106" s="56">
        <v>2001</v>
      </c>
      <c r="AG106" s="56" t="s">
        <v>1696</v>
      </c>
      <c r="AH106" s="56">
        <v>3736</v>
      </c>
      <c r="AI106" s="70">
        <v>56.737166000000002</v>
      </c>
      <c r="AJ106" s="74">
        <v>24.713374000000002</v>
      </c>
      <c r="AK106" s="75">
        <v>157</v>
      </c>
      <c r="AL106" s="56" t="s">
        <v>2248</v>
      </c>
      <c r="AP106" s="71">
        <v>14</v>
      </c>
      <c r="AV106" s="56" t="s">
        <v>2443</v>
      </c>
      <c r="AZ106" s="67"/>
      <c r="BA106" s="56" t="str">
        <f t="shared" si="10"/>
        <v>POTENTIAL</v>
      </c>
      <c r="BB106" s="209">
        <f t="shared" si="11"/>
        <v>5.2109085000000004</v>
      </c>
      <c r="BC106" s="56" t="s">
        <v>2246</v>
      </c>
      <c r="BD106" s="56" t="s">
        <v>2446</v>
      </c>
      <c r="BE106" s="56" t="s">
        <v>2447</v>
      </c>
      <c r="BH106" s="73" t="s">
        <v>2853</v>
      </c>
      <c r="BJ106" s="279">
        <f t="shared" si="12"/>
        <v>19.730815978795913</v>
      </c>
    </row>
    <row r="107" spans="1:62" x14ac:dyDescent="0.3">
      <c r="A107" s="56" t="s">
        <v>1936</v>
      </c>
      <c r="B107" s="56" t="s">
        <v>2840</v>
      </c>
      <c r="C107" s="134" t="s">
        <v>2840</v>
      </c>
      <c r="D107" s="56" t="s">
        <v>2787</v>
      </c>
      <c r="E107" s="76" t="s">
        <v>29</v>
      </c>
      <c r="F107" s="76" t="str">
        <f>VLOOKUP(E107,Codes!$G$1:$H$3,2,FALSE)</f>
        <v>hydro-ROR</v>
      </c>
      <c r="G107" s="56">
        <v>99</v>
      </c>
      <c r="H107" s="66" t="str">
        <f>VLOOKUP(I107,Codes!$A$1:$B$32,2,FALSE)</f>
        <v>ES</v>
      </c>
      <c r="I107" s="56" t="s">
        <v>6</v>
      </c>
      <c r="M107" s="69" t="s">
        <v>1993</v>
      </c>
      <c r="N107" s="70">
        <v>41.242384000000001</v>
      </c>
      <c r="O107" s="70">
        <v>0.43075999999999998</v>
      </c>
      <c r="P107" s="70">
        <v>41.265000000000001</v>
      </c>
      <c r="Q107" s="70">
        <v>0.435</v>
      </c>
      <c r="R107" s="56">
        <v>4</v>
      </c>
      <c r="T107" s="71" t="s">
        <v>2129</v>
      </c>
      <c r="U107" s="56">
        <v>262.8</v>
      </c>
      <c r="AA107" s="56">
        <v>287.3</v>
      </c>
      <c r="AC107" s="73">
        <v>0.12471215930096598</v>
      </c>
      <c r="AE107" s="56">
        <v>1969</v>
      </c>
      <c r="AG107" s="56" t="s">
        <v>1936</v>
      </c>
      <c r="AH107" s="56">
        <v>3505</v>
      </c>
      <c r="AI107" s="70">
        <v>41.243912000000002</v>
      </c>
      <c r="AJ107" s="74">
        <v>0.43240800000000001</v>
      </c>
      <c r="AK107" s="75">
        <v>206.9</v>
      </c>
      <c r="AP107" s="71">
        <v>27</v>
      </c>
      <c r="AR107" s="71">
        <v>900</v>
      </c>
      <c r="BA107" s="56" t="str">
        <f t="shared" si="10"/>
        <v>POTENTIAL</v>
      </c>
      <c r="BB107" s="209">
        <f t="shared" si="11"/>
        <v>13.243720724999999</v>
      </c>
      <c r="BC107" s="56" t="s">
        <v>2465</v>
      </c>
      <c r="BD107" s="56" t="s">
        <v>2466</v>
      </c>
      <c r="BH107" s="73" t="s">
        <v>2853</v>
      </c>
      <c r="BJ107" s="279">
        <f t="shared" si="12"/>
        <v>50.394675513698623</v>
      </c>
    </row>
    <row r="108" spans="1:62" ht="11.25" customHeight="1" x14ac:dyDescent="0.3">
      <c r="A108" s="56" t="s">
        <v>2877</v>
      </c>
      <c r="B108" s="56" t="s">
        <v>2840</v>
      </c>
      <c r="C108" s="134" t="s">
        <v>2840</v>
      </c>
      <c r="D108" s="56" t="s">
        <v>2787</v>
      </c>
      <c r="E108" s="76" t="s">
        <v>2787</v>
      </c>
      <c r="F108" s="76" t="str">
        <f>VLOOKUP(E108,Codes!$G$1:$H$3,2,FALSE)</f>
        <v>hydro-STO</v>
      </c>
      <c r="G108" s="56">
        <v>100</v>
      </c>
      <c r="H108" s="66" t="str">
        <f>VLOOKUP(I108,Codes!$A$1:$B$32,2,FALSE)</f>
        <v>CH</v>
      </c>
      <c r="I108" s="56" t="s">
        <v>22</v>
      </c>
      <c r="J108" s="56" t="s">
        <v>2153</v>
      </c>
      <c r="K108" s="56" t="s">
        <v>2068</v>
      </c>
      <c r="L108" s="56" t="s">
        <v>2068</v>
      </c>
      <c r="M108" s="69" t="s">
        <v>2067</v>
      </c>
      <c r="N108" s="70">
        <v>46.702100000000002</v>
      </c>
      <c r="O108" s="70">
        <v>8.2353000000000005</v>
      </c>
      <c r="P108" s="70">
        <v>46.702100000000002</v>
      </c>
      <c r="Q108" s="70">
        <v>8.2353000000000005</v>
      </c>
      <c r="R108" s="56">
        <v>5</v>
      </c>
      <c r="T108" s="71" t="s">
        <v>44</v>
      </c>
      <c r="U108" s="140">
        <v>393</v>
      </c>
      <c r="AA108" s="56">
        <v>700</v>
      </c>
      <c r="AC108" s="73">
        <v>0.3131528678092273</v>
      </c>
      <c r="AE108" s="56">
        <v>1942</v>
      </c>
      <c r="AF108" s="56">
        <v>2007</v>
      </c>
      <c r="AG108" s="56" t="s">
        <v>2731</v>
      </c>
      <c r="AH108" s="56">
        <v>3319</v>
      </c>
      <c r="AI108" s="70">
        <v>46.612082999999998</v>
      </c>
      <c r="AJ108" s="74">
        <v>8.3220829999999992</v>
      </c>
      <c r="AK108" s="75">
        <v>14</v>
      </c>
      <c r="AP108" s="71">
        <v>664</v>
      </c>
      <c r="AR108" s="71">
        <v>46.5</v>
      </c>
      <c r="AW108" s="56" t="s">
        <v>2057</v>
      </c>
      <c r="AZ108" s="67"/>
      <c r="BA108" s="56" t="str">
        <f t="shared" si="10"/>
        <v>POTENTIAL</v>
      </c>
      <c r="BB108" s="209">
        <f t="shared" si="11"/>
        <v>22.038492000000002</v>
      </c>
      <c r="BC108" s="67" t="s">
        <v>2069</v>
      </c>
      <c r="BD108" s="67" t="s">
        <v>2071</v>
      </c>
      <c r="BE108" s="56" t="s">
        <v>2219</v>
      </c>
      <c r="BF108" s="56" t="s">
        <v>2220</v>
      </c>
      <c r="BG108" s="72" t="s">
        <v>2729</v>
      </c>
      <c r="BH108" s="73" t="s">
        <v>2853</v>
      </c>
      <c r="BJ108" s="280">
        <f>SUM(BB108:BB110)/(U108/1000)</f>
        <v>544.75370992366413</v>
      </c>
    </row>
    <row r="109" spans="1:62" s="101" customFormat="1" x14ac:dyDescent="0.3">
      <c r="A109" s="101" t="s">
        <v>2875</v>
      </c>
      <c r="C109" s="134" t="s">
        <v>2840</v>
      </c>
      <c r="D109" s="102"/>
      <c r="E109" s="103"/>
      <c r="F109" s="316" t="str">
        <f>F108</f>
        <v>hydro-STO</v>
      </c>
      <c r="G109" s="102">
        <v>100</v>
      </c>
      <c r="H109" s="66" t="str">
        <f>VLOOKUP(I109,Codes!$A$1:$B$32,2,FALSE)</f>
        <v>CH</v>
      </c>
      <c r="I109" s="102" t="s">
        <v>22</v>
      </c>
      <c r="J109" s="102"/>
      <c r="K109" s="102"/>
      <c r="L109" s="102"/>
      <c r="M109" s="104"/>
      <c r="N109" s="105"/>
      <c r="O109" s="105"/>
      <c r="P109" s="105"/>
      <c r="Q109" s="105"/>
      <c r="R109" s="102"/>
      <c r="S109" s="102"/>
      <c r="T109" s="106"/>
      <c r="U109" s="102"/>
      <c r="V109" s="102"/>
      <c r="W109" s="102"/>
      <c r="X109" s="102"/>
      <c r="Y109" s="106"/>
      <c r="Z109" s="102"/>
      <c r="AA109" s="102"/>
      <c r="AB109" s="102"/>
      <c r="AC109" s="107"/>
      <c r="AD109" s="107"/>
      <c r="AE109" s="102"/>
      <c r="AF109" s="102"/>
      <c r="AG109" s="172" t="s">
        <v>2732</v>
      </c>
      <c r="AH109" s="102">
        <v>3320</v>
      </c>
      <c r="AI109" s="105">
        <v>46.581969999999998</v>
      </c>
      <c r="AJ109" s="109">
        <v>8.3313690000000005</v>
      </c>
      <c r="AK109" s="110">
        <v>27</v>
      </c>
      <c r="AL109" s="102"/>
      <c r="AM109" s="102"/>
      <c r="AN109" s="109"/>
      <c r="AO109" s="109"/>
      <c r="AP109" s="106"/>
      <c r="AQ109" s="108"/>
      <c r="AR109" s="106"/>
      <c r="AS109" s="106"/>
      <c r="AT109" s="106"/>
      <c r="AU109" s="102"/>
      <c r="AV109" s="102"/>
      <c r="AW109" s="102"/>
      <c r="AX109" s="102"/>
      <c r="AY109" s="102"/>
      <c r="AZ109" s="102"/>
      <c r="BA109" s="56" t="str">
        <f>IF(Z109*U109/1000=0,IF(AQ109=0,IF(AP108=0,"MAXTURBFLOW","POTENTIAL"),"GETH"),"MAXPUMPTIME")</f>
        <v>POTENTIAL</v>
      </c>
      <c r="BB109" s="209">
        <f>IF(Z109*U109/1000=0,IF(AQ109=0,1000*9.81*AP108*AK109*turbPumpEff/3600000,AQ109),Z109*U109/1000)</f>
        <v>42.502806</v>
      </c>
      <c r="BC109" s="111" t="s">
        <v>2729</v>
      </c>
      <c r="BD109" s="111"/>
      <c r="BE109" s="102"/>
      <c r="BF109" s="102"/>
      <c r="BG109" s="108"/>
      <c r="BH109" s="73" t="s">
        <v>2853</v>
      </c>
      <c r="BI109" s="102"/>
      <c r="BJ109" s="279"/>
    </row>
    <row r="110" spans="1:62" s="101" customFormat="1" x14ac:dyDescent="0.3">
      <c r="A110" s="101" t="s">
        <v>2875</v>
      </c>
      <c r="C110" s="134" t="s">
        <v>2840</v>
      </c>
      <c r="D110" s="102"/>
      <c r="E110" s="103"/>
      <c r="F110" s="316" t="str">
        <f>F109</f>
        <v>hydro-STO</v>
      </c>
      <c r="G110" s="102">
        <v>100</v>
      </c>
      <c r="H110" s="66" t="str">
        <f>VLOOKUP(I110,Codes!$A$1:$B$32,2,FALSE)</f>
        <v>CH</v>
      </c>
      <c r="I110" s="102" t="s">
        <v>22</v>
      </c>
      <c r="J110" s="102"/>
      <c r="K110" s="102"/>
      <c r="L110" s="102"/>
      <c r="M110" s="104"/>
      <c r="N110" s="105"/>
      <c r="O110" s="105"/>
      <c r="P110" s="105"/>
      <c r="Q110" s="105"/>
      <c r="R110" s="102"/>
      <c r="S110" s="102"/>
      <c r="T110" s="106"/>
      <c r="U110" s="102"/>
      <c r="V110" s="102"/>
      <c r="W110" s="102"/>
      <c r="X110" s="102"/>
      <c r="Y110" s="106"/>
      <c r="Z110" s="102"/>
      <c r="AA110" s="102"/>
      <c r="AB110" s="102"/>
      <c r="AC110" s="107"/>
      <c r="AD110" s="107"/>
      <c r="AE110" s="102"/>
      <c r="AF110" s="102"/>
      <c r="AG110" s="172" t="s">
        <v>2066</v>
      </c>
      <c r="AH110" s="102">
        <v>3323</v>
      </c>
      <c r="AI110" s="105">
        <v>46.547083000000001</v>
      </c>
      <c r="AJ110" s="109">
        <v>8.2712500000000002</v>
      </c>
      <c r="AK110" s="110">
        <v>95</v>
      </c>
      <c r="AL110" s="102"/>
      <c r="AM110" s="102"/>
      <c r="AN110" s="109"/>
      <c r="AO110" s="109"/>
      <c r="AP110" s="106"/>
      <c r="AQ110" s="108"/>
      <c r="AR110" s="106"/>
      <c r="AS110" s="106"/>
      <c r="AT110" s="106"/>
      <c r="AU110" s="102"/>
      <c r="AV110" s="102"/>
      <c r="AW110" s="102"/>
      <c r="AX110" s="102"/>
      <c r="AY110" s="102"/>
      <c r="AZ110" s="102"/>
      <c r="BA110" s="56" t="str">
        <f>IF(Z110*U110/1000=0,IF(AQ110=0,IF(AP108=0,"MAXTURBFLOW","POTENTIAL"),"GETH"),"MAXPUMPTIME")</f>
        <v>POTENTIAL</v>
      </c>
      <c r="BB110" s="209">
        <f>IF(Z110*U110/1000=0,IF(AQ110=0,1000*9.81*AP108*AK110*turbPumpEff/3600000,AQ110),Z110*U110/1000)</f>
        <v>149.54691</v>
      </c>
      <c r="BC110" s="111" t="s">
        <v>2729</v>
      </c>
      <c r="BD110" s="111"/>
      <c r="BE110" s="102"/>
      <c r="BF110" s="102"/>
      <c r="BG110" s="108"/>
      <c r="BH110" s="73" t="s">
        <v>2853</v>
      </c>
      <c r="BI110" s="102"/>
      <c r="BJ110" s="279"/>
    </row>
    <row r="111" spans="1:62" ht="14.5" x14ac:dyDescent="0.3">
      <c r="A111" s="56" t="s">
        <v>494</v>
      </c>
      <c r="B111" s="56" t="s">
        <v>2840</v>
      </c>
      <c r="C111" s="134" t="s">
        <v>2840</v>
      </c>
      <c r="D111" s="244" t="s">
        <v>29</v>
      </c>
      <c r="E111" s="76" t="s">
        <v>2787</v>
      </c>
      <c r="F111" s="76" t="str">
        <f>VLOOKUP(E111,Codes!$G$1:$H$3,2,FALSE)</f>
        <v>hydro-STO</v>
      </c>
      <c r="G111" s="56">
        <v>101</v>
      </c>
      <c r="H111" s="66" t="str">
        <f>VLOOKUP(I111,Codes!$A$1:$B$32,2,FALSE)</f>
        <v>IT</v>
      </c>
      <c r="I111" s="56" t="s">
        <v>9</v>
      </c>
      <c r="J111" s="56" t="s">
        <v>492</v>
      </c>
      <c r="N111" s="70">
        <v>46.485100000000003</v>
      </c>
      <c r="O111" s="70">
        <v>10.353351999999999</v>
      </c>
      <c r="P111" s="70">
        <v>46.485100000000003</v>
      </c>
      <c r="Q111" s="70">
        <v>10.353351999999999</v>
      </c>
      <c r="R111" s="56">
        <v>6</v>
      </c>
      <c r="T111" s="71" t="s">
        <v>44</v>
      </c>
      <c r="U111" s="56">
        <v>226</v>
      </c>
      <c r="AA111" s="56">
        <v>385.3</v>
      </c>
      <c r="AC111" s="73">
        <v>0.19448634002249238</v>
      </c>
      <c r="AE111" s="56">
        <v>1956</v>
      </c>
      <c r="AG111" s="56" t="s">
        <v>2770</v>
      </c>
      <c r="AH111" s="56">
        <v>3312</v>
      </c>
      <c r="AI111" s="70">
        <v>46.517659999999999</v>
      </c>
      <c r="AJ111" s="74">
        <v>10.31837</v>
      </c>
      <c r="AK111" s="75">
        <v>187</v>
      </c>
      <c r="AL111" s="56" t="s">
        <v>2431</v>
      </c>
      <c r="AN111" s="74">
        <v>46.328836000000003</v>
      </c>
      <c r="AO111" s="74">
        <v>10.24729</v>
      </c>
      <c r="AP111" s="71">
        <v>646.70000000000005</v>
      </c>
      <c r="AZ111" s="56" t="s">
        <v>2434</v>
      </c>
      <c r="BA111" s="56" t="str">
        <f>IF(Z111*U111/1000=0,IF(AQ111=0,IF(AP111=0,"MAXTURBFLOW","POTENTIAL"),"GETH"),"MAXPUMPTIME")</f>
        <v>POTENTIAL</v>
      </c>
      <c r="BB111" s="209">
        <f>IF(BA111="MAXPUMPTIME",Z111*U111/1000,IF(BA111="GETH",AQ111,IF(BA111="POTENTIAL",1000*9.81*AP111*AK111*turbPumpEff/3600000,IF(BA111="MAXTURBFLOW",U111*AK111/AR111/3.6,"!!!"))))</f>
        <v>286.701672675</v>
      </c>
      <c r="BC111" s="143" t="s">
        <v>2433</v>
      </c>
      <c r="BD111" s="56" t="s">
        <v>2435</v>
      </c>
      <c r="BE111" s="56" t="s">
        <v>2436</v>
      </c>
      <c r="BH111" s="73" t="s">
        <v>2853</v>
      </c>
      <c r="BJ111" s="279">
        <f>BB111/(U111/1000)</f>
        <v>1268.5914720132744</v>
      </c>
    </row>
    <row r="112" spans="1:62" ht="14.5" x14ac:dyDescent="0.3">
      <c r="A112" s="56" t="s">
        <v>2876</v>
      </c>
      <c r="B112" s="56" t="s">
        <v>2840</v>
      </c>
      <c r="C112" s="134" t="s">
        <v>2840</v>
      </c>
      <c r="D112" s="244" t="s">
        <v>2787</v>
      </c>
      <c r="E112" s="157" t="s">
        <v>2787</v>
      </c>
      <c r="F112" s="76" t="str">
        <f>VLOOKUP(E112,Codes!$G$1:$H$3,2,FALSE)</f>
        <v>hydro-STO</v>
      </c>
      <c r="G112" s="56">
        <v>102</v>
      </c>
      <c r="H112" s="66" t="str">
        <f>VLOOKUP(I112,Codes!$A$1:$B$32,2,FALSE)</f>
        <v>NO</v>
      </c>
      <c r="I112" s="56" t="s">
        <v>21</v>
      </c>
      <c r="J112" s="56" t="s">
        <v>2136</v>
      </c>
      <c r="K112" s="56" t="s">
        <v>693</v>
      </c>
      <c r="L112" s="56" t="s">
        <v>693</v>
      </c>
      <c r="M112" s="69" t="s">
        <v>693</v>
      </c>
      <c r="N112" s="70">
        <v>60.874955999999997</v>
      </c>
      <c r="O112" s="70">
        <v>7.3222529999999999</v>
      </c>
      <c r="P112" s="70">
        <v>60.874955999999997</v>
      </c>
      <c r="Q112" s="70">
        <v>7.3222529999999999</v>
      </c>
      <c r="R112" s="56">
        <v>3</v>
      </c>
      <c r="T112" s="71" t="s">
        <v>2064</v>
      </c>
      <c r="U112" s="56">
        <v>174</v>
      </c>
      <c r="AA112" s="56">
        <v>396</v>
      </c>
      <c r="AC112" s="73">
        <v>0.25962378153838894</v>
      </c>
      <c r="AE112" s="56">
        <v>1982</v>
      </c>
      <c r="AG112" s="56" t="s">
        <v>2736</v>
      </c>
      <c r="AH112" s="165"/>
      <c r="AI112" s="70">
        <v>60.704036000000002</v>
      </c>
      <c r="AJ112" s="74">
        <v>7.4916669999999996</v>
      </c>
      <c r="AK112" s="75">
        <v>199</v>
      </c>
      <c r="AL112" s="56" t="s">
        <v>2157</v>
      </c>
      <c r="AM112" s="56">
        <v>3104</v>
      </c>
      <c r="AN112" s="74">
        <v>60.817414999999997</v>
      </c>
      <c r="AO112" s="74">
        <v>7.2543680000000004</v>
      </c>
      <c r="AP112" s="71">
        <f>AVERAGE(110,480)</f>
        <v>295</v>
      </c>
      <c r="AV112" s="56" t="s">
        <v>2134</v>
      </c>
      <c r="AW112" s="56" t="s">
        <v>2165</v>
      </c>
      <c r="BA112" s="56" t="str">
        <f>IF(Z112*U112/1000=0,IF(AQ112=0,IF(AP112=0,"MAXTURBFLOW","POTENTIAL"),"GETH"),"MAXPUMPTIME")</f>
        <v>POTENTIAL</v>
      </c>
      <c r="BB112" s="209">
        <f>IF(BA112="MAXPUMPTIME",Z112*U112/1000,IF(BA112="GETH",AQ112,IF(BA112="POTENTIAL",1000*9.81*AP112*AK112*turbPumpEff/3600000,IF(BA112="MAXTURBFLOW",U112*AK112/AR112/3.6,"!!!"))))</f>
        <v>139.17487875</v>
      </c>
      <c r="BC112" s="143" t="s">
        <v>2135</v>
      </c>
      <c r="BD112" s="143" t="s">
        <v>2152</v>
      </c>
      <c r="BE112" s="143" t="s">
        <v>2163</v>
      </c>
      <c r="BF112" s="143" t="s">
        <v>2159</v>
      </c>
      <c r="BH112" s="73" t="s">
        <v>2853</v>
      </c>
      <c r="BJ112" s="280">
        <f>SUM(BB112:BB118)/(U112/1000)</f>
        <v>7039.3022609374993</v>
      </c>
    </row>
    <row r="113" spans="1:62" s="101" customFormat="1" ht="14.5" x14ac:dyDescent="0.3">
      <c r="A113" s="101" t="s">
        <v>2878</v>
      </c>
      <c r="C113" s="134" t="s">
        <v>2840</v>
      </c>
      <c r="D113" s="102"/>
      <c r="E113" s="103" t="s">
        <v>2475</v>
      </c>
      <c r="F113" s="316" t="str">
        <f>F112</f>
        <v>hydro-STO</v>
      </c>
      <c r="G113" s="102">
        <v>102</v>
      </c>
      <c r="H113" s="66" t="str">
        <f>VLOOKUP(I113,Codes!$A$1:$B$32,2,FALSE)</f>
        <v>NO</v>
      </c>
      <c r="I113" s="102" t="s">
        <v>21</v>
      </c>
      <c r="J113" s="102"/>
      <c r="K113" s="102"/>
      <c r="L113" s="102"/>
      <c r="M113" s="104"/>
      <c r="N113" s="105"/>
      <c r="O113" s="105"/>
      <c r="P113" s="105"/>
      <c r="Q113" s="105"/>
      <c r="R113" s="102"/>
      <c r="S113" s="102"/>
      <c r="T113" s="106"/>
      <c r="U113" s="102"/>
      <c r="V113" s="102"/>
      <c r="W113" s="102"/>
      <c r="X113" s="102"/>
      <c r="Y113" s="106"/>
      <c r="Z113" s="102"/>
      <c r="AA113" s="102"/>
      <c r="AB113" s="102"/>
      <c r="AC113" s="107"/>
      <c r="AD113" s="107"/>
      <c r="AE113" s="102"/>
      <c r="AF113" s="102"/>
      <c r="AG113" s="172" t="s">
        <v>2483</v>
      </c>
      <c r="AH113" s="102">
        <v>3167</v>
      </c>
      <c r="AI113" s="105">
        <v>59.155174000000002</v>
      </c>
      <c r="AJ113" s="109">
        <v>6.8926600000000002</v>
      </c>
      <c r="AK113" s="110">
        <v>1400</v>
      </c>
      <c r="AL113" s="102"/>
      <c r="AM113" s="102"/>
      <c r="AN113" s="109"/>
      <c r="AO113" s="109"/>
      <c r="AP113" s="106"/>
      <c r="AQ113" s="108"/>
      <c r="AR113" s="106"/>
      <c r="AS113" s="106"/>
      <c r="AT113" s="106"/>
      <c r="AU113" s="102"/>
      <c r="AV113" s="102"/>
      <c r="AW113" s="102"/>
      <c r="AX113" s="102"/>
      <c r="AY113" s="102"/>
      <c r="AZ113" s="102"/>
      <c r="BA113" s="56" t="str">
        <f>IF(Z113*U113/1000=0,IF(AQ113=0,IF(AP112=0,"MAXTURBFLOW","POTENTIAL"),"GETH"),"MAXPUMPTIME")</f>
        <v>POTENTIAL</v>
      </c>
      <c r="BB113" s="209">
        <f>IF(Z113*U113/1000=0,IF(AQ113=0,1000*9.81*AP112*AK113*turbPumpEff/3600000,AQ113),Z113*U113/1000)</f>
        <v>979.11974999999995</v>
      </c>
      <c r="BC113" s="171" t="s">
        <v>2737</v>
      </c>
      <c r="BD113" s="171" t="s">
        <v>2160</v>
      </c>
      <c r="BE113" s="102"/>
      <c r="BF113" s="102"/>
      <c r="BG113" s="108"/>
      <c r="BH113" s="73" t="s">
        <v>2853</v>
      </c>
      <c r="BI113" s="102"/>
      <c r="BJ113" s="279"/>
    </row>
    <row r="114" spans="1:62" s="101" customFormat="1" x14ac:dyDescent="0.3">
      <c r="A114" s="101" t="s">
        <v>2878</v>
      </c>
      <c r="C114" s="134" t="s">
        <v>2840</v>
      </c>
      <c r="D114" s="102"/>
      <c r="E114" s="103" t="s">
        <v>2475</v>
      </c>
      <c r="F114" s="316" t="str">
        <f t="shared" ref="F114:F118" si="13">F113</f>
        <v>hydro-STO</v>
      </c>
      <c r="G114" s="102">
        <v>102</v>
      </c>
      <c r="H114" s="66" t="str">
        <f>VLOOKUP(I114,Codes!$A$1:$B$32,2,FALSE)</f>
        <v>NO</v>
      </c>
      <c r="I114" s="102" t="s">
        <v>21</v>
      </c>
      <c r="J114" s="102"/>
      <c r="K114" s="102"/>
      <c r="L114" s="102"/>
      <c r="M114" s="104"/>
      <c r="N114" s="105"/>
      <c r="O114" s="105"/>
      <c r="P114" s="105"/>
      <c r="Q114" s="105"/>
      <c r="R114" s="102"/>
      <c r="S114" s="102"/>
      <c r="T114" s="106"/>
      <c r="U114" s="102"/>
      <c r="V114" s="102"/>
      <c r="W114" s="102"/>
      <c r="X114" s="102"/>
      <c r="Y114" s="106"/>
      <c r="Z114" s="102"/>
      <c r="AA114" s="102"/>
      <c r="AB114" s="102"/>
      <c r="AC114" s="107"/>
      <c r="AD114" s="107"/>
      <c r="AE114" s="102"/>
      <c r="AF114" s="102"/>
      <c r="AG114" s="172" t="s">
        <v>2709</v>
      </c>
      <c r="AH114" s="102">
        <v>3111</v>
      </c>
      <c r="AI114" s="105">
        <v>60.552734999999998</v>
      </c>
      <c r="AJ114" s="109">
        <v>7.126417</v>
      </c>
      <c r="AK114" s="110">
        <v>142.30000000000001</v>
      </c>
      <c r="AL114" s="102"/>
      <c r="AM114" s="102"/>
      <c r="AN114" s="109"/>
      <c r="AO114" s="109"/>
      <c r="AP114" s="106"/>
      <c r="AQ114" s="108"/>
      <c r="AR114" s="106"/>
      <c r="AS114" s="106"/>
      <c r="AT114" s="106"/>
      <c r="AU114" s="102"/>
      <c r="AV114" s="102"/>
      <c r="AW114" s="102"/>
      <c r="AX114" s="102"/>
      <c r="AY114" s="102"/>
      <c r="AZ114" s="102"/>
      <c r="BA114" s="56" t="str">
        <f>IF(Z114*U114/1000=0,IF(AQ114=0,IF(AP112=0,"MAXTURBFLOW","POTENTIAL"),"GETH"),"MAXPUMPTIME")</f>
        <v>POTENTIAL</v>
      </c>
      <c r="BB114" s="209">
        <f>IF(Z114*U114/1000=0,IF(AQ114=0,1000*9.81*AP112*AK114*turbPumpEff/3600000,AQ114),Z114*U114/1000)</f>
        <v>99.520528875000011</v>
      </c>
      <c r="BC114" s="111" t="s">
        <v>2738</v>
      </c>
      <c r="BD114" s="111"/>
      <c r="BE114" s="102"/>
      <c r="BF114" s="102"/>
      <c r="BG114" s="108"/>
      <c r="BH114" s="73" t="s">
        <v>2853</v>
      </c>
      <c r="BI114" s="102"/>
      <c r="BJ114" s="279"/>
    </row>
    <row r="115" spans="1:62" s="101" customFormat="1" x14ac:dyDescent="0.3">
      <c r="A115" s="101" t="s">
        <v>2878</v>
      </c>
      <c r="C115" s="134" t="s">
        <v>2840</v>
      </c>
      <c r="D115" s="102"/>
      <c r="E115" s="103" t="s">
        <v>2475</v>
      </c>
      <c r="F115" s="316" t="str">
        <f t="shared" si="13"/>
        <v>hydro-STO</v>
      </c>
      <c r="G115" s="102">
        <v>102</v>
      </c>
      <c r="H115" s="66" t="str">
        <f>VLOOKUP(I115,Codes!$A$1:$B$32,2,FALSE)</f>
        <v>NO</v>
      </c>
      <c r="I115" s="102" t="s">
        <v>21</v>
      </c>
      <c r="J115" s="102"/>
      <c r="K115" s="102"/>
      <c r="L115" s="102"/>
      <c r="M115" s="104"/>
      <c r="N115" s="105"/>
      <c r="O115" s="105"/>
      <c r="P115" s="105"/>
      <c r="Q115" s="105"/>
      <c r="R115" s="102"/>
      <c r="S115" s="102"/>
      <c r="T115" s="106"/>
      <c r="U115" s="102"/>
      <c r="V115" s="102"/>
      <c r="W115" s="102"/>
      <c r="X115" s="102"/>
      <c r="Y115" s="106"/>
      <c r="Z115" s="102"/>
      <c r="AA115" s="102"/>
      <c r="AB115" s="102"/>
      <c r="AC115" s="107"/>
      <c r="AD115" s="107"/>
      <c r="AE115" s="102"/>
      <c r="AF115" s="102"/>
      <c r="AG115" s="172" t="s">
        <v>2733</v>
      </c>
      <c r="AH115" s="165"/>
      <c r="AI115" s="105">
        <v>60.793399999999998</v>
      </c>
      <c r="AJ115" s="109">
        <v>7.4774000000000003</v>
      </c>
      <c r="AK115" s="110">
        <v>4.2500000000000003E-2</v>
      </c>
      <c r="AL115" s="102"/>
      <c r="AM115" s="102"/>
      <c r="AN115" s="109"/>
      <c r="AO115" s="109"/>
      <c r="AP115" s="106"/>
      <c r="AQ115" s="108"/>
      <c r="AR115" s="106"/>
      <c r="AS115" s="106"/>
      <c r="AT115" s="106"/>
      <c r="AU115" s="102"/>
      <c r="AV115" s="102"/>
      <c r="AW115" s="102"/>
      <c r="AX115" s="102"/>
      <c r="AY115" s="102"/>
      <c r="AZ115" s="102"/>
      <c r="BA115" s="56" t="str">
        <f>IF(Z115*U115/1000=0,IF(AQ115=0,IF(AP112=0,"MAXTURBFLOW","POTENTIAL"),"GETH"),"MAXPUMPTIME")</f>
        <v>POTENTIAL</v>
      </c>
      <c r="BB115" s="209">
        <f>IF(Z115*U115/1000=0,IF(AQ115=0,1000*9.81*AP112*AK115*turbPumpEff/3600000,AQ115),Z115*U115/1000)</f>
        <v>2.9723278125000006E-2</v>
      </c>
      <c r="BC115" s="111" t="s">
        <v>2161</v>
      </c>
      <c r="BD115" s="111"/>
      <c r="BE115" s="102"/>
      <c r="BF115" s="102"/>
      <c r="BG115" s="108"/>
      <c r="BH115" s="73" t="s">
        <v>2853</v>
      </c>
      <c r="BI115" s="102"/>
      <c r="BJ115" s="279"/>
    </row>
    <row r="116" spans="1:62" s="101" customFormat="1" x14ac:dyDescent="0.3">
      <c r="A116" s="101" t="s">
        <v>2878</v>
      </c>
      <c r="C116" s="134" t="s">
        <v>2840</v>
      </c>
      <c r="D116" s="102"/>
      <c r="E116" s="103" t="s">
        <v>2475</v>
      </c>
      <c r="F116" s="316" t="str">
        <f t="shared" si="13"/>
        <v>hydro-STO</v>
      </c>
      <c r="G116" s="102">
        <v>102</v>
      </c>
      <c r="H116" s="66" t="str">
        <f>VLOOKUP(I116,Codes!$A$1:$B$32,2,FALSE)</f>
        <v>NO</v>
      </c>
      <c r="I116" s="102" t="s">
        <v>21</v>
      </c>
      <c r="J116" s="102"/>
      <c r="K116" s="102"/>
      <c r="L116" s="102"/>
      <c r="M116" s="104"/>
      <c r="N116" s="105"/>
      <c r="O116" s="105"/>
      <c r="P116" s="105"/>
      <c r="Q116" s="105"/>
      <c r="R116" s="102"/>
      <c r="S116" s="102"/>
      <c r="T116" s="106"/>
      <c r="U116" s="102"/>
      <c r="V116" s="102"/>
      <c r="W116" s="102"/>
      <c r="X116" s="102"/>
      <c r="Y116" s="106"/>
      <c r="Z116" s="102"/>
      <c r="AA116" s="102"/>
      <c r="AB116" s="102"/>
      <c r="AC116" s="107"/>
      <c r="AD116" s="107"/>
      <c r="AE116" s="102"/>
      <c r="AF116" s="102"/>
      <c r="AG116" s="172" t="s">
        <v>2734</v>
      </c>
      <c r="AH116" s="165"/>
      <c r="AI116" s="105"/>
      <c r="AJ116" s="109"/>
      <c r="AK116" s="110"/>
      <c r="AL116" s="102"/>
      <c r="AM116" s="102"/>
      <c r="AN116" s="109"/>
      <c r="AO116" s="109"/>
      <c r="AP116" s="106"/>
      <c r="AQ116" s="108"/>
      <c r="AR116" s="106"/>
      <c r="AS116" s="106"/>
      <c r="AT116" s="106"/>
      <c r="AU116" s="102"/>
      <c r="AV116" s="102"/>
      <c r="AW116" s="102"/>
      <c r="AX116" s="102"/>
      <c r="AY116" s="102"/>
      <c r="AZ116" s="102"/>
      <c r="BA116" s="56" t="str">
        <f>IF(Z116*U116/1000=0,IF(AQ116=0,IF(AP112=0,"MAXTURBFLOW","POTENTIAL"),"GETH"),"MAXPUMPTIME")</f>
        <v>POTENTIAL</v>
      </c>
      <c r="BB116" s="209">
        <f>IF(Z116*U116/1000=0,IF(AQ116=0,1000*9.81*AP112*AK116*turbPumpEff/3600000,AQ116),Z116*U116/1000)</f>
        <v>0</v>
      </c>
      <c r="BC116" s="102"/>
      <c r="BD116" s="102"/>
      <c r="BE116" s="102"/>
      <c r="BF116" s="102"/>
      <c r="BG116" s="108"/>
      <c r="BH116" s="73" t="s">
        <v>2853</v>
      </c>
      <c r="BI116" s="102"/>
      <c r="BJ116" s="279"/>
    </row>
    <row r="117" spans="1:62" s="101" customFormat="1" x14ac:dyDescent="0.3">
      <c r="A117" s="101" t="s">
        <v>2878</v>
      </c>
      <c r="C117" s="134" t="s">
        <v>2840</v>
      </c>
      <c r="D117" s="102"/>
      <c r="E117" s="103" t="s">
        <v>2475</v>
      </c>
      <c r="F117" s="316" t="str">
        <f t="shared" si="13"/>
        <v>hydro-STO</v>
      </c>
      <c r="G117" s="102">
        <v>102</v>
      </c>
      <c r="H117" s="66" t="str">
        <f>VLOOKUP(I117,Codes!$A$1:$B$32,2,FALSE)</f>
        <v>NO</v>
      </c>
      <c r="I117" s="102" t="s">
        <v>21</v>
      </c>
      <c r="J117" s="102"/>
      <c r="K117" s="102"/>
      <c r="L117" s="102"/>
      <c r="M117" s="104"/>
      <c r="N117" s="105"/>
      <c r="O117" s="105"/>
      <c r="P117" s="105"/>
      <c r="Q117" s="105"/>
      <c r="R117" s="102"/>
      <c r="S117" s="102"/>
      <c r="T117" s="106"/>
      <c r="U117" s="102"/>
      <c r="V117" s="102"/>
      <c r="W117" s="102"/>
      <c r="X117" s="102"/>
      <c r="Y117" s="106"/>
      <c r="Z117" s="102"/>
      <c r="AA117" s="102"/>
      <c r="AB117" s="102"/>
      <c r="AC117" s="107"/>
      <c r="AD117" s="107"/>
      <c r="AE117" s="102"/>
      <c r="AF117" s="102"/>
      <c r="AG117" s="172" t="s">
        <v>2735</v>
      </c>
      <c r="AH117" s="165"/>
      <c r="AI117" s="105"/>
      <c r="AJ117" s="109"/>
      <c r="AK117" s="110"/>
      <c r="AL117" s="102"/>
      <c r="AM117" s="102"/>
      <c r="AN117" s="109"/>
      <c r="AO117" s="109"/>
      <c r="AP117" s="106"/>
      <c r="AQ117" s="108"/>
      <c r="AR117" s="106"/>
      <c r="AS117" s="106"/>
      <c r="AT117" s="106"/>
      <c r="AU117" s="102"/>
      <c r="AV117" s="102"/>
      <c r="AW117" s="102"/>
      <c r="AX117" s="102"/>
      <c r="AY117" s="102"/>
      <c r="AZ117" s="102"/>
      <c r="BA117" s="56" t="str">
        <f>IF(Z117*U117/1000=0,IF(AQ117=0,IF(AP112=0,"MAXTURBFLOW","POTENTIAL"),"GETH"),"MAXPUMPTIME")</f>
        <v>POTENTIAL</v>
      </c>
      <c r="BB117" s="209">
        <f>IF(Z117*U117/1000=0,IF(AQ117=0,1000*9.81*AP112*AK117*turbPumpEff/3600000,AQ117),Z117*U117/1000)</f>
        <v>0</v>
      </c>
      <c r="BC117" s="102" t="s">
        <v>2162</v>
      </c>
      <c r="BD117" s="102"/>
      <c r="BE117" s="102"/>
      <c r="BF117" s="102"/>
      <c r="BG117" s="108"/>
      <c r="BH117" s="73" t="s">
        <v>2853</v>
      </c>
      <c r="BI117" s="102"/>
      <c r="BJ117" s="279"/>
    </row>
    <row r="118" spans="1:62" s="101" customFormat="1" x14ac:dyDescent="0.3">
      <c r="A118" s="101" t="s">
        <v>2878</v>
      </c>
      <c r="C118" s="134" t="s">
        <v>2840</v>
      </c>
      <c r="D118" s="102"/>
      <c r="E118" s="103" t="s">
        <v>2475</v>
      </c>
      <c r="F118" s="316" t="str">
        <f t="shared" si="13"/>
        <v>hydro-STO</v>
      </c>
      <c r="G118" s="102">
        <v>102</v>
      </c>
      <c r="H118" s="66" t="str">
        <f>VLOOKUP(I118,Codes!$A$1:$B$32,2,FALSE)</f>
        <v>NO</v>
      </c>
      <c r="I118" s="102" t="s">
        <v>21</v>
      </c>
      <c r="J118" s="102"/>
      <c r="K118" s="102"/>
      <c r="L118" s="102"/>
      <c r="M118" s="104"/>
      <c r="N118" s="105"/>
      <c r="O118" s="105"/>
      <c r="P118" s="105"/>
      <c r="Q118" s="105"/>
      <c r="R118" s="102"/>
      <c r="S118" s="102"/>
      <c r="T118" s="106"/>
      <c r="U118" s="102"/>
      <c r="V118" s="102"/>
      <c r="W118" s="102"/>
      <c r="X118" s="102"/>
      <c r="Y118" s="106"/>
      <c r="Z118" s="102"/>
      <c r="AA118" s="102"/>
      <c r="AB118" s="102"/>
      <c r="AC118" s="107"/>
      <c r="AD118" s="107"/>
      <c r="AE118" s="102"/>
      <c r="AF118" s="102"/>
      <c r="AG118" s="172" t="s">
        <v>2154</v>
      </c>
      <c r="AH118" s="165"/>
      <c r="AI118" s="105">
        <v>60.790472000000001</v>
      </c>
      <c r="AJ118" s="109">
        <v>7.5625</v>
      </c>
      <c r="AK118" s="110">
        <v>10</v>
      </c>
      <c r="AL118" s="102"/>
      <c r="AM118" s="102"/>
      <c r="AN118" s="109"/>
      <c r="AO118" s="109"/>
      <c r="AP118" s="106"/>
      <c r="AQ118" s="108"/>
      <c r="AR118" s="106"/>
      <c r="AS118" s="106"/>
      <c r="AT118" s="106"/>
      <c r="AU118" s="102"/>
      <c r="AV118" s="102"/>
      <c r="AW118" s="102"/>
      <c r="AX118" s="102"/>
      <c r="AY118" s="102"/>
      <c r="AZ118" s="102"/>
      <c r="BA118" s="56" t="str">
        <f>IF(Z118*U118/1000=0,IF(AQ118=0,IF(AP112=0,"MAXTURBFLOW","POTENTIAL"),"GETH"),"MAXPUMPTIME")</f>
        <v>POTENTIAL</v>
      </c>
      <c r="BB118" s="209">
        <f>IF(Z118*U118/1000=0,IF(AQ118=0,1000*9.81*AP112*AK118*turbPumpEff/3600000,AQ118),Z118*U118/1000)</f>
        <v>6.9937125</v>
      </c>
      <c r="BC118" s="102"/>
      <c r="BD118" s="102"/>
      <c r="BE118" s="111"/>
      <c r="BF118" s="102"/>
      <c r="BG118" s="108"/>
      <c r="BH118" s="73" t="s">
        <v>2853</v>
      </c>
      <c r="BI118" s="102"/>
      <c r="BJ118" s="279"/>
    </row>
    <row r="119" spans="1:62" x14ac:dyDescent="0.3">
      <c r="A119" s="56" t="s">
        <v>2103</v>
      </c>
      <c r="B119" s="56" t="s">
        <v>2840</v>
      </c>
      <c r="C119" s="134" t="s">
        <v>2840</v>
      </c>
      <c r="D119" s="244" t="s">
        <v>2787</v>
      </c>
      <c r="E119" s="157" t="s">
        <v>2787</v>
      </c>
      <c r="F119" s="76" t="str">
        <f>VLOOKUP(E119,Codes!$G$1:$H$3,2,FALSE)</f>
        <v>hydro-STO</v>
      </c>
      <c r="G119" s="56">
        <v>103</v>
      </c>
      <c r="H119" s="66" t="str">
        <f>VLOOKUP(I119,Codes!$A$1:$B$32,2,FALSE)</f>
        <v>NO</v>
      </c>
      <c r="I119" s="56" t="s">
        <v>21</v>
      </c>
      <c r="J119" s="56" t="s">
        <v>2104</v>
      </c>
      <c r="K119" s="56" t="s">
        <v>2100</v>
      </c>
      <c r="L119" s="56" t="s">
        <v>716</v>
      </c>
      <c r="M119" s="69" t="s">
        <v>2114</v>
      </c>
      <c r="N119" s="70">
        <v>58.616660000000003</v>
      </c>
      <c r="O119" s="70">
        <v>6.0833329999999997</v>
      </c>
      <c r="P119" s="70">
        <v>58.616660000000003</v>
      </c>
      <c r="Q119" s="70">
        <v>6.1050000000000004</v>
      </c>
      <c r="R119" s="56">
        <v>2</v>
      </c>
      <c r="T119" s="71" t="s">
        <v>42</v>
      </c>
      <c r="U119" s="56">
        <v>160</v>
      </c>
      <c r="AA119" s="56">
        <v>583</v>
      </c>
      <c r="AC119" s="73">
        <v>0.41566849190052474</v>
      </c>
      <c r="AE119" s="56">
        <v>1980</v>
      </c>
      <c r="AG119" s="56" t="s">
        <v>2113</v>
      </c>
      <c r="AH119" s="165"/>
      <c r="AI119" s="70">
        <v>59.496032999999997</v>
      </c>
      <c r="AJ119" s="74">
        <v>6.5395159999999999</v>
      </c>
      <c r="AK119" s="75">
        <v>44</v>
      </c>
      <c r="AP119" s="71">
        <v>68.5</v>
      </c>
      <c r="AV119" s="56" t="s">
        <v>2102</v>
      </c>
      <c r="AW119" s="56" t="s">
        <v>2057</v>
      </c>
      <c r="AZ119" s="67"/>
      <c r="BA119" s="56" t="str">
        <f>IF(Z119*U119/1000=0,IF(AQ119=0,IF(AP119=0,"MAXTURBFLOW","POTENTIAL"),"GETH"),"MAXPUMPTIME")</f>
        <v>POTENTIAL</v>
      </c>
      <c r="BB119" s="209">
        <f>IF(BA119="MAXPUMPTIME",Z119*U119/1000,IF(BA119="GETH",AQ119,IF(BA119="POTENTIAL",1000*9.81*AP119*AK119*turbPumpEff/3600000,IF(BA119="MAXTURBFLOW",U119*AK119/AR119/3.6,"!!!"))))</f>
        <v>7.1454405000000003</v>
      </c>
      <c r="BC119" s="56" t="s">
        <v>2105</v>
      </c>
      <c r="BH119" s="73" t="s">
        <v>2853</v>
      </c>
      <c r="BJ119" s="279">
        <f>BB119/(U119/1000)</f>
        <v>44.659003124999998</v>
      </c>
    </row>
    <row r="120" spans="1:62" ht="14.5" x14ac:dyDescent="0.3">
      <c r="A120" s="56" t="s">
        <v>524</v>
      </c>
      <c r="B120" s="56" t="s">
        <v>2840</v>
      </c>
      <c r="C120" s="134" t="s">
        <v>2840</v>
      </c>
      <c r="D120" s="56" t="s">
        <v>962</v>
      </c>
      <c r="E120" s="76" t="s">
        <v>962</v>
      </c>
      <c r="F120" s="76" t="str">
        <f>VLOOKUP(E120,Codes!$G$1:$H$3,2,FALSE)</f>
        <v>hydro-PHS</v>
      </c>
      <c r="G120" s="56">
        <v>104</v>
      </c>
      <c r="H120" s="66" t="str">
        <f>VLOOKUP(I120,Codes!$A$1:$B$32,2,FALSE)</f>
        <v>IT</v>
      </c>
      <c r="I120" s="56" t="s">
        <v>9</v>
      </c>
      <c r="J120" s="56" t="s">
        <v>512</v>
      </c>
      <c r="L120" s="56" t="s">
        <v>2380</v>
      </c>
      <c r="M120" s="33"/>
      <c r="N120" s="70">
        <v>42.511240000000001</v>
      </c>
      <c r="O120" s="70">
        <v>13.410589999999999</v>
      </c>
      <c r="P120" s="70">
        <v>42.511240000000001</v>
      </c>
      <c r="Q120" s="70">
        <v>13.410589999999999</v>
      </c>
      <c r="R120" s="56">
        <v>3</v>
      </c>
      <c r="S120" s="56">
        <v>3</v>
      </c>
      <c r="T120" s="71" t="s">
        <v>42</v>
      </c>
      <c r="U120" s="56">
        <v>141</v>
      </c>
      <c r="V120" s="56">
        <v>141</v>
      </c>
      <c r="AA120" s="56">
        <v>70.459999999999994</v>
      </c>
      <c r="AC120" s="73">
        <v>5.7006195762803739E-2</v>
      </c>
      <c r="AE120" s="56">
        <v>1949</v>
      </c>
      <c r="AG120" s="56" t="s">
        <v>2382</v>
      </c>
      <c r="AH120" s="173">
        <v>3477</v>
      </c>
      <c r="AI120" s="70">
        <v>42.532933999999997</v>
      </c>
      <c r="AJ120" s="74">
        <v>13.387402</v>
      </c>
      <c r="AK120" s="75">
        <v>217</v>
      </c>
      <c r="AL120" s="56" t="s">
        <v>524</v>
      </c>
      <c r="AN120" s="74">
        <v>42.507601999999999</v>
      </c>
      <c r="AO120" s="74">
        <v>13.405393</v>
      </c>
      <c r="AP120" s="71">
        <v>287.5</v>
      </c>
      <c r="AR120" s="71">
        <v>61.8</v>
      </c>
      <c r="AU120" s="56">
        <v>32.5</v>
      </c>
      <c r="BA120" s="56" t="str">
        <f>IF(Z120*U120/1000=0,IF(AQ120=0,IF(AP120=0,"MAXTURBFLOW","POTENTIAL"),"GETH"),"MAXPUMPTIME")</f>
        <v>POTENTIAL</v>
      </c>
      <c r="BB120" s="209">
        <f>IF(BA120="MAXPUMPTIME",Z120*U120/1000,IF(BA120="GETH",AQ120,IF(BA120="POTENTIAL",1000*9.81*AP120*AK120*turbPumpEff/3600000,IF(BA120="MAXTURBFLOW",U120*AK120/AR120/3.6,"!!!"))))</f>
        <v>147.905165625</v>
      </c>
      <c r="BC120" s="56" t="s">
        <v>2379</v>
      </c>
      <c r="BD120" s="56" t="s">
        <v>2381</v>
      </c>
      <c r="BE120" s="56" t="s">
        <v>2269</v>
      </c>
      <c r="BF120" s="143" t="s">
        <v>2383</v>
      </c>
      <c r="BH120" s="73" t="s">
        <v>2853</v>
      </c>
      <c r="BJ120" s="279">
        <f>BB120/(U120/1000)</f>
        <v>1048.9728058510639</v>
      </c>
    </row>
    <row r="121" spans="1:62" x14ac:dyDescent="0.3">
      <c r="A121" s="56" t="s">
        <v>2149</v>
      </c>
      <c r="B121" s="56" t="s">
        <v>2840</v>
      </c>
      <c r="C121" s="134" t="s">
        <v>2840</v>
      </c>
      <c r="D121" s="56" t="s">
        <v>962</v>
      </c>
      <c r="E121" s="76" t="s">
        <v>962</v>
      </c>
      <c r="F121" s="76" t="str">
        <f>VLOOKUP(E121,Codes!$G$1:$H$3,2,FALSE)</f>
        <v>hydro-PHS</v>
      </c>
      <c r="G121" s="56">
        <v>105</v>
      </c>
      <c r="H121" s="66" t="str">
        <f>VLOOKUP(I121,Codes!$A$1:$B$32,2,FALSE)</f>
        <v>IT</v>
      </c>
      <c r="I121" s="67" t="s">
        <v>9</v>
      </c>
      <c r="J121" s="67" t="s">
        <v>512</v>
      </c>
      <c r="K121" s="67" t="s">
        <v>527</v>
      </c>
      <c r="L121" s="56" t="s">
        <v>527</v>
      </c>
      <c r="N121" s="70">
        <v>44.224722</v>
      </c>
      <c r="O121" s="70">
        <v>7.3861109999999996</v>
      </c>
      <c r="R121" s="56">
        <v>1</v>
      </c>
      <c r="S121" s="56">
        <v>1</v>
      </c>
      <c r="T121" s="71" t="s">
        <v>42</v>
      </c>
      <c r="U121" s="56">
        <v>133.66999999999999</v>
      </c>
      <c r="V121" s="56">
        <v>125</v>
      </c>
      <c r="AA121" s="56">
        <v>115.55555555555556</v>
      </c>
      <c r="AC121" s="73">
        <v>9.8617823974235394E-2</v>
      </c>
      <c r="AE121" s="56">
        <v>1982</v>
      </c>
      <c r="AG121" s="56" t="s">
        <v>2074</v>
      </c>
      <c r="AH121" s="165"/>
      <c r="AI121" s="70">
        <v>44.176062000000002</v>
      </c>
      <c r="AJ121" s="74">
        <v>7.3428610000000001</v>
      </c>
      <c r="AK121" s="75">
        <v>1.2</v>
      </c>
      <c r="AL121" s="56" t="s">
        <v>2072</v>
      </c>
      <c r="AN121" s="74">
        <v>44.222800999999997</v>
      </c>
      <c r="AO121" s="74">
        <v>7.3893139999999997</v>
      </c>
      <c r="AP121" s="71">
        <v>598</v>
      </c>
      <c r="AQ121" s="72">
        <v>2</v>
      </c>
      <c r="AR121" s="71">
        <v>128</v>
      </c>
      <c r="AU121" s="56">
        <v>120</v>
      </c>
      <c r="AW121" s="56" t="s">
        <v>2057</v>
      </c>
      <c r="AZ121" s="67"/>
      <c r="BA121" s="56" t="str">
        <f>IF(Z121*U121/1000=0,IF(AQ121=0,IF(AP121=0,"MAXTURBFLOW","POTENTIAL"),"GETH"),"MAXPUMPTIME")</f>
        <v>GETH</v>
      </c>
      <c r="BB121" s="209">
        <f>IF(BA121="MAXPUMPTIME",Z121*U121/1000,IF(BA121="GETH",AQ121,IF(BA121="POTENTIAL",1000*9.81*AP121*AK121*turbPumpEff/3600000,IF(BA121="MAXTURBFLOW",U121*AK121/AR121/3.6,"!!!"))))</f>
        <v>2</v>
      </c>
      <c r="BC121" s="67" t="s">
        <v>2075</v>
      </c>
      <c r="BD121" s="56" t="s">
        <v>2076</v>
      </c>
      <c r="BH121" s="73" t="s">
        <v>2853</v>
      </c>
      <c r="BJ121" s="279">
        <f>BB121/(U121/1000)</f>
        <v>14.962220393506398</v>
      </c>
    </row>
    <row r="122" spans="1:62" x14ac:dyDescent="0.3">
      <c r="A122" s="56" t="s">
        <v>2423</v>
      </c>
      <c r="B122" s="56" t="s">
        <v>2840</v>
      </c>
      <c r="C122" s="134" t="s">
        <v>2840</v>
      </c>
      <c r="D122" s="56" t="s">
        <v>2787</v>
      </c>
      <c r="E122" s="76" t="s">
        <v>2787</v>
      </c>
      <c r="F122" s="76" t="str">
        <f>VLOOKUP(E122,Codes!$G$1:$H$3,2,FALSE)</f>
        <v>hydro-STO</v>
      </c>
      <c r="G122" s="56">
        <v>106</v>
      </c>
      <c r="H122" s="66" t="str">
        <f>VLOOKUP(I122,Codes!$A$1:$B$32,2,FALSE)</f>
        <v>FR</v>
      </c>
      <c r="I122" s="56" t="s">
        <v>7</v>
      </c>
      <c r="J122" s="56" t="s">
        <v>2330</v>
      </c>
      <c r="L122" s="56" t="s">
        <v>246</v>
      </c>
      <c r="M122" s="69" t="s">
        <v>2228</v>
      </c>
      <c r="N122" s="70">
        <v>45.503785000000001</v>
      </c>
      <c r="O122" s="70">
        <v>6.9256219999999997</v>
      </c>
      <c r="R122" s="56">
        <v>3</v>
      </c>
      <c r="T122" s="71" t="s">
        <v>42</v>
      </c>
      <c r="U122" s="56">
        <v>96</v>
      </c>
      <c r="AG122" s="56" t="s">
        <v>2424</v>
      </c>
      <c r="AH122" s="56">
        <v>3398</v>
      </c>
      <c r="AI122" s="70">
        <v>45.493203000000001</v>
      </c>
      <c r="AJ122" s="74">
        <v>6.9330059999999998</v>
      </c>
      <c r="AK122" s="75">
        <v>230</v>
      </c>
      <c r="AP122" s="71">
        <v>233</v>
      </c>
      <c r="AZ122" s="56" t="s">
        <v>2427</v>
      </c>
      <c r="BA122" s="56" t="str">
        <f>IF(Z122*U122/1000=0,IF(AQ122=0,IF(AP122=0,"MAXTURBFLOW","POTENTIAL"),"GETH"),"MAXPUMPTIME")</f>
        <v>POTENTIAL</v>
      </c>
      <c r="BB122" s="209">
        <f>IF(BA122="MAXPUMPTIME",Z122*U122/1000,IF(BA122="GETH",AQ122,IF(BA122="POTENTIAL",1000*9.81*AP122*AK122*turbPumpEff/3600000,IF(BA122="MAXTURBFLOW",U122*AK122/AR122/3.6,"!!!"))))</f>
        <v>127.04849249999999</v>
      </c>
      <c r="BC122" s="56" t="s">
        <v>2425</v>
      </c>
      <c r="BD122" s="56" t="s">
        <v>2426</v>
      </c>
      <c r="BH122" s="73" t="s">
        <v>2853</v>
      </c>
      <c r="BJ122" s="279">
        <f>BB122/(U122/1000)</f>
        <v>1323.4217968749999</v>
      </c>
    </row>
    <row r="123" spans="1:62" ht="15" customHeight="1" x14ac:dyDescent="0.35">
      <c r="A123" s="56" t="s">
        <v>1123</v>
      </c>
      <c r="C123" s="56"/>
      <c r="D123" s="56" t="s">
        <v>3579</v>
      </c>
      <c r="E123" s="56" t="s">
        <v>29</v>
      </c>
      <c r="G123" s="56">
        <v>107</v>
      </c>
      <c r="H123" s="66" t="str">
        <f>VLOOKUP(I123,Codes!$A$1:$B$32,2,FALSE)</f>
        <v>GB</v>
      </c>
      <c r="I123" s="56" t="s">
        <v>2839</v>
      </c>
      <c r="J123" s="56" t="s">
        <v>3318</v>
      </c>
      <c r="M123" s="56" t="s">
        <v>3317</v>
      </c>
      <c r="N123" s="70">
        <v>52.912924999999902</v>
      </c>
      <c r="O123" s="70">
        <v>-1.20495660000005</v>
      </c>
      <c r="P123" s="70">
        <v>52.942999999999998</v>
      </c>
      <c r="Q123" s="70">
        <v>-1.1739999999999999</v>
      </c>
      <c r="U123" s="56">
        <v>1.66</v>
      </c>
      <c r="AA123" s="56">
        <v>5.26</v>
      </c>
      <c r="AI123" s="70">
        <v>52.942999999999998</v>
      </c>
      <c r="AJ123" s="70">
        <v>-1.1739999999999999</v>
      </c>
      <c r="AK123" s="352"/>
      <c r="AR123" s="71">
        <v>60</v>
      </c>
      <c r="AS123" s="71">
        <f t="shared" ref="AS123:AS167" si="14">((AK123*1000000)/AR123)/3600</f>
        <v>0</v>
      </c>
      <c r="BC123" s="56" t="s">
        <v>3743</v>
      </c>
      <c r="BD123" s="56" t="s">
        <v>3744</v>
      </c>
    </row>
    <row r="124" spans="1:62" x14ac:dyDescent="0.35">
      <c r="A124" s="56" t="s">
        <v>3319</v>
      </c>
      <c r="D124" s="56" t="s">
        <v>29</v>
      </c>
      <c r="G124" s="56">
        <v>108</v>
      </c>
      <c r="H124" s="66" t="str">
        <f>VLOOKUP(I124,Codes!$A$1:$B$32,2,FALSE)</f>
        <v>AT</v>
      </c>
      <c r="I124" s="56" t="s">
        <v>13</v>
      </c>
      <c r="J124" s="56" t="s">
        <v>2180</v>
      </c>
      <c r="L124" s="56" t="s">
        <v>3321</v>
      </c>
      <c r="M124" s="69" t="s">
        <v>3320</v>
      </c>
      <c r="N124" s="70">
        <v>48.383000000000003</v>
      </c>
      <c r="O124" s="70">
        <v>15.85</v>
      </c>
      <c r="P124" s="70">
        <v>48.383000000000003</v>
      </c>
      <c r="Q124" s="70">
        <v>15.85</v>
      </c>
      <c r="R124" s="56">
        <v>9</v>
      </c>
      <c r="T124" s="71" t="s">
        <v>2129</v>
      </c>
      <c r="U124" s="56">
        <v>328</v>
      </c>
      <c r="AA124" s="56">
        <v>2004.1959999999999</v>
      </c>
      <c r="AG124" s="56" t="s">
        <v>3375</v>
      </c>
      <c r="AI124" s="70">
        <v>48.383000000000003</v>
      </c>
      <c r="AJ124" s="70">
        <v>15.85</v>
      </c>
      <c r="AK124" s="110">
        <v>93</v>
      </c>
      <c r="AP124" s="71">
        <v>15</v>
      </c>
      <c r="AR124" s="71">
        <v>2700</v>
      </c>
      <c r="AS124" s="71">
        <f t="shared" si="14"/>
        <v>9.567901234567902</v>
      </c>
      <c r="AT124" s="71">
        <v>3</v>
      </c>
      <c r="AV124" s="56" t="s">
        <v>3327</v>
      </c>
    </row>
    <row r="125" spans="1:62" x14ac:dyDescent="0.35">
      <c r="A125" s="56" t="s">
        <v>3322</v>
      </c>
      <c r="D125" s="102" t="s">
        <v>29</v>
      </c>
      <c r="G125" s="56">
        <v>109</v>
      </c>
      <c r="H125" s="66" t="str">
        <f>VLOOKUP(I125,Codes!$A$1:$B$32,2,FALSE)</f>
        <v>FR</v>
      </c>
      <c r="I125" s="56" t="s">
        <v>7</v>
      </c>
      <c r="J125" s="56" t="s">
        <v>2330</v>
      </c>
      <c r="L125" s="56" t="s">
        <v>3323</v>
      </c>
      <c r="M125" s="69" t="s">
        <v>3324</v>
      </c>
      <c r="N125" s="70">
        <v>45.151000000000003</v>
      </c>
      <c r="O125" s="70">
        <v>2.0099999999999998</v>
      </c>
      <c r="P125" s="70">
        <v>45.151000000000003</v>
      </c>
      <c r="Q125" s="70">
        <v>2.0099999999999998</v>
      </c>
      <c r="R125" s="56">
        <v>3</v>
      </c>
      <c r="T125" s="71" t="s">
        <v>2129</v>
      </c>
      <c r="U125" s="56">
        <v>290</v>
      </c>
      <c r="AA125" s="56">
        <v>590.63300000000004</v>
      </c>
      <c r="AE125" s="56">
        <v>1952</v>
      </c>
      <c r="AG125" s="56" t="s">
        <v>3325</v>
      </c>
      <c r="AH125" s="56">
        <v>3413</v>
      </c>
      <c r="AI125" s="70">
        <v>45.162492999999998</v>
      </c>
      <c r="AJ125" s="74">
        <v>2.0088240000000002</v>
      </c>
      <c r="AK125" s="110">
        <v>187</v>
      </c>
      <c r="AP125" s="71">
        <v>75</v>
      </c>
      <c r="AR125" s="351">
        <v>533</v>
      </c>
      <c r="AS125" s="71">
        <f t="shared" si="14"/>
        <v>97.456743798207214</v>
      </c>
      <c r="AT125" s="71">
        <v>5</v>
      </c>
      <c r="BC125" s="56" t="s">
        <v>3510</v>
      </c>
      <c r="BD125" s="56" t="s">
        <v>3549</v>
      </c>
    </row>
    <row r="126" spans="1:62" x14ac:dyDescent="0.35">
      <c r="A126" s="56" t="s">
        <v>1441</v>
      </c>
      <c r="D126" s="56" t="s">
        <v>29</v>
      </c>
      <c r="G126" s="56">
        <v>110</v>
      </c>
      <c r="H126" s="66" t="str">
        <f>VLOOKUP(I126,Codes!$A$1:$B$32,2,FALSE)</f>
        <v>AT</v>
      </c>
      <c r="I126" s="56" t="s">
        <v>13</v>
      </c>
      <c r="J126" s="56" t="s">
        <v>2180</v>
      </c>
      <c r="L126" s="56" t="s">
        <v>1441</v>
      </c>
      <c r="M126" s="69" t="s">
        <v>3320</v>
      </c>
      <c r="N126" s="70">
        <v>48.3553</v>
      </c>
      <c r="O126" s="70">
        <v>16.2424</v>
      </c>
      <c r="P126" s="70">
        <v>48.3553</v>
      </c>
      <c r="Q126" s="70">
        <v>16.2424</v>
      </c>
      <c r="R126" s="56">
        <v>9</v>
      </c>
      <c r="T126" s="71" t="s">
        <v>2129</v>
      </c>
      <c r="U126" s="56">
        <v>293</v>
      </c>
      <c r="AA126" s="56">
        <v>1717.3</v>
      </c>
      <c r="AE126" s="56">
        <v>1985</v>
      </c>
      <c r="AG126" s="56" t="s">
        <v>1441</v>
      </c>
      <c r="AI126" s="70">
        <v>48.3553</v>
      </c>
      <c r="AJ126" s="70">
        <v>16.2424</v>
      </c>
      <c r="AK126" s="352">
        <v>87</v>
      </c>
      <c r="AP126" s="71">
        <v>10.9</v>
      </c>
      <c r="AR126" s="71">
        <v>3150</v>
      </c>
      <c r="AS126" s="71">
        <f t="shared" si="14"/>
        <v>7.6719576719576716</v>
      </c>
      <c r="AT126" s="71">
        <v>3</v>
      </c>
      <c r="AV126" s="56" t="s">
        <v>3321</v>
      </c>
      <c r="AY126" s="56" t="s">
        <v>3578</v>
      </c>
      <c r="AZ126" s="56" t="s">
        <v>3326</v>
      </c>
    </row>
    <row r="127" spans="1:62" x14ac:dyDescent="0.35">
      <c r="A127" s="56" t="s">
        <v>1439</v>
      </c>
      <c r="D127" s="56" t="s">
        <v>29</v>
      </c>
      <c r="G127" s="56">
        <v>111</v>
      </c>
      <c r="H127" s="66" t="str">
        <f>VLOOKUP(I127,Codes!$A$1:$B$32,2,FALSE)</f>
        <v>AT</v>
      </c>
      <c r="I127" s="56" t="s">
        <v>13</v>
      </c>
      <c r="J127" s="56" t="s">
        <v>2180</v>
      </c>
      <c r="L127" s="56" t="s">
        <v>1439</v>
      </c>
      <c r="M127" s="69" t="s">
        <v>3330</v>
      </c>
      <c r="N127" s="70">
        <v>48.385300000000001</v>
      </c>
      <c r="O127" s="70">
        <v>14.023</v>
      </c>
      <c r="P127" s="70">
        <v>48.385300000000001</v>
      </c>
      <c r="Q127" s="70">
        <v>14.023</v>
      </c>
      <c r="R127" s="56">
        <v>4</v>
      </c>
      <c r="T127" s="71" t="s">
        <v>2129</v>
      </c>
      <c r="U127" s="56">
        <v>287</v>
      </c>
      <c r="AA127" s="56">
        <v>1686</v>
      </c>
      <c r="AE127" s="56">
        <v>1964</v>
      </c>
      <c r="AG127" s="56" t="s">
        <v>1439</v>
      </c>
      <c r="AI127" s="70">
        <v>48.385300000000001</v>
      </c>
      <c r="AJ127" s="70">
        <v>14.023</v>
      </c>
      <c r="AK127" s="110">
        <v>114</v>
      </c>
      <c r="AP127" s="71">
        <v>14.9</v>
      </c>
      <c r="AR127" s="71">
        <v>2480</v>
      </c>
      <c r="AS127" s="71">
        <f t="shared" si="14"/>
        <v>12.768817204301076</v>
      </c>
      <c r="AT127" s="71">
        <v>4</v>
      </c>
      <c r="AV127" s="56" t="s">
        <v>3586</v>
      </c>
      <c r="AZ127" s="56" t="s">
        <v>3331</v>
      </c>
      <c r="BC127" s="56" t="s">
        <v>3328</v>
      </c>
      <c r="BD127" s="56" t="s">
        <v>3329</v>
      </c>
    </row>
    <row r="128" spans="1:62" ht="14.5" x14ac:dyDescent="0.35">
      <c r="A128" s="56" t="s">
        <v>3646</v>
      </c>
      <c r="D128" s="56" t="s">
        <v>29</v>
      </c>
      <c r="G128" s="56">
        <v>112</v>
      </c>
      <c r="H128" s="66" t="str">
        <f>VLOOKUP(I128,Codes!$A$1:$B$32,2,FALSE)</f>
        <v>NO</v>
      </c>
      <c r="I128" s="56" t="s">
        <v>21</v>
      </c>
      <c r="J128" s="56" t="s">
        <v>3332</v>
      </c>
      <c r="L128" s="56" t="s">
        <v>3651</v>
      </c>
      <c r="M128" s="69" t="s">
        <v>3333</v>
      </c>
      <c r="N128" s="70">
        <v>59.579470499999999</v>
      </c>
      <c r="O128" s="70">
        <v>11.1018297</v>
      </c>
      <c r="P128" s="70">
        <v>59.573</v>
      </c>
      <c r="Q128" s="70">
        <v>11.295999999999999</v>
      </c>
      <c r="R128" s="56">
        <v>4</v>
      </c>
      <c r="T128" s="71" t="s">
        <v>2129</v>
      </c>
      <c r="U128" s="56">
        <v>230</v>
      </c>
      <c r="AA128" s="56">
        <v>1265</v>
      </c>
      <c r="AE128" s="56">
        <v>1963</v>
      </c>
      <c r="AH128" s="56">
        <v>3151</v>
      </c>
      <c r="AI128" s="70">
        <v>59.579470499999999</v>
      </c>
      <c r="AJ128" s="70">
        <v>11.1018297</v>
      </c>
      <c r="AK128" s="352"/>
      <c r="AP128" s="71">
        <v>26.5</v>
      </c>
      <c r="AR128" s="71">
        <v>1025</v>
      </c>
      <c r="AS128" s="71">
        <f t="shared" si="14"/>
        <v>0</v>
      </c>
      <c r="AV128" s="56" t="s">
        <v>3655</v>
      </c>
      <c r="BC128" s="139" t="s">
        <v>3650</v>
      </c>
    </row>
    <row r="129" spans="1:56" x14ac:dyDescent="0.35">
      <c r="A129" s="56" t="s">
        <v>2849</v>
      </c>
      <c r="D129" s="56" t="s">
        <v>29</v>
      </c>
      <c r="G129" s="56">
        <v>113</v>
      </c>
      <c r="H129" s="66" t="str">
        <f>VLOOKUP(I129,Codes!$A$1:$B$32,2,FALSE)</f>
        <v>NO</v>
      </c>
      <c r="I129" s="56" t="s">
        <v>21</v>
      </c>
      <c r="J129" s="56" t="s">
        <v>3334</v>
      </c>
      <c r="L129" s="56" t="s">
        <v>3335</v>
      </c>
      <c r="M129" s="69" t="s">
        <v>3333</v>
      </c>
      <c r="N129" s="70">
        <v>59.637092000000003</v>
      </c>
      <c r="O129" s="70">
        <v>11.15521</v>
      </c>
      <c r="P129" s="70">
        <v>59.634999999999998</v>
      </c>
      <c r="Q129" s="70">
        <v>11.3</v>
      </c>
      <c r="R129" s="56">
        <v>13</v>
      </c>
      <c r="T129" s="71" t="s">
        <v>42</v>
      </c>
      <c r="U129" s="56">
        <v>108</v>
      </c>
      <c r="AA129" s="56">
        <v>350</v>
      </c>
      <c r="AG129" s="56" t="s">
        <v>3647</v>
      </c>
      <c r="AH129" s="56">
        <v>3150</v>
      </c>
      <c r="AI129" s="70">
        <v>59.641722999999999</v>
      </c>
      <c r="AJ129" s="74">
        <v>11.158891000000001</v>
      </c>
      <c r="AK129" s="75">
        <f>3364/10^6</f>
        <v>3.3639999999999998E-3</v>
      </c>
      <c r="AP129" s="71">
        <v>14</v>
      </c>
      <c r="AR129" s="71">
        <v>650</v>
      </c>
      <c r="AS129" s="71">
        <f t="shared" si="14"/>
        <v>1.4376068376068375E-3</v>
      </c>
      <c r="AT129" s="71">
        <v>1</v>
      </c>
      <c r="AY129" s="56" t="s">
        <v>3648</v>
      </c>
      <c r="BC129" s="56" t="s">
        <v>3338</v>
      </c>
      <c r="BD129" s="56" t="s">
        <v>3339</v>
      </c>
    </row>
    <row r="130" spans="1:56" x14ac:dyDescent="0.35">
      <c r="A130" s="56" t="s">
        <v>3336</v>
      </c>
      <c r="D130" s="56" t="s">
        <v>29</v>
      </c>
      <c r="G130" s="56">
        <v>114</v>
      </c>
      <c r="H130" s="66" t="str">
        <f>VLOOKUP(I130,Codes!$A$1:$B$32,2,FALSE)</f>
        <v>NO</v>
      </c>
      <c r="I130" s="56" t="s">
        <v>21</v>
      </c>
      <c r="J130" s="56" t="s">
        <v>3334</v>
      </c>
      <c r="L130" s="56" t="s">
        <v>3335</v>
      </c>
      <c r="M130" s="69" t="s">
        <v>3333</v>
      </c>
      <c r="N130" s="70">
        <v>59.636935000000001</v>
      </c>
      <c r="O130" s="70">
        <v>11.157029</v>
      </c>
      <c r="P130" s="70">
        <v>59.633000000000003</v>
      </c>
      <c r="Q130" s="70">
        <v>11.301</v>
      </c>
      <c r="R130" s="56">
        <v>1</v>
      </c>
      <c r="T130" s="71" t="s">
        <v>2129</v>
      </c>
      <c r="U130" s="56">
        <v>100</v>
      </c>
      <c r="AA130" s="56">
        <v>550</v>
      </c>
      <c r="AG130" s="56" t="s">
        <v>3647</v>
      </c>
      <c r="AH130" s="56">
        <v>3150</v>
      </c>
      <c r="AI130" s="70">
        <v>59.641722999999999</v>
      </c>
      <c r="AJ130" s="74">
        <v>11.158891000000001</v>
      </c>
      <c r="AK130" s="75">
        <f>3364/10^6</f>
        <v>3.3639999999999998E-3</v>
      </c>
      <c r="AP130" s="71">
        <v>20</v>
      </c>
      <c r="AR130" s="71">
        <v>630</v>
      </c>
      <c r="AS130" s="71">
        <f t="shared" si="14"/>
        <v>1.4832451499118165E-3</v>
      </c>
      <c r="AT130" s="71">
        <v>1</v>
      </c>
      <c r="AY130" s="56" t="s">
        <v>3648</v>
      </c>
      <c r="BC130" s="56" t="s">
        <v>3338</v>
      </c>
      <c r="BD130" s="56" t="s">
        <v>3339</v>
      </c>
    </row>
    <row r="131" spans="1:56" ht="14.5" x14ac:dyDescent="0.35">
      <c r="A131" s="56" t="s">
        <v>3337</v>
      </c>
      <c r="D131" s="56" t="s">
        <v>29</v>
      </c>
      <c r="G131" s="56">
        <v>115</v>
      </c>
      <c r="H131" s="66" t="str">
        <f>VLOOKUP(I131,Codes!$A$1:$B$32,2,FALSE)</f>
        <v>NO</v>
      </c>
      <c r="I131" s="56" t="s">
        <v>21</v>
      </c>
      <c r="J131" s="56" t="s">
        <v>3332</v>
      </c>
      <c r="L131" s="56" t="s">
        <v>775</v>
      </c>
      <c r="M131" s="69" t="s">
        <v>3333</v>
      </c>
      <c r="N131" s="70">
        <v>59.54224</v>
      </c>
      <c r="O131" s="70">
        <v>11.170379000000001</v>
      </c>
      <c r="P131" s="70">
        <v>59.527999999999999</v>
      </c>
      <c r="Q131" s="70">
        <v>11.295</v>
      </c>
      <c r="R131" s="56">
        <v>11</v>
      </c>
      <c r="T131" s="71" t="s">
        <v>3644</v>
      </c>
      <c r="U131" s="56">
        <v>215</v>
      </c>
      <c r="AA131" s="56">
        <v>1350</v>
      </c>
      <c r="AG131" s="56" t="s">
        <v>3337</v>
      </c>
      <c r="AH131" s="56">
        <v>3154</v>
      </c>
      <c r="AI131" s="70">
        <v>59.538822000000003</v>
      </c>
      <c r="AJ131" s="74">
        <v>11.169855999999999</v>
      </c>
      <c r="AK131" s="352"/>
      <c r="AP131" s="71">
        <v>28.5</v>
      </c>
      <c r="AR131" s="71">
        <v>950</v>
      </c>
      <c r="AS131" s="71">
        <f t="shared" si="14"/>
        <v>0</v>
      </c>
      <c r="AV131" s="56" t="s">
        <v>3646</v>
      </c>
      <c r="AY131" s="56" t="s">
        <v>3649</v>
      </c>
      <c r="BC131" s="139" t="s">
        <v>3645</v>
      </c>
    </row>
    <row r="132" spans="1:56" ht="14.5" x14ac:dyDescent="0.35">
      <c r="A132" s="56" t="s">
        <v>1750</v>
      </c>
      <c r="D132" s="56" t="s">
        <v>29</v>
      </c>
      <c r="G132" s="56">
        <v>116</v>
      </c>
      <c r="H132" s="66" t="str">
        <f>VLOOKUP(I132,Codes!$A$1:$B$32,2,FALSE)</f>
        <v>PT</v>
      </c>
      <c r="I132" s="56" t="s">
        <v>15</v>
      </c>
      <c r="J132" s="56" t="s">
        <v>3341</v>
      </c>
      <c r="L132" s="56" t="s">
        <v>3342</v>
      </c>
      <c r="M132" s="69" t="s">
        <v>2204</v>
      </c>
      <c r="N132" s="70">
        <v>41.160499999999999</v>
      </c>
      <c r="O132" s="70">
        <v>-7.3742000000000001</v>
      </c>
      <c r="P132" s="70">
        <v>41.173999999999999</v>
      </c>
      <c r="Q132" s="70">
        <v>7.3819999999999997</v>
      </c>
      <c r="R132" s="56">
        <v>3</v>
      </c>
      <c r="T132" s="71" t="s">
        <v>2129</v>
      </c>
      <c r="U132" s="56">
        <v>240</v>
      </c>
      <c r="AA132" s="56">
        <v>610.70000000000005</v>
      </c>
      <c r="AE132" s="56">
        <v>1976</v>
      </c>
      <c r="AG132" s="56" t="s">
        <v>1750</v>
      </c>
      <c r="AH132" s="56">
        <v>2736</v>
      </c>
      <c r="AI132" s="70">
        <v>41.158334000000004</v>
      </c>
      <c r="AJ132" s="74">
        <v>-7.3741110000000001</v>
      </c>
      <c r="AK132" s="75">
        <v>13.04</v>
      </c>
      <c r="AP132" s="71">
        <f>(31.5+15.5)/2</f>
        <v>23.5</v>
      </c>
      <c r="AR132" s="71">
        <f>3*360</f>
        <v>1080</v>
      </c>
      <c r="AS132" s="71">
        <f t="shared" si="14"/>
        <v>3.3539094650205765</v>
      </c>
      <c r="AT132" s="71">
        <v>2</v>
      </c>
      <c r="AV132" s="56" t="s">
        <v>1749</v>
      </c>
      <c r="AX132" s="56">
        <v>18000</v>
      </c>
      <c r="AZ132" s="56" t="s">
        <v>3343</v>
      </c>
      <c r="BC132" s="139" t="s">
        <v>3345</v>
      </c>
      <c r="BD132" s="56" t="s">
        <v>3346</v>
      </c>
    </row>
    <row r="133" spans="1:56" ht="14.5" x14ac:dyDescent="0.35">
      <c r="A133" s="56" t="s">
        <v>1440</v>
      </c>
      <c r="D133" s="56" t="s">
        <v>29</v>
      </c>
      <c r="G133" s="56">
        <v>117</v>
      </c>
      <c r="H133" s="66" t="str">
        <f>VLOOKUP(I133,Codes!$A$1:$B$32,2,FALSE)</f>
        <v>AT</v>
      </c>
      <c r="I133" s="56" t="s">
        <v>13</v>
      </c>
      <c r="J133" s="56" t="s">
        <v>2180</v>
      </c>
      <c r="L133" s="56" t="s">
        <v>3348</v>
      </c>
      <c r="M133" s="69" t="s">
        <v>3347</v>
      </c>
      <c r="N133" s="70">
        <v>48.190226000000003</v>
      </c>
      <c r="O133" s="70">
        <v>15.069516999999999</v>
      </c>
      <c r="P133" s="70">
        <v>48.190226000000003</v>
      </c>
      <c r="Q133" s="70">
        <v>15.069516999999999</v>
      </c>
      <c r="R133" s="56">
        <v>7</v>
      </c>
      <c r="T133" s="71" t="s">
        <v>2129</v>
      </c>
      <c r="U133" s="56">
        <v>236.5</v>
      </c>
      <c r="AA133" s="56">
        <v>1336</v>
      </c>
      <c r="AE133" s="56">
        <v>1959</v>
      </c>
      <c r="AG133" s="56" t="s">
        <v>3376</v>
      </c>
      <c r="AI133" s="70">
        <v>48.194071000000001</v>
      </c>
      <c r="AJ133" s="74">
        <v>15.064691</v>
      </c>
      <c r="AK133" s="75">
        <v>74</v>
      </c>
      <c r="AP133" s="71">
        <v>10.9</v>
      </c>
      <c r="AR133" s="71">
        <v>2650</v>
      </c>
      <c r="AS133" s="71">
        <f t="shared" si="14"/>
        <v>7.7568134171907754</v>
      </c>
      <c r="AT133" s="71">
        <v>3</v>
      </c>
      <c r="AV133" s="56" t="s">
        <v>3350</v>
      </c>
      <c r="AZ133" s="56" t="s">
        <v>3349</v>
      </c>
      <c r="BC133" s="139" t="s">
        <v>3351</v>
      </c>
      <c r="BD133" s="139" t="s">
        <v>3352</v>
      </c>
    </row>
    <row r="134" spans="1:56" x14ac:dyDescent="0.35">
      <c r="A134" s="56" t="s">
        <v>184</v>
      </c>
      <c r="D134" s="56" t="s">
        <v>29</v>
      </c>
      <c r="G134" s="56">
        <v>118</v>
      </c>
      <c r="H134" s="66" t="str">
        <f>VLOOKUP(I134,Codes!$A$1:$B$32,2,FALSE)</f>
        <v>FI</v>
      </c>
      <c r="I134" s="56" t="s">
        <v>19</v>
      </c>
      <c r="J134" s="56" t="s">
        <v>3354</v>
      </c>
      <c r="L134" s="56" t="s">
        <v>184</v>
      </c>
      <c r="M134" s="69" t="s">
        <v>3353</v>
      </c>
      <c r="N134" s="70">
        <v>61.166899999999998</v>
      </c>
      <c r="O134" s="70">
        <v>28.7745</v>
      </c>
      <c r="P134" s="70">
        <v>61.183999999999997</v>
      </c>
      <c r="Q134" s="70">
        <v>28.702000000000002</v>
      </c>
      <c r="R134" s="56">
        <v>7</v>
      </c>
      <c r="T134" s="71" t="s">
        <v>3355</v>
      </c>
      <c r="U134" s="56">
        <v>192</v>
      </c>
      <c r="AA134" s="56">
        <v>1000</v>
      </c>
      <c r="AE134" s="56">
        <v>1928</v>
      </c>
      <c r="AG134" s="56" t="s">
        <v>3360</v>
      </c>
      <c r="AI134" s="70">
        <v>61.177598000000003</v>
      </c>
      <c r="AJ134" s="74">
        <v>28.785125000000001</v>
      </c>
      <c r="AK134" s="352"/>
      <c r="AP134" s="71">
        <v>24</v>
      </c>
      <c r="AR134" s="71">
        <v>930</v>
      </c>
      <c r="AS134" s="71">
        <f t="shared" si="14"/>
        <v>0</v>
      </c>
      <c r="AV134" s="56" t="s">
        <v>3356</v>
      </c>
    </row>
    <row r="135" spans="1:56" x14ac:dyDescent="0.35">
      <c r="A135" s="56" t="s">
        <v>3357</v>
      </c>
      <c r="D135" s="56" t="s">
        <v>29</v>
      </c>
      <c r="G135" s="56">
        <v>119</v>
      </c>
      <c r="H135" s="66" t="str">
        <f>VLOOKUP(I135,Codes!$A$1:$B$32,2,FALSE)</f>
        <v>FI</v>
      </c>
      <c r="I135" s="56" t="s">
        <v>19</v>
      </c>
      <c r="J135" s="56" t="s">
        <v>3354</v>
      </c>
      <c r="M135" s="69" t="s">
        <v>3353</v>
      </c>
      <c r="N135" s="70">
        <v>61.210436000000001</v>
      </c>
      <c r="O135" s="70">
        <v>28.784040000000001</v>
      </c>
      <c r="P135" s="70">
        <v>61.18</v>
      </c>
      <c r="Q135" s="70">
        <v>28.731000000000002</v>
      </c>
      <c r="R135" s="56">
        <v>4</v>
      </c>
      <c r="T135" s="71" t="s">
        <v>3358</v>
      </c>
      <c r="U135" s="56">
        <v>62</v>
      </c>
      <c r="AA135" s="56">
        <v>300</v>
      </c>
      <c r="AG135" s="56" t="s">
        <v>3359</v>
      </c>
      <c r="AI135" s="70">
        <v>61.229278999999998</v>
      </c>
      <c r="AJ135" s="74">
        <v>28.794222000000001</v>
      </c>
      <c r="AK135" s="352"/>
      <c r="AP135" s="71">
        <v>7.8</v>
      </c>
      <c r="AR135" s="71">
        <v>940</v>
      </c>
      <c r="AS135" s="71">
        <f t="shared" si="14"/>
        <v>0</v>
      </c>
      <c r="AV135" s="56" t="s">
        <v>184</v>
      </c>
    </row>
    <row r="136" spans="1:56" x14ac:dyDescent="0.2">
      <c r="A136" s="56" t="s">
        <v>3361</v>
      </c>
      <c r="D136" s="56" t="s">
        <v>29</v>
      </c>
      <c r="G136" s="56">
        <v>120</v>
      </c>
      <c r="H136" s="66" t="str">
        <f>VLOOKUP(I136,Codes!$A$1:$B$32,2,FALSE)</f>
        <v>SE</v>
      </c>
      <c r="I136" s="56" t="s">
        <v>20</v>
      </c>
      <c r="J136" s="56" t="s">
        <v>2104</v>
      </c>
      <c r="L136" s="56" t="s">
        <v>3361</v>
      </c>
      <c r="M136" s="69" t="s">
        <v>3363</v>
      </c>
      <c r="N136" s="70">
        <v>64.018632999999994</v>
      </c>
      <c r="O136" s="70">
        <v>19.5609</v>
      </c>
      <c r="P136" s="70">
        <v>64.447999999999993</v>
      </c>
      <c r="Q136" s="70">
        <v>19.079999999999998</v>
      </c>
      <c r="R136" s="56">
        <v>3</v>
      </c>
      <c r="T136" s="71" t="s">
        <v>42</v>
      </c>
      <c r="U136" s="56">
        <v>223</v>
      </c>
      <c r="AA136" s="56">
        <v>970</v>
      </c>
      <c r="AE136" s="56">
        <v>1957</v>
      </c>
      <c r="AG136" s="56" t="s">
        <v>3361</v>
      </c>
      <c r="AI136" s="70">
        <v>64.046442999999996</v>
      </c>
      <c r="AJ136" s="74">
        <v>19.554891999999999</v>
      </c>
      <c r="AK136" s="352"/>
      <c r="AP136" s="71">
        <v>55</v>
      </c>
      <c r="BC136" s="354" t="s">
        <v>3362</v>
      </c>
    </row>
    <row r="137" spans="1:56" ht="14.5" x14ac:dyDescent="0.35">
      <c r="A137" s="56" t="s">
        <v>3364</v>
      </c>
      <c r="D137" s="56" t="s">
        <v>29</v>
      </c>
      <c r="G137" s="56">
        <v>121</v>
      </c>
      <c r="H137" s="66" t="str">
        <f>VLOOKUP(I137,Codes!$A$1:$B$32,2,FALSE)</f>
        <v>FR</v>
      </c>
      <c r="I137" s="56" t="s">
        <v>7</v>
      </c>
      <c r="J137" s="56" t="s">
        <v>3390</v>
      </c>
      <c r="L137" s="56" t="s">
        <v>3366</v>
      </c>
      <c r="M137" s="69" t="s">
        <v>2091</v>
      </c>
      <c r="N137" s="70">
        <v>43.824249000000002</v>
      </c>
      <c r="O137" s="70">
        <v>4.6432260000000003</v>
      </c>
      <c r="P137" s="70">
        <v>43.824249000000002</v>
      </c>
      <c r="Q137" s="70">
        <v>4.6432260000000003</v>
      </c>
      <c r="R137" s="56">
        <v>6</v>
      </c>
      <c r="T137" s="71" t="s">
        <v>3365</v>
      </c>
      <c r="U137" s="56">
        <v>210</v>
      </c>
      <c r="AA137" s="56">
        <v>1300</v>
      </c>
      <c r="AI137" s="70">
        <v>43.824249000000002</v>
      </c>
      <c r="AJ137" s="70">
        <v>4.6432260000000003</v>
      </c>
      <c r="AK137" s="110">
        <v>70</v>
      </c>
      <c r="AP137" s="71">
        <v>13.5</v>
      </c>
      <c r="BC137" s="139" t="s">
        <v>3367</v>
      </c>
    </row>
    <row r="138" spans="1:56" x14ac:dyDescent="0.35">
      <c r="A138" s="56" t="s">
        <v>3368</v>
      </c>
      <c r="D138" s="56" t="s">
        <v>3579</v>
      </c>
      <c r="E138" s="56" t="s">
        <v>29</v>
      </c>
      <c r="G138" s="56">
        <v>122</v>
      </c>
      <c r="H138" s="66" t="str">
        <f>VLOOKUP(I138,Codes!$A$1:$B$32,2,FALSE)</f>
        <v>AT</v>
      </c>
      <c r="I138" s="56" t="s">
        <v>13</v>
      </c>
      <c r="J138" s="56" t="s">
        <v>2180</v>
      </c>
      <c r="L138" s="56" t="s">
        <v>3369</v>
      </c>
      <c r="M138" s="69" t="s">
        <v>2205</v>
      </c>
      <c r="N138" s="70">
        <v>48.167831</v>
      </c>
      <c r="O138" s="70">
        <v>14.694679000000001</v>
      </c>
      <c r="P138" s="70">
        <v>48.186999999999998</v>
      </c>
      <c r="Q138" s="70">
        <v>14.694679000000001</v>
      </c>
      <c r="R138" s="56">
        <v>6</v>
      </c>
      <c r="T138" s="71" t="s">
        <v>2129</v>
      </c>
      <c r="U138" s="56">
        <v>210</v>
      </c>
      <c r="AA138" s="56">
        <v>1342.26</v>
      </c>
      <c r="AE138" s="56">
        <v>1969</v>
      </c>
      <c r="AG138" s="56" t="s">
        <v>3377</v>
      </c>
      <c r="AI138" s="70">
        <v>48.167831</v>
      </c>
      <c r="AJ138" s="70">
        <v>14.694679000000001</v>
      </c>
      <c r="AK138" s="75">
        <v>52.5</v>
      </c>
      <c r="AP138" s="71">
        <v>10.8</v>
      </c>
      <c r="AR138" s="71">
        <v>2700</v>
      </c>
      <c r="AS138" s="71">
        <f t="shared" si="14"/>
        <v>5.401234567901235</v>
      </c>
      <c r="AT138" s="71">
        <v>3</v>
      </c>
      <c r="AX138" s="56" t="s">
        <v>3370</v>
      </c>
    </row>
    <row r="139" spans="1:56" ht="14.5" x14ac:dyDescent="0.35">
      <c r="A139" s="56" t="s">
        <v>1743</v>
      </c>
      <c r="D139" s="56" t="s">
        <v>29</v>
      </c>
      <c r="G139" s="56">
        <v>123</v>
      </c>
      <c r="H139" s="66" t="str">
        <f>VLOOKUP(I139,Codes!$A$1:$B$32,2,FALSE)</f>
        <v>PT</v>
      </c>
      <c r="I139" s="56" t="s">
        <v>15</v>
      </c>
      <c r="J139" s="56" t="s">
        <v>2306</v>
      </c>
      <c r="L139" s="56" t="s">
        <v>3372</v>
      </c>
      <c r="M139" s="69" t="s">
        <v>2204</v>
      </c>
      <c r="N139" s="70">
        <v>41.085766</v>
      </c>
      <c r="O139" s="70">
        <v>-8.1306659999999997</v>
      </c>
      <c r="P139" s="70">
        <v>41.085766</v>
      </c>
      <c r="Q139" s="70">
        <v>-8.1306659999999997</v>
      </c>
      <c r="R139" s="56">
        <v>3</v>
      </c>
      <c r="T139" s="71" t="s">
        <v>2129</v>
      </c>
      <c r="U139" s="56">
        <v>201</v>
      </c>
      <c r="AA139" s="56">
        <v>806.1</v>
      </c>
      <c r="AE139" s="56">
        <v>1971</v>
      </c>
      <c r="AG139" s="56" t="s">
        <v>1743</v>
      </c>
      <c r="AH139" s="56">
        <v>2742</v>
      </c>
      <c r="AI139" s="70">
        <v>41.089070999999997</v>
      </c>
      <c r="AJ139" s="74">
        <v>-8.1172009999999997</v>
      </c>
      <c r="AK139" s="75">
        <v>15.6</v>
      </c>
      <c r="AP139" s="71">
        <f>(37+20)/2</f>
        <v>28.5</v>
      </c>
      <c r="AR139" s="71">
        <f>290*R139</f>
        <v>870</v>
      </c>
      <c r="AS139" s="71">
        <f t="shared" si="14"/>
        <v>4.980842911877394</v>
      </c>
      <c r="AT139" s="71">
        <v>3</v>
      </c>
      <c r="AV139" s="56" t="s">
        <v>3373</v>
      </c>
      <c r="AX139" s="56">
        <v>22000</v>
      </c>
      <c r="AZ139" s="56" t="s">
        <v>3374</v>
      </c>
      <c r="BC139" s="139" t="s">
        <v>3371</v>
      </c>
    </row>
    <row r="140" spans="1:56" ht="14.5" x14ac:dyDescent="0.35">
      <c r="A140" s="56" t="s">
        <v>195</v>
      </c>
      <c r="D140" s="56" t="s">
        <v>29</v>
      </c>
      <c r="G140" s="56">
        <v>124</v>
      </c>
      <c r="H140" s="66" t="str">
        <f>VLOOKUP(I140,Codes!$A$1:$B$32,2,FALSE)</f>
        <v>FR</v>
      </c>
      <c r="I140" s="56" t="s">
        <v>7</v>
      </c>
      <c r="J140" s="56" t="s">
        <v>3390</v>
      </c>
      <c r="L140" s="56" t="s">
        <v>195</v>
      </c>
      <c r="M140" s="69" t="s">
        <v>2091</v>
      </c>
      <c r="N140" s="70">
        <v>44.823999999999998</v>
      </c>
      <c r="O140" s="70">
        <v>4.8109999999999999</v>
      </c>
      <c r="P140" s="70">
        <v>44.823999999999998</v>
      </c>
      <c r="Q140" s="70">
        <v>4.8109999999999999</v>
      </c>
      <c r="R140" s="56">
        <v>6</v>
      </c>
      <c r="T140" s="71" t="s">
        <v>2129</v>
      </c>
      <c r="U140" s="56">
        <v>198</v>
      </c>
      <c r="AA140" s="56">
        <v>1211</v>
      </c>
      <c r="AI140" s="70">
        <v>44.823999999999998</v>
      </c>
      <c r="AJ140" s="70">
        <v>4.8109999999999999</v>
      </c>
      <c r="AK140" s="352"/>
      <c r="AP140" s="71">
        <v>11.82</v>
      </c>
      <c r="BC140" s="143" t="s">
        <v>3378</v>
      </c>
      <c r="BD140" s="56" t="s">
        <v>3379</v>
      </c>
    </row>
    <row r="141" spans="1:56" x14ac:dyDescent="0.35">
      <c r="A141" s="56" t="s">
        <v>3380</v>
      </c>
      <c r="D141" s="56" t="s">
        <v>29</v>
      </c>
      <c r="G141" s="56">
        <v>125</v>
      </c>
      <c r="H141" s="66" t="str">
        <f>VLOOKUP(I141,Codes!$A$1:$B$32,2,FALSE)</f>
        <v>AT</v>
      </c>
      <c r="I141" s="56" t="s">
        <v>13</v>
      </c>
      <c r="J141" s="56" t="s">
        <v>2180</v>
      </c>
      <c r="L141" s="56" t="s">
        <v>3381</v>
      </c>
      <c r="M141" s="69" t="s">
        <v>3320</v>
      </c>
      <c r="N141" s="70">
        <v>48.224857999999998</v>
      </c>
      <c r="O141" s="70">
        <v>15.304427</v>
      </c>
      <c r="P141" s="70">
        <v>48.224857999999998</v>
      </c>
      <c r="Q141" s="70">
        <v>15.304427</v>
      </c>
      <c r="R141" s="56">
        <v>9</v>
      </c>
      <c r="T141" s="71" t="s">
        <v>2129</v>
      </c>
      <c r="U141" s="56">
        <v>187</v>
      </c>
      <c r="AA141" s="56">
        <v>1235</v>
      </c>
      <c r="AG141" s="56" t="s">
        <v>3327</v>
      </c>
      <c r="AI141" s="70">
        <v>48.223728999999999</v>
      </c>
      <c r="AJ141" s="74">
        <v>15.293526999999999</v>
      </c>
      <c r="AK141" s="110">
        <v>45</v>
      </c>
      <c r="AP141" s="71">
        <v>9.6</v>
      </c>
      <c r="AR141" s="71">
        <v>2700</v>
      </c>
      <c r="AS141" s="71">
        <f t="shared" si="14"/>
        <v>4.6296296296296298</v>
      </c>
      <c r="AT141" s="71">
        <v>2</v>
      </c>
      <c r="AV141" s="56" t="s">
        <v>1440</v>
      </c>
      <c r="AZ141" s="56" t="s">
        <v>3382</v>
      </c>
    </row>
    <row r="142" spans="1:56" ht="14.5" x14ac:dyDescent="0.35">
      <c r="A142" s="56" t="s">
        <v>1749</v>
      </c>
      <c r="D142" s="56" t="s">
        <v>29</v>
      </c>
      <c r="G142" s="56">
        <v>126</v>
      </c>
      <c r="H142" s="66" t="str">
        <f>VLOOKUP(I142,Codes!$A$1:$B$32,2,FALSE)</f>
        <v>PT</v>
      </c>
      <c r="I142" s="56" t="s">
        <v>15</v>
      </c>
      <c r="J142" s="56" t="s">
        <v>2306</v>
      </c>
      <c r="L142" s="56" t="s">
        <v>3384</v>
      </c>
      <c r="M142" s="69" t="s">
        <v>2204</v>
      </c>
      <c r="N142" s="70">
        <v>41.135260000000002</v>
      </c>
      <c r="O142" s="70">
        <v>-7.1138620000000001</v>
      </c>
      <c r="P142" s="70">
        <v>41.135260000000002</v>
      </c>
      <c r="Q142" s="70">
        <v>-7.1138620000000001</v>
      </c>
      <c r="R142" s="56">
        <v>3</v>
      </c>
      <c r="T142" s="71" t="s">
        <v>2129</v>
      </c>
      <c r="U142" s="56">
        <v>186</v>
      </c>
      <c r="AA142" s="56">
        <v>408.4</v>
      </c>
      <c r="AE142" s="56">
        <v>1983</v>
      </c>
      <c r="AG142" s="56" t="s">
        <v>3383</v>
      </c>
      <c r="AH142" s="56">
        <v>2739</v>
      </c>
      <c r="AI142" s="70">
        <v>41.135551</v>
      </c>
      <c r="AJ142" s="74">
        <v>-7.0998289999999997</v>
      </c>
      <c r="AK142" s="75">
        <v>12</v>
      </c>
      <c r="AP142" s="71">
        <f>(21.6+15.5)/2</f>
        <v>18.55</v>
      </c>
      <c r="AR142" s="71">
        <f>R142*390</f>
        <v>1170</v>
      </c>
      <c r="AS142" s="71">
        <f t="shared" si="14"/>
        <v>2.8490028490028489</v>
      </c>
      <c r="AT142" s="71">
        <v>2</v>
      </c>
      <c r="AV142" s="102" t="s">
        <v>3387</v>
      </c>
      <c r="AX142" s="56">
        <v>15000</v>
      </c>
      <c r="BC142" s="139" t="s">
        <v>3385</v>
      </c>
      <c r="BD142" s="139" t="s">
        <v>3386</v>
      </c>
    </row>
    <row r="143" spans="1:56" x14ac:dyDescent="0.35">
      <c r="A143" s="56" t="s">
        <v>3388</v>
      </c>
      <c r="D143" s="56" t="s">
        <v>29</v>
      </c>
      <c r="G143" s="56">
        <v>127</v>
      </c>
      <c r="H143" s="66" t="str">
        <f>VLOOKUP(I143,Codes!$A$1:$B$32,2,FALSE)</f>
        <v>FR</v>
      </c>
      <c r="I143" s="56" t="s">
        <v>7</v>
      </c>
      <c r="J143" s="56" t="s">
        <v>3390</v>
      </c>
      <c r="L143" s="56" t="s">
        <v>3389</v>
      </c>
      <c r="M143" s="69" t="s">
        <v>2091</v>
      </c>
      <c r="N143" s="70">
        <v>45.011000000000003</v>
      </c>
      <c r="O143" s="70">
        <v>4.8390000000000004</v>
      </c>
      <c r="P143" s="70">
        <v>45.011000000000003</v>
      </c>
      <c r="Q143" s="70">
        <v>4.8179999999999996</v>
      </c>
      <c r="R143" s="56">
        <v>6</v>
      </c>
      <c r="T143" s="71" t="s">
        <v>2129</v>
      </c>
      <c r="U143" s="56">
        <v>180</v>
      </c>
      <c r="AA143" s="56">
        <v>1082</v>
      </c>
      <c r="AE143" s="56">
        <v>1968</v>
      </c>
      <c r="AI143" s="70">
        <v>45.011000000000003</v>
      </c>
      <c r="AJ143" s="70">
        <v>4.8390000000000004</v>
      </c>
      <c r="AP143" s="71">
        <v>11.7</v>
      </c>
      <c r="AV143" s="56" t="s">
        <v>3391</v>
      </c>
      <c r="BC143" s="56" t="s">
        <v>3378</v>
      </c>
    </row>
    <row r="144" spans="1:56" x14ac:dyDescent="0.35">
      <c r="A144" s="56" t="s">
        <v>1752</v>
      </c>
      <c r="D144" s="56" t="s">
        <v>29</v>
      </c>
      <c r="G144" s="56">
        <v>128</v>
      </c>
      <c r="H144" s="66" t="str">
        <f>VLOOKUP(I144,Codes!$A$1:$B$32,2,FALSE)</f>
        <v>PT</v>
      </c>
      <c r="I144" s="56" t="s">
        <v>15</v>
      </c>
      <c r="J144" s="56" t="s">
        <v>2306</v>
      </c>
      <c r="L144" s="56" t="s">
        <v>3392</v>
      </c>
      <c r="M144" s="69" t="s">
        <v>2204</v>
      </c>
      <c r="N144" s="70">
        <v>41.146099999999997</v>
      </c>
      <c r="O144" s="70">
        <v>-7.74</v>
      </c>
      <c r="P144" s="70">
        <v>41.146099999999997</v>
      </c>
      <c r="Q144" s="70">
        <v>-7.74</v>
      </c>
      <c r="R144" s="56">
        <v>3</v>
      </c>
      <c r="T144" s="71" t="s">
        <v>2129</v>
      </c>
      <c r="U144" s="56">
        <v>180</v>
      </c>
      <c r="AA144" s="56">
        <v>581.1</v>
      </c>
      <c r="AE144" s="56">
        <v>1973</v>
      </c>
      <c r="AG144" s="56" t="s">
        <v>3394</v>
      </c>
      <c r="AH144" s="56">
        <v>2738</v>
      </c>
      <c r="AI144" s="70">
        <v>41.145085000000002</v>
      </c>
      <c r="AJ144" s="74">
        <v>-7.733517</v>
      </c>
      <c r="AK144" s="75">
        <v>12</v>
      </c>
      <c r="AP144" s="71">
        <f>(27.5+20)/2</f>
        <v>23.75</v>
      </c>
      <c r="AR144" s="71">
        <f>316*R144</f>
        <v>948</v>
      </c>
      <c r="AS144" s="71">
        <f t="shared" si="14"/>
        <v>3.5161744022503516</v>
      </c>
      <c r="AT144" s="71">
        <v>2</v>
      </c>
      <c r="AV144" s="56" t="s">
        <v>1750</v>
      </c>
      <c r="AX144" s="56">
        <v>21980</v>
      </c>
      <c r="AZ144" s="56" t="s">
        <v>3393</v>
      </c>
      <c r="BC144" s="56" t="s">
        <v>3403</v>
      </c>
    </row>
    <row r="145" spans="1:58" ht="14.5" x14ac:dyDescent="0.35">
      <c r="A145" s="56" t="s">
        <v>3395</v>
      </c>
      <c r="D145" s="56" t="s">
        <v>3579</v>
      </c>
      <c r="E145" s="56" t="s">
        <v>29</v>
      </c>
      <c r="G145" s="56">
        <v>129</v>
      </c>
      <c r="H145" s="66" t="str">
        <f>VLOOKUP(I145,Codes!$A$1:$B$32,2,FALSE)</f>
        <v>AT</v>
      </c>
      <c r="I145" s="56" t="s">
        <v>13</v>
      </c>
      <c r="J145" s="56" t="s">
        <v>2180</v>
      </c>
      <c r="L145" s="56" t="s">
        <v>3396</v>
      </c>
      <c r="M145" s="69" t="s">
        <v>2205</v>
      </c>
      <c r="N145" s="70">
        <v>48.316630000000004</v>
      </c>
      <c r="O145" s="70">
        <v>14.151199999999999</v>
      </c>
      <c r="P145" s="70">
        <v>48.316630000000004</v>
      </c>
      <c r="Q145" s="70">
        <v>14.151199999999999</v>
      </c>
      <c r="R145" s="56">
        <v>9</v>
      </c>
      <c r="T145" s="71" t="s">
        <v>2129</v>
      </c>
      <c r="U145" s="56">
        <v>179</v>
      </c>
      <c r="AA145" s="56">
        <v>1153</v>
      </c>
      <c r="AE145" s="56">
        <v>1975</v>
      </c>
      <c r="AG145" s="56" t="s">
        <v>3398</v>
      </c>
      <c r="AI145" s="70">
        <v>48.322786999999998</v>
      </c>
      <c r="AJ145" s="74">
        <v>14.162621</v>
      </c>
      <c r="AK145" s="110">
        <v>34</v>
      </c>
      <c r="AP145" s="71">
        <v>10.5</v>
      </c>
      <c r="AR145" s="71">
        <v>2250</v>
      </c>
      <c r="AS145" s="71">
        <f t="shared" si="14"/>
        <v>4.1975308641975309</v>
      </c>
      <c r="AT145" s="71">
        <v>2</v>
      </c>
      <c r="AV145" s="56" t="s">
        <v>1439</v>
      </c>
      <c r="AZ145" s="56" t="s">
        <v>3397</v>
      </c>
      <c r="BC145" s="56" t="s">
        <v>3399</v>
      </c>
      <c r="BD145" s="56" t="s">
        <v>3400</v>
      </c>
      <c r="BE145" s="139" t="s">
        <v>3401</v>
      </c>
      <c r="BF145" s="139" t="s">
        <v>3402</v>
      </c>
    </row>
    <row r="146" spans="1:58" ht="14.5" x14ac:dyDescent="0.35">
      <c r="A146" s="56" t="s">
        <v>3414</v>
      </c>
      <c r="D146" s="56" t="s">
        <v>29</v>
      </c>
      <c r="G146" s="56">
        <v>130</v>
      </c>
      <c r="H146" s="66" t="e">
        <f>VLOOKUP(I146,Codes!$A$1:$B$32,2,FALSE)</f>
        <v>#N/A</v>
      </c>
      <c r="J146" s="56" t="s">
        <v>2330</v>
      </c>
      <c r="L146" s="56" t="s">
        <v>3414</v>
      </c>
      <c r="M146" s="69" t="s">
        <v>2091</v>
      </c>
      <c r="N146" s="70">
        <v>48.685315000000003</v>
      </c>
      <c r="O146" s="70">
        <v>7.9144199999999998</v>
      </c>
      <c r="P146" s="70">
        <v>48.698999999999998</v>
      </c>
      <c r="Q146" s="70">
        <v>7.9370000000000003</v>
      </c>
      <c r="R146" s="56">
        <v>4</v>
      </c>
      <c r="T146" s="71" t="s">
        <v>3365</v>
      </c>
      <c r="U146" s="56">
        <v>100</v>
      </c>
      <c r="AA146" s="56">
        <v>656</v>
      </c>
      <c r="AE146" s="56">
        <v>1974</v>
      </c>
      <c r="AI146" s="70">
        <v>48.698999999999998</v>
      </c>
      <c r="AJ146" s="70">
        <v>7.9370000000000003</v>
      </c>
      <c r="AK146" s="110"/>
      <c r="AP146" s="71">
        <v>11.4</v>
      </c>
      <c r="AR146" s="71">
        <v>1100</v>
      </c>
      <c r="AS146" s="71">
        <f t="shared" si="14"/>
        <v>0</v>
      </c>
      <c r="BC146" s="355" t="s">
        <v>3413</v>
      </c>
      <c r="BD146" s="139" t="s">
        <v>3471</v>
      </c>
      <c r="BE146" s="139"/>
      <c r="BF146" s="139"/>
    </row>
    <row r="147" spans="1:58" x14ac:dyDescent="0.25">
      <c r="A147" s="56" t="s">
        <v>3407</v>
      </c>
      <c r="D147" s="56" t="s">
        <v>29</v>
      </c>
      <c r="G147" s="56">
        <v>131</v>
      </c>
      <c r="H147" s="66" t="str">
        <f>VLOOKUP(I147,Codes!$A$1:$B$32,2,FALSE)</f>
        <v>FR</v>
      </c>
      <c r="I147" s="56" t="s">
        <v>7</v>
      </c>
      <c r="J147" s="56" t="s">
        <v>2330</v>
      </c>
      <c r="L147" s="56" t="s">
        <v>3407</v>
      </c>
      <c r="M147" s="69" t="s">
        <v>2091</v>
      </c>
      <c r="N147" s="70">
        <v>48.526353999999998</v>
      </c>
      <c r="O147" s="70">
        <v>7.796538</v>
      </c>
      <c r="P147" s="70">
        <v>48.526353999999998</v>
      </c>
      <c r="Q147" s="70">
        <v>7.796538</v>
      </c>
      <c r="R147" s="56">
        <v>6</v>
      </c>
      <c r="T147" s="71" t="s">
        <v>3365</v>
      </c>
      <c r="U147" s="56">
        <v>150</v>
      </c>
      <c r="AE147" s="56">
        <v>1970</v>
      </c>
      <c r="AI147" s="70">
        <v>48.526353999999998</v>
      </c>
      <c r="AJ147" s="70">
        <v>7.796538</v>
      </c>
      <c r="AP147" s="71">
        <v>13.25</v>
      </c>
      <c r="BC147" s="355" t="s">
        <v>3413</v>
      </c>
    </row>
    <row r="148" spans="1:58" x14ac:dyDescent="0.25">
      <c r="A148" s="56" t="s">
        <v>3408</v>
      </c>
      <c r="D148" s="56" t="s">
        <v>29</v>
      </c>
      <c r="G148" s="56">
        <v>132</v>
      </c>
      <c r="H148" s="66" t="str">
        <f>VLOOKUP(I148,Codes!$A$1:$B$32,2,FALSE)</f>
        <v>FR</v>
      </c>
      <c r="I148" s="56" t="s">
        <v>7</v>
      </c>
      <c r="J148" s="56" t="s">
        <v>2330</v>
      </c>
      <c r="L148" s="56" t="s">
        <v>3408</v>
      </c>
      <c r="M148" s="69" t="s">
        <v>2091</v>
      </c>
      <c r="N148" s="70">
        <v>48.404242000000004</v>
      </c>
      <c r="O148" s="70">
        <v>7.7283189999999999</v>
      </c>
      <c r="P148" s="70">
        <v>48.404242000000004</v>
      </c>
      <c r="Q148" s="70">
        <v>7.7283189999999999</v>
      </c>
      <c r="R148" s="56">
        <v>6</v>
      </c>
      <c r="T148" s="71" t="s">
        <v>3365</v>
      </c>
      <c r="U148" s="56">
        <v>140</v>
      </c>
      <c r="AE148" s="56">
        <v>1967</v>
      </c>
      <c r="AI148" s="70">
        <v>48.404242000000004</v>
      </c>
      <c r="AJ148" s="70">
        <v>7.7283189999999999</v>
      </c>
      <c r="AP148" s="71">
        <v>11.75</v>
      </c>
      <c r="AV148" s="56" t="s">
        <v>3407</v>
      </c>
      <c r="BC148" s="355" t="s">
        <v>3413</v>
      </c>
    </row>
    <row r="149" spans="1:58" x14ac:dyDescent="0.25">
      <c r="A149" s="56" t="s">
        <v>3409</v>
      </c>
      <c r="D149" s="56" t="s">
        <v>29</v>
      </c>
      <c r="G149" s="56">
        <v>133</v>
      </c>
      <c r="H149" s="66" t="str">
        <f>VLOOKUP(I149,Codes!$A$1:$B$32,2,FALSE)</f>
        <v>FR</v>
      </c>
      <c r="I149" s="56" t="s">
        <v>7</v>
      </c>
      <c r="J149" s="56" t="s">
        <v>2330</v>
      </c>
      <c r="L149" s="56" t="s">
        <v>3409</v>
      </c>
      <c r="M149" s="69" t="s">
        <v>2091</v>
      </c>
      <c r="N149" s="70">
        <v>48.284678</v>
      </c>
      <c r="O149" s="70">
        <v>7.677619</v>
      </c>
      <c r="P149" s="70">
        <v>48.284678</v>
      </c>
      <c r="Q149" s="70">
        <v>7.677619</v>
      </c>
      <c r="R149" s="56">
        <v>4</v>
      </c>
      <c r="T149" s="71" t="s">
        <v>2129</v>
      </c>
      <c r="U149" s="56">
        <v>150</v>
      </c>
      <c r="AE149" s="56">
        <v>1963</v>
      </c>
      <c r="AI149" s="70">
        <v>48.284678</v>
      </c>
      <c r="AJ149" s="70">
        <v>7.677619</v>
      </c>
      <c r="AP149" s="71">
        <v>13.3</v>
      </c>
      <c r="AV149" s="56" t="s">
        <v>3408</v>
      </c>
      <c r="BC149" s="355" t="s">
        <v>3413</v>
      </c>
    </row>
    <row r="150" spans="1:58" x14ac:dyDescent="0.25">
      <c r="A150" s="56" t="s">
        <v>3410</v>
      </c>
      <c r="D150" s="56" t="s">
        <v>29</v>
      </c>
      <c r="G150" s="56">
        <v>134</v>
      </c>
      <c r="H150" s="66" t="str">
        <f>VLOOKUP(I150,Codes!$A$1:$B$32,2,FALSE)</f>
        <v>FR</v>
      </c>
      <c r="I150" s="56" t="s">
        <v>7</v>
      </c>
      <c r="J150" s="56" t="s">
        <v>2330</v>
      </c>
      <c r="L150" s="56" t="s">
        <v>3410</v>
      </c>
      <c r="M150" s="69" t="s">
        <v>2091</v>
      </c>
      <c r="N150" s="70">
        <v>48.154176999999997</v>
      </c>
      <c r="O150" s="70">
        <v>7.5899000000000001</v>
      </c>
      <c r="P150" s="70">
        <v>48.164999999999999</v>
      </c>
      <c r="Q150" s="70">
        <v>7.6239999999999997</v>
      </c>
      <c r="R150" s="56">
        <v>4</v>
      </c>
      <c r="T150" s="71" t="s">
        <v>2129</v>
      </c>
      <c r="U150" s="56">
        <v>150</v>
      </c>
      <c r="AE150" s="56">
        <v>1961</v>
      </c>
      <c r="AI150" s="70">
        <v>48.164999999999999</v>
      </c>
      <c r="AJ150" s="70">
        <v>7.6239999999999997</v>
      </c>
      <c r="AP150" s="71">
        <v>13.2</v>
      </c>
      <c r="AV150" s="56" t="s">
        <v>3409</v>
      </c>
      <c r="BC150" s="355" t="s">
        <v>3413</v>
      </c>
    </row>
    <row r="151" spans="1:58" x14ac:dyDescent="0.25">
      <c r="A151" s="56" t="s">
        <v>252</v>
      </c>
      <c r="D151" s="56" t="s">
        <v>29</v>
      </c>
      <c r="G151" s="56">
        <v>135</v>
      </c>
      <c r="H151" s="66" t="str">
        <f>VLOOKUP(I151,Codes!$A$1:$B$32,2,FALSE)</f>
        <v>FR</v>
      </c>
      <c r="I151" s="56" t="s">
        <v>7</v>
      </c>
      <c r="J151" s="56" t="s">
        <v>2330</v>
      </c>
      <c r="L151" s="56" t="s">
        <v>252</v>
      </c>
      <c r="M151" s="69" t="s">
        <v>2091</v>
      </c>
      <c r="N151" s="70">
        <v>48.020471999999998</v>
      </c>
      <c r="O151" s="70">
        <v>7.5739039999999997</v>
      </c>
      <c r="P151" s="70">
        <v>48.020471999999998</v>
      </c>
      <c r="Q151" s="70">
        <v>7.5739039999999997</v>
      </c>
      <c r="R151" s="56">
        <v>4</v>
      </c>
      <c r="T151" s="71" t="s">
        <v>2129</v>
      </c>
      <c r="U151" s="56">
        <v>140</v>
      </c>
      <c r="AE151" s="56">
        <v>1959</v>
      </c>
      <c r="AI151" s="70">
        <v>48.020471999999998</v>
      </c>
      <c r="AJ151" s="70">
        <v>7.5739039999999997</v>
      </c>
      <c r="AP151" s="71">
        <v>12.3</v>
      </c>
      <c r="AV151" s="56" t="s">
        <v>3410</v>
      </c>
      <c r="BC151" s="355" t="s">
        <v>3413</v>
      </c>
    </row>
    <row r="152" spans="1:58" x14ac:dyDescent="0.25">
      <c r="A152" s="56" t="s">
        <v>3404</v>
      </c>
      <c r="D152" s="56" t="s">
        <v>29</v>
      </c>
      <c r="G152" s="56">
        <v>136</v>
      </c>
      <c r="H152" s="66" t="str">
        <f>VLOOKUP(I152,Codes!$A$1:$B$32,2,FALSE)</f>
        <v>FR</v>
      </c>
      <c r="I152" s="56" t="s">
        <v>7</v>
      </c>
      <c r="J152" s="56" t="s">
        <v>2330</v>
      </c>
      <c r="L152" s="56" t="s">
        <v>3404</v>
      </c>
      <c r="M152" s="69" t="s">
        <v>2091</v>
      </c>
      <c r="N152" s="70">
        <v>47.914999999999999</v>
      </c>
      <c r="O152" s="70">
        <v>7.5709999999999997</v>
      </c>
      <c r="P152" s="70">
        <v>47.89</v>
      </c>
      <c r="Q152" s="70">
        <v>7.5709999999999997</v>
      </c>
      <c r="R152" s="56">
        <v>4</v>
      </c>
      <c r="T152" s="71" t="s">
        <v>2129</v>
      </c>
      <c r="U152" s="56">
        <v>180</v>
      </c>
      <c r="AA152" s="56">
        <v>1020</v>
      </c>
      <c r="AE152" s="56">
        <v>1956</v>
      </c>
      <c r="AI152" s="70">
        <v>47.89</v>
      </c>
      <c r="AJ152" s="70">
        <v>7.5709999999999997</v>
      </c>
      <c r="AP152" s="71">
        <v>15.7</v>
      </c>
      <c r="AV152" s="56" t="s">
        <v>252</v>
      </c>
      <c r="BC152" s="355" t="s">
        <v>3413</v>
      </c>
    </row>
    <row r="153" spans="1:58" x14ac:dyDescent="0.25">
      <c r="A153" s="56" t="s">
        <v>3405</v>
      </c>
      <c r="D153" s="56" t="s">
        <v>29</v>
      </c>
      <c r="G153" s="56">
        <v>137</v>
      </c>
      <c r="H153" s="66" t="str">
        <f>VLOOKUP(I153,Codes!$A$1:$B$32,2,FALSE)</f>
        <v>FR</v>
      </c>
      <c r="I153" s="56" t="s">
        <v>7</v>
      </c>
      <c r="J153" s="56" t="s">
        <v>2330</v>
      </c>
      <c r="L153" s="56" t="s">
        <v>3412</v>
      </c>
      <c r="M153" s="69" t="s">
        <v>2091</v>
      </c>
      <c r="N153" s="70">
        <v>47.774312000000002</v>
      </c>
      <c r="O153" s="70">
        <v>7.5223789999999999</v>
      </c>
      <c r="P153" s="70">
        <v>47.774312000000002</v>
      </c>
      <c r="Q153" s="70">
        <v>7.5223789999999999</v>
      </c>
      <c r="R153" s="56">
        <v>4</v>
      </c>
      <c r="T153" s="71" t="s">
        <v>2129</v>
      </c>
      <c r="U153" s="56">
        <v>160</v>
      </c>
      <c r="AE153" s="56">
        <v>1952</v>
      </c>
      <c r="AI153" s="70">
        <v>47.774312000000002</v>
      </c>
      <c r="AJ153" s="70">
        <v>7.5223789999999999</v>
      </c>
      <c r="AP153" s="71">
        <v>15.5</v>
      </c>
      <c r="AV153" s="56" t="s">
        <v>3404</v>
      </c>
      <c r="BC153" s="355" t="s">
        <v>3413</v>
      </c>
    </row>
    <row r="154" spans="1:58" x14ac:dyDescent="0.25">
      <c r="A154" s="56" t="s">
        <v>3406</v>
      </c>
      <c r="D154" s="56" t="s">
        <v>29</v>
      </c>
      <c r="G154" s="56">
        <v>138</v>
      </c>
      <c r="H154" s="66" t="str">
        <f>VLOOKUP(I154,Codes!$A$1:$B$32,2,FALSE)</f>
        <v>FR</v>
      </c>
      <c r="I154" s="56" t="s">
        <v>7</v>
      </c>
      <c r="J154" s="56" t="s">
        <v>2330</v>
      </c>
      <c r="L154" s="56" t="s">
        <v>3406</v>
      </c>
      <c r="M154" s="69" t="s">
        <v>2091</v>
      </c>
      <c r="N154" s="70">
        <v>47.655372</v>
      </c>
      <c r="O154" s="70">
        <v>7.5191654999999997</v>
      </c>
      <c r="P154" s="70">
        <v>47.655372</v>
      </c>
      <c r="Q154" s="70">
        <v>7.5191654999999997</v>
      </c>
      <c r="R154" s="56">
        <v>6</v>
      </c>
      <c r="T154" s="71" t="s">
        <v>3411</v>
      </c>
      <c r="U154" s="56">
        <v>160</v>
      </c>
      <c r="AA154" s="56">
        <v>900</v>
      </c>
      <c r="AE154" s="56">
        <v>1932</v>
      </c>
      <c r="AI154" s="70">
        <v>47.655372</v>
      </c>
      <c r="AJ154" s="70">
        <v>7.5191654999999997</v>
      </c>
      <c r="AK154" s="75">
        <v>9</v>
      </c>
      <c r="AP154" s="71">
        <v>14.2</v>
      </c>
      <c r="AR154" s="71">
        <v>1500</v>
      </c>
      <c r="AS154" s="71">
        <f t="shared" si="14"/>
        <v>1.6666666666666667</v>
      </c>
      <c r="AT154" s="71">
        <v>2</v>
      </c>
      <c r="AV154" s="56" t="s">
        <v>3405</v>
      </c>
      <c r="AZ154" s="56" t="s">
        <v>3415</v>
      </c>
      <c r="BC154" s="355" t="s">
        <v>3413</v>
      </c>
    </row>
    <row r="155" spans="1:58" ht="14.5" x14ac:dyDescent="0.35">
      <c r="A155" s="56" t="s">
        <v>1751</v>
      </c>
      <c r="D155" s="56" t="s">
        <v>29</v>
      </c>
      <c r="G155" s="56">
        <v>139</v>
      </c>
      <c r="H155" s="66" t="str">
        <f>VLOOKUP(I155,Codes!$A$1:$B$32,2,FALSE)</f>
        <v>PT</v>
      </c>
      <c r="I155" s="56" t="s">
        <v>15</v>
      </c>
      <c r="J155" s="56" t="s">
        <v>2306</v>
      </c>
      <c r="L155" s="56" t="s">
        <v>3416</v>
      </c>
      <c r="M155" s="69" t="s">
        <v>2225</v>
      </c>
      <c r="N155" s="69">
        <v>39.543278999999998</v>
      </c>
      <c r="O155" s="70">
        <v>-7.8025630000000001</v>
      </c>
      <c r="P155" s="395"/>
      <c r="Q155" s="395"/>
      <c r="R155" s="56">
        <v>3</v>
      </c>
      <c r="T155" s="71" t="s">
        <v>2129</v>
      </c>
      <c r="U155" s="56">
        <v>132</v>
      </c>
      <c r="AA155" s="56">
        <v>357.9</v>
      </c>
      <c r="AE155" s="56">
        <v>1974</v>
      </c>
      <c r="AG155" s="56" t="s">
        <v>1751</v>
      </c>
      <c r="AI155" s="70">
        <v>39.545949</v>
      </c>
      <c r="AJ155" s="74">
        <v>-7.7950140000000001</v>
      </c>
      <c r="AK155" s="75">
        <v>21</v>
      </c>
      <c r="AP155" s="71">
        <f>(28.8+17.8)/2</f>
        <v>23.3</v>
      </c>
      <c r="AR155" s="71">
        <f>R155*250</f>
        <v>750</v>
      </c>
      <c r="AS155" s="71">
        <f t="shared" si="14"/>
        <v>7.7777777777777777</v>
      </c>
      <c r="AT155" s="71">
        <v>3</v>
      </c>
      <c r="AX155" s="56">
        <v>16500</v>
      </c>
      <c r="BC155" s="139" t="s">
        <v>3417</v>
      </c>
    </row>
    <row r="156" spans="1:58" ht="14.5" x14ac:dyDescent="0.35">
      <c r="A156" s="56" t="s">
        <v>3420</v>
      </c>
      <c r="D156" s="56" t="s">
        <v>29</v>
      </c>
      <c r="G156" s="56">
        <v>140</v>
      </c>
      <c r="H156" s="66" t="str">
        <f>VLOOKUP(I156,Codes!$A$1:$B$32,2,FALSE)</f>
        <v>SI</v>
      </c>
      <c r="I156" s="56" t="s">
        <v>17</v>
      </c>
      <c r="J156" s="56" t="s">
        <v>3421</v>
      </c>
      <c r="L156" s="56" t="s">
        <v>3420</v>
      </c>
      <c r="M156" s="69" t="s">
        <v>901</v>
      </c>
      <c r="N156" s="69">
        <v>46.402769999999997</v>
      </c>
      <c r="O156" s="70">
        <v>16.033688000000001</v>
      </c>
      <c r="P156" s="69">
        <v>46.386000000000003</v>
      </c>
      <c r="Q156" s="70">
        <v>16.033688000000001</v>
      </c>
      <c r="R156" s="56">
        <v>2</v>
      </c>
      <c r="T156" s="71" t="s">
        <v>2129</v>
      </c>
      <c r="U156" s="56">
        <v>116</v>
      </c>
      <c r="AA156" s="56">
        <v>548</v>
      </c>
      <c r="AE156" s="56">
        <v>1978</v>
      </c>
      <c r="AG156" s="56" t="s">
        <v>3422</v>
      </c>
      <c r="AI156" s="70">
        <v>46.389659999999999</v>
      </c>
      <c r="AJ156" s="74">
        <v>15.920439999999999</v>
      </c>
      <c r="AK156" s="75">
        <v>4.5</v>
      </c>
      <c r="AP156" s="71">
        <v>29</v>
      </c>
      <c r="AR156" s="71">
        <v>500</v>
      </c>
      <c r="AS156" s="71">
        <f t="shared" si="14"/>
        <v>2.5</v>
      </c>
      <c r="AT156" s="71">
        <v>2</v>
      </c>
      <c r="AX156" s="56">
        <v>4200</v>
      </c>
      <c r="BC156" s="139" t="s">
        <v>3423</v>
      </c>
    </row>
    <row r="157" spans="1:58" ht="14.5" x14ac:dyDescent="0.35">
      <c r="A157" s="56" t="s">
        <v>3424</v>
      </c>
      <c r="D157" s="56" t="s">
        <v>29</v>
      </c>
      <c r="G157" s="56">
        <v>141</v>
      </c>
      <c r="H157" s="66" t="str">
        <f>VLOOKUP(I157,Codes!$A$1:$B$32,2,FALSE)</f>
        <v>SI</v>
      </c>
      <c r="I157" s="56" t="s">
        <v>17</v>
      </c>
      <c r="J157" s="56" t="s">
        <v>3421</v>
      </c>
      <c r="L157" s="56" t="s">
        <v>908</v>
      </c>
      <c r="M157" s="69" t="s">
        <v>901</v>
      </c>
      <c r="N157" s="69">
        <v>46.388199999999998</v>
      </c>
      <c r="O157" s="70">
        <v>15.9267</v>
      </c>
      <c r="P157" s="69">
        <v>46.388199999999998</v>
      </c>
      <c r="Q157" s="70">
        <v>15.9267</v>
      </c>
      <c r="R157" s="56">
        <v>2</v>
      </c>
      <c r="U157" s="56">
        <v>0.77500000000000002</v>
      </c>
      <c r="AA157" s="56">
        <v>4.74</v>
      </c>
      <c r="AE157" s="56">
        <v>2012</v>
      </c>
      <c r="AG157" s="56" t="s">
        <v>3422</v>
      </c>
      <c r="AI157" s="70">
        <v>46.389659999999999</v>
      </c>
      <c r="AJ157" s="74">
        <v>15.920439999999999</v>
      </c>
      <c r="AK157" s="75" t="s">
        <v>3475</v>
      </c>
      <c r="AZ157" s="56" t="s">
        <v>3425</v>
      </c>
      <c r="BC157" s="139" t="s">
        <v>3428</v>
      </c>
    </row>
    <row r="158" spans="1:58" ht="14.5" x14ac:dyDescent="0.35">
      <c r="A158" s="56" t="s">
        <v>3426</v>
      </c>
      <c r="D158" s="56" t="s">
        <v>29</v>
      </c>
      <c r="G158" s="56">
        <v>142</v>
      </c>
      <c r="H158" s="66" t="str">
        <f>VLOOKUP(I158,Codes!$A$1:$B$32,2,FALSE)</f>
        <v>SI</v>
      </c>
      <c r="I158" s="56" t="s">
        <v>17</v>
      </c>
      <c r="J158" s="56" t="s">
        <v>3421</v>
      </c>
      <c r="L158" s="56" t="s">
        <v>3426</v>
      </c>
      <c r="M158" s="69" t="s">
        <v>901</v>
      </c>
      <c r="N158" s="69">
        <v>46.448</v>
      </c>
      <c r="O158" s="70">
        <v>15.787000000000001</v>
      </c>
      <c r="P158" s="69">
        <v>46.448</v>
      </c>
      <c r="Q158" s="70">
        <v>15.787000000000001</v>
      </c>
      <c r="R158" s="56">
        <v>2</v>
      </c>
      <c r="T158" s="71" t="s">
        <v>2129</v>
      </c>
      <c r="U158" s="56">
        <v>126</v>
      </c>
      <c r="AA158" s="56">
        <v>577</v>
      </c>
      <c r="AE158" s="56">
        <v>1969</v>
      </c>
      <c r="AG158" s="56" t="s">
        <v>3432</v>
      </c>
      <c r="AI158" s="70">
        <v>46.558875</v>
      </c>
      <c r="AJ158" s="74">
        <v>15.671343</v>
      </c>
      <c r="AK158" s="75">
        <v>4.5</v>
      </c>
      <c r="AP158" s="71">
        <v>33</v>
      </c>
      <c r="AR158" s="71">
        <v>530</v>
      </c>
      <c r="AS158" s="71">
        <f t="shared" si="14"/>
        <v>2.358490566037736</v>
      </c>
      <c r="AT158" s="71">
        <v>2</v>
      </c>
      <c r="AX158" s="56">
        <v>4200</v>
      </c>
      <c r="BC158" s="139" t="s">
        <v>3427</v>
      </c>
    </row>
    <row r="159" spans="1:58" ht="14.5" x14ac:dyDescent="0.35">
      <c r="A159" s="56" t="s">
        <v>3429</v>
      </c>
      <c r="D159" s="56" t="s">
        <v>29</v>
      </c>
      <c r="G159" s="56">
        <v>143</v>
      </c>
      <c r="H159" s="66" t="str">
        <f>VLOOKUP(I159,Codes!$A$1:$B$32,2,FALSE)</f>
        <v>SI</v>
      </c>
      <c r="I159" s="56" t="s">
        <v>17</v>
      </c>
      <c r="J159" s="56" t="s">
        <v>3421</v>
      </c>
      <c r="L159" s="56" t="s">
        <v>3430</v>
      </c>
      <c r="M159" s="69" t="s">
        <v>901</v>
      </c>
      <c r="N159" s="69">
        <v>46.560290999999999</v>
      </c>
      <c r="O159" s="70">
        <v>15.674084000000001</v>
      </c>
      <c r="P159" s="69">
        <v>46.560290999999999</v>
      </c>
      <c r="Q159" s="70">
        <v>15.674084000000001</v>
      </c>
      <c r="U159" s="56">
        <v>2.2599999999999998</v>
      </c>
      <c r="AG159" s="56" t="s">
        <v>3432</v>
      </c>
      <c r="AI159" s="70">
        <v>46.558875</v>
      </c>
      <c r="AJ159" s="74">
        <v>15.671343</v>
      </c>
      <c r="AK159" s="75" t="s">
        <v>3475</v>
      </c>
      <c r="AR159" s="71">
        <v>30</v>
      </c>
      <c r="AZ159" s="56" t="s">
        <v>3431</v>
      </c>
      <c r="BC159" s="139" t="s">
        <v>3437</v>
      </c>
    </row>
    <row r="160" spans="1:58" x14ac:dyDescent="0.35">
      <c r="A160" s="56" t="s">
        <v>3433</v>
      </c>
      <c r="D160" s="56" t="s">
        <v>29</v>
      </c>
      <c r="G160" s="56">
        <v>144</v>
      </c>
      <c r="H160" s="66" t="str">
        <f>VLOOKUP(I160,Codes!$A$1:$B$32,2,FALSE)</f>
        <v>SI</v>
      </c>
      <c r="I160" s="56" t="s">
        <v>17</v>
      </c>
      <c r="J160" s="56" t="s">
        <v>3421</v>
      </c>
      <c r="L160" s="56" t="s">
        <v>3434</v>
      </c>
      <c r="M160" s="69" t="s">
        <v>901</v>
      </c>
      <c r="N160" s="69">
        <v>46.569200000000002</v>
      </c>
      <c r="O160" s="70">
        <v>15.6043</v>
      </c>
      <c r="P160" s="69">
        <v>46.569200000000002</v>
      </c>
      <c r="Q160" s="70">
        <v>15.6043</v>
      </c>
      <c r="R160" s="56">
        <v>3</v>
      </c>
      <c r="T160" s="71" t="s">
        <v>2129</v>
      </c>
      <c r="U160" s="56">
        <v>60</v>
      </c>
      <c r="AA160" s="56">
        <v>270</v>
      </c>
      <c r="AG160" s="56" t="s">
        <v>3435</v>
      </c>
      <c r="AI160" s="70">
        <v>46.567351000000002</v>
      </c>
      <c r="AJ160" s="74">
        <v>15.597804</v>
      </c>
      <c r="AK160" s="75">
        <v>2.1</v>
      </c>
      <c r="AP160" s="71">
        <v>14.2</v>
      </c>
      <c r="AR160" s="71">
        <v>550</v>
      </c>
      <c r="AS160" s="71">
        <f t="shared" si="14"/>
        <v>1.0606060606060606</v>
      </c>
      <c r="AT160" s="71">
        <v>2</v>
      </c>
      <c r="AV160" s="56" t="s">
        <v>3436</v>
      </c>
      <c r="AX160" s="56">
        <v>5600</v>
      </c>
      <c r="BC160" s="56" t="s">
        <v>3438</v>
      </c>
    </row>
    <row r="161" spans="1:56" ht="14.5" x14ac:dyDescent="0.35">
      <c r="A161" s="56" t="s">
        <v>3439</v>
      </c>
      <c r="D161" s="56" t="s">
        <v>29</v>
      </c>
      <c r="G161" s="56">
        <v>145</v>
      </c>
      <c r="H161" s="66" t="str">
        <f>VLOOKUP(I161,Codes!$A$1:$B$32,2,FALSE)</f>
        <v>SI</v>
      </c>
      <c r="I161" s="56" t="s">
        <v>17</v>
      </c>
      <c r="J161" s="56" t="s">
        <v>3421</v>
      </c>
      <c r="L161" s="56" t="s">
        <v>3440</v>
      </c>
      <c r="M161" s="69" t="s">
        <v>901</v>
      </c>
      <c r="N161" s="69">
        <v>46.558900000000001</v>
      </c>
      <c r="O161" s="70">
        <v>15.456</v>
      </c>
      <c r="P161" s="69">
        <v>46.558900000000001</v>
      </c>
      <c r="Q161" s="70">
        <v>15.456</v>
      </c>
      <c r="R161" s="56">
        <v>3</v>
      </c>
      <c r="T161" s="71" t="s">
        <v>2129</v>
      </c>
      <c r="U161" s="56">
        <v>58</v>
      </c>
      <c r="AA161" s="56">
        <v>260</v>
      </c>
      <c r="AG161" s="56" t="s">
        <v>3445</v>
      </c>
      <c r="AI161" s="70">
        <v>46.560048000000002</v>
      </c>
      <c r="AJ161" s="74">
        <v>15.456825</v>
      </c>
      <c r="AK161" s="75">
        <v>0.9</v>
      </c>
      <c r="AP161" s="71">
        <v>14.6</v>
      </c>
      <c r="AR161" s="71">
        <v>550</v>
      </c>
      <c r="AS161" s="71">
        <f t="shared" si="14"/>
        <v>0.45454545454545453</v>
      </c>
      <c r="AT161" s="71">
        <v>1</v>
      </c>
      <c r="AV161" s="56" t="s">
        <v>3441</v>
      </c>
      <c r="AX161" s="56">
        <v>4800</v>
      </c>
      <c r="AZ161" s="56" t="s">
        <v>3442</v>
      </c>
      <c r="BC161" s="139" t="s">
        <v>3443</v>
      </c>
    </row>
    <row r="162" spans="1:56" ht="14.5" x14ac:dyDescent="0.35">
      <c r="A162" s="56" t="s">
        <v>3444</v>
      </c>
      <c r="D162" s="56" t="s">
        <v>29</v>
      </c>
      <c r="G162" s="56">
        <v>146</v>
      </c>
      <c r="H162" s="66" t="str">
        <f>VLOOKUP(I162,Codes!$A$1:$B$32,2,FALSE)</f>
        <v>SI</v>
      </c>
      <c r="I162" s="56" t="s">
        <v>17</v>
      </c>
      <c r="J162" s="56" t="s">
        <v>3421</v>
      </c>
      <c r="L162" s="56" t="s">
        <v>3444</v>
      </c>
      <c r="M162" s="69" t="s">
        <v>901</v>
      </c>
      <c r="N162" s="69">
        <v>46.576900000000002</v>
      </c>
      <c r="O162" s="70">
        <v>15.405200000000001</v>
      </c>
      <c r="P162" s="70">
        <v>46.594999999999999</v>
      </c>
      <c r="Q162" s="70">
        <v>15.405200000000001</v>
      </c>
      <c r="R162" s="56">
        <v>3</v>
      </c>
      <c r="T162" s="71" t="s">
        <v>2129</v>
      </c>
      <c r="U162" s="56">
        <v>73.2</v>
      </c>
      <c r="AA162" s="56">
        <v>305</v>
      </c>
      <c r="AE162" s="56">
        <v>1960</v>
      </c>
      <c r="AG162" s="56" t="s">
        <v>3447</v>
      </c>
      <c r="AI162" s="70">
        <v>46.580634000000003</v>
      </c>
      <c r="AJ162" s="74">
        <v>15.403701</v>
      </c>
      <c r="AK162" s="75">
        <v>1.4</v>
      </c>
      <c r="AP162" s="71">
        <v>17.420000000000002</v>
      </c>
      <c r="AR162" s="71">
        <v>550</v>
      </c>
      <c r="AS162" s="71">
        <f t="shared" si="14"/>
        <v>0.70707070707070707</v>
      </c>
      <c r="AT162" s="71">
        <v>1</v>
      </c>
      <c r="AV162" s="56" t="s">
        <v>1851</v>
      </c>
      <c r="AX162" s="56">
        <v>5800</v>
      </c>
      <c r="AZ162" s="56" t="s">
        <v>3446</v>
      </c>
      <c r="BC162" s="139" t="s">
        <v>3454</v>
      </c>
    </row>
    <row r="163" spans="1:56" ht="14.5" x14ac:dyDescent="0.35">
      <c r="A163" s="56" t="s">
        <v>1851</v>
      </c>
      <c r="D163" s="56" t="s">
        <v>29</v>
      </c>
      <c r="G163" s="56">
        <v>147</v>
      </c>
      <c r="H163" s="66" t="str">
        <f>VLOOKUP(I163,Codes!$A$1:$B$32,2,FALSE)</f>
        <v>SI</v>
      </c>
      <c r="I163" s="56" t="s">
        <v>17</v>
      </c>
      <c r="J163" s="56" t="s">
        <v>3421</v>
      </c>
      <c r="L163" s="56" t="s">
        <v>1851</v>
      </c>
      <c r="M163" s="69" t="s">
        <v>901</v>
      </c>
      <c r="N163" s="69">
        <v>46.587600000000002</v>
      </c>
      <c r="O163" s="70">
        <v>15.275499999999999</v>
      </c>
      <c r="P163" s="69">
        <v>46.587600000000002</v>
      </c>
      <c r="Q163" s="70">
        <v>15.275499999999999</v>
      </c>
      <c r="R163" s="56">
        <v>3</v>
      </c>
      <c r="T163" s="71" t="s">
        <v>2129</v>
      </c>
      <c r="U163" s="56">
        <v>72.3</v>
      </c>
      <c r="AA163" s="56">
        <v>297</v>
      </c>
      <c r="AE163" s="56">
        <v>1956</v>
      </c>
      <c r="AG163" s="56" t="s">
        <v>1851</v>
      </c>
      <c r="AH163" s="56">
        <v>3835</v>
      </c>
      <c r="AI163" s="70">
        <v>46.580044000000001</v>
      </c>
      <c r="AJ163" s="74">
        <v>15.40354</v>
      </c>
      <c r="AK163" s="75">
        <v>2.2000000000000002</v>
      </c>
      <c r="AP163" s="71">
        <v>17.399999999999999</v>
      </c>
      <c r="AR163" s="71">
        <v>550</v>
      </c>
      <c r="AS163" s="71">
        <f t="shared" si="14"/>
        <v>1.1111111111111112</v>
      </c>
      <c r="AT163" s="71">
        <v>2</v>
      </c>
      <c r="AV163" s="56" t="s">
        <v>1850</v>
      </c>
      <c r="AX163" s="56">
        <v>5800</v>
      </c>
      <c r="BC163" s="139" t="s">
        <v>3453</v>
      </c>
    </row>
    <row r="164" spans="1:56" ht="14.5" x14ac:dyDescent="0.35">
      <c r="A164" s="56" t="s">
        <v>1850</v>
      </c>
      <c r="D164" s="56" t="s">
        <v>29</v>
      </c>
      <c r="G164" s="56">
        <v>148</v>
      </c>
      <c r="H164" s="66" t="str">
        <f>VLOOKUP(I164,Codes!$A$1:$B$32,2,FALSE)</f>
        <v>SI</v>
      </c>
      <c r="I164" s="56" t="s">
        <v>17</v>
      </c>
      <c r="J164" s="56" t="s">
        <v>3421</v>
      </c>
      <c r="L164" s="56" t="s">
        <v>3449</v>
      </c>
      <c r="M164" s="69" t="s">
        <v>901</v>
      </c>
      <c r="N164" s="69">
        <v>46.593299999999999</v>
      </c>
      <c r="O164" s="70">
        <v>15.1523</v>
      </c>
      <c r="P164" s="69">
        <v>46.593299999999999</v>
      </c>
      <c r="Q164" s="70">
        <v>15.1523</v>
      </c>
      <c r="R164" s="56">
        <v>3</v>
      </c>
      <c r="T164" s="71" t="s">
        <v>2129</v>
      </c>
      <c r="U164" s="56">
        <v>55.6</v>
      </c>
      <c r="AA164" s="56">
        <v>247</v>
      </c>
      <c r="AE164" s="56">
        <v>1953</v>
      </c>
      <c r="AG164" s="56" t="s">
        <v>1850</v>
      </c>
      <c r="AH164" s="56">
        <v>3834</v>
      </c>
      <c r="AI164" s="70">
        <v>46.591664000000002</v>
      </c>
      <c r="AJ164" s="74">
        <v>15.143259</v>
      </c>
      <c r="AK164" s="75">
        <v>1.8</v>
      </c>
      <c r="AP164" s="71">
        <v>13.73</v>
      </c>
      <c r="AR164" s="71">
        <v>550</v>
      </c>
      <c r="AS164" s="71">
        <f t="shared" si="14"/>
        <v>0.90909090909090906</v>
      </c>
      <c r="AT164" s="71">
        <v>1</v>
      </c>
      <c r="AV164" s="56" t="s">
        <v>904</v>
      </c>
      <c r="AX164" s="56">
        <v>5600</v>
      </c>
      <c r="BC164" s="139" t="s">
        <v>3452</v>
      </c>
    </row>
    <row r="165" spans="1:56" x14ac:dyDescent="0.35">
      <c r="A165" s="56" t="s">
        <v>904</v>
      </c>
      <c r="D165" s="56" t="s">
        <v>29</v>
      </c>
      <c r="G165" s="56">
        <v>149</v>
      </c>
      <c r="H165" s="66" t="str">
        <f>VLOOKUP(I165,Codes!$A$1:$B$32,2,FALSE)</f>
        <v>SI</v>
      </c>
      <c r="I165" s="56" t="s">
        <v>17</v>
      </c>
      <c r="J165" s="56" t="s">
        <v>3421</v>
      </c>
      <c r="L165" s="56" t="s">
        <v>904</v>
      </c>
      <c r="M165" s="69" t="s">
        <v>901</v>
      </c>
      <c r="N165" s="70">
        <v>46.586599999999997</v>
      </c>
      <c r="O165" s="70">
        <v>15.018800000000001</v>
      </c>
      <c r="P165" s="70">
        <v>46.586599999999997</v>
      </c>
      <c r="Q165" s="70">
        <v>15.018800000000001</v>
      </c>
      <c r="R165" s="56">
        <v>3</v>
      </c>
      <c r="T165" s="71" t="s">
        <v>2129</v>
      </c>
      <c r="U165" s="56">
        <v>26.2</v>
      </c>
      <c r="AA165" s="56">
        <v>142</v>
      </c>
      <c r="AE165" s="56">
        <v>1944</v>
      </c>
      <c r="AG165" s="56" t="s">
        <v>904</v>
      </c>
      <c r="AI165" s="70">
        <v>46.584232</v>
      </c>
      <c r="AJ165" s="74">
        <v>15.014867000000001</v>
      </c>
      <c r="AK165" s="356">
        <v>5.6</v>
      </c>
      <c r="AP165" s="71">
        <v>8.94</v>
      </c>
      <c r="AR165" s="71">
        <v>420</v>
      </c>
      <c r="AS165" s="71">
        <f t="shared" si="14"/>
        <v>3.7037037037037037</v>
      </c>
      <c r="AT165" s="71">
        <v>2</v>
      </c>
      <c r="AV165" s="56" t="s">
        <v>3450</v>
      </c>
      <c r="AX165" s="56">
        <v>5400</v>
      </c>
      <c r="AZ165" s="56" t="s">
        <v>3451</v>
      </c>
      <c r="BC165" s="56" t="s">
        <v>3455</v>
      </c>
    </row>
    <row r="166" spans="1:56" x14ac:dyDescent="0.35">
      <c r="A166" s="56" t="s">
        <v>204</v>
      </c>
      <c r="D166" s="56" t="s">
        <v>29</v>
      </c>
      <c r="G166" s="56">
        <v>150</v>
      </c>
      <c r="H166" s="66" t="str">
        <f>VLOOKUP(I166,Codes!$A$1:$B$32,2,FALSE)</f>
        <v>FR</v>
      </c>
      <c r="I166" s="56" t="s">
        <v>7</v>
      </c>
      <c r="J166" s="56" t="s">
        <v>3390</v>
      </c>
      <c r="L166" s="56" t="s">
        <v>3456</v>
      </c>
      <c r="M166" s="69" t="s">
        <v>2091</v>
      </c>
      <c r="N166" s="70">
        <v>44.095999999999997</v>
      </c>
      <c r="O166" s="70">
        <v>4.7240000000000002</v>
      </c>
      <c r="P166" s="70">
        <v>44.095999999999997</v>
      </c>
      <c r="Q166" s="70">
        <v>4.7240000000000002</v>
      </c>
      <c r="R166" s="56">
        <v>6</v>
      </c>
      <c r="T166" s="71" t="s">
        <v>3365</v>
      </c>
      <c r="U166" s="56">
        <v>156</v>
      </c>
      <c r="AA166" s="56">
        <v>843</v>
      </c>
      <c r="AE166" s="56">
        <v>1975</v>
      </c>
      <c r="AI166" s="70">
        <v>44.116306999999999</v>
      </c>
      <c r="AJ166" s="74">
        <v>4.7122339999999996</v>
      </c>
      <c r="AK166" s="356"/>
      <c r="AP166" s="71">
        <v>8.6</v>
      </c>
      <c r="AR166" s="71">
        <v>2280</v>
      </c>
      <c r="AS166" s="71">
        <f t="shared" si="14"/>
        <v>0</v>
      </c>
      <c r="BC166" s="56" t="s">
        <v>3378</v>
      </c>
    </row>
    <row r="167" spans="1:56" ht="14.5" x14ac:dyDescent="0.35">
      <c r="A167" s="56" t="s">
        <v>1715</v>
      </c>
      <c r="D167" s="56" t="s">
        <v>29</v>
      </c>
      <c r="G167" s="56">
        <v>151</v>
      </c>
      <c r="H167" s="66" t="str">
        <f>VLOOKUP(I167,Codes!$A$1:$B$32,2,FALSE)</f>
        <v>PL</v>
      </c>
      <c r="I167" s="56" t="s">
        <v>14</v>
      </c>
      <c r="J167" s="56" t="s">
        <v>3462</v>
      </c>
      <c r="M167" s="69" t="s">
        <v>3457</v>
      </c>
      <c r="N167" s="70">
        <v>52.656399999999998</v>
      </c>
      <c r="O167" s="70">
        <v>19.133900000000001</v>
      </c>
      <c r="P167" s="70">
        <v>52.656399999999998</v>
      </c>
      <c r="Q167" s="70">
        <v>19.133900000000001</v>
      </c>
      <c r="R167" s="56">
        <v>6</v>
      </c>
      <c r="T167" s="71" t="s">
        <v>2129</v>
      </c>
      <c r="U167" s="56">
        <v>160.19999999999999</v>
      </c>
      <c r="Y167" s="71">
        <v>12</v>
      </c>
      <c r="AA167" s="56">
        <v>739</v>
      </c>
      <c r="AG167" s="56" t="s">
        <v>3458</v>
      </c>
      <c r="AH167" s="56">
        <v>3742</v>
      </c>
      <c r="AI167" s="70">
        <v>52.65681</v>
      </c>
      <c r="AJ167" s="74">
        <v>19.166765000000002</v>
      </c>
      <c r="AK167" s="110">
        <f>30/0.566</f>
        <v>53.003533568904601</v>
      </c>
      <c r="AP167" s="71">
        <v>8.8000000000000007</v>
      </c>
      <c r="AR167" s="71">
        <v>2100</v>
      </c>
      <c r="AS167" s="71">
        <f t="shared" si="14"/>
        <v>7.0110494138762691</v>
      </c>
      <c r="AT167" s="71">
        <v>3</v>
      </c>
      <c r="AZ167" s="56" t="s">
        <v>3459</v>
      </c>
      <c r="BC167" s="139" t="s">
        <v>3460</v>
      </c>
      <c r="BD167" s="139" t="s">
        <v>3461</v>
      </c>
    </row>
    <row r="168" spans="1:56" ht="14.5" x14ac:dyDescent="0.35">
      <c r="A168" s="56" t="s">
        <v>1531</v>
      </c>
      <c r="D168" s="102" t="s">
        <v>29</v>
      </c>
      <c r="E168" s="56" t="s">
        <v>3466</v>
      </c>
      <c r="G168" s="56">
        <v>152</v>
      </c>
      <c r="H168" s="66" t="str">
        <f>VLOOKUP(I168,Codes!$A$1:$B$32,2,FALSE)</f>
        <v>FR</v>
      </c>
      <c r="I168" s="56" t="s">
        <v>7</v>
      </c>
      <c r="J168" s="56" t="s">
        <v>3463</v>
      </c>
      <c r="L168" s="56" t="s">
        <v>3464</v>
      </c>
      <c r="M168" s="69" t="s">
        <v>3324</v>
      </c>
      <c r="N168" s="70">
        <v>45.391534</v>
      </c>
      <c r="O168" s="70">
        <v>2.3645499999999999</v>
      </c>
      <c r="P168" s="70">
        <v>45.38</v>
      </c>
      <c r="Q168" s="70">
        <v>2.4620000000000002</v>
      </c>
      <c r="R168" s="56">
        <v>5</v>
      </c>
      <c r="T168" s="71" t="s">
        <v>42</v>
      </c>
      <c r="U168" s="56">
        <v>272</v>
      </c>
      <c r="AA168" s="56">
        <v>338</v>
      </c>
      <c r="AE168" s="56">
        <v>1935</v>
      </c>
      <c r="AG168" s="56" t="s">
        <v>3465</v>
      </c>
      <c r="AI168" s="70">
        <v>45.397877000000001</v>
      </c>
      <c r="AJ168" s="74">
        <v>2.3629190000000002</v>
      </c>
      <c r="AK168" s="75">
        <v>47</v>
      </c>
      <c r="AP168" s="71">
        <v>82</v>
      </c>
      <c r="BC168" s="139" t="s">
        <v>3467</v>
      </c>
    </row>
    <row r="169" spans="1:56" ht="14.5" x14ac:dyDescent="0.35">
      <c r="A169" s="56" t="s">
        <v>3468</v>
      </c>
      <c r="D169" s="56" t="s">
        <v>29</v>
      </c>
      <c r="G169" s="56">
        <v>153</v>
      </c>
      <c r="H169" s="66" t="str">
        <f>VLOOKUP(I169,Codes!$A$1:$B$32,2,FALSE)</f>
        <v>DE</v>
      </c>
      <c r="I169" s="56" t="s">
        <v>3</v>
      </c>
      <c r="J169" s="56" t="s">
        <v>3469</v>
      </c>
      <c r="M169" s="69" t="s">
        <v>3470</v>
      </c>
      <c r="N169" s="70">
        <v>48.832481999999999</v>
      </c>
      <c r="O169" s="70">
        <v>8.1113800000000005</v>
      </c>
      <c r="P169" s="70">
        <v>48.853000000000002</v>
      </c>
      <c r="Q169" s="70">
        <v>8.1113800000000005</v>
      </c>
      <c r="R169" s="56">
        <v>5</v>
      </c>
      <c r="T169" s="71" t="s">
        <v>3472</v>
      </c>
      <c r="U169" s="56">
        <v>148</v>
      </c>
      <c r="AA169" s="56">
        <v>870</v>
      </c>
      <c r="AE169" s="56" t="s">
        <v>3473</v>
      </c>
      <c r="AG169" s="56" t="s">
        <v>3474</v>
      </c>
      <c r="AI169" s="70">
        <v>48.821106999999998</v>
      </c>
      <c r="AJ169" s="74">
        <v>8.1059359999999998</v>
      </c>
      <c r="AK169" s="352"/>
      <c r="AP169" s="71">
        <v>11</v>
      </c>
      <c r="AR169" s="71">
        <v>1500</v>
      </c>
      <c r="AS169" s="71">
        <f t="shared" ref="AS169:AS222" si="15">((AK169*1000000)/AR169)/3600</f>
        <v>0</v>
      </c>
      <c r="BC169" s="139" t="s">
        <v>3471</v>
      </c>
    </row>
    <row r="170" spans="1:56" x14ac:dyDescent="0.35">
      <c r="A170" s="56" t="s">
        <v>3476</v>
      </c>
      <c r="D170" s="56" t="s">
        <v>29</v>
      </c>
      <c r="G170" s="56">
        <v>154</v>
      </c>
      <c r="H170" s="66" t="str">
        <f>VLOOKUP(I170,Codes!$A$1:$B$32,2,FALSE)</f>
        <v>FR</v>
      </c>
      <c r="I170" s="56" t="s">
        <v>7</v>
      </c>
      <c r="J170" s="56" t="s">
        <v>3390</v>
      </c>
      <c r="M170" s="69" t="s">
        <v>3470</v>
      </c>
      <c r="N170" s="70">
        <v>44.675975000000001</v>
      </c>
      <c r="O170" s="70">
        <v>4.7880416666666603</v>
      </c>
      <c r="P170" s="70">
        <v>44.509</v>
      </c>
      <c r="Q170" s="70">
        <v>4.7249999999999996</v>
      </c>
      <c r="R170" s="56">
        <v>6</v>
      </c>
      <c r="T170" s="71" t="s">
        <v>2129</v>
      </c>
      <c r="U170" s="56">
        <v>215</v>
      </c>
      <c r="AA170" s="56">
        <v>1177</v>
      </c>
      <c r="AE170" s="56">
        <v>1960</v>
      </c>
      <c r="AI170" s="70">
        <v>44.509</v>
      </c>
      <c r="AJ170" s="70">
        <v>4.7249999999999996</v>
      </c>
      <c r="AP170" s="71">
        <v>11.7</v>
      </c>
      <c r="AR170" s="71">
        <v>2230</v>
      </c>
      <c r="BC170" s="56" t="s">
        <v>3754</v>
      </c>
    </row>
    <row r="171" spans="1:56" ht="14.5" x14ac:dyDescent="0.35">
      <c r="A171" s="56" t="s">
        <v>3479</v>
      </c>
      <c r="D171" s="56" t="s">
        <v>29</v>
      </c>
      <c r="G171" s="56">
        <v>155</v>
      </c>
      <c r="H171" s="66" t="str">
        <f>VLOOKUP(I171,Codes!$A$1:$B$32,2,FALSE)</f>
        <v>SE</v>
      </c>
      <c r="I171" s="56" t="s">
        <v>20</v>
      </c>
      <c r="J171" s="56" t="s">
        <v>2104</v>
      </c>
      <c r="L171" s="69" t="s">
        <v>3477</v>
      </c>
      <c r="N171" s="70">
        <v>64.749761000000007</v>
      </c>
      <c r="O171" s="70">
        <v>20.866282999999999</v>
      </c>
      <c r="P171" s="70">
        <v>64.697999999999993</v>
      </c>
      <c r="Q171" s="70">
        <v>20.866282999999999</v>
      </c>
      <c r="R171" s="56">
        <v>2</v>
      </c>
      <c r="T171" s="71" t="s">
        <v>2129</v>
      </c>
      <c r="U171" s="56">
        <v>140</v>
      </c>
      <c r="AA171" s="56">
        <v>600</v>
      </c>
      <c r="AE171" s="56">
        <v>1962</v>
      </c>
      <c r="AI171" s="70">
        <v>64.697999999999993</v>
      </c>
      <c r="AJ171" s="70">
        <v>20.866282999999999</v>
      </c>
      <c r="AK171" s="75">
        <v>12</v>
      </c>
      <c r="AN171" s="74">
        <v>64.749055999999996</v>
      </c>
      <c r="AO171" s="74">
        <v>20.851386000000002</v>
      </c>
      <c r="AP171" s="71">
        <v>50</v>
      </c>
      <c r="AY171" s="56" t="s">
        <v>3488</v>
      </c>
      <c r="AZ171" s="56" t="s">
        <v>3489</v>
      </c>
      <c r="BC171" s="139" t="s">
        <v>3478</v>
      </c>
    </row>
    <row r="172" spans="1:56" ht="14.5" x14ac:dyDescent="0.35">
      <c r="A172" s="56" t="s">
        <v>1116</v>
      </c>
      <c r="D172" s="56" t="s">
        <v>3579</v>
      </c>
      <c r="E172" s="56" t="s">
        <v>29</v>
      </c>
      <c r="G172" s="56">
        <v>156</v>
      </c>
      <c r="H172" s="66" t="str">
        <f>VLOOKUP(I172,Codes!$A$1:$B$32,2,FALSE)</f>
        <v>AT</v>
      </c>
      <c r="I172" s="56" t="s">
        <v>13</v>
      </c>
      <c r="J172" s="56" t="s">
        <v>2180</v>
      </c>
      <c r="L172" s="56" t="s">
        <v>3480</v>
      </c>
      <c r="M172" s="69" t="s">
        <v>2205</v>
      </c>
      <c r="N172" s="70">
        <v>48.176600000000001</v>
      </c>
      <c r="O172" s="70">
        <v>16.481400000000001</v>
      </c>
      <c r="P172" s="70">
        <v>48.176600000000001</v>
      </c>
      <c r="Q172" s="70">
        <v>16.481400000000001</v>
      </c>
      <c r="R172" s="56">
        <v>6</v>
      </c>
      <c r="T172" s="71" t="s">
        <v>3481</v>
      </c>
      <c r="U172" s="56">
        <v>172</v>
      </c>
      <c r="AA172" s="56">
        <v>1052</v>
      </c>
      <c r="AE172" s="56">
        <v>1998</v>
      </c>
      <c r="AG172" s="56" t="s">
        <v>1116</v>
      </c>
      <c r="AI172" s="70">
        <v>48.194929999999999</v>
      </c>
      <c r="AJ172" s="74">
        <v>16.453142</v>
      </c>
      <c r="AK172" s="110">
        <v>55</v>
      </c>
      <c r="AP172" s="71">
        <v>8.6</v>
      </c>
      <c r="AR172" s="71">
        <v>3000</v>
      </c>
      <c r="AS172" s="71">
        <f t="shared" si="15"/>
        <v>5.0925925925925926</v>
      </c>
      <c r="AT172" s="71">
        <v>3</v>
      </c>
      <c r="AV172" s="56" t="s">
        <v>1441</v>
      </c>
      <c r="BC172" s="139" t="s">
        <v>3482</v>
      </c>
    </row>
    <row r="173" spans="1:56" ht="14.5" x14ac:dyDescent="0.35">
      <c r="A173" s="56" t="s">
        <v>317</v>
      </c>
      <c r="D173" s="56" t="s">
        <v>29</v>
      </c>
      <c r="G173" s="56">
        <v>157</v>
      </c>
      <c r="H173" s="66" t="str">
        <f>VLOOKUP(I173,Codes!$A$1:$B$32,2,FALSE)</f>
        <v>DE</v>
      </c>
      <c r="I173" s="56" t="s">
        <v>3</v>
      </c>
      <c r="N173" s="70">
        <v>47.570706000000001</v>
      </c>
      <c r="O173" s="70">
        <v>7.8120250000000002</v>
      </c>
      <c r="P173" s="70">
        <v>47.570706000000001</v>
      </c>
      <c r="Q173" s="70">
        <v>7.8120250000000002</v>
      </c>
      <c r="R173" s="56">
        <v>4</v>
      </c>
      <c r="T173" s="71" t="s">
        <v>3483</v>
      </c>
      <c r="U173" s="56">
        <v>100</v>
      </c>
      <c r="AA173" s="56">
        <v>600</v>
      </c>
      <c r="AI173" s="70">
        <v>47.570706000000001</v>
      </c>
      <c r="AJ173" s="70">
        <v>7.8120250000000002</v>
      </c>
      <c r="AP173" s="71">
        <f>(9.4+6)/2</f>
        <v>7.7</v>
      </c>
      <c r="AR173" s="71">
        <v>1500</v>
      </c>
      <c r="AS173" s="71">
        <f t="shared" si="15"/>
        <v>0</v>
      </c>
      <c r="AV173" s="56" t="s">
        <v>3533</v>
      </c>
      <c r="AX173" s="56">
        <v>5400</v>
      </c>
      <c r="BC173" s="139" t="s">
        <v>3487</v>
      </c>
    </row>
    <row r="174" spans="1:56" x14ac:dyDescent="0.35">
      <c r="A174" s="56" t="s">
        <v>1739</v>
      </c>
      <c r="D174" s="56" t="s">
        <v>29</v>
      </c>
      <c r="G174" s="56">
        <v>158</v>
      </c>
      <c r="H174" s="66" t="str">
        <f>VLOOKUP(I174,Codes!$A$1:$B$32,2,FALSE)</f>
        <v>PT</v>
      </c>
      <c r="I174" s="56" t="s">
        <v>15</v>
      </c>
      <c r="J174" s="56" t="s">
        <v>2306</v>
      </c>
      <c r="L174" s="56" t="s">
        <v>3490</v>
      </c>
      <c r="M174" s="69" t="s">
        <v>2204</v>
      </c>
      <c r="N174" s="70">
        <v>41.071599999999997</v>
      </c>
      <c r="O174" s="70">
        <v>-8.4860000000000007</v>
      </c>
      <c r="P174" s="70">
        <v>41.071599999999997</v>
      </c>
      <c r="Q174" s="70">
        <v>-8.4860000000000007</v>
      </c>
      <c r="R174" s="56">
        <v>3</v>
      </c>
      <c r="T174" s="71" t="s">
        <v>2129</v>
      </c>
      <c r="U174" s="56">
        <v>117</v>
      </c>
      <c r="AA174" s="56">
        <v>360</v>
      </c>
      <c r="AE174" s="140">
        <v>1985</v>
      </c>
      <c r="AG174" s="56" t="s">
        <v>1739</v>
      </c>
      <c r="AH174" s="56">
        <v>2737</v>
      </c>
      <c r="AI174" s="70">
        <v>41.075274999999998</v>
      </c>
      <c r="AJ174" s="74">
        <v>-8.4723900000000008</v>
      </c>
      <c r="AK174" s="75">
        <v>22.5</v>
      </c>
      <c r="AP174" s="71">
        <f>(12.6+6.8)/2</f>
        <v>9.6999999999999993</v>
      </c>
      <c r="AR174" s="71">
        <f>450*R174</f>
        <v>1350</v>
      </c>
      <c r="AS174" s="71">
        <f t="shared" si="15"/>
        <v>4.6296296296296298</v>
      </c>
      <c r="AT174" s="71">
        <v>2</v>
      </c>
      <c r="AV174" s="56" t="s">
        <v>1743</v>
      </c>
      <c r="AX174" s="56">
        <v>26000</v>
      </c>
      <c r="AY174" s="56" t="s">
        <v>3488</v>
      </c>
      <c r="AZ174" s="56" t="s">
        <v>3491</v>
      </c>
      <c r="BC174" s="56" t="s">
        <v>3492</v>
      </c>
    </row>
    <row r="175" spans="1:56" x14ac:dyDescent="0.35">
      <c r="A175" s="369" t="s">
        <v>496</v>
      </c>
      <c r="B175" s="369"/>
      <c r="C175" s="370"/>
      <c r="D175" s="369" t="s">
        <v>29</v>
      </c>
      <c r="E175" s="369"/>
      <c r="F175" s="369"/>
      <c r="G175" s="56">
        <v>159</v>
      </c>
      <c r="H175" s="66" t="str">
        <f>VLOOKUP(I175,Codes!$A$1:$B$32,2,FALSE)</f>
        <v>IT</v>
      </c>
      <c r="I175" s="369" t="s">
        <v>9</v>
      </c>
      <c r="J175" s="369" t="s">
        <v>492</v>
      </c>
      <c r="K175" s="369"/>
      <c r="L175" s="369" t="s">
        <v>3493</v>
      </c>
      <c r="M175" s="371" t="s">
        <v>3494</v>
      </c>
      <c r="N175" s="372">
        <v>39.177849000000002</v>
      </c>
      <c r="O175" s="372">
        <v>16.782357000000001</v>
      </c>
      <c r="P175" s="372">
        <v>39.177849000000002</v>
      </c>
      <c r="Q175" s="372">
        <v>16.782357000000001</v>
      </c>
      <c r="R175" s="369">
        <v>3</v>
      </c>
      <c r="S175" s="369"/>
      <c r="T175" s="373" t="s">
        <v>44</v>
      </c>
      <c r="U175" s="369">
        <v>213.5</v>
      </c>
      <c r="V175" s="369"/>
      <c r="W175" s="369"/>
      <c r="X175" s="369"/>
      <c r="Y175" s="373"/>
      <c r="Z175" s="369"/>
      <c r="AA175" s="369"/>
      <c r="AB175" s="369"/>
      <c r="AC175" s="374"/>
      <c r="AD175" s="374"/>
      <c r="AE175" s="369">
        <v>1927</v>
      </c>
      <c r="AG175" s="56" t="s">
        <v>496</v>
      </c>
      <c r="AI175" s="70">
        <v>39.177849000000002</v>
      </c>
      <c r="AJ175" s="70">
        <v>16.782357000000001</v>
      </c>
      <c r="AP175" s="351"/>
    </row>
    <row r="176" spans="1:56" x14ac:dyDescent="0.35">
      <c r="A176" s="56" t="s">
        <v>3495</v>
      </c>
      <c r="D176" s="56" t="s">
        <v>29</v>
      </c>
      <c r="G176" s="56">
        <v>160</v>
      </c>
      <c r="H176" s="66" t="str">
        <f>VLOOKUP(I176,Codes!$A$1:$B$32,2,FALSE)</f>
        <v>IT</v>
      </c>
      <c r="I176" s="56" t="s">
        <v>9</v>
      </c>
      <c r="J176" s="56" t="s">
        <v>506</v>
      </c>
      <c r="M176" s="69" t="s">
        <v>2202</v>
      </c>
      <c r="N176" s="70">
        <v>46.063479000000001</v>
      </c>
      <c r="O176" s="70">
        <v>10.350269000000001</v>
      </c>
      <c r="P176" s="70">
        <v>46.063479000000001</v>
      </c>
      <c r="Q176" s="70">
        <v>10.350269000000001</v>
      </c>
      <c r="R176" s="56">
        <v>3</v>
      </c>
      <c r="U176" s="56">
        <v>72</v>
      </c>
      <c r="AE176" s="56">
        <v>1950</v>
      </c>
      <c r="AG176" s="56" t="s">
        <v>3727</v>
      </c>
      <c r="AI176" s="70">
        <v>46.063479000000001</v>
      </c>
      <c r="AJ176" s="70">
        <v>10.350269000000001</v>
      </c>
      <c r="AP176" s="56"/>
      <c r="AV176" s="56" t="s">
        <v>534</v>
      </c>
      <c r="AZ176" s="56" t="s">
        <v>3726</v>
      </c>
    </row>
    <row r="177" spans="1:57" x14ac:dyDescent="0.35">
      <c r="A177" s="56" t="s">
        <v>3496</v>
      </c>
      <c r="D177" s="56" t="s">
        <v>29</v>
      </c>
      <c r="E177" s="56" t="s">
        <v>3535</v>
      </c>
      <c r="G177" s="56">
        <v>161</v>
      </c>
      <c r="H177" s="66" t="str">
        <f>VLOOKUP(I177,Codes!$A$1:$B$32,2,FALSE)</f>
        <v>SE</v>
      </c>
      <c r="I177" s="56" t="s">
        <v>20</v>
      </c>
      <c r="J177" s="56" t="s">
        <v>2104</v>
      </c>
      <c r="L177" s="56" t="s">
        <v>3497</v>
      </c>
      <c r="N177" s="70">
        <v>64.444000000000003</v>
      </c>
      <c r="O177" s="70">
        <v>15.538</v>
      </c>
      <c r="P177" s="70">
        <v>64.444000000000003</v>
      </c>
      <c r="Q177" s="70">
        <v>15.538</v>
      </c>
      <c r="T177" s="71" t="s">
        <v>42</v>
      </c>
      <c r="U177" s="56">
        <v>130</v>
      </c>
      <c r="AA177" s="56">
        <v>428</v>
      </c>
      <c r="AI177" s="70">
        <v>64.444000000000003</v>
      </c>
      <c r="AJ177" s="70">
        <v>15.538</v>
      </c>
      <c r="AP177" s="375">
        <v>113</v>
      </c>
      <c r="BC177" s="56" t="s">
        <v>3498</v>
      </c>
    </row>
    <row r="178" spans="1:57" x14ac:dyDescent="0.35">
      <c r="A178" s="368" t="s">
        <v>945</v>
      </c>
      <c r="D178" s="56" t="s">
        <v>3579</v>
      </c>
      <c r="E178" s="56" t="s">
        <v>29</v>
      </c>
      <c r="G178" s="56">
        <v>162</v>
      </c>
      <c r="H178" s="66" t="str">
        <f>VLOOKUP(I178,Codes!$A$1:$B$32,2,FALSE)</f>
        <v>SE</v>
      </c>
      <c r="I178" s="56" t="s">
        <v>20</v>
      </c>
      <c r="J178" s="56" t="s">
        <v>2172</v>
      </c>
      <c r="M178" s="69" t="s">
        <v>3500</v>
      </c>
      <c r="N178" s="70">
        <v>60.563817999999998</v>
      </c>
      <c r="O178" s="70">
        <v>17.442136999999999</v>
      </c>
      <c r="P178" s="70">
        <v>60.555999999999997</v>
      </c>
      <c r="Q178" s="70">
        <v>17.393000000000001</v>
      </c>
      <c r="R178" s="56">
        <v>5</v>
      </c>
      <c r="T178" s="71" t="s">
        <v>42</v>
      </c>
      <c r="U178" s="56">
        <v>125</v>
      </c>
      <c r="AA178" s="56">
        <v>510</v>
      </c>
      <c r="AG178" s="56" t="s">
        <v>3501</v>
      </c>
      <c r="AI178" s="70">
        <v>60.556730000000002</v>
      </c>
      <c r="AJ178" s="74">
        <v>17.437663000000001</v>
      </c>
      <c r="AP178" s="71">
        <v>23</v>
      </c>
      <c r="AR178" s="71">
        <f>373*R178</f>
        <v>1865</v>
      </c>
      <c r="AS178" s="71">
        <f t="shared" si="15"/>
        <v>0</v>
      </c>
      <c r="BC178" s="56" t="s">
        <v>3499</v>
      </c>
    </row>
    <row r="179" spans="1:57" ht="14.5" x14ac:dyDescent="0.35">
      <c r="A179" s="56" t="s">
        <v>3502</v>
      </c>
      <c r="D179" s="56" t="s">
        <v>3579</v>
      </c>
      <c r="E179" s="56" t="s">
        <v>29</v>
      </c>
      <c r="G179" s="56">
        <v>163</v>
      </c>
      <c r="H179" s="66" t="str">
        <f>VLOOKUP(I179,Codes!$A$1:$B$32,2,FALSE)</f>
        <v>CH</v>
      </c>
      <c r="I179" s="56" t="s">
        <v>22</v>
      </c>
      <c r="J179" s="56" t="s">
        <v>3503</v>
      </c>
      <c r="L179" s="56" t="s">
        <v>3505</v>
      </c>
      <c r="M179" s="69" t="s">
        <v>3504</v>
      </c>
      <c r="N179" s="70">
        <v>46.364865999999999</v>
      </c>
      <c r="O179" s="70">
        <v>8.9289959999999997</v>
      </c>
      <c r="P179" s="70">
        <v>46.364865999999999</v>
      </c>
      <c r="Q179" s="70">
        <v>8.9289959999999997</v>
      </c>
      <c r="R179" s="56">
        <v>3</v>
      </c>
      <c r="T179" s="71" t="s">
        <v>42</v>
      </c>
      <c r="U179" s="56">
        <v>141</v>
      </c>
      <c r="AA179" s="56">
        <v>380</v>
      </c>
      <c r="AE179" s="56">
        <v>1967</v>
      </c>
      <c r="AG179" s="56" t="s">
        <v>3507</v>
      </c>
      <c r="AI179" s="70">
        <v>46.360968</v>
      </c>
      <c r="AJ179" s="74">
        <v>8.9240530000000007</v>
      </c>
      <c r="AK179" s="75">
        <f>400000/1000000</f>
        <v>0.4</v>
      </c>
      <c r="AP179" s="71">
        <v>304</v>
      </c>
      <c r="AR179" s="71">
        <f>3*18</f>
        <v>54</v>
      </c>
      <c r="AS179" s="71">
        <f t="shared" si="15"/>
        <v>2.0576131687242798</v>
      </c>
      <c r="AT179" s="71">
        <v>2</v>
      </c>
      <c r="AV179" s="56" t="s">
        <v>3506</v>
      </c>
      <c r="BC179" s="139" t="s">
        <v>3517</v>
      </c>
    </row>
    <row r="180" spans="1:57" ht="14.5" x14ac:dyDescent="0.35">
      <c r="A180" s="377" t="s">
        <v>3508</v>
      </c>
      <c r="B180" s="377"/>
      <c r="C180" s="378"/>
      <c r="D180" s="377"/>
      <c r="E180" s="377" t="s">
        <v>29</v>
      </c>
      <c r="F180" s="377"/>
      <c r="G180" s="377">
        <v>163</v>
      </c>
      <c r="H180" s="379" t="str">
        <f>VLOOKUP(I180,Codes!$A$1:$B$32,2,FALSE)</f>
        <v>CH</v>
      </c>
      <c r="I180" s="377" t="s">
        <v>22</v>
      </c>
      <c r="J180" s="377"/>
      <c r="K180" s="377"/>
      <c r="L180" s="377" t="s">
        <v>3511</v>
      </c>
      <c r="M180" s="380"/>
      <c r="N180" s="381"/>
      <c r="O180" s="381"/>
      <c r="P180" s="381"/>
      <c r="Q180" s="381"/>
      <c r="R180" s="377"/>
      <c r="S180" s="377"/>
      <c r="T180" s="375"/>
      <c r="U180" s="377"/>
      <c r="V180" s="377"/>
      <c r="W180" s="377"/>
      <c r="X180" s="377"/>
      <c r="Y180" s="375"/>
      <c r="Z180" s="377"/>
      <c r="AA180" s="377"/>
      <c r="AB180" s="377"/>
      <c r="AC180" s="382"/>
      <c r="AD180" s="382"/>
      <c r="AE180" s="377"/>
      <c r="AF180" s="377"/>
      <c r="AG180" s="377" t="s">
        <v>3509</v>
      </c>
      <c r="AH180" s="377"/>
      <c r="AI180" s="381">
        <v>46.437857000000001</v>
      </c>
      <c r="AJ180" s="383">
        <v>8.8422129999999992</v>
      </c>
      <c r="AK180" s="384">
        <f>60000/1000000</f>
        <v>0.06</v>
      </c>
      <c r="AL180" s="377"/>
      <c r="AM180" s="165"/>
      <c r="AN180" s="383"/>
      <c r="AO180" s="383"/>
      <c r="AP180" s="375"/>
      <c r="AQ180" s="385"/>
      <c r="AR180" s="375"/>
      <c r="AU180" s="377"/>
      <c r="AV180" s="377"/>
      <c r="AW180" s="377"/>
      <c r="AX180" s="377"/>
      <c r="AY180" s="377"/>
      <c r="AZ180" s="377"/>
      <c r="BA180" s="377"/>
      <c r="BB180" s="386"/>
      <c r="BC180" s="139" t="s">
        <v>3517</v>
      </c>
    </row>
    <row r="181" spans="1:57" ht="14.5" x14ac:dyDescent="0.35">
      <c r="A181" s="56" t="s">
        <v>3512</v>
      </c>
      <c r="D181" s="56" t="s">
        <v>3579</v>
      </c>
      <c r="E181" s="56" t="s">
        <v>29</v>
      </c>
      <c r="G181" s="56">
        <v>164</v>
      </c>
      <c r="H181" s="66" t="str">
        <f>VLOOKUP(I181,Codes!$A$1:$B$32,2,FALSE)</f>
        <v>CH</v>
      </c>
      <c r="I181" s="56" t="s">
        <v>22</v>
      </c>
      <c r="J181" s="56" t="s">
        <v>3503</v>
      </c>
      <c r="L181" s="56" t="s">
        <v>3511</v>
      </c>
      <c r="M181" s="69" t="s">
        <v>3504</v>
      </c>
      <c r="N181" s="70">
        <v>46.438796000000004</v>
      </c>
      <c r="O181" s="70">
        <v>8.8421009999999995</v>
      </c>
      <c r="P181" s="70">
        <v>46.438796000000004</v>
      </c>
      <c r="Q181" s="70">
        <v>8.8421009999999995</v>
      </c>
      <c r="R181" s="56">
        <v>3</v>
      </c>
      <c r="T181" s="71" t="s">
        <v>42</v>
      </c>
      <c r="U181" s="56">
        <v>72</v>
      </c>
      <c r="AA181" s="56">
        <v>300</v>
      </c>
      <c r="AE181" s="56">
        <v>1932</v>
      </c>
      <c r="AG181" s="56" t="s">
        <v>3513</v>
      </c>
      <c r="AI181" s="70">
        <v>46.492513000000002</v>
      </c>
      <c r="AJ181" s="74">
        <v>8.7373820000000002</v>
      </c>
      <c r="AK181" s="75">
        <f>130000/1000000</f>
        <v>0.13</v>
      </c>
      <c r="AP181" s="71">
        <v>341</v>
      </c>
      <c r="AR181" s="71">
        <f>3*8</f>
        <v>24</v>
      </c>
      <c r="AS181" s="71">
        <f t="shared" si="15"/>
        <v>1.5046296296296298</v>
      </c>
      <c r="AT181" s="71">
        <v>2</v>
      </c>
      <c r="AV181" s="56" t="s">
        <v>3514</v>
      </c>
      <c r="BC181" s="139" t="s">
        <v>3515</v>
      </c>
      <c r="BD181" s="139" t="s">
        <v>3516</v>
      </c>
    </row>
    <row r="182" spans="1:57" ht="14.5" x14ac:dyDescent="0.35">
      <c r="A182" s="56" t="s">
        <v>3514</v>
      </c>
      <c r="D182" s="56" t="s">
        <v>3579</v>
      </c>
      <c r="E182" s="56" t="s">
        <v>3520</v>
      </c>
      <c r="G182" s="56">
        <v>165</v>
      </c>
      <c r="H182" s="66" t="str">
        <f>VLOOKUP(I182,Codes!$A$1:$B$32,2,FALSE)</f>
        <v>CH</v>
      </c>
      <c r="I182" s="56" t="s">
        <v>22</v>
      </c>
      <c r="J182" s="56" t="s">
        <v>3503</v>
      </c>
      <c r="N182" s="70">
        <v>46.490349000000002</v>
      </c>
      <c r="O182" s="70">
        <v>8.7359919999999995</v>
      </c>
      <c r="P182" s="70">
        <v>46.49</v>
      </c>
      <c r="Q182" s="70">
        <v>8.7579999999999991</v>
      </c>
      <c r="R182" s="56">
        <v>1</v>
      </c>
      <c r="T182" s="71">
        <v>1</v>
      </c>
      <c r="U182" s="56">
        <v>10</v>
      </c>
      <c r="AA182" s="56">
        <v>7</v>
      </c>
      <c r="AG182" s="56" t="s">
        <v>3518</v>
      </c>
      <c r="AH182" s="165"/>
      <c r="AI182" s="70">
        <v>46.480013999999997</v>
      </c>
      <c r="AJ182" s="74">
        <v>8.7203440000000008</v>
      </c>
      <c r="AK182" s="75">
        <v>9</v>
      </c>
      <c r="AP182" s="71">
        <v>850</v>
      </c>
      <c r="AR182" s="71">
        <v>1.6</v>
      </c>
      <c r="AS182" s="71">
        <f t="shared" si="15"/>
        <v>1562.5</v>
      </c>
      <c r="AT182" s="71">
        <v>6</v>
      </c>
      <c r="AZ182" s="56" t="s">
        <v>3519</v>
      </c>
      <c r="BC182" s="139" t="s">
        <v>3528</v>
      </c>
    </row>
    <row r="183" spans="1:57" ht="14.5" x14ac:dyDescent="0.35">
      <c r="A183" s="56" t="s">
        <v>3521</v>
      </c>
      <c r="D183" s="56" t="s">
        <v>3579</v>
      </c>
      <c r="E183" s="56" t="s">
        <v>3529</v>
      </c>
      <c r="G183" s="56">
        <v>166</v>
      </c>
      <c r="H183" s="66" t="str">
        <f>VLOOKUP(I183,Codes!$A$1:$B$32,2,FALSE)</f>
        <v>CH</v>
      </c>
      <c r="I183" s="56" t="s">
        <v>22</v>
      </c>
      <c r="J183" s="56" t="s">
        <v>3523</v>
      </c>
      <c r="L183" s="56" t="s">
        <v>3522</v>
      </c>
      <c r="M183" s="69" t="s">
        <v>3524</v>
      </c>
      <c r="N183" s="70">
        <v>46.384869999999999</v>
      </c>
      <c r="O183" s="70">
        <v>7.7566110000000004</v>
      </c>
      <c r="P183" s="70">
        <v>46.302</v>
      </c>
      <c r="Q183" s="70">
        <v>7.7566110000000004</v>
      </c>
      <c r="R183" s="56">
        <v>2</v>
      </c>
      <c r="T183" s="71" t="s">
        <v>44</v>
      </c>
      <c r="U183" s="56">
        <v>122</v>
      </c>
      <c r="AA183" s="56">
        <v>330</v>
      </c>
      <c r="AE183" s="56">
        <v>1976</v>
      </c>
      <c r="AG183" s="56" t="s">
        <v>3525</v>
      </c>
      <c r="AH183" s="165"/>
      <c r="AI183" s="70">
        <v>46.387542000000003</v>
      </c>
      <c r="AJ183" s="74">
        <v>7.7564869999999999</v>
      </c>
      <c r="AK183" s="75">
        <v>1.89</v>
      </c>
      <c r="AP183" s="71">
        <v>67</v>
      </c>
      <c r="AR183" s="375">
        <v>21.5</v>
      </c>
      <c r="AS183" s="71">
        <f t="shared" si="15"/>
        <v>24.418604651162791</v>
      </c>
      <c r="AT183" s="71">
        <v>4</v>
      </c>
      <c r="BC183" s="139" t="s">
        <v>3526</v>
      </c>
      <c r="BD183" s="139" t="s">
        <v>3527</v>
      </c>
    </row>
    <row r="184" spans="1:57" ht="14.5" x14ac:dyDescent="0.35">
      <c r="A184" s="56" t="s">
        <v>3530</v>
      </c>
      <c r="D184" s="56" t="s">
        <v>3579</v>
      </c>
      <c r="E184" s="56" t="s">
        <v>29</v>
      </c>
      <c r="G184" s="56">
        <v>167</v>
      </c>
      <c r="H184" s="66" t="e">
        <f>VLOOKUP(I184,Codes!$A$1:$B$32,2,FALSE)</f>
        <v>#N/A</v>
      </c>
      <c r="I184" s="56" t="s">
        <v>3531</v>
      </c>
      <c r="J184" s="56" t="s">
        <v>3532</v>
      </c>
      <c r="L184" s="56" t="s">
        <v>317</v>
      </c>
      <c r="M184" s="69" t="s">
        <v>3470</v>
      </c>
      <c r="N184" s="70">
        <v>47.585875999999999</v>
      </c>
      <c r="O184" s="70">
        <v>7.8332730000000002</v>
      </c>
      <c r="P184" s="70">
        <v>47.570999999999998</v>
      </c>
      <c r="Q184" s="70">
        <v>7.8390000000000004</v>
      </c>
      <c r="R184" s="56">
        <v>4</v>
      </c>
      <c r="T184" s="71" t="s">
        <v>2129</v>
      </c>
      <c r="U184" s="56">
        <v>120</v>
      </c>
      <c r="AA184" s="56">
        <v>760</v>
      </c>
      <c r="AE184" s="56">
        <v>1931</v>
      </c>
      <c r="AI184" s="70">
        <v>47.582808</v>
      </c>
      <c r="AJ184" s="74">
        <v>7.845504</v>
      </c>
      <c r="AK184" s="352"/>
      <c r="AP184" s="71">
        <v>10</v>
      </c>
      <c r="AR184" s="71">
        <v>1450</v>
      </c>
      <c r="AS184" s="71">
        <f t="shared" si="15"/>
        <v>0</v>
      </c>
      <c r="BC184" s="139" t="s">
        <v>3471</v>
      </c>
      <c r="BD184" s="139" t="s">
        <v>3534</v>
      </c>
    </row>
    <row r="185" spans="1:57" ht="14.5" x14ac:dyDescent="0.35">
      <c r="A185" s="56" t="s">
        <v>305</v>
      </c>
      <c r="D185" s="56" t="s">
        <v>3579</v>
      </c>
      <c r="E185" s="56" t="s">
        <v>29</v>
      </c>
      <c r="G185" s="56">
        <v>168</v>
      </c>
      <c r="H185" s="66" t="e">
        <f>VLOOKUP(I185,Codes!$A$1:$B$32,2,FALSE)</f>
        <v>#N/A</v>
      </c>
      <c r="I185" s="56" t="s">
        <v>3531</v>
      </c>
      <c r="J185" s="56" t="s">
        <v>3536</v>
      </c>
      <c r="L185" s="56" t="s">
        <v>305</v>
      </c>
      <c r="M185" s="69" t="s">
        <v>3470</v>
      </c>
      <c r="N185" s="70">
        <v>47.556662000000003</v>
      </c>
      <c r="O185" s="70">
        <v>8.0477209999999992</v>
      </c>
      <c r="P185" s="70">
        <v>47.556662000000003</v>
      </c>
      <c r="Q185" s="70">
        <v>8.0477209999999992</v>
      </c>
      <c r="R185" s="56">
        <v>10</v>
      </c>
      <c r="T185" s="71" t="s">
        <v>3537</v>
      </c>
      <c r="U185" s="56">
        <v>110</v>
      </c>
      <c r="AA185" s="56">
        <v>7</v>
      </c>
      <c r="AG185" s="56" t="s">
        <v>305</v>
      </c>
      <c r="AI185" s="70">
        <v>47.556893000000002</v>
      </c>
      <c r="AJ185" s="74">
        <v>8.0496099999999995</v>
      </c>
      <c r="AK185" s="352"/>
      <c r="AP185" s="71">
        <v>10</v>
      </c>
      <c r="AR185" s="71">
        <v>1370</v>
      </c>
      <c r="AS185" s="71">
        <f t="shared" si="15"/>
        <v>0</v>
      </c>
      <c r="AV185" s="56" t="s">
        <v>3541</v>
      </c>
      <c r="BC185" s="139" t="s">
        <v>3540</v>
      </c>
    </row>
    <row r="186" spans="1:57" ht="14.5" x14ac:dyDescent="0.35">
      <c r="A186" s="56" t="s">
        <v>2783</v>
      </c>
      <c r="D186" s="56" t="s">
        <v>3579</v>
      </c>
      <c r="E186" s="56" t="s">
        <v>29</v>
      </c>
      <c r="G186" s="56">
        <v>169</v>
      </c>
      <c r="H186" s="66" t="str">
        <f>VLOOKUP(I186,Codes!$A$1:$B$32,2,FALSE)</f>
        <v>CH</v>
      </c>
      <c r="I186" s="56" t="s">
        <v>22</v>
      </c>
      <c r="J186" s="56" t="s">
        <v>3542</v>
      </c>
      <c r="L186" s="56" t="s">
        <v>3544</v>
      </c>
      <c r="M186" s="69" t="s">
        <v>3470</v>
      </c>
      <c r="N186" s="70">
        <v>47.557633000000003</v>
      </c>
      <c r="O186" s="70">
        <v>7.9568349999999999</v>
      </c>
      <c r="P186" s="70">
        <v>47.557633000000003</v>
      </c>
      <c r="Q186" s="70">
        <v>7.9568349999999999</v>
      </c>
      <c r="R186" s="56">
        <v>4</v>
      </c>
      <c r="T186" s="71" t="s">
        <v>2129</v>
      </c>
      <c r="U186" s="56">
        <v>73.599999999999994</v>
      </c>
      <c r="AA186" s="56">
        <v>485</v>
      </c>
      <c r="AG186" s="56" t="s">
        <v>2783</v>
      </c>
      <c r="AI186" s="70">
        <v>47.557633000000003</v>
      </c>
      <c r="AJ186" s="70">
        <v>7.9568349999999999</v>
      </c>
      <c r="AP186" s="71">
        <v>6.5</v>
      </c>
      <c r="AR186" s="71">
        <v>1450</v>
      </c>
      <c r="AS186" s="71">
        <f t="shared" si="15"/>
        <v>0</v>
      </c>
      <c r="AV186" s="56" t="s">
        <v>3538</v>
      </c>
      <c r="BC186" s="139" t="s">
        <v>3543</v>
      </c>
      <c r="BD186" s="56" t="s">
        <v>3471</v>
      </c>
    </row>
    <row r="187" spans="1:57" ht="14.5" x14ac:dyDescent="0.35">
      <c r="A187" s="387" t="s">
        <v>3539</v>
      </c>
      <c r="B187" s="140"/>
      <c r="C187" s="176"/>
      <c r="D187" s="407" t="s">
        <v>3579</v>
      </c>
      <c r="E187" s="407" t="s">
        <v>29</v>
      </c>
      <c r="G187" s="56">
        <v>170</v>
      </c>
      <c r="H187" s="66" t="e">
        <f>VLOOKUP(I187,Codes!$A$1:$B$32,2,FALSE)</f>
        <v>#N/A</v>
      </c>
      <c r="I187" s="56" t="s">
        <v>3545</v>
      </c>
      <c r="L187" s="56" t="s">
        <v>3577</v>
      </c>
      <c r="M187" s="69" t="s">
        <v>3470</v>
      </c>
      <c r="N187" s="70">
        <v>47.585842514913999</v>
      </c>
      <c r="O187" s="70">
        <v>8.1332363248657202</v>
      </c>
      <c r="P187" s="70">
        <v>47.585842514913999</v>
      </c>
      <c r="Q187" s="70">
        <v>8.1332363248657202</v>
      </c>
      <c r="R187" s="56">
        <v>3</v>
      </c>
      <c r="T187" s="71" t="s">
        <v>2129</v>
      </c>
      <c r="U187" s="56">
        <f>3*28</f>
        <v>84</v>
      </c>
      <c r="AA187" s="56">
        <v>580</v>
      </c>
      <c r="AI187" s="70">
        <v>47.586179442384299</v>
      </c>
      <c r="AJ187" s="74">
        <v>8.1333221554723405</v>
      </c>
      <c r="AK187" s="75">
        <v>1</v>
      </c>
      <c r="AP187" s="71">
        <v>9.14</v>
      </c>
      <c r="AR187" s="71">
        <v>1100</v>
      </c>
      <c r="AS187" s="71">
        <f t="shared" si="15"/>
        <v>0.25252525252525254</v>
      </c>
      <c r="AT187" s="71">
        <v>1</v>
      </c>
      <c r="BC187" s="139" t="s">
        <v>3622</v>
      </c>
      <c r="BD187" s="139" t="s">
        <v>3623</v>
      </c>
      <c r="BE187" s="139" t="s">
        <v>3624</v>
      </c>
    </row>
    <row r="188" spans="1:57" x14ac:dyDescent="0.35">
      <c r="A188" s="56" t="s">
        <v>3546</v>
      </c>
      <c r="D188" s="56" t="s">
        <v>3579</v>
      </c>
      <c r="E188" s="56" t="s">
        <v>29</v>
      </c>
      <c r="G188" s="56">
        <v>171</v>
      </c>
      <c r="H188" s="66" t="e">
        <f>VLOOKUP(I188,Codes!$A$1:$B$32,2,FALSE)</f>
        <v>#N/A</v>
      </c>
      <c r="I188" s="56" t="s">
        <v>3545</v>
      </c>
      <c r="J188" s="56" t="s">
        <v>3547</v>
      </c>
      <c r="L188" s="56" t="s">
        <v>3546</v>
      </c>
      <c r="M188" s="69" t="s">
        <v>3470</v>
      </c>
      <c r="N188" s="70">
        <v>47.570303867969102</v>
      </c>
      <c r="O188" s="70">
        <v>8.3381785512756306</v>
      </c>
      <c r="P188" s="70">
        <v>47.570303867969102</v>
      </c>
      <c r="Q188" s="70">
        <v>8.3381785512756306</v>
      </c>
      <c r="R188" s="56">
        <v>2</v>
      </c>
      <c r="T188" s="71" t="s">
        <v>2129</v>
      </c>
      <c r="U188" s="56">
        <v>38</v>
      </c>
      <c r="AA188" s="56">
        <f>250/1000000</f>
        <v>2.5000000000000001E-4</v>
      </c>
      <c r="AE188" s="56">
        <v>1942</v>
      </c>
      <c r="AG188" s="56" t="s">
        <v>3546</v>
      </c>
      <c r="AI188" s="70">
        <v>47.570303867969102</v>
      </c>
      <c r="AJ188" s="70">
        <v>8.3381785512756306</v>
      </c>
      <c r="AP188" s="71">
        <f>(9.6+6.4)/2</f>
        <v>8</v>
      </c>
      <c r="AR188" s="71">
        <v>560</v>
      </c>
      <c r="AS188" s="71">
        <f t="shared" si="15"/>
        <v>0</v>
      </c>
      <c r="BC188" s="56" t="s">
        <v>3471</v>
      </c>
      <c r="BD188" s="56" t="s">
        <v>3548</v>
      </c>
    </row>
    <row r="189" spans="1:57" ht="14.5" x14ac:dyDescent="0.35">
      <c r="A189" s="56" t="s">
        <v>2867</v>
      </c>
      <c r="D189" s="56" t="s">
        <v>3579</v>
      </c>
      <c r="E189" s="56" t="s">
        <v>29</v>
      </c>
      <c r="G189" s="56">
        <v>172</v>
      </c>
      <c r="H189" s="66" t="str">
        <f>VLOOKUP(I189,Codes!$A$1:$B$32,2,FALSE)</f>
        <v>CH</v>
      </c>
      <c r="I189" s="56" t="s">
        <v>22</v>
      </c>
      <c r="J189" s="56" t="s">
        <v>3552</v>
      </c>
      <c r="L189" s="56" t="s">
        <v>3551</v>
      </c>
      <c r="M189" s="69" t="s">
        <v>3470</v>
      </c>
      <c r="N189" s="70">
        <v>46.192995699999997</v>
      </c>
      <c r="O189" s="70">
        <v>6.0287940000000599</v>
      </c>
      <c r="P189" s="70">
        <v>46.192995699999997</v>
      </c>
      <c r="Q189" s="70">
        <v>6.0287940000000599</v>
      </c>
      <c r="R189" s="56">
        <v>4</v>
      </c>
      <c r="T189" s="71" t="s">
        <v>3355</v>
      </c>
      <c r="U189" s="56">
        <v>100</v>
      </c>
      <c r="AA189" s="56">
        <v>466</v>
      </c>
      <c r="AG189" s="56" t="s">
        <v>3550</v>
      </c>
      <c r="AI189" s="70">
        <v>46.195174746765097</v>
      </c>
      <c r="AJ189" s="74">
        <v>6.0287597896240097</v>
      </c>
      <c r="AK189" s="75">
        <v>13</v>
      </c>
      <c r="AP189" s="71">
        <v>20</v>
      </c>
      <c r="AR189" s="71">
        <f>127.5*R189</f>
        <v>510</v>
      </c>
      <c r="AS189" s="71">
        <f t="shared" si="15"/>
        <v>7.0806100217864927</v>
      </c>
      <c r="AT189" s="71">
        <v>3</v>
      </c>
      <c r="AV189" s="56" t="s">
        <v>3555</v>
      </c>
      <c r="AY189" s="56" t="s">
        <v>3488</v>
      </c>
      <c r="BC189" s="139" t="s">
        <v>3553</v>
      </c>
      <c r="BD189" s="354" t="s">
        <v>3554</v>
      </c>
    </row>
    <row r="190" spans="1:57" ht="14.5" x14ac:dyDescent="0.35">
      <c r="A190" s="56" t="s">
        <v>3558</v>
      </c>
      <c r="D190" s="56" t="s">
        <v>3579</v>
      </c>
      <c r="E190" s="56" t="s">
        <v>29</v>
      </c>
      <c r="G190" s="56">
        <v>173</v>
      </c>
      <c r="H190" s="66" t="e">
        <f>VLOOKUP(I190,Codes!$A$1:$B$32,2,FALSE)</f>
        <v>#N/A</v>
      </c>
      <c r="I190" s="56" t="s">
        <v>3531</v>
      </c>
      <c r="J190" s="56" t="s">
        <v>3557</v>
      </c>
      <c r="L190" s="56" t="s">
        <v>3558</v>
      </c>
      <c r="M190" s="69" t="s">
        <v>3470</v>
      </c>
      <c r="N190" s="70">
        <v>47.537440882946903</v>
      </c>
      <c r="O190" s="70">
        <v>7.7075436832092201</v>
      </c>
      <c r="P190" s="70">
        <v>47.537440882946903</v>
      </c>
      <c r="Q190" s="70">
        <v>7.7075436832092201</v>
      </c>
      <c r="R190" s="56">
        <v>9</v>
      </c>
      <c r="T190" s="71" t="s">
        <v>3559</v>
      </c>
      <c r="U190" s="56">
        <v>32</v>
      </c>
      <c r="AA190" s="56">
        <v>200</v>
      </c>
      <c r="AE190" s="56">
        <v>1983</v>
      </c>
      <c r="AG190" s="56" t="s">
        <v>3563</v>
      </c>
      <c r="AI190" s="70">
        <v>47.5393680261258</v>
      </c>
      <c r="AJ190" s="74">
        <v>7.7120544076751596</v>
      </c>
      <c r="AP190" s="71">
        <f>(6.7+4.5)/2</f>
        <v>5.6</v>
      </c>
      <c r="AR190" s="71">
        <v>750</v>
      </c>
      <c r="AS190" s="71">
        <f t="shared" si="15"/>
        <v>0</v>
      </c>
      <c r="AV190" s="56" t="s">
        <v>317</v>
      </c>
      <c r="AY190" s="56" t="s">
        <v>3488</v>
      </c>
      <c r="BC190" s="139" t="s">
        <v>3565</v>
      </c>
      <c r="BD190" s="354" t="s">
        <v>3566</v>
      </c>
    </row>
    <row r="191" spans="1:57" x14ac:dyDescent="0.2">
      <c r="A191" s="56" t="s">
        <v>3560</v>
      </c>
      <c r="D191" s="56" t="s">
        <v>3579</v>
      </c>
      <c r="E191" s="56" t="s">
        <v>29</v>
      </c>
      <c r="G191" s="56">
        <v>174</v>
      </c>
      <c r="H191" s="66" t="e">
        <f>VLOOKUP(I191,Codes!$A$1:$B$32,2,FALSE)</f>
        <v>#N/A</v>
      </c>
      <c r="I191" s="56" t="s">
        <v>3531</v>
      </c>
      <c r="J191" s="56" t="s">
        <v>3536</v>
      </c>
      <c r="L191" s="56" t="s">
        <v>3560</v>
      </c>
      <c r="M191" s="69" t="s">
        <v>3470</v>
      </c>
      <c r="N191" s="70">
        <v>47.536883666353802</v>
      </c>
      <c r="O191" s="70">
        <v>7.7098549962829503</v>
      </c>
      <c r="P191" s="70">
        <v>47.536883666353802</v>
      </c>
      <c r="Q191" s="70">
        <v>7.7098549962829503</v>
      </c>
      <c r="R191" s="56">
        <v>11</v>
      </c>
      <c r="T191" s="71" t="s">
        <v>3561</v>
      </c>
      <c r="U191" s="56">
        <v>38.5</v>
      </c>
      <c r="AA191" s="56">
        <v>255</v>
      </c>
      <c r="AE191" s="56">
        <v>1912</v>
      </c>
      <c r="AG191" s="56" t="s">
        <v>3562</v>
      </c>
      <c r="AI191" s="70">
        <v>47.5393680261258</v>
      </c>
      <c r="AJ191" s="74">
        <v>7.7120544076751596</v>
      </c>
      <c r="AP191" s="71">
        <f>(6.7+4.5)/2</f>
        <v>5.6</v>
      </c>
      <c r="AR191" s="71">
        <v>750</v>
      </c>
      <c r="AS191" s="71">
        <f t="shared" si="15"/>
        <v>0</v>
      </c>
      <c r="AV191" s="56" t="s">
        <v>317</v>
      </c>
      <c r="AY191" s="56" t="s">
        <v>3488</v>
      </c>
      <c r="BC191" s="354" t="s">
        <v>3564</v>
      </c>
      <c r="BD191" s="354" t="s">
        <v>3566</v>
      </c>
    </row>
    <row r="192" spans="1:57" ht="14.5" x14ac:dyDescent="0.35">
      <c r="A192" s="56" t="s">
        <v>3567</v>
      </c>
      <c r="D192" s="56" t="s">
        <v>3579</v>
      </c>
      <c r="E192" s="56" t="s">
        <v>29</v>
      </c>
      <c r="G192" s="56">
        <v>175</v>
      </c>
      <c r="H192" s="66" t="str">
        <f>VLOOKUP(I192,Codes!$A$1:$B$32,2,FALSE)</f>
        <v>CH</v>
      </c>
      <c r="I192" s="56" t="s">
        <v>22</v>
      </c>
      <c r="J192" s="56" t="s">
        <v>3569</v>
      </c>
      <c r="L192" s="56" t="s">
        <v>3568</v>
      </c>
      <c r="M192" s="69" t="s">
        <v>3470</v>
      </c>
      <c r="N192" s="70">
        <v>47.559925900000003</v>
      </c>
      <c r="O192" s="70">
        <v>7.6263016000000299</v>
      </c>
      <c r="P192" s="70">
        <v>47.559925900000003</v>
      </c>
      <c r="Q192" s="70">
        <v>7.6263016000000299</v>
      </c>
      <c r="R192" s="56">
        <v>4</v>
      </c>
      <c r="T192" s="71" t="s">
        <v>2129</v>
      </c>
      <c r="U192" s="56">
        <v>100</v>
      </c>
      <c r="AA192" s="56">
        <v>570</v>
      </c>
      <c r="AE192" s="56">
        <v>1954</v>
      </c>
      <c r="AG192" s="56" t="s">
        <v>3567</v>
      </c>
      <c r="AI192" s="70">
        <v>47.561322257549797</v>
      </c>
      <c r="AJ192" s="74">
        <v>7.6324755194946103</v>
      </c>
      <c r="AP192" s="71">
        <f>(8.96+4.68)/2</f>
        <v>6.82</v>
      </c>
      <c r="AR192" s="71">
        <f>400*R192</f>
        <v>1600</v>
      </c>
      <c r="AS192" s="71">
        <f t="shared" si="15"/>
        <v>0</v>
      </c>
      <c r="AV192" s="56" t="s">
        <v>3556</v>
      </c>
      <c r="AY192" s="56" t="s">
        <v>3488</v>
      </c>
      <c r="BC192" s="139" t="s">
        <v>3570</v>
      </c>
      <c r="BD192" s="139" t="s">
        <v>3571</v>
      </c>
    </row>
    <row r="193" spans="1:57" ht="14.5" x14ac:dyDescent="0.35">
      <c r="A193" s="56" t="s">
        <v>3572</v>
      </c>
      <c r="D193" s="56" t="s">
        <v>3579</v>
      </c>
      <c r="E193" s="56" t="s">
        <v>29</v>
      </c>
      <c r="G193" s="56">
        <v>176</v>
      </c>
      <c r="H193" s="66" t="str">
        <f>VLOOKUP(I193,Codes!$A$1:$B$32,2,FALSE)</f>
        <v>CH</v>
      </c>
      <c r="I193" s="56" t="s">
        <v>22</v>
      </c>
      <c r="L193" s="56" t="s">
        <v>3572</v>
      </c>
      <c r="M193" s="69" t="s">
        <v>3470</v>
      </c>
      <c r="N193" s="388">
        <v>46.1846611</v>
      </c>
      <c r="O193" s="388">
        <v>7.0340763000000299</v>
      </c>
      <c r="P193" s="388">
        <v>46.1846611</v>
      </c>
      <c r="Q193" s="388">
        <v>7.0340763000000299</v>
      </c>
      <c r="R193" s="56">
        <v>3</v>
      </c>
      <c r="T193" s="71" t="s">
        <v>2129</v>
      </c>
      <c r="U193" s="56">
        <f>3*31</f>
        <v>93</v>
      </c>
      <c r="AA193" s="56">
        <v>402</v>
      </c>
      <c r="AE193" s="56">
        <v>1957</v>
      </c>
      <c r="AG193" s="56" t="s">
        <v>3572</v>
      </c>
      <c r="AI193" s="70">
        <v>46.183722344701103</v>
      </c>
      <c r="AJ193" s="74">
        <v>7.0346571565460101</v>
      </c>
      <c r="AP193" s="71">
        <f>(34+42)/2</f>
        <v>38</v>
      </c>
      <c r="AR193" s="71">
        <v>220</v>
      </c>
      <c r="AS193" s="71">
        <f t="shared" si="15"/>
        <v>0</v>
      </c>
      <c r="AY193" s="56" t="s">
        <v>3573</v>
      </c>
      <c r="BC193" s="139" t="s">
        <v>3574</v>
      </c>
      <c r="BD193" s="139" t="s">
        <v>3575</v>
      </c>
      <c r="BE193" s="139" t="s">
        <v>3576</v>
      </c>
    </row>
    <row r="194" spans="1:57" ht="14.5" x14ac:dyDescent="0.35">
      <c r="A194" s="56" t="s">
        <v>3580</v>
      </c>
      <c r="D194" s="56" t="s">
        <v>3579</v>
      </c>
      <c r="E194" s="56" t="s">
        <v>29</v>
      </c>
      <c r="G194" s="56">
        <v>177</v>
      </c>
      <c r="H194" s="66" t="str">
        <f>VLOOKUP(I194,Codes!$A$1:$B$32,2,FALSE)</f>
        <v>AT</v>
      </c>
      <c r="I194" s="56" t="s">
        <v>13</v>
      </c>
      <c r="J194" s="56" t="s">
        <v>2180</v>
      </c>
      <c r="L194" s="56" t="s">
        <v>3581</v>
      </c>
      <c r="M194" s="69" t="s">
        <v>2205</v>
      </c>
      <c r="N194" s="70">
        <v>48.249094199999902</v>
      </c>
      <c r="O194" s="70">
        <v>14.4314005999999</v>
      </c>
      <c r="P194" s="70">
        <v>48.234999999999999</v>
      </c>
      <c r="Q194" s="70">
        <v>14.4314005999999</v>
      </c>
      <c r="R194" s="56">
        <v>9</v>
      </c>
      <c r="T194" s="71" t="s">
        <v>2129</v>
      </c>
      <c r="U194" s="56">
        <v>168</v>
      </c>
      <c r="AA194" s="56">
        <v>1039</v>
      </c>
      <c r="AE194" s="56">
        <v>1980</v>
      </c>
      <c r="AI194" s="70">
        <v>48.251708296653597</v>
      </c>
      <c r="AJ194" s="74">
        <v>14.424067783984301</v>
      </c>
      <c r="AK194" s="384">
        <v>48</v>
      </c>
      <c r="AP194" s="71">
        <v>9.3000000000000007</v>
      </c>
      <c r="AR194" s="71">
        <v>2475</v>
      </c>
      <c r="AS194" s="71">
        <f t="shared" si="15"/>
        <v>5.3872053872053867</v>
      </c>
      <c r="AT194" s="71">
        <v>3</v>
      </c>
      <c r="AV194" s="56" t="s">
        <v>3582</v>
      </c>
      <c r="AY194" s="56" t="s">
        <v>3488</v>
      </c>
      <c r="BC194" s="139" t="s">
        <v>3583</v>
      </c>
      <c r="BD194" s="139" t="s">
        <v>3584</v>
      </c>
      <c r="BE194" s="139"/>
    </row>
    <row r="195" spans="1:57" ht="14.5" x14ac:dyDescent="0.35">
      <c r="A195" s="56" t="s">
        <v>3585</v>
      </c>
      <c r="D195" s="56" t="s">
        <v>3579</v>
      </c>
      <c r="E195" s="56" t="s">
        <v>29</v>
      </c>
      <c r="G195" s="56">
        <v>178</v>
      </c>
      <c r="H195" s="66" t="e">
        <f>VLOOKUP(I195,Codes!$A$1:$B$32,2,FALSE)</f>
        <v>#N/A</v>
      </c>
      <c r="I195" s="56" t="s">
        <v>3587</v>
      </c>
      <c r="J195" s="56" t="s">
        <v>2180</v>
      </c>
      <c r="L195" s="56" t="s">
        <v>3588</v>
      </c>
      <c r="M195" s="69" t="s">
        <v>2205</v>
      </c>
      <c r="N195" s="70">
        <v>48.517058187802199</v>
      </c>
      <c r="O195" s="70">
        <v>13.706529450573701</v>
      </c>
      <c r="P195" s="70">
        <v>48.517058187802199</v>
      </c>
      <c r="Q195" s="70">
        <v>13.706529450573701</v>
      </c>
      <c r="R195" s="56">
        <v>5</v>
      </c>
      <c r="T195" s="71" t="s">
        <v>2129</v>
      </c>
      <c r="U195" s="56">
        <v>132</v>
      </c>
      <c r="AA195" s="56">
        <v>850</v>
      </c>
      <c r="AE195" s="56">
        <v>1956</v>
      </c>
      <c r="AI195" s="70">
        <v>48.518874497898302</v>
      </c>
      <c r="AJ195" s="74">
        <v>13.702832508715799</v>
      </c>
      <c r="AP195" s="71">
        <v>9.7799999999999994</v>
      </c>
      <c r="AR195" s="71">
        <f>5*350</f>
        <v>1750</v>
      </c>
      <c r="AS195" s="71">
        <f t="shared" si="15"/>
        <v>0</v>
      </c>
      <c r="AY195" s="56" t="s">
        <v>3488</v>
      </c>
      <c r="BC195" s="139" t="s">
        <v>3589</v>
      </c>
      <c r="BD195" s="139" t="s">
        <v>3590</v>
      </c>
      <c r="BE195" s="139"/>
    </row>
    <row r="196" spans="1:57" ht="14.5" x14ac:dyDescent="0.35">
      <c r="A196" s="56" t="s">
        <v>3591</v>
      </c>
      <c r="D196" s="56" t="s">
        <v>3579</v>
      </c>
      <c r="E196" s="56" t="s">
        <v>29</v>
      </c>
      <c r="G196" s="56">
        <v>179</v>
      </c>
      <c r="H196" s="66" t="str">
        <f>VLOOKUP(I196,Codes!$A$1:$B$32,2,FALSE)</f>
        <v>SE</v>
      </c>
      <c r="I196" s="56" t="s">
        <v>20</v>
      </c>
      <c r="J196" s="56" t="s">
        <v>2172</v>
      </c>
      <c r="L196" s="56" t="s">
        <v>3593</v>
      </c>
      <c r="M196" s="69" t="s">
        <v>3592</v>
      </c>
      <c r="N196" s="70">
        <v>58.275062783053002</v>
      </c>
      <c r="O196" s="70">
        <v>12.2721959710906</v>
      </c>
      <c r="P196" s="70">
        <v>58.275062783053002</v>
      </c>
      <c r="Q196" s="70">
        <v>12.2721959710906</v>
      </c>
      <c r="R196" s="56">
        <v>10</v>
      </c>
      <c r="T196" s="71" t="s">
        <v>42</v>
      </c>
      <c r="U196" s="56">
        <v>104</v>
      </c>
      <c r="AA196" s="56">
        <v>1260</v>
      </c>
      <c r="AE196" s="56">
        <v>1921</v>
      </c>
      <c r="AI196" s="70">
        <v>58.304341950196601</v>
      </c>
      <c r="AJ196" s="70">
        <v>12.2974039090331</v>
      </c>
      <c r="AP196" s="71">
        <v>32</v>
      </c>
      <c r="AR196" s="71">
        <v>280</v>
      </c>
      <c r="AS196" s="71">
        <f t="shared" si="15"/>
        <v>0</v>
      </c>
      <c r="AV196" s="56" t="s">
        <v>3595</v>
      </c>
      <c r="AY196" s="56" t="s">
        <v>3607</v>
      </c>
      <c r="BC196" s="139" t="s">
        <v>3605</v>
      </c>
      <c r="BD196" s="139" t="s">
        <v>3606</v>
      </c>
      <c r="BE196" s="139"/>
    </row>
    <row r="197" spans="1:57" ht="14.5" x14ac:dyDescent="0.35">
      <c r="A197" s="56" t="s">
        <v>3594</v>
      </c>
      <c r="D197" s="56" t="s">
        <v>3579</v>
      </c>
      <c r="E197" s="56" t="s">
        <v>29</v>
      </c>
      <c r="G197" s="56">
        <v>180</v>
      </c>
      <c r="H197" s="66" t="str">
        <f>VLOOKUP(I197,Codes!$A$1:$B$32,2,FALSE)</f>
        <v>SE</v>
      </c>
      <c r="I197" s="56" t="s">
        <v>20</v>
      </c>
      <c r="J197" s="56" t="s">
        <v>2172</v>
      </c>
      <c r="L197" s="56" t="s">
        <v>3593</v>
      </c>
      <c r="M197" s="69" t="s">
        <v>3592</v>
      </c>
      <c r="N197" s="70">
        <v>58.280358300000003</v>
      </c>
      <c r="O197" s="70">
        <v>12.2786677</v>
      </c>
      <c r="P197" s="70">
        <v>58.280358300000003</v>
      </c>
      <c r="Q197" s="70">
        <v>12.2786677</v>
      </c>
      <c r="R197" s="56">
        <v>3</v>
      </c>
      <c r="T197" s="71" t="s">
        <v>2129</v>
      </c>
      <c r="U197" s="56">
        <v>184</v>
      </c>
      <c r="AA197" s="56">
        <v>1000</v>
      </c>
      <c r="AE197" s="56">
        <v>1943</v>
      </c>
      <c r="AI197" s="70">
        <v>58.304341950196601</v>
      </c>
      <c r="AJ197" s="70">
        <v>12.2974039090331</v>
      </c>
      <c r="AP197" s="71">
        <v>32</v>
      </c>
      <c r="AR197" s="71">
        <v>640</v>
      </c>
      <c r="AS197" s="71">
        <f t="shared" si="15"/>
        <v>0</v>
      </c>
      <c r="AV197" s="56" t="s">
        <v>3595</v>
      </c>
      <c r="AY197" s="56" t="s">
        <v>3607</v>
      </c>
      <c r="BC197" s="139" t="s">
        <v>3603</v>
      </c>
      <c r="BD197" s="139" t="s">
        <v>3604</v>
      </c>
      <c r="BE197" s="139"/>
    </row>
    <row r="198" spans="1:57" ht="14.5" x14ac:dyDescent="0.35">
      <c r="A198" s="56" t="s">
        <v>3596</v>
      </c>
      <c r="D198" s="56" t="s">
        <v>3579</v>
      </c>
      <c r="E198" s="56" t="s">
        <v>3598</v>
      </c>
      <c r="G198" s="56">
        <v>181</v>
      </c>
      <c r="H198" s="66" t="str">
        <f>VLOOKUP(I198,Codes!$A$1:$B$32,2,FALSE)</f>
        <v>SE</v>
      </c>
      <c r="I198" s="56" t="s">
        <v>20</v>
      </c>
      <c r="J198" s="56" t="s">
        <v>2172</v>
      </c>
      <c r="L198" s="56" t="s">
        <v>3596</v>
      </c>
      <c r="M198" s="69" t="s">
        <v>3592</v>
      </c>
      <c r="N198" s="70">
        <v>58.355627400000003</v>
      </c>
      <c r="O198" s="70">
        <v>12.373014799999901</v>
      </c>
      <c r="P198" s="70">
        <v>58.355627400000003</v>
      </c>
      <c r="Q198" s="70">
        <v>12.373014799999901</v>
      </c>
      <c r="R198" s="56">
        <v>3</v>
      </c>
      <c r="T198" s="71" t="s">
        <v>2129</v>
      </c>
      <c r="U198" s="56">
        <v>35</v>
      </c>
      <c r="AA198" s="56">
        <v>165</v>
      </c>
      <c r="AE198" s="56">
        <v>1930</v>
      </c>
      <c r="AF198" s="56">
        <v>1989</v>
      </c>
      <c r="AG198" s="56" t="s">
        <v>3597</v>
      </c>
      <c r="AI198" s="70">
        <v>58.454867832858</v>
      </c>
      <c r="AJ198" s="74">
        <v>12.4949844251386</v>
      </c>
      <c r="AK198" s="75">
        <f>9400000000/1000000</f>
        <v>9400</v>
      </c>
      <c r="AP198" s="71">
        <f>(4+5.2)/2</f>
        <v>4.5999999999999996</v>
      </c>
      <c r="AR198" s="71">
        <v>700</v>
      </c>
      <c r="AS198" s="71">
        <f t="shared" si="15"/>
        <v>3730.1587301587301</v>
      </c>
      <c r="AT198" s="71">
        <v>6</v>
      </c>
      <c r="AY198" s="56" t="s">
        <v>3599</v>
      </c>
      <c r="BC198" s="139" t="s">
        <v>3600</v>
      </c>
      <c r="BD198" s="139" t="s">
        <v>3601</v>
      </c>
      <c r="BE198" s="139" t="s">
        <v>3602</v>
      </c>
    </row>
    <row r="199" spans="1:57" ht="14.5" x14ac:dyDescent="0.35">
      <c r="A199" s="56" t="s">
        <v>3608</v>
      </c>
      <c r="D199" s="56" t="s">
        <v>3579</v>
      </c>
      <c r="E199" s="56" t="s">
        <v>29</v>
      </c>
      <c r="G199" s="56">
        <v>182</v>
      </c>
      <c r="H199" s="66" t="str">
        <f>VLOOKUP(I199,Codes!$A$1:$B$32,2,FALSE)</f>
        <v>SE</v>
      </c>
      <c r="I199" s="56" t="s">
        <v>20</v>
      </c>
      <c r="J199" s="56" t="s">
        <v>2172</v>
      </c>
      <c r="L199" s="56" t="s">
        <v>3608</v>
      </c>
      <c r="M199" s="69" t="s">
        <v>3592</v>
      </c>
      <c r="N199" s="70">
        <v>58.135942060608102</v>
      </c>
      <c r="O199" s="70">
        <v>12.1200901511474</v>
      </c>
      <c r="P199" s="70">
        <v>58.135942060608102</v>
      </c>
      <c r="Q199" s="70">
        <v>12.1200901511474</v>
      </c>
      <c r="R199" s="56">
        <v>4</v>
      </c>
      <c r="T199" s="71" t="s">
        <v>3610</v>
      </c>
      <c r="U199" s="56">
        <v>46</v>
      </c>
      <c r="AA199" s="56">
        <v>210</v>
      </c>
      <c r="AE199" s="56">
        <v>1926</v>
      </c>
      <c r="AG199" s="56" t="s">
        <v>3608</v>
      </c>
      <c r="AI199" s="70">
        <v>58.1381168985179</v>
      </c>
      <c r="AJ199" s="74">
        <v>12.121849680261199</v>
      </c>
      <c r="AK199" s="75">
        <v>3.4</v>
      </c>
      <c r="AP199" s="71">
        <v>6.5</v>
      </c>
      <c r="AR199" s="71">
        <v>747</v>
      </c>
      <c r="AS199" s="71">
        <f t="shared" si="15"/>
        <v>1.264316525360702</v>
      </c>
      <c r="AT199" s="71">
        <v>2</v>
      </c>
      <c r="AV199" s="56" t="s">
        <v>3609</v>
      </c>
      <c r="AY199" s="56" t="s">
        <v>3488</v>
      </c>
      <c r="BC199" s="139" t="s">
        <v>3611</v>
      </c>
      <c r="BD199" s="139" t="s">
        <v>3612</v>
      </c>
      <c r="BE199" s="139"/>
    </row>
    <row r="200" spans="1:57" ht="14.5" x14ac:dyDescent="0.35">
      <c r="A200" s="56" t="s">
        <v>3616</v>
      </c>
      <c r="D200" s="56" t="s">
        <v>3579</v>
      </c>
      <c r="E200" s="56" t="s">
        <v>29</v>
      </c>
      <c r="G200" s="56">
        <v>183</v>
      </c>
      <c r="H200" s="66" t="e">
        <f>VLOOKUP(I200,Codes!$A$1:$B$32,2,FALSE)</f>
        <v>#N/A</v>
      </c>
      <c r="I200" s="56" t="s">
        <v>3617</v>
      </c>
      <c r="J200" s="56" t="s">
        <v>2104</v>
      </c>
      <c r="L200" s="56" t="s">
        <v>3618</v>
      </c>
      <c r="N200" s="70">
        <v>37.236666999999997</v>
      </c>
      <c r="O200" s="70">
        <v>35.019444</v>
      </c>
      <c r="P200" s="396"/>
      <c r="Q200" s="396"/>
      <c r="R200" s="56">
        <v>2</v>
      </c>
      <c r="T200" s="71" t="s">
        <v>42</v>
      </c>
      <c r="U200" s="56">
        <v>20</v>
      </c>
      <c r="AA200" s="56">
        <v>80</v>
      </c>
      <c r="AE200" s="56">
        <v>2010</v>
      </c>
      <c r="AI200" s="70">
        <v>37.275556000000002</v>
      </c>
      <c r="AJ200" s="74">
        <v>34.999443999999997</v>
      </c>
      <c r="AP200" s="71">
        <v>144</v>
      </c>
      <c r="AR200" s="71">
        <v>16.5</v>
      </c>
      <c r="AS200" s="71">
        <f t="shared" si="15"/>
        <v>0</v>
      </c>
      <c r="AY200" s="56" t="s">
        <v>3619</v>
      </c>
      <c r="BC200" s="139" t="s">
        <v>3620</v>
      </c>
      <c r="BD200" s="139" t="s">
        <v>3621</v>
      </c>
      <c r="BE200" s="139"/>
    </row>
    <row r="201" spans="1:57" ht="14.5" x14ac:dyDescent="0.35">
      <c r="A201" s="56" t="s">
        <v>3625</v>
      </c>
      <c r="D201" s="56" t="s">
        <v>29</v>
      </c>
      <c r="E201" s="368"/>
      <c r="G201" s="56">
        <v>184</v>
      </c>
      <c r="H201" s="66" t="str">
        <f>VLOOKUP(I201,Codes!$A$1:$B$32,2,FALSE)</f>
        <v>NO</v>
      </c>
      <c r="I201" s="56" t="s">
        <v>21</v>
      </c>
      <c r="J201" s="56" t="s">
        <v>3626</v>
      </c>
      <c r="L201" s="56" t="s">
        <v>3625</v>
      </c>
      <c r="M201" s="69" t="s">
        <v>3627</v>
      </c>
      <c r="N201" s="70">
        <v>58.596327512817197</v>
      </c>
      <c r="O201" s="70">
        <v>8.7164068222045898</v>
      </c>
      <c r="P201" s="70">
        <v>58.597000000000001</v>
      </c>
      <c r="Q201" s="70">
        <v>8.6340000000000003</v>
      </c>
      <c r="R201" s="56">
        <v>8</v>
      </c>
      <c r="T201" s="71" t="s">
        <v>42</v>
      </c>
      <c r="U201" s="56">
        <v>65</v>
      </c>
      <c r="AA201" s="56">
        <v>400</v>
      </c>
      <c r="AE201" s="56">
        <v>1913</v>
      </c>
      <c r="AG201" s="56" t="s">
        <v>3628</v>
      </c>
      <c r="AI201" s="70">
        <v>58.6116179765569</v>
      </c>
      <c r="AJ201" s="74">
        <v>8.7048012259765493</v>
      </c>
      <c r="AK201" s="352"/>
      <c r="AP201" s="71">
        <v>62</v>
      </c>
      <c r="AR201" s="71">
        <v>125</v>
      </c>
      <c r="AS201" s="71">
        <f t="shared" si="15"/>
        <v>0</v>
      </c>
      <c r="AY201" s="56" t="s">
        <v>3643</v>
      </c>
      <c r="BC201" s="139" t="s">
        <v>3636</v>
      </c>
      <c r="BD201" s="139" t="s">
        <v>3637</v>
      </c>
      <c r="BE201" s="139"/>
    </row>
    <row r="202" spans="1:57" ht="14.5" x14ac:dyDescent="0.35">
      <c r="A202" s="56" t="s">
        <v>3629</v>
      </c>
      <c r="D202" s="56" t="s">
        <v>29</v>
      </c>
      <c r="G202" s="56">
        <v>185</v>
      </c>
      <c r="H202" s="66" t="str">
        <f>VLOOKUP(I202,Codes!$A$1:$B$32,2,FALSE)</f>
        <v>NO</v>
      </c>
      <c r="I202" s="56" t="s">
        <v>21</v>
      </c>
      <c r="J202" s="56" t="s">
        <v>3632</v>
      </c>
      <c r="L202" s="56" t="s">
        <v>3629</v>
      </c>
      <c r="M202" s="69" t="s">
        <v>3635</v>
      </c>
      <c r="N202" s="388">
        <v>59.582120533536397</v>
      </c>
      <c r="O202" s="388">
        <v>9.2575386287353396</v>
      </c>
      <c r="P202" s="388">
        <v>59.539000000000001</v>
      </c>
      <c r="Q202" s="388">
        <v>9.2189999999999994</v>
      </c>
      <c r="R202" s="56">
        <v>2</v>
      </c>
      <c r="T202" s="71" t="s">
        <v>42</v>
      </c>
      <c r="U202" s="56">
        <v>96</v>
      </c>
      <c r="AA202" s="56">
        <v>541</v>
      </c>
      <c r="AE202" s="56">
        <v>1915</v>
      </c>
      <c r="AG202" s="56" t="s">
        <v>3629</v>
      </c>
      <c r="AI202" s="70">
        <v>59.606500795848802</v>
      </c>
      <c r="AJ202" s="74">
        <v>9.2733007911010592</v>
      </c>
      <c r="AK202" s="352"/>
      <c r="AP202" s="71">
        <v>70</v>
      </c>
      <c r="AY202" s="56" t="s">
        <v>3643</v>
      </c>
      <c r="BC202" s="139" t="s">
        <v>3633</v>
      </c>
      <c r="BD202" s="139" t="s">
        <v>3634</v>
      </c>
    </row>
    <row r="203" spans="1:57" ht="14.5" x14ac:dyDescent="0.35">
      <c r="A203" s="56" t="s">
        <v>3638</v>
      </c>
      <c r="D203" s="56" t="s">
        <v>29</v>
      </c>
      <c r="G203" s="56">
        <v>186</v>
      </c>
      <c r="H203" s="66" t="str">
        <f>VLOOKUP(I203,Codes!$A$1:$B$32,2,FALSE)</f>
        <v>NO</v>
      </c>
      <c r="I203" s="56" t="s">
        <v>21</v>
      </c>
      <c r="J203" s="56" t="s">
        <v>3639</v>
      </c>
      <c r="M203" s="69" t="s">
        <v>3640</v>
      </c>
      <c r="N203" s="70">
        <v>59.9703533143689</v>
      </c>
      <c r="O203" s="70">
        <v>9.9300588734331505</v>
      </c>
      <c r="P203" s="70">
        <v>59.9703533143689</v>
      </c>
      <c r="Q203" s="70">
        <v>9.9300588734331505</v>
      </c>
      <c r="R203" s="56">
        <v>4</v>
      </c>
      <c r="T203" s="71" t="s">
        <v>42</v>
      </c>
      <c r="U203" s="56">
        <v>88</v>
      </c>
      <c r="AA203" s="56">
        <v>590</v>
      </c>
      <c r="AE203" s="56">
        <v>1951</v>
      </c>
      <c r="AG203" s="56" t="s">
        <v>3638</v>
      </c>
      <c r="AI203" s="70">
        <v>59.9703533143689</v>
      </c>
      <c r="AJ203" s="70">
        <v>9.9300588734331505</v>
      </c>
      <c r="AK203" s="352"/>
      <c r="AP203" s="71">
        <v>73.5</v>
      </c>
      <c r="AR203" s="71">
        <v>150</v>
      </c>
      <c r="AS203" s="71">
        <f t="shared" si="15"/>
        <v>0</v>
      </c>
      <c r="AY203" s="56" t="s">
        <v>3643</v>
      </c>
      <c r="BC203" s="139" t="s">
        <v>3641</v>
      </c>
      <c r="BD203" s="139" t="s">
        <v>3642</v>
      </c>
    </row>
    <row r="204" spans="1:57" ht="14.5" x14ac:dyDescent="0.35">
      <c r="A204" s="56" t="s">
        <v>3652</v>
      </c>
      <c r="D204" s="56" t="s">
        <v>29</v>
      </c>
      <c r="G204" s="56">
        <v>187</v>
      </c>
      <c r="H204" s="66" t="str">
        <f>VLOOKUP(I204,Codes!$A$1:$B$32,2,FALSE)</f>
        <v>NO</v>
      </c>
      <c r="I204" s="56" t="s">
        <v>21</v>
      </c>
      <c r="J204" s="56" t="s">
        <v>3332</v>
      </c>
      <c r="L204" s="56" t="s">
        <v>3653</v>
      </c>
      <c r="M204" s="69" t="s">
        <v>3333</v>
      </c>
      <c r="N204" s="70">
        <v>59.276603351154101</v>
      </c>
      <c r="O204" s="70">
        <v>11.1339308381866</v>
      </c>
      <c r="P204" s="70">
        <v>59.293999999999997</v>
      </c>
      <c r="Q204" s="70">
        <v>11.038</v>
      </c>
      <c r="R204" s="56">
        <v>1</v>
      </c>
      <c r="T204" s="71" t="s">
        <v>2129</v>
      </c>
      <c r="U204" s="56">
        <v>80</v>
      </c>
      <c r="AA204" s="56">
        <v>317</v>
      </c>
      <c r="AE204" s="56">
        <v>1978</v>
      </c>
      <c r="AI204" s="70">
        <v>59.277820177506896</v>
      </c>
      <c r="AJ204" s="74">
        <v>11.1341990590881</v>
      </c>
      <c r="AK204" s="352"/>
      <c r="AP204" s="71">
        <v>20.5</v>
      </c>
      <c r="AR204" s="71">
        <v>425</v>
      </c>
      <c r="AS204" s="71">
        <f t="shared" si="15"/>
        <v>0</v>
      </c>
      <c r="AY204" s="56" t="s">
        <v>3607</v>
      </c>
      <c r="BC204" s="139" t="s">
        <v>3654</v>
      </c>
      <c r="BD204" s="139"/>
    </row>
    <row r="205" spans="1:57" ht="14.5" x14ac:dyDescent="0.35">
      <c r="A205" s="56" t="s">
        <v>3656</v>
      </c>
      <c r="D205" s="56" t="s">
        <v>3579</v>
      </c>
      <c r="E205" s="56" t="s">
        <v>29</v>
      </c>
      <c r="G205" s="56">
        <v>188</v>
      </c>
      <c r="H205" s="66" t="str">
        <f>VLOOKUP(I205,Codes!$A$1:$B$32,2,FALSE)</f>
        <v>NO</v>
      </c>
      <c r="I205" s="56" t="s">
        <v>21</v>
      </c>
      <c r="J205" s="56" t="s">
        <v>3658</v>
      </c>
      <c r="L205" s="56" t="s">
        <v>3653</v>
      </c>
      <c r="M205" s="69" t="s">
        <v>3333</v>
      </c>
      <c r="N205" s="70">
        <v>59.276970596092099</v>
      </c>
      <c r="O205" s="70">
        <v>11.1317957998107</v>
      </c>
      <c r="P205" s="70">
        <v>59.293999999999997</v>
      </c>
      <c r="Q205" s="70">
        <v>11.038</v>
      </c>
      <c r="R205" s="56">
        <v>6</v>
      </c>
      <c r="U205" s="56">
        <v>31</v>
      </c>
      <c r="AA205" s="56">
        <v>236</v>
      </c>
      <c r="AE205" s="56">
        <v>1898</v>
      </c>
      <c r="AI205" s="70">
        <v>59.277820177506896</v>
      </c>
      <c r="AJ205" s="74">
        <v>11.1341990590881</v>
      </c>
      <c r="AK205" s="352"/>
      <c r="AP205" s="71">
        <v>20.5</v>
      </c>
      <c r="AR205" s="71">
        <v>1500</v>
      </c>
      <c r="AS205" s="71">
        <f t="shared" si="15"/>
        <v>0</v>
      </c>
      <c r="AY205" s="56" t="s">
        <v>3607</v>
      </c>
      <c r="BC205" s="139" t="s">
        <v>3660</v>
      </c>
      <c r="BD205" s="139"/>
    </row>
    <row r="206" spans="1:57" ht="14.5" x14ac:dyDescent="0.35">
      <c r="A206" s="56" t="s">
        <v>3657</v>
      </c>
      <c r="D206" s="56" t="s">
        <v>3579</v>
      </c>
      <c r="E206" s="56" t="s">
        <v>29</v>
      </c>
      <c r="G206" s="56">
        <v>189</v>
      </c>
      <c r="H206" s="66" t="str">
        <f>VLOOKUP(I206,Codes!$A$1:$B$32,2,FALSE)</f>
        <v>NO</v>
      </c>
      <c r="I206" s="56" t="s">
        <v>21</v>
      </c>
      <c r="J206" s="56" t="s">
        <v>3332</v>
      </c>
      <c r="L206" s="56" t="s">
        <v>3653</v>
      </c>
      <c r="M206" s="69" t="s">
        <v>3333</v>
      </c>
      <c r="N206" s="70">
        <v>59.275951070444499</v>
      </c>
      <c r="O206" s="70">
        <v>11.1317743421386</v>
      </c>
      <c r="P206" s="70">
        <v>59.295000000000002</v>
      </c>
      <c r="Q206" s="70">
        <v>11.038</v>
      </c>
      <c r="R206" s="56">
        <v>4</v>
      </c>
      <c r="T206" s="71" t="s">
        <v>42</v>
      </c>
      <c r="U206" s="56">
        <v>31</v>
      </c>
      <c r="AA206" s="56">
        <v>145</v>
      </c>
      <c r="AE206" s="56">
        <v>1956</v>
      </c>
      <c r="AI206" s="70">
        <v>59.277820177506896</v>
      </c>
      <c r="AJ206" s="74">
        <v>11.1341990590881</v>
      </c>
      <c r="AK206" s="352"/>
      <c r="AP206" s="71">
        <v>20.5</v>
      </c>
      <c r="AR206" s="71">
        <v>200</v>
      </c>
      <c r="AS206" s="71">
        <f t="shared" si="15"/>
        <v>0</v>
      </c>
      <c r="AY206" s="56" t="s">
        <v>3607</v>
      </c>
      <c r="BC206" s="139" t="s">
        <v>3659</v>
      </c>
      <c r="BD206" s="139"/>
    </row>
    <row r="207" spans="1:57" ht="14.5" x14ac:dyDescent="0.35">
      <c r="A207" s="56" t="s">
        <v>3661</v>
      </c>
      <c r="D207" s="56" t="s">
        <v>29</v>
      </c>
      <c r="G207" s="56">
        <v>190</v>
      </c>
      <c r="H207" s="66" t="str">
        <f>VLOOKUP(I207,Codes!$A$1:$B$32,2,FALSE)</f>
        <v>NO</v>
      </c>
      <c r="I207" s="56" t="s">
        <v>21</v>
      </c>
      <c r="J207" s="56" t="s">
        <v>3664</v>
      </c>
      <c r="L207" s="56" t="s">
        <v>3665</v>
      </c>
      <c r="M207" s="69" t="s">
        <v>3333</v>
      </c>
      <c r="N207" s="70">
        <v>60.027449099999899</v>
      </c>
      <c r="O207" s="74">
        <v>11.323277999999901</v>
      </c>
      <c r="P207" s="74">
        <v>60.024999999999999</v>
      </c>
      <c r="Q207" s="74">
        <v>11.356</v>
      </c>
      <c r="R207" s="56">
        <v>6</v>
      </c>
      <c r="T207" s="71" t="s">
        <v>3663</v>
      </c>
      <c r="U207" s="56">
        <v>81</v>
      </c>
      <c r="AA207" s="56">
        <v>280</v>
      </c>
      <c r="AE207" s="56">
        <v>1921</v>
      </c>
      <c r="AI207" s="70">
        <v>60.029291347304799</v>
      </c>
      <c r="AJ207" s="74">
        <v>11.323452616052201</v>
      </c>
      <c r="AP207" s="71">
        <v>12.3</v>
      </c>
      <c r="AY207" s="56" t="s">
        <v>3488</v>
      </c>
      <c r="BC207" s="139" t="s">
        <v>3668</v>
      </c>
      <c r="BD207" s="139"/>
    </row>
    <row r="208" spans="1:57" ht="14.5" x14ac:dyDescent="0.35">
      <c r="A208" s="56" t="s">
        <v>3662</v>
      </c>
      <c r="D208" s="56" t="s">
        <v>29</v>
      </c>
      <c r="G208" s="56">
        <v>191</v>
      </c>
      <c r="H208" s="66" t="str">
        <f>VLOOKUP(I208,Codes!$A$1:$B$32,2,FALSE)</f>
        <v>NO</v>
      </c>
      <c r="I208" s="56" t="s">
        <v>21</v>
      </c>
      <c r="J208" s="56" t="s">
        <v>3664</v>
      </c>
      <c r="L208" s="56" t="s">
        <v>3665</v>
      </c>
      <c r="M208" s="69" t="s">
        <v>3333</v>
      </c>
      <c r="N208" s="70">
        <v>60.029142777151399</v>
      </c>
      <c r="O208" s="74">
        <v>11.319662332534699</v>
      </c>
      <c r="P208" s="74">
        <v>60.029000000000003</v>
      </c>
      <c r="Q208" s="74">
        <v>11.349</v>
      </c>
      <c r="R208" s="56">
        <v>1</v>
      </c>
      <c r="U208" s="56">
        <v>44</v>
      </c>
      <c r="AA208" s="56">
        <v>280</v>
      </c>
      <c r="AE208" s="56">
        <v>2016</v>
      </c>
      <c r="AI208" s="70">
        <v>60.029291347304799</v>
      </c>
      <c r="AJ208" s="74">
        <v>11.323452616052201</v>
      </c>
      <c r="AP208" s="71">
        <v>12.3</v>
      </c>
      <c r="AR208" s="71">
        <v>400</v>
      </c>
      <c r="AS208" s="71">
        <f t="shared" si="15"/>
        <v>0</v>
      </c>
      <c r="AY208" s="56" t="s">
        <v>3488</v>
      </c>
      <c r="BC208" s="139" t="s">
        <v>3669</v>
      </c>
      <c r="BD208" s="139"/>
    </row>
    <row r="209" spans="1:62" ht="14.5" x14ac:dyDescent="0.35">
      <c r="A209" s="56" t="s">
        <v>3667</v>
      </c>
      <c r="D209" s="56" t="s">
        <v>3579</v>
      </c>
      <c r="E209" s="56" t="s">
        <v>29</v>
      </c>
      <c r="G209" s="56">
        <v>192</v>
      </c>
      <c r="H209" s="66" t="str">
        <f>VLOOKUP(I209,Codes!$A$1:$B$32,2,FALSE)</f>
        <v>NO</v>
      </c>
      <c r="I209" s="56" t="s">
        <v>21</v>
      </c>
      <c r="J209" s="56" t="s">
        <v>3664</v>
      </c>
      <c r="L209" s="56" t="s">
        <v>3670</v>
      </c>
      <c r="M209" s="69" t="s">
        <v>3666</v>
      </c>
      <c r="N209" s="70">
        <v>59.9898206421216</v>
      </c>
      <c r="O209" s="70">
        <v>11.2653023246093</v>
      </c>
      <c r="P209" s="70">
        <v>59.9898206421216</v>
      </c>
      <c r="Q209" s="70">
        <v>11.2653023246093</v>
      </c>
      <c r="R209" s="56">
        <v>3</v>
      </c>
      <c r="T209" s="71" t="s">
        <v>3672</v>
      </c>
      <c r="U209" s="56">
        <v>33</v>
      </c>
      <c r="AA209" s="56">
        <v>170</v>
      </c>
      <c r="AE209" s="56">
        <v>1977</v>
      </c>
      <c r="AI209" s="70">
        <v>59.989713320573699</v>
      </c>
      <c r="AJ209" s="74">
        <v>11.268134737329</v>
      </c>
      <c r="AP209" s="71">
        <f>(5+3.9)/2</f>
        <v>4.45</v>
      </c>
      <c r="AR209" s="71">
        <v>875</v>
      </c>
      <c r="AS209" s="71">
        <f t="shared" si="15"/>
        <v>0</v>
      </c>
      <c r="AV209" s="56" t="s">
        <v>3671</v>
      </c>
      <c r="AX209" s="56">
        <v>4200</v>
      </c>
      <c r="AY209" s="56" t="s">
        <v>3488</v>
      </c>
      <c r="BC209" s="139" t="s">
        <v>3673</v>
      </c>
      <c r="BD209" s="139"/>
    </row>
    <row r="210" spans="1:62" ht="14.5" x14ac:dyDescent="0.35">
      <c r="A210" s="56" t="s">
        <v>3677</v>
      </c>
      <c r="D210" s="56" t="s">
        <v>29</v>
      </c>
      <c r="E210" s="56" t="s">
        <v>3675</v>
      </c>
      <c r="G210" s="56">
        <v>193</v>
      </c>
      <c r="H210" s="66" t="str">
        <f>VLOOKUP(I210,Codes!$A$1:$B$32,2,FALSE)</f>
        <v>LV</v>
      </c>
      <c r="I210" s="56" t="s">
        <v>10</v>
      </c>
      <c r="J210" s="56" t="s">
        <v>3676</v>
      </c>
      <c r="L210" s="56" t="s">
        <v>1390</v>
      </c>
      <c r="M210" s="69" t="s">
        <v>3674</v>
      </c>
      <c r="N210" s="70">
        <v>54.874407377267197</v>
      </c>
      <c r="O210" s="70">
        <v>23.999958658205198</v>
      </c>
      <c r="P210" s="70">
        <v>54.874407377267197</v>
      </c>
      <c r="Q210" s="70">
        <v>23.999958658205198</v>
      </c>
      <c r="R210" s="56">
        <v>4</v>
      </c>
      <c r="U210" s="56">
        <f>25.2*R210</f>
        <v>100.8</v>
      </c>
      <c r="AA210" s="56">
        <v>348.6</v>
      </c>
      <c r="AE210" s="56">
        <v>1959</v>
      </c>
      <c r="AG210" s="56" t="s">
        <v>3678</v>
      </c>
      <c r="AH210" s="56">
        <v>3739</v>
      </c>
      <c r="AI210" s="70">
        <v>54.886849102516202</v>
      </c>
      <c r="AJ210" s="74">
        <v>24.040537266992001</v>
      </c>
      <c r="AK210" s="352">
        <v>462</v>
      </c>
      <c r="AP210" s="71">
        <v>20.100000000000001</v>
      </c>
      <c r="AR210" s="71">
        <f>4*158</f>
        <v>632</v>
      </c>
      <c r="AS210" s="71">
        <f t="shared" si="15"/>
        <v>203.05907172995782</v>
      </c>
      <c r="AT210" s="71">
        <v>6</v>
      </c>
      <c r="AY210" s="56" t="s">
        <v>3679</v>
      </c>
      <c r="BC210" s="139" t="s">
        <v>3680</v>
      </c>
      <c r="BD210" s="139" t="s">
        <v>3681</v>
      </c>
    </row>
    <row r="211" spans="1:62" ht="14.5" x14ac:dyDescent="0.35">
      <c r="A211" s="56" t="s">
        <v>457</v>
      </c>
      <c r="D211" s="56" t="s">
        <v>29</v>
      </c>
      <c r="G211" s="56">
        <v>194</v>
      </c>
      <c r="H211" s="66" t="str">
        <f>VLOOKUP(I211,Codes!$A$1:$B$32,2,FALSE)</f>
        <v>IE</v>
      </c>
      <c r="I211" s="56" t="s">
        <v>4</v>
      </c>
      <c r="J211" s="56" t="s">
        <v>3682</v>
      </c>
      <c r="L211" s="56" t="s">
        <v>457</v>
      </c>
      <c r="M211" s="69" t="s">
        <v>3683</v>
      </c>
      <c r="N211" s="70">
        <v>52.705527610528399</v>
      </c>
      <c r="O211" s="70">
        <v>-8.6125455736328096</v>
      </c>
      <c r="P211" s="70">
        <v>52.695</v>
      </c>
      <c r="Q211" s="70">
        <v>-8.5449999999999999</v>
      </c>
      <c r="R211" s="56">
        <v>4</v>
      </c>
      <c r="T211" s="71" t="s">
        <v>3684</v>
      </c>
      <c r="U211" s="56">
        <v>86</v>
      </c>
      <c r="AA211" s="56">
        <v>332</v>
      </c>
      <c r="AI211" s="70">
        <v>52.771401371867803</v>
      </c>
      <c r="AJ211" s="74">
        <v>-8.4689878451172191</v>
      </c>
      <c r="AP211" s="71">
        <v>28.5</v>
      </c>
      <c r="AR211" s="71">
        <v>400</v>
      </c>
      <c r="AS211" s="71">
        <f t="shared" si="15"/>
        <v>0</v>
      </c>
      <c r="AY211" s="56" t="s">
        <v>3685</v>
      </c>
      <c r="AZ211" s="56" t="s">
        <v>3688</v>
      </c>
      <c r="BC211" s="354" t="s">
        <v>3686</v>
      </c>
      <c r="BD211" s="139" t="s">
        <v>3687</v>
      </c>
    </row>
    <row r="212" spans="1:62" ht="14.5" x14ac:dyDescent="0.35">
      <c r="A212" s="56" t="s">
        <v>475</v>
      </c>
      <c r="D212" s="56" t="s">
        <v>29</v>
      </c>
      <c r="G212" s="56">
        <v>195</v>
      </c>
      <c r="H212" s="66" t="str">
        <f>VLOOKUP(I212,Codes!$A$1:$B$32,2,FALSE)</f>
        <v>IE</v>
      </c>
      <c r="I212" s="56" t="s">
        <v>4</v>
      </c>
      <c r="J212" s="56" t="s">
        <v>3682</v>
      </c>
      <c r="L212" s="56" t="s">
        <v>3690</v>
      </c>
      <c r="M212" s="69" t="s">
        <v>3691</v>
      </c>
      <c r="N212" s="70">
        <v>54.487808826006798</v>
      </c>
      <c r="O212" s="70">
        <v>-8.1020997404266293</v>
      </c>
      <c r="P212" s="70">
        <v>54.487808826006798</v>
      </c>
      <c r="Q212" s="70">
        <v>-8.1020997404266293</v>
      </c>
      <c r="R212" s="56">
        <v>2</v>
      </c>
      <c r="T212" s="71" t="s">
        <v>3663</v>
      </c>
      <c r="U212" s="56">
        <v>20</v>
      </c>
      <c r="AI212" s="70">
        <v>54.487808826006798</v>
      </c>
      <c r="AJ212" s="70">
        <v>-8.1020997404266293</v>
      </c>
      <c r="AP212" s="71">
        <v>10</v>
      </c>
      <c r="AY212" s="56" t="s">
        <v>3488</v>
      </c>
      <c r="BC212" s="139" t="s">
        <v>3693</v>
      </c>
      <c r="BD212" s="139"/>
    </row>
    <row r="213" spans="1:62" ht="14.5" x14ac:dyDescent="0.35">
      <c r="A213" s="56" t="s">
        <v>3689</v>
      </c>
      <c r="D213" s="56" t="s">
        <v>29</v>
      </c>
      <c r="E213" s="56" t="s">
        <v>3675</v>
      </c>
      <c r="G213" s="56">
        <v>196</v>
      </c>
      <c r="H213" s="66" t="str">
        <f>VLOOKUP(I213,Codes!$A$1:$B$32,2,FALSE)</f>
        <v>IE</v>
      </c>
      <c r="I213" s="56" t="s">
        <v>4</v>
      </c>
      <c r="J213" s="56" t="s">
        <v>3682</v>
      </c>
      <c r="L213" s="56" t="s">
        <v>3694</v>
      </c>
      <c r="M213" s="69" t="s">
        <v>3691</v>
      </c>
      <c r="N213" s="70">
        <v>54.499603227007299</v>
      </c>
      <c r="O213" s="70">
        <v>-8.1737607449758798</v>
      </c>
      <c r="P213" s="70">
        <v>54.485999999999997</v>
      </c>
      <c r="Q213" s="70">
        <v>-8.173</v>
      </c>
      <c r="R213" s="56">
        <v>2</v>
      </c>
      <c r="T213" s="71" t="s">
        <v>3663</v>
      </c>
      <c r="U213" s="56">
        <f>65-U212</f>
        <v>45</v>
      </c>
      <c r="AG213" s="56" t="s">
        <v>3692</v>
      </c>
      <c r="AH213" s="56">
        <v>2606</v>
      </c>
      <c r="AI213" s="70">
        <v>54.496089171348203</v>
      </c>
      <c r="AJ213" s="74">
        <v>-8.1577533215750009</v>
      </c>
      <c r="AP213" s="71">
        <v>29</v>
      </c>
      <c r="AY213" s="56" t="s">
        <v>3488</v>
      </c>
      <c r="BC213" s="139" t="s">
        <v>3693</v>
      </c>
      <c r="BD213" s="139"/>
    </row>
    <row r="214" spans="1:62" ht="14.5" x14ac:dyDescent="0.35">
      <c r="A214" s="56" t="s">
        <v>3696</v>
      </c>
      <c r="D214" s="56" t="s">
        <v>3579</v>
      </c>
      <c r="E214" s="56" t="s">
        <v>29</v>
      </c>
      <c r="G214" s="56">
        <v>197</v>
      </c>
      <c r="H214" s="66" t="str">
        <f>VLOOKUP(I214,Codes!$A$1:$B$32,2,FALSE)</f>
        <v>GB</v>
      </c>
      <c r="I214" s="56" t="s">
        <v>2839</v>
      </c>
      <c r="J214" s="56" t="s">
        <v>3699</v>
      </c>
      <c r="L214" s="56" t="s">
        <v>3710</v>
      </c>
      <c r="M214" s="69" t="s">
        <v>3698</v>
      </c>
      <c r="N214" s="70">
        <v>55.170776211915801</v>
      </c>
      <c r="O214" s="70">
        <v>-4.1772876619506798</v>
      </c>
      <c r="P214" s="70">
        <v>55.170776211915801</v>
      </c>
      <c r="Q214" s="70">
        <v>-4.1772876619506798</v>
      </c>
      <c r="R214" s="56">
        <v>2</v>
      </c>
      <c r="U214" s="56">
        <f>2*10.5</f>
        <v>21</v>
      </c>
      <c r="AE214" s="56">
        <v>1936</v>
      </c>
      <c r="AG214" s="56" t="s">
        <v>3697</v>
      </c>
      <c r="AI214" s="70">
        <v>55.179080154847099</v>
      </c>
      <c r="AJ214" s="74">
        <v>-4.1784065186584396</v>
      </c>
      <c r="AK214" s="75">
        <v>1</v>
      </c>
      <c r="AP214" s="71">
        <v>46</v>
      </c>
      <c r="AR214" s="71">
        <v>54</v>
      </c>
      <c r="AS214" s="71">
        <f t="shared" si="15"/>
        <v>5.1440329218106999</v>
      </c>
      <c r="AT214" s="71">
        <v>3</v>
      </c>
      <c r="AV214" s="56" t="s">
        <v>3705</v>
      </c>
      <c r="BC214" s="139" t="s">
        <v>3714</v>
      </c>
      <c r="BD214" s="139"/>
    </row>
    <row r="215" spans="1:62" ht="14.5" x14ac:dyDescent="0.35">
      <c r="A215" s="56" t="s">
        <v>3700</v>
      </c>
      <c r="D215" s="56" t="s">
        <v>3579</v>
      </c>
      <c r="E215" s="56" t="s">
        <v>29</v>
      </c>
      <c r="G215" s="56">
        <v>198</v>
      </c>
      <c r="H215" s="66" t="str">
        <f>VLOOKUP(I215,Codes!$A$1:$B$32,2,FALSE)</f>
        <v>GB</v>
      </c>
      <c r="I215" s="56" t="s">
        <v>2839</v>
      </c>
      <c r="J215" s="56" t="s">
        <v>3699</v>
      </c>
      <c r="L215" s="56" t="s">
        <v>3710</v>
      </c>
      <c r="M215" s="69" t="s">
        <v>3698</v>
      </c>
      <c r="N215" s="70">
        <v>55.143965144174999</v>
      </c>
      <c r="O215" s="70">
        <v>-4.1904841303039504</v>
      </c>
      <c r="P215" s="70">
        <v>55.143965144174999</v>
      </c>
      <c r="Q215" s="70">
        <v>-4.1904841303039504</v>
      </c>
      <c r="R215" s="56">
        <v>2</v>
      </c>
      <c r="U215" s="56">
        <f>2*6</f>
        <v>12</v>
      </c>
      <c r="AE215" s="56">
        <v>1936</v>
      </c>
      <c r="AG215" s="56" t="s">
        <v>3701</v>
      </c>
      <c r="AI215" s="70">
        <v>55.149299599999999</v>
      </c>
      <c r="AJ215" s="74">
        <v>-4.1874201000000504</v>
      </c>
      <c r="AK215" s="75">
        <v>1</v>
      </c>
      <c r="AP215" s="71">
        <v>20</v>
      </c>
      <c r="AR215" s="71">
        <v>74</v>
      </c>
      <c r="AS215" s="71">
        <f t="shared" si="15"/>
        <v>3.7537537537537538</v>
      </c>
      <c r="AT215" s="71">
        <v>2</v>
      </c>
      <c r="AV215" s="56" t="s">
        <v>3696</v>
      </c>
      <c r="BC215" s="139" t="s">
        <v>3714</v>
      </c>
      <c r="BD215" s="139"/>
    </row>
    <row r="216" spans="1:62" ht="14.5" x14ac:dyDescent="0.35">
      <c r="A216" s="56" t="s">
        <v>3702</v>
      </c>
      <c r="D216" s="56" t="s">
        <v>3579</v>
      </c>
      <c r="E216" s="56" t="s">
        <v>29</v>
      </c>
      <c r="G216" s="56">
        <v>199</v>
      </c>
      <c r="H216" s="66" t="str">
        <f>VLOOKUP(I216,Codes!$A$1:$B$32,2,FALSE)</f>
        <v>GB</v>
      </c>
      <c r="I216" s="56" t="s">
        <v>2839</v>
      </c>
      <c r="J216" s="56" t="s">
        <v>3699</v>
      </c>
      <c r="L216" s="56" t="s">
        <v>3703</v>
      </c>
      <c r="M216" s="69" t="s">
        <v>3698</v>
      </c>
      <c r="N216" s="70">
        <v>55.112552324439903</v>
      </c>
      <c r="O216" s="70">
        <v>-4.1754744886566098</v>
      </c>
      <c r="P216" s="70">
        <v>55.112552324439903</v>
      </c>
      <c r="Q216" s="70">
        <v>-4.1754744886566098</v>
      </c>
      <c r="R216" s="56">
        <v>2</v>
      </c>
      <c r="U216" s="56">
        <f>2*6</f>
        <v>12</v>
      </c>
      <c r="AE216" s="56">
        <v>1936</v>
      </c>
      <c r="AG216" s="56" t="s">
        <v>3704</v>
      </c>
      <c r="AI216" s="70">
        <v>55.119154686589901</v>
      </c>
      <c r="AJ216" s="74">
        <v>-4.1753993868041999</v>
      </c>
      <c r="AK216" s="75">
        <v>1</v>
      </c>
      <c r="AP216" s="71">
        <v>20</v>
      </c>
      <c r="AR216" s="71">
        <v>71</v>
      </c>
      <c r="AS216" s="71">
        <f t="shared" si="15"/>
        <v>3.9123630672926448</v>
      </c>
      <c r="AT216" s="71">
        <v>2</v>
      </c>
      <c r="AV216" s="56" t="s">
        <v>3700</v>
      </c>
      <c r="BC216" s="139" t="s">
        <v>3714</v>
      </c>
      <c r="BD216" s="139"/>
    </row>
    <row r="217" spans="1:62" ht="14.5" x14ac:dyDescent="0.35">
      <c r="A217" s="56" t="s">
        <v>3706</v>
      </c>
      <c r="D217" s="56" t="s">
        <v>3579</v>
      </c>
      <c r="E217" s="56" t="s">
        <v>29</v>
      </c>
      <c r="G217" s="56">
        <v>200</v>
      </c>
      <c r="H217" s="66" t="str">
        <f>VLOOKUP(I217,Codes!$A$1:$B$32,2,FALSE)</f>
        <v>GB</v>
      </c>
      <c r="I217" s="56" t="s">
        <v>2839</v>
      </c>
      <c r="J217" s="56" t="s">
        <v>3699</v>
      </c>
      <c r="L217" s="56" t="s">
        <v>3707</v>
      </c>
      <c r="M217" s="69" t="s">
        <v>3708</v>
      </c>
      <c r="N217" s="70">
        <v>54.869109064252001</v>
      </c>
      <c r="O217" s="70">
        <v>-4.0250915021169904</v>
      </c>
      <c r="P217" s="70">
        <v>54.869109064252001</v>
      </c>
      <c r="Q217" s="70">
        <v>-4.0250915021169904</v>
      </c>
      <c r="R217" s="56">
        <v>3</v>
      </c>
      <c r="U217" s="56">
        <f>3*11</f>
        <v>33</v>
      </c>
      <c r="AE217" s="56">
        <v>1935</v>
      </c>
      <c r="AI217" s="70">
        <v>54.869553580349198</v>
      </c>
      <c r="AJ217" s="74">
        <v>-4.0238898724783203</v>
      </c>
      <c r="AK217" s="75">
        <v>1</v>
      </c>
      <c r="AP217" s="71">
        <v>32</v>
      </c>
      <c r="AR217" s="71">
        <v>3</v>
      </c>
      <c r="AS217" s="71">
        <f t="shared" si="15"/>
        <v>92.592592592592581</v>
      </c>
      <c r="AT217" s="71">
        <v>5</v>
      </c>
      <c r="BC217" s="139" t="s">
        <v>3714</v>
      </c>
      <c r="BD217" s="139"/>
    </row>
    <row r="218" spans="1:62" ht="14.5" x14ac:dyDescent="0.35">
      <c r="A218" s="56" t="s">
        <v>3705</v>
      </c>
      <c r="D218" s="56" t="s">
        <v>3579</v>
      </c>
      <c r="E218" s="56" t="s">
        <v>3709</v>
      </c>
      <c r="G218" s="56">
        <v>201</v>
      </c>
      <c r="H218" s="66" t="str">
        <f>VLOOKUP(I218,Codes!$A$1:$B$32,2,FALSE)</f>
        <v>GB</v>
      </c>
      <c r="I218" s="56" t="s">
        <v>2839</v>
      </c>
      <c r="J218" s="56" t="s">
        <v>3699</v>
      </c>
      <c r="L218" s="56" t="s">
        <v>3710</v>
      </c>
      <c r="M218" s="69" t="s">
        <v>3713</v>
      </c>
      <c r="N218" s="70">
        <v>55.249139691675303</v>
      </c>
      <c r="O218" s="70">
        <v>-4.3571275231079198</v>
      </c>
      <c r="P218" s="70">
        <v>55.231999999999999</v>
      </c>
      <c r="Q218" s="70">
        <v>-4.2939999999999996</v>
      </c>
      <c r="R218" s="56">
        <v>1</v>
      </c>
      <c r="U218" s="56">
        <v>2.25</v>
      </c>
      <c r="AE218" s="56">
        <v>1985</v>
      </c>
      <c r="AG218" s="56" t="s">
        <v>3712</v>
      </c>
      <c r="AH218" s="56">
        <v>2596</v>
      </c>
      <c r="AI218" s="70">
        <v>55.2565483375258</v>
      </c>
      <c r="AJ218" s="74">
        <v>-4.3678997014649203</v>
      </c>
      <c r="AK218" s="75">
        <v>83</v>
      </c>
      <c r="AL218" s="56" t="s">
        <v>3711</v>
      </c>
      <c r="AP218" s="71">
        <v>13</v>
      </c>
      <c r="AR218" s="71">
        <v>15.6</v>
      </c>
      <c r="AS218" s="71">
        <f t="shared" si="15"/>
        <v>1477.9202279202279</v>
      </c>
      <c r="AT218" s="71">
        <v>6</v>
      </c>
      <c r="BC218" s="139" t="s">
        <v>3714</v>
      </c>
      <c r="BD218" s="139"/>
    </row>
    <row r="219" spans="1:62" ht="14.5" x14ac:dyDescent="0.35">
      <c r="A219" s="56" t="s">
        <v>3718</v>
      </c>
      <c r="D219" s="56" t="s">
        <v>29</v>
      </c>
      <c r="E219" s="56" t="s">
        <v>3719</v>
      </c>
      <c r="G219" s="56">
        <v>202</v>
      </c>
      <c r="H219" s="66" t="str">
        <f>VLOOKUP(I219,Codes!$A$1:$B$32,2,FALSE)</f>
        <v>IT</v>
      </c>
      <c r="I219" s="56" t="s">
        <v>9</v>
      </c>
      <c r="J219" s="56" t="s">
        <v>3720</v>
      </c>
      <c r="L219" s="56" t="s">
        <v>537</v>
      </c>
      <c r="M219" s="69" t="s">
        <v>3721</v>
      </c>
      <c r="N219" s="70">
        <v>45.705507365585298</v>
      </c>
      <c r="O219" s="70">
        <v>7.1451717856689303</v>
      </c>
      <c r="P219" s="70">
        <v>45.705507365585298</v>
      </c>
      <c r="Q219" s="70">
        <v>7.1451717856689303</v>
      </c>
      <c r="R219" s="56">
        <v>5</v>
      </c>
      <c r="T219" s="71" t="s">
        <v>44</v>
      </c>
      <c r="U219" s="56">
        <v>126</v>
      </c>
      <c r="AA219" s="56">
        <v>285.3</v>
      </c>
      <c r="AE219" s="56">
        <v>1954</v>
      </c>
      <c r="AG219" s="56" t="s">
        <v>3722</v>
      </c>
      <c r="AI219" s="70">
        <v>45.618334734442797</v>
      </c>
      <c r="AJ219" s="70">
        <v>7.0585072523681403</v>
      </c>
      <c r="AK219" s="75">
        <v>2.3450000000000002</v>
      </c>
      <c r="AP219" s="71">
        <v>972</v>
      </c>
      <c r="AR219" s="71">
        <v>16.5</v>
      </c>
      <c r="AS219" s="71">
        <f t="shared" si="15"/>
        <v>39.478114478114477</v>
      </c>
      <c r="AT219" s="71">
        <v>5</v>
      </c>
      <c r="AY219" s="56" t="s">
        <v>3723</v>
      </c>
      <c r="BC219" s="139" t="s">
        <v>3724</v>
      </c>
      <c r="BD219" s="139" t="s">
        <v>3725</v>
      </c>
    </row>
    <row r="220" spans="1:62" ht="14.5" x14ac:dyDescent="0.35">
      <c r="A220" s="56" t="s">
        <v>3728</v>
      </c>
      <c r="D220" s="56" t="s">
        <v>29</v>
      </c>
      <c r="G220" s="56">
        <v>203</v>
      </c>
      <c r="H220" s="66" t="str">
        <f>VLOOKUP(I220,Codes!$A$1:$B$32,2,FALSE)</f>
        <v>IT</v>
      </c>
      <c r="I220" s="56" t="s">
        <v>9</v>
      </c>
      <c r="J220" s="56" t="s">
        <v>512</v>
      </c>
      <c r="L220" s="56" t="s">
        <v>3729</v>
      </c>
      <c r="M220" s="69" t="s">
        <v>3730</v>
      </c>
      <c r="N220" s="70">
        <v>45.092757619146099</v>
      </c>
      <c r="O220" s="70">
        <v>9.9043280127807503</v>
      </c>
      <c r="P220" s="70">
        <v>45.092757619146099</v>
      </c>
      <c r="Q220" s="70">
        <v>9.9043280127807503</v>
      </c>
      <c r="R220" s="56">
        <v>4</v>
      </c>
      <c r="T220" s="71" t="s">
        <v>2129</v>
      </c>
      <c r="U220" s="56">
        <v>76</v>
      </c>
      <c r="AA220" s="56">
        <v>484</v>
      </c>
      <c r="AE220" s="56">
        <v>1960</v>
      </c>
      <c r="AI220" s="70">
        <v>45.091424554785903</v>
      </c>
      <c r="AJ220" s="74">
        <v>9.9018389228149299</v>
      </c>
      <c r="AP220" s="71">
        <f>(11+3.5)/2</f>
        <v>7.25</v>
      </c>
      <c r="AR220" s="71">
        <v>1000</v>
      </c>
      <c r="AS220" s="71">
        <f t="shared" si="15"/>
        <v>0</v>
      </c>
      <c r="BC220" s="139" t="s">
        <v>3731</v>
      </c>
      <c r="BD220" s="139" t="s">
        <v>3732</v>
      </c>
      <c r="BE220" s="139" t="s">
        <v>3734</v>
      </c>
    </row>
    <row r="221" spans="1:62" ht="14.5" x14ac:dyDescent="0.35">
      <c r="A221" s="56" t="s">
        <v>3735</v>
      </c>
      <c r="D221" s="56" t="s">
        <v>29</v>
      </c>
      <c r="G221" s="56">
        <v>204</v>
      </c>
      <c r="H221" s="66" t="str">
        <f>VLOOKUP(I221,Codes!$A$1:$B$32,2,FALSE)</f>
        <v>IT</v>
      </c>
      <c r="I221" s="56" t="s">
        <v>9</v>
      </c>
      <c r="J221" s="56" t="s">
        <v>3739</v>
      </c>
      <c r="M221" s="69" t="s">
        <v>3738</v>
      </c>
      <c r="N221" s="70">
        <v>46.655502307842497</v>
      </c>
      <c r="O221" s="70">
        <v>11.592734170117099</v>
      </c>
      <c r="P221" s="70">
        <v>46.622</v>
      </c>
      <c r="Q221" s="70">
        <v>11.544</v>
      </c>
      <c r="U221" s="56">
        <v>87</v>
      </c>
      <c r="AA221" s="56">
        <v>369</v>
      </c>
      <c r="AE221" s="56">
        <v>1949</v>
      </c>
      <c r="AI221" s="70">
        <v>46.622</v>
      </c>
      <c r="AJ221" s="70">
        <v>11.544</v>
      </c>
      <c r="AK221" s="75">
        <f>22000/1000000</f>
        <v>2.1999999999999999E-2</v>
      </c>
      <c r="AP221" s="71">
        <v>294</v>
      </c>
      <c r="AR221" s="71">
        <v>35</v>
      </c>
      <c r="AS221" s="71">
        <f t="shared" si="15"/>
        <v>0.17460317460317459</v>
      </c>
      <c r="AT221" s="71">
        <v>1</v>
      </c>
      <c r="BC221" s="139" t="s">
        <v>3737</v>
      </c>
      <c r="BD221" s="389" t="s">
        <v>3733</v>
      </c>
    </row>
    <row r="222" spans="1:62" x14ac:dyDescent="0.35">
      <c r="A222" s="56" t="s">
        <v>3736</v>
      </c>
      <c r="D222" s="56" t="s">
        <v>29</v>
      </c>
      <c r="G222" s="56">
        <v>205</v>
      </c>
      <c r="H222" s="66" t="str">
        <f>VLOOKUP(I222,Codes!$A$1:$B$32,2,FALSE)</f>
        <v>IT</v>
      </c>
      <c r="I222" s="56" t="s">
        <v>9</v>
      </c>
      <c r="J222" s="56" t="s">
        <v>3739</v>
      </c>
      <c r="M222" s="69" t="s">
        <v>3730</v>
      </c>
      <c r="N222" s="70">
        <v>46.797148789499197</v>
      </c>
      <c r="O222" s="70">
        <v>11.6708400979405</v>
      </c>
      <c r="P222" s="70">
        <v>46.797148789499197</v>
      </c>
      <c r="Q222" s="70">
        <v>11.702999999999999</v>
      </c>
      <c r="R222" s="56">
        <v>5</v>
      </c>
      <c r="U222" s="56">
        <v>120</v>
      </c>
      <c r="AA222" s="56">
        <v>515</v>
      </c>
      <c r="AI222" s="70">
        <v>46.797148789499197</v>
      </c>
      <c r="AJ222" s="70">
        <v>11.702999999999999</v>
      </c>
      <c r="AK222" s="56"/>
      <c r="AP222" s="71">
        <v>164</v>
      </c>
      <c r="AR222" s="71">
        <v>80</v>
      </c>
      <c r="AS222" s="71">
        <f t="shared" si="15"/>
        <v>0</v>
      </c>
      <c r="AT222" s="71">
        <v>4</v>
      </c>
    </row>
    <row r="223" spans="1:62" x14ac:dyDescent="0.35">
      <c r="A223" s="377" t="s">
        <v>3740</v>
      </c>
      <c r="B223" s="377"/>
      <c r="C223" s="378"/>
      <c r="D223" s="377"/>
      <c r="E223" s="377" t="s">
        <v>29</v>
      </c>
      <c r="F223" s="377"/>
      <c r="G223" s="56">
        <v>205</v>
      </c>
      <c r="H223" s="66" t="str">
        <f>VLOOKUP(I223,Codes!$A$1:$B$32,2,FALSE)</f>
        <v>IT</v>
      </c>
      <c r="I223" s="377" t="s">
        <v>9</v>
      </c>
      <c r="J223" s="377" t="s">
        <v>3739</v>
      </c>
      <c r="K223" s="377"/>
      <c r="L223" s="377"/>
      <c r="M223" s="380"/>
      <c r="N223" s="381">
        <v>46.778340657468497</v>
      </c>
      <c r="O223" s="381">
        <v>11.632056853850299</v>
      </c>
      <c r="P223" s="381"/>
      <c r="Q223" s="381"/>
      <c r="R223" s="377"/>
      <c r="S223" s="377"/>
      <c r="T223" s="375"/>
      <c r="U223" s="377"/>
      <c r="V223" s="377"/>
      <c r="W223" s="377"/>
      <c r="X223" s="377"/>
      <c r="Y223" s="375"/>
      <c r="Z223" s="377"/>
      <c r="AA223" s="377"/>
      <c r="AB223" s="377"/>
      <c r="AC223" s="382"/>
      <c r="AD223" s="382"/>
      <c r="AE223" s="377"/>
      <c r="AF223" s="377"/>
      <c r="AG223" s="377" t="s">
        <v>3740</v>
      </c>
      <c r="AH223" s="377" t="s">
        <v>3747</v>
      </c>
      <c r="AI223" s="381">
        <v>46.778340657468497</v>
      </c>
      <c r="AJ223" s="381">
        <v>11.632056853850299</v>
      </c>
      <c r="AK223" s="384">
        <v>2</v>
      </c>
      <c r="AL223" s="377"/>
      <c r="AM223" s="377"/>
      <c r="AN223" s="383"/>
      <c r="AO223" s="383"/>
      <c r="AP223" s="375"/>
      <c r="AQ223" s="385"/>
      <c r="AR223" s="375"/>
      <c r="AS223" s="375"/>
      <c r="AT223" s="375"/>
      <c r="AU223" s="377"/>
      <c r="AV223" s="377"/>
      <c r="AW223" s="377"/>
      <c r="AX223" s="377"/>
      <c r="AY223" s="377"/>
      <c r="AZ223" s="377"/>
      <c r="BA223" s="377"/>
      <c r="BB223" s="386"/>
      <c r="BC223" s="377"/>
      <c r="BD223" s="377"/>
      <c r="BE223" s="377"/>
      <c r="BF223" s="377"/>
      <c r="BG223" s="385"/>
      <c r="BH223" s="377"/>
      <c r="BI223" s="377"/>
      <c r="BJ223" s="377"/>
    </row>
    <row r="224" spans="1:62" x14ac:dyDescent="0.35">
      <c r="A224" s="56" t="s">
        <v>3751</v>
      </c>
      <c r="D224" s="56" t="s">
        <v>29</v>
      </c>
      <c r="G224" s="56">
        <v>206</v>
      </c>
      <c r="H224" s="66" t="str">
        <f>VLOOKUP(I224,Codes!$A$1:$B$32,2,FALSE)</f>
        <v>FR</v>
      </c>
      <c r="I224" s="56" t="s">
        <v>7</v>
      </c>
      <c r="J224" s="56" t="s">
        <v>2451</v>
      </c>
      <c r="L224" s="56" t="s">
        <v>3752</v>
      </c>
      <c r="M224" s="69" t="s">
        <v>3470</v>
      </c>
      <c r="N224" s="70">
        <v>44.499000000000002</v>
      </c>
      <c r="O224" s="70">
        <v>4.7080000000000002</v>
      </c>
      <c r="P224" s="70">
        <v>44.465000000000003</v>
      </c>
      <c r="Q224" s="70">
        <v>4.7130000000000001</v>
      </c>
      <c r="R224" s="56">
        <v>6</v>
      </c>
      <c r="T224" s="71" t="s">
        <v>2129</v>
      </c>
      <c r="U224" s="56">
        <v>295</v>
      </c>
      <c r="AA224" s="56">
        <v>1575</v>
      </c>
      <c r="AE224" s="56">
        <v>1957</v>
      </c>
      <c r="AI224" s="70">
        <v>44.465000000000003</v>
      </c>
      <c r="AJ224" s="70">
        <v>4.7130000000000001</v>
      </c>
      <c r="AP224" s="71">
        <v>16.5</v>
      </c>
      <c r="AR224" s="56">
        <v>1850</v>
      </c>
      <c r="AY224" s="56" t="s">
        <v>3753</v>
      </c>
      <c r="BC224" s="56" t="s">
        <v>3754</v>
      </c>
    </row>
    <row r="225" spans="1:57" x14ac:dyDescent="0.35">
      <c r="A225" s="56" t="s">
        <v>3755</v>
      </c>
      <c r="D225" s="56" t="s">
        <v>29</v>
      </c>
      <c r="G225" s="56">
        <v>207</v>
      </c>
      <c r="H225" s="66" t="str">
        <f>VLOOKUP(I225,Codes!$A$1:$B$32,2,FALSE)</f>
        <v>FR</v>
      </c>
      <c r="I225" s="56" t="s">
        <v>7</v>
      </c>
      <c r="J225" s="56" t="s">
        <v>2451</v>
      </c>
      <c r="L225" s="56" t="s">
        <v>3755</v>
      </c>
      <c r="M225" s="69" t="s">
        <v>3470</v>
      </c>
      <c r="N225" s="70">
        <v>43.975999999999999</v>
      </c>
      <c r="O225" s="70">
        <v>4.8170000000000002</v>
      </c>
      <c r="P225" s="70">
        <v>43.975999999999999</v>
      </c>
      <c r="Q225" s="70">
        <v>4.8170000000000002</v>
      </c>
      <c r="R225" s="56">
        <v>6</v>
      </c>
      <c r="T225" s="71" t="s">
        <v>3481</v>
      </c>
      <c r="U225" s="56">
        <v>176</v>
      </c>
      <c r="AA225" s="56">
        <v>857</v>
      </c>
      <c r="AE225" s="56">
        <v>1973</v>
      </c>
      <c r="AI225" s="70">
        <v>43.975999999999999</v>
      </c>
      <c r="AJ225" s="70">
        <v>4.8170000000000002</v>
      </c>
      <c r="AP225" s="71">
        <v>9.5</v>
      </c>
      <c r="AR225" s="71">
        <v>2230</v>
      </c>
      <c r="AY225" s="56" t="s">
        <v>3756</v>
      </c>
      <c r="BC225" s="56" t="s">
        <v>3754</v>
      </c>
    </row>
    <row r="226" spans="1:57" x14ac:dyDescent="0.35">
      <c r="A226" s="56" t="s">
        <v>3757</v>
      </c>
      <c r="D226" s="56" t="s">
        <v>29</v>
      </c>
      <c r="G226" s="56">
        <v>208</v>
      </c>
      <c r="H226" s="66" t="str">
        <f>VLOOKUP(I226,Codes!$A$1:$B$32,2,FALSE)</f>
        <v>FR</v>
      </c>
      <c r="I226" s="56" t="s">
        <v>7</v>
      </c>
      <c r="J226" s="56" t="s">
        <v>2330</v>
      </c>
      <c r="L226" s="56" t="s">
        <v>3758</v>
      </c>
      <c r="M226" s="69" t="s">
        <v>2616</v>
      </c>
      <c r="N226" s="70">
        <v>44.695999999999998</v>
      </c>
      <c r="O226" s="70">
        <v>2.585</v>
      </c>
      <c r="P226" s="70">
        <v>44.695999999999998</v>
      </c>
      <c r="Q226" s="70">
        <v>2.593</v>
      </c>
      <c r="U226" s="56">
        <v>124</v>
      </c>
      <c r="AA226" s="56">
        <v>280</v>
      </c>
      <c r="AE226" s="56">
        <v>1950</v>
      </c>
      <c r="AG226" s="56" t="s">
        <v>3759</v>
      </c>
      <c r="AH226" s="56">
        <v>3429</v>
      </c>
      <c r="AI226" s="70">
        <v>44.695999999999998</v>
      </c>
      <c r="AJ226" s="70">
        <v>2.585</v>
      </c>
      <c r="AK226" s="75">
        <v>56</v>
      </c>
      <c r="AP226" s="71">
        <v>65</v>
      </c>
      <c r="AR226" s="71">
        <v>270</v>
      </c>
      <c r="AY226" s="56" t="s">
        <v>3761</v>
      </c>
      <c r="BC226" s="56" t="s">
        <v>3760</v>
      </c>
    </row>
    <row r="227" spans="1:57" x14ac:dyDescent="0.35">
      <c r="A227" s="56" t="s">
        <v>3762</v>
      </c>
      <c r="D227" s="56" t="s">
        <v>3763</v>
      </c>
      <c r="E227" s="56" t="s">
        <v>29</v>
      </c>
      <c r="G227" s="56">
        <v>209</v>
      </c>
      <c r="H227" s="66" t="str">
        <f>VLOOKUP(I227,Codes!$A$1:$B$32,2,FALSE)</f>
        <v>FR</v>
      </c>
      <c r="I227" s="56" t="s">
        <v>7</v>
      </c>
      <c r="J227" s="56" t="s">
        <v>2451</v>
      </c>
      <c r="L227" s="56" t="s">
        <v>3764</v>
      </c>
      <c r="M227" s="69" t="s">
        <v>3470</v>
      </c>
      <c r="N227" s="70">
        <v>45.307000000000002</v>
      </c>
      <c r="O227" s="70">
        <v>4.7969999999999997</v>
      </c>
      <c r="P227" s="70">
        <v>45.307000000000002</v>
      </c>
      <c r="Q227" s="70">
        <v>4.7969999999999997</v>
      </c>
      <c r="R227" s="56">
        <v>4</v>
      </c>
      <c r="T227" s="71" t="s">
        <v>3481</v>
      </c>
      <c r="U227" s="56">
        <v>160</v>
      </c>
      <c r="AA227" s="56">
        <v>885</v>
      </c>
      <c r="AE227" s="56">
        <v>1977</v>
      </c>
      <c r="AI227" s="70">
        <v>45.3837245990049</v>
      </c>
      <c r="AJ227" s="74">
        <v>47.576929104980003</v>
      </c>
      <c r="AP227" s="71">
        <v>12.2</v>
      </c>
      <c r="AR227" s="71">
        <v>1600</v>
      </c>
      <c r="AY227" s="56" t="s">
        <v>3765</v>
      </c>
      <c r="BC227" s="56" t="s">
        <v>3754</v>
      </c>
    </row>
    <row r="228" spans="1:57" x14ac:dyDescent="0.35">
      <c r="A228" s="56" t="s">
        <v>3770</v>
      </c>
      <c r="D228" s="56" t="s">
        <v>29</v>
      </c>
      <c r="G228" s="56">
        <v>210</v>
      </c>
      <c r="H228" s="66" t="str">
        <f>VLOOKUP(I228,Codes!$A$1:$B$32,2,FALSE)</f>
        <v>FR</v>
      </c>
      <c r="I228" s="56" t="s">
        <v>7</v>
      </c>
      <c r="J228" s="56" t="s">
        <v>2330</v>
      </c>
      <c r="M228" s="69" t="s">
        <v>3769</v>
      </c>
      <c r="N228" s="70">
        <v>45.917019645769997</v>
      </c>
      <c r="O228" s="70">
        <v>6.7271518707275302</v>
      </c>
      <c r="P228" s="70">
        <v>45.917019645769997</v>
      </c>
      <c r="Q228" s="70">
        <v>6.7271518707275302</v>
      </c>
      <c r="R228" s="56">
        <v>4</v>
      </c>
      <c r="T228" s="71" t="s">
        <v>44</v>
      </c>
      <c r="U228" s="56">
        <v>109</v>
      </c>
      <c r="AA228" s="56">
        <v>379</v>
      </c>
      <c r="AG228" s="56" t="s">
        <v>3768</v>
      </c>
      <c r="AI228" s="70">
        <v>45.893909734233802</v>
      </c>
      <c r="AJ228" s="74">
        <v>6.7984250308654701</v>
      </c>
      <c r="AK228" s="75">
        <v>2</v>
      </c>
      <c r="AP228" s="71">
        <v>344</v>
      </c>
      <c r="AY228" s="56" t="s">
        <v>3767</v>
      </c>
      <c r="BC228" s="56" t="s">
        <v>3766</v>
      </c>
    </row>
    <row r="229" spans="1:57" x14ac:dyDescent="0.35">
      <c r="A229" s="56" t="s">
        <v>3775</v>
      </c>
      <c r="D229" s="56" t="s">
        <v>3772</v>
      </c>
      <c r="E229" s="56" t="s">
        <v>3773</v>
      </c>
      <c r="G229" s="56">
        <v>211</v>
      </c>
      <c r="H229" s="66" t="str">
        <f>VLOOKUP(I229,Codes!$A$1:$B$32,2,FALSE)</f>
        <v>HR</v>
      </c>
      <c r="I229" s="56" t="s">
        <v>8</v>
      </c>
      <c r="J229" s="56" t="s">
        <v>2343</v>
      </c>
      <c r="L229" s="56" t="s">
        <v>3774</v>
      </c>
      <c r="M229" s="69" t="s">
        <v>3784</v>
      </c>
      <c r="N229" s="70">
        <v>46.347900000000003</v>
      </c>
      <c r="O229" s="70">
        <v>16.2684</v>
      </c>
      <c r="P229" s="70">
        <v>46.366</v>
      </c>
      <c r="Q229" s="70">
        <v>16.276</v>
      </c>
      <c r="R229" s="56">
        <v>2</v>
      </c>
      <c r="T229" s="71" t="s">
        <v>2129</v>
      </c>
      <c r="U229" s="56">
        <f>2*47</f>
        <v>94</v>
      </c>
      <c r="AA229" s="56">
        <f>(498+405+457+522+511)/5</f>
        <v>478.6</v>
      </c>
      <c r="AG229" s="56" t="s">
        <v>3781</v>
      </c>
      <c r="AI229" s="70">
        <v>46.387806518507297</v>
      </c>
      <c r="AJ229" s="74">
        <v>16.175062763504599</v>
      </c>
      <c r="AK229" s="75">
        <v>2.8</v>
      </c>
      <c r="AP229" s="71">
        <v>21.9</v>
      </c>
      <c r="AR229" s="71">
        <v>500</v>
      </c>
      <c r="AY229" s="56" t="s">
        <v>3777</v>
      </c>
      <c r="AZ229" s="56" t="s">
        <v>3778</v>
      </c>
      <c r="BC229" s="56" t="s">
        <v>3776</v>
      </c>
    </row>
    <row r="230" spans="1:57" x14ac:dyDescent="0.35">
      <c r="A230" s="56" t="s">
        <v>1482</v>
      </c>
      <c r="D230" s="56" t="s">
        <v>3772</v>
      </c>
      <c r="E230" s="56" t="s">
        <v>3773</v>
      </c>
      <c r="G230" s="56">
        <v>212</v>
      </c>
      <c r="H230" s="66" t="str">
        <f>VLOOKUP(I230,Codes!$A$1:$B$32,2,FALSE)</f>
        <v>HR</v>
      </c>
      <c r="I230" s="56" t="s">
        <v>8</v>
      </c>
      <c r="J230" s="56" t="s">
        <v>2343</v>
      </c>
      <c r="M230" s="69" t="s">
        <v>3784</v>
      </c>
      <c r="N230" s="70">
        <v>46.311130062692598</v>
      </c>
      <c r="O230" s="70">
        <v>16.4945983886718</v>
      </c>
      <c r="P230" s="70">
        <v>46.302999999999997</v>
      </c>
      <c r="Q230" s="70">
        <v>16.495000000000001</v>
      </c>
      <c r="R230" s="56">
        <v>4</v>
      </c>
      <c r="T230" s="71" t="s">
        <v>3779</v>
      </c>
      <c r="U230" s="56">
        <v>76</v>
      </c>
      <c r="AA230" s="56">
        <f>(403+308+378+427+427)/5</f>
        <v>388.6</v>
      </c>
      <c r="AG230" s="56" t="s">
        <v>3782</v>
      </c>
      <c r="AH230" s="56">
        <v>3842</v>
      </c>
      <c r="AI230" s="70">
        <v>46.310985105699203</v>
      </c>
      <c r="AJ230" s="74">
        <v>16.451278355671</v>
      </c>
      <c r="AK230" s="75">
        <v>10.5</v>
      </c>
      <c r="AP230" s="71">
        <v>17.5</v>
      </c>
      <c r="AR230" s="71">
        <v>500</v>
      </c>
      <c r="AV230" s="56" t="s">
        <v>3775</v>
      </c>
      <c r="AY230" s="56" t="s">
        <v>3777</v>
      </c>
      <c r="AZ230" s="56" t="s">
        <v>3786</v>
      </c>
      <c r="BC230" s="56" t="s">
        <v>3780</v>
      </c>
    </row>
    <row r="231" spans="1:57" x14ac:dyDescent="0.35">
      <c r="A231" s="56" t="s">
        <v>1481</v>
      </c>
      <c r="D231" s="56" t="s">
        <v>3772</v>
      </c>
      <c r="E231" s="56" t="s">
        <v>3773</v>
      </c>
      <c r="G231" s="56">
        <v>213</v>
      </c>
      <c r="H231" s="66" t="str">
        <f>VLOOKUP(I231,Codes!$A$1:$B$32,2,FALSE)</f>
        <v>HR</v>
      </c>
      <c r="I231" s="56" t="s">
        <v>8</v>
      </c>
      <c r="J231" s="56" t="s">
        <v>2343</v>
      </c>
      <c r="M231" s="69" t="s">
        <v>3784</v>
      </c>
      <c r="N231" s="70">
        <v>46.320500000000003</v>
      </c>
      <c r="O231" s="70">
        <v>16.748899999999999</v>
      </c>
      <c r="P231" s="70">
        <v>46.317</v>
      </c>
      <c r="Q231" s="70">
        <v>16.734000000000002</v>
      </c>
      <c r="R231" s="56">
        <v>5</v>
      </c>
      <c r="T231" s="71" t="s">
        <v>3785</v>
      </c>
      <c r="U231" s="56">
        <v>76</v>
      </c>
      <c r="AA231" s="56">
        <f>(375+325+387+418+511)/5</f>
        <v>403.2</v>
      </c>
      <c r="AG231" s="56" t="s">
        <v>3783</v>
      </c>
      <c r="AH231" s="56">
        <v>3841</v>
      </c>
      <c r="AI231" s="70">
        <v>46.316715790871299</v>
      </c>
      <c r="AJ231" s="74">
        <v>16.6564012644812</v>
      </c>
      <c r="AK231" s="75">
        <v>16.600000000000001</v>
      </c>
      <c r="AP231" s="71">
        <v>17.5</v>
      </c>
      <c r="AR231" s="71">
        <v>500</v>
      </c>
      <c r="AV231" s="56" t="s">
        <v>1481</v>
      </c>
      <c r="AY231" s="56" t="s">
        <v>3777</v>
      </c>
      <c r="AZ231" s="56" t="s">
        <v>3786</v>
      </c>
    </row>
    <row r="232" spans="1:57" x14ac:dyDescent="0.35">
      <c r="A232" s="56" t="s">
        <v>1486</v>
      </c>
      <c r="D232" s="56" t="s">
        <v>3772</v>
      </c>
      <c r="E232" s="56" t="s">
        <v>3795</v>
      </c>
      <c r="G232" s="56">
        <v>214</v>
      </c>
      <c r="H232" s="66" t="str">
        <f>VLOOKUP(I232,Codes!$A$1:$B$32,2,FALSE)</f>
        <v>CZ</v>
      </c>
      <c r="I232" s="56" t="s">
        <v>2</v>
      </c>
      <c r="J232" s="56" t="s">
        <v>3818</v>
      </c>
      <c r="M232" s="69" t="s">
        <v>3819</v>
      </c>
      <c r="N232" s="70">
        <v>49.823697000000003</v>
      </c>
      <c r="O232" s="70">
        <v>14.4342329999999</v>
      </c>
      <c r="P232" s="70">
        <v>49.823697000000003</v>
      </c>
      <c r="Q232" s="70">
        <v>14.4342329999999</v>
      </c>
      <c r="R232" s="56">
        <v>3</v>
      </c>
      <c r="T232" s="71" t="s">
        <v>2129</v>
      </c>
      <c r="U232" s="56">
        <f>3*48</f>
        <v>144</v>
      </c>
      <c r="AG232" s="56" t="s">
        <v>3822</v>
      </c>
      <c r="AH232" s="56">
        <v>3260</v>
      </c>
      <c r="AI232" s="70">
        <v>49.823697000000003</v>
      </c>
      <c r="AJ232" s="70">
        <v>14.4342329999999</v>
      </c>
      <c r="AK232" s="75">
        <v>270</v>
      </c>
      <c r="AP232" s="71">
        <v>56</v>
      </c>
      <c r="AV232" s="56" t="s">
        <v>1512</v>
      </c>
      <c r="AX232" s="56">
        <v>3000</v>
      </c>
      <c r="AY232" s="56" t="s">
        <v>3761</v>
      </c>
      <c r="AZ232" s="56" t="s">
        <v>3820</v>
      </c>
      <c r="BC232" s="56" t="s">
        <v>3821</v>
      </c>
    </row>
    <row r="233" spans="1:57" x14ac:dyDescent="0.35">
      <c r="A233" s="56" t="s">
        <v>3787</v>
      </c>
      <c r="D233" s="56" t="s">
        <v>29</v>
      </c>
      <c r="G233" s="56">
        <v>215</v>
      </c>
      <c r="H233" s="66" t="str">
        <f>VLOOKUP(I233,Codes!$A$1:$B$32,2,FALSE)</f>
        <v>SE</v>
      </c>
      <c r="I233" s="56" t="s">
        <v>20</v>
      </c>
      <c r="J233" s="56" t="s">
        <v>3354</v>
      </c>
      <c r="L233" s="56" t="s">
        <v>3788</v>
      </c>
      <c r="M233" s="69" t="s">
        <v>3789</v>
      </c>
      <c r="N233" s="70">
        <v>62.0410534359537</v>
      </c>
      <c r="O233" s="70">
        <v>14.900875711755299</v>
      </c>
      <c r="P233" s="70">
        <v>62.0410534359537</v>
      </c>
      <c r="Q233" s="70">
        <v>14.900875711755299</v>
      </c>
      <c r="R233" s="56">
        <v>3</v>
      </c>
      <c r="T233" s="71" t="s">
        <v>3792</v>
      </c>
      <c r="U233" s="56">
        <v>103</v>
      </c>
      <c r="AA233" s="56">
        <v>522.5</v>
      </c>
      <c r="AE233" s="56">
        <v>1952</v>
      </c>
      <c r="AI233" s="70">
        <v>62.037290692772501</v>
      </c>
      <c r="AJ233" s="74">
        <v>14.877615595178201</v>
      </c>
      <c r="AK233" s="75">
        <f>(850*3600)/1000000</f>
        <v>3.06</v>
      </c>
      <c r="AP233" s="71">
        <v>60</v>
      </c>
      <c r="AR233" s="71">
        <v>200</v>
      </c>
      <c r="AY233" s="56" t="s">
        <v>3488</v>
      </c>
      <c r="BC233" s="56" t="s">
        <v>3790</v>
      </c>
      <c r="BD233" s="56" t="s">
        <v>3791</v>
      </c>
      <c r="BE233" s="56" t="s">
        <v>3793</v>
      </c>
    </row>
    <row r="234" spans="1:57" x14ac:dyDescent="0.35">
      <c r="A234" s="56" t="s">
        <v>3794</v>
      </c>
      <c r="D234" s="56" t="s">
        <v>3579</v>
      </c>
      <c r="E234" s="56" t="s">
        <v>3773</v>
      </c>
      <c r="G234" s="56">
        <v>216</v>
      </c>
      <c r="H234" s="66" t="str">
        <f>VLOOKUP(I234,Codes!$A$1:$B$32,2,FALSE)</f>
        <v>SE</v>
      </c>
      <c r="I234" s="56" t="s">
        <v>20</v>
      </c>
      <c r="J234" s="56" t="s">
        <v>3354</v>
      </c>
      <c r="L234" s="56" t="s">
        <v>3788</v>
      </c>
      <c r="M234" s="69" t="s">
        <v>3789</v>
      </c>
      <c r="N234" s="70">
        <v>62.110324924701096</v>
      </c>
      <c r="O234" s="70">
        <v>15.003185892419401</v>
      </c>
      <c r="P234" s="70">
        <v>62.110324924701096</v>
      </c>
      <c r="Q234" s="70">
        <v>15.003185892419401</v>
      </c>
      <c r="U234" s="56">
        <v>56.6</v>
      </c>
      <c r="AA234" s="56">
        <v>264.89999999999998</v>
      </c>
      <c r="AE234" s="56">
        <v>1961</v>
      </c>
      <c r="AG234" s="56" t="s">
        <v>3794</v>
      </c>
      <c r="AI234" s="70">
        <v>62.110324924701096</v>
      </c>
      <c r="AJ234" s="70">
        <v>15.003185892419401</v>
      </c>
      <c r="AK234" s="75">
        <f>(210*3600)/1000000</f>
        <v>0.75600000000000001</v>
      </c>
      <c r="AP234" s="71">
        <v>31.5</v>
      </c>
      <c r="AR234" s="71">
        <v>205</v>
      </c>
      <c r="AV234" s="56" t="s">
        <v>3787</v>
      </c>
      <c r="AY234" s="56" t="s">
        <v>3488</v>
      </c>
      <c r="BC234" s="56" t="s">
        <v>3790</v>
      </c>
    </row>
    <row r="235" spans="1:57" x14ac:dyDescent="0.35">
      <c r="A235" s="56" t="s">
        <v>3796</v>
      </c>
      <c r="D235" s="56" t="s">
        <v>3772</v>
      </c>
      <c r="E235" s="56" t="s">
        <v>3529</v>
      </c>
      <c r="G235" s="56">
        <v>217</v>
      </c>
      <c r="H235" s="66" t="str">
        <f>VLOOKUP(I235,Codes!$A$1:$B$32,2,FALSE)</f>
        <v>SE</v>
      </c>
      <c r="I235" s="56" t="s">
        <v>20</v>
      </c>
      <c r="J235" s="56" t="s">
        <v>2172</v>
      </c>
      <c r="L235" s="56" t="s">
        <v>3796</v>
      </c>
      <c r="M235" s="69" t="s">
        <v>3797</v>
      </c>
      <c r="N235" s="70">
        <v>63.239789967584102</v>
      </c>
      <c r="O235" s="70">
        <v>15.2383619788452</v>
      </c>
      <c r="P235" s="70">
        <v>63.284999999999997</v>
      </c>
      <c r="Q235" s="70">
        <v>15.227</v>
      </c>
      <c r="R235" s="56">
        <v>3</v>
      </c>
      <c r="T235" s="71" t="s">
        <v>2129</v>
      </c>
      <c r="U235" s="56">
        <v>155</v>
      </c>
      <c r="AI235" s="70">
        <v>63.245753769466603</v>
      </c>
      <c r="AJ235" s="70">
        <v>15.2043176611186</v>
      </c>
      <c r="AK235" s="75">
        <f>(4800*3600)/1000000</f>
        <v>17.28</v>
      </c>
      <c r="AP235" s="71">
        <v>27</v>
      </c>
      <c r="AR235" s="351">
        <f>419*R235</f>
        <v>1257</v>
      </c>
      <c r="AY235" s="56" t="s">
        <v>3488</v>
      </c>
      <c r="BC235" s="56" t="s">
        <v>3800</v>
      </c>
      <c r="BD235" s="56" t="s">
        <v>3791</v>
      </c>
    </row>
    <row r="236" spans="1:57" x14ac:dyDescent="0.35">
      <c r="A236" s="56" t="s">
        <v>3798</v>
      </c>
      <c r="D236" s="56" t="s">
        <v>3772</v>
      </c>
      <c r="E236" s="56" t="s">
        <v>3529</v>
      </c>
      <c r="G236" s="56">
        <v>218</v>
      </c>
      <c r="H236" s="66" t="str">
        <f>VLOOKUP(I236,Codes!$A$1:$B$32,2,FALSE)</f>
        <v>SE</v>
      </c>
      <c r="I236" s="56" t="s">
        <v>20</v>
      </c>
      <c r="J236" s="56" t="s">
        <v>2172</v>
      </c>
      <c r="M236" s="69" t="s">
        <v>3797</v>
      </c>
      <c r="N236" s="70">
        <v>63.221169584881203</v>
      </c>
      <c r="O236" s="70">
        <v>15.322420693701099</v>
      </c>
      <c r="P236" s="70">
        <v>63.221169584881203</v>
      </c>
      <c r="Q236" s="70">
        <v>15.322420693701099</v>
      </c>
      <c r="U236" s="56">
        <v>70</v>
      </c>
      <c r="AI236" s="70">
        <v>63.227510904046397</v>
      </c>
      <c r="AJ236" s="70">
        <v>15.2918649686034</v>
      </c>
      <c r="AK236" s="75">
        <f>(50*3600)/1000000</f>
        <v>0.18</v>
      </c>
      <c r="AP236" s="71">
        <v>13</v>
      </c>
      <c r="AR236" s="351">
        <v>660</v>
      </c>
      <c r="AV236" s="56" t="s">
        <v>3796</v>
      </c>
      <c r="AY236" s="56" t="s">
        <v>3649</v>
      </c>
      <c r="BC236" s="56" t="s">
        <v>3802</v>
      </c>
      <c r="BD236" s="56" t="s">
        <v>3791</v>
      </c>
    </row>
    <row r="237" spans="1:57" x14ac:dyDescent="0.35">
      <c r="A237" s="56" t="s">
        <v>3799</v>
      </c>
      <c r="D237" s="56" t="s">
        <v>3772</v>
      </c>
      <c r="E237" s="56" t="s">
        <v>3529</v>
      </c>
      <c r="G237" s="56">
        <v>219</v>
      </c>
      <c r="H237" s="66" t="str">
        <f>VLOOKUP(I237,Codes!$A$1:$B$32,2,FALSE)</f>
        <v>SE</v>
      </c>
      <c r="I237" s="56" t="s">
        <v>20</v>
      </c>
      <c r="J237" s="56" t="s">
        <v>2172</v>
      </c>
      <c r="M237" s="69" t="s">
        <v>3797</v>
      </c>
      <c r="N237" s="70">
        <v>63.164271835365099</v>
      </c>
      <c r="O237" s="70">
        <v>15.5991757399169</v>
      </c>
      <c r="P237" s="70">
        <v>63.201000000000001</v>
      </c>
      <c r="Q237" s="70">
        <v>15.5991757399169</v>
      </c>
      <c r="T237" s="71" t="s">
        <v>2129</v>
      </c>
      <c r="U237" s="56">
        <v>47</v>
      </c>
      <c r="AI237" s="70">
        <v>63.165317982651899</v>
      </c>
      <c r="AJ237" s="70">
        <v>15.5833828984759</v>
      </c>
      <c r="AK237" s="75">
        <f>(280*3600)/1000000</f>
        <v>1.008</v>
      </c>
      <c r="AP237" s="71">
        <v>7</v>
      </c>
      <c r="AR237" s="71">
        <v>640</v>
      </c>
      <c r="AV237" s="56" t="s">
        <v>3799</v>
      </c>
      <c r="AY237" s="56" t="s">
        <v>3649</v>
      </c>
      <c r="BC237" s="56" t="s">
        <v>3801</v>
      </c>
      <c r="BD237" s="56" t="s">
        <v>3791</v>
      </c>
    </row>
    <row r="238" spans="1:57" x14ac:dyDescent="0.35">
      <c r="A238" s="56" t="s">
        <v>3803</v>
      </c>
      <c r="D238" s="56" t="s">
        <v>3772</v>
      </c>
      <c r="E238" s="56" t="s">
        <v>29</v>
      </c>
      <c r="G238" s="56">
        <v>220</v>
      </c>
      <c r="H238" s="66" t="str">
        <f>VLOOKUP(I238,Codes!$A$1:$B$32,2,FALSE)</f>
        <v>SI</v>
      </c>
      <c r="I238" s="56" t="s">
        <v>17</v>
      </c>
      <c r="J238" s="56" t="s">
        <v>3804</v>
      </c>
      <c r="L238" s="56" t="s">
        <v>3803</v>
      </c>
      <c r="M238" s="69" t="s">
        <v>910</v>
      </c>
      <c r="N238" s="70">
        <v>45.897827162983099</v>
      </c>
      <c r="O238" s="70">
        <v>15.591021824511699</v>
      </c>
      <c r="P238" s="70">
        <v>45.897827162983099</v>
      </c>
      <c r="Q238" s="70">
        <v>15.602</v>
      </c>
      <c r="R238" s="56">
        <v>3</v>
      </c>
      <c r="T238" s="71" t="s">
        <v>2129</v>
      </c>
      <c r="U238" s="56">
        <v>47.5</v>
      </c>
      <c r="AA238" s="56">
        <v>161</v>
      </c>
      <c r="AI238" s="70">
        <v>45.897827162983099</v>
      </c>
      <c r="AJ238" s="70">
        <v>15.602</v>
      </c>
      <c r="AK238" s="75">
        <v>3.4</v>
      </c>
      <c r="AP238" s="71">
        <v>11</v>
      </c>
      <c r="AR238" s="71">
        <v>500</v>
      </c>
      <c r="AW238" s="56" t="s">
        <v>3817</v>
      </c>
      <c r="AY238" s="56" t="s">
        <v>3649</v>
      </c>
      <c r="AZ238" s="56" t="s">
        <v>3806</v>
      </c>
      <c r="BC238" s="56" t="s">
        <v>3805</v>
      </c>
    </row>
    <row r="239" spans="1:57" x14ac:dyDescent="0.35">
      <c r="A239" s="56" t="s">
        <v>3807</v>
      </c>
      <c r="D239" s="56" t="s">
        <v>3772</v>
      </c>
      <c r="E239" s="56" t="s">
        <v>29</v>
      </c>
      <c r="G239" s="56">
        <v>221</v>
      </c>
      <c r="H239" s="66" t="str">
        <f>VLOOKUP(I239,Codes!$A$1:$B$32,2,FALSE)</f>
        <v>SI</v>
      </c>
      <c r="I239" s="56" t="s">
        <v>17</v>
      </c>
      <c r="J239" s="56" t="s">
        <v>3804</v>
      </c>
      <c r="M239" s="69" t="s">
        <v>910</v>
      </c>
      <c r="N239" s="70">
        <v>45.975356142434798</v>
      </c>
      <c r="O239" s="70">
        <v>15.4825595142028</v>
      </c>
      <c r="P239" s="70">
        <v>45.975356142434798</v>
      </c>
      <c r="Q239" s="70">
        <v>15.4825595142028</v>
      </c>
      <c r="R239" s="56">
        <v>3</v>
      </c>
      <c r="T239" s="71" t="s">
        <v>2129</v>
      </c>
      <c r="U239" s="56">
        <v>39.5</v>
      </c>
      <c r="AA239" s="56">
        <v>146</v>
      </c>
      <c r="AI239" s="70">
        <v>45.975356142434798</v>
      </c>
      <c r="AJ239" s="70">
        <v>15.4825595142028</v>
      </c>
      <c r="AK239" s="75">
        <v>1.18</v>
      </c>
      <c r="AP239" s="71">
        <v>9.14</v>
      </c>
      <c r="AR239" s="71">
        <v>500</v>
      </c>
      <c r="AW239" s="56" t="s">
        <v>3809</v>
      </c>
      <c r="AY239" s="56" t="s">
        <v>3649</v>
      </c>
      <c r="AZ239" s="56" t="s">
        <v>3808</v>
      </c>
      <c r="BC239" s="56" t="s">
        <v>3815</v>
      </c>
    </row>
    <row r="240" spans="1:57" x14ac:dyDescent="0.35">
      <c r="A240" s="56" t="s">
        <v>3809</v>
      </c>
      <c r="D240" s="56" t="s">
        <v>3772</v>
      </c>
      <c r="E240" s="56" t="s">
        <v>29</v>
      </c>
      <c r="G240" s="56">
        <v>222</v>
      </c>
      <c r="H240" s="66" t="str">
        <f>VLOOKUP(I240,Codes!$A$1:$B$32,2,FALSE)</f>
        <v>SI</v>
      </c>
      <c r="I240" s="56" t="s">
        <v>17</v>
      </c>
      <c r="J240" s="56" t="s">
        <v>3804</v>
      </c>
      <c r="M240" s="69" t="s">
        <v>910</v>
      </c>
      <c r="N240" s="70">
        <v>45.990100888070202</v>
      </c>
      <c r="O240" s="70">
        <v>15.381613411009299</v>
      </c>
      <c r="P240" s="70">
        <v>45.990100888070202</v>
      </c>
      <c r="Q240" s="70">
        <v>15.381613411009299</v>
      </c>
      <c r="R240" s="56">
        <v>3</v>
      </c>
      <c r="T240" s="71" t="s">
        <v>2129</v>
      </c>
      <c r="U240" s="56">
        <v>39.119999999999997</v>
      </c>
      <c r="AA240" s="56">
        <v>148</v>
      </c>
      <c r="AI240" s="70">
        <v>45.990100888070202</v>
      </c>
      <c r="AJ240" s="70">
        <v>15.381613411009299</v>
      </c>
      <c r="AK240" s="75">
        <v>1.3</v>
      </c>
      <c r="AP240" s="71">
        <v>9.9</v>
      </c>
      <c r="AR240" s="71">
        <v>500</v>
      </c>
      <c r="AW240" s="56" t="s">
        <v>3816</v>
      </c>
      <c r="AY240" s="56" t="s">
        <v>3649</v>
      </c>
      <c r="AZ240" s="56" t="s">
        <v>3810</v>
      </c>
      <c r="BC240" s="56" t="s">
        <v>3811</v>
      </c>
    </row>
    <row r="241" spans="1:55" x14ac:dyDescent="0.35">
      <c r="A241" s="56" t="s">
        <v>3812</v>
      </c>
      <c r="D241" s="56" t="s">
        <v>3772</v>
      </c>
      <c r="E241" s="56" t="s">
        <v>29</v>
      </c>
      <c r="G241" s="56">
        <v>223</v>
      </c>
      <c r="H241" s="66" t="str">
        <f>VLOOKUP(I241,Codes!$A$1:$B$32,2,FALSE)</f>
        <v>SI</v>
      </c>
      <c r="I241" s="56" t="s">
        <v>17</v>
      </c>
      <c r="J241" s="56" t="s">
        <v>3804</v>
      </c>
      <c r="M241" s="69" t="s">
        <v>910</v>
      </c>
      <c r="N241" s="70">
        <v>46.017700521147198</v>
      </c>
      <c r="O241" s="70">
        <v>15.2813202515244</v>
      </c>
      <c r="P241" s="70">
        <v>46.017700521147198</v>
      </c>
      <c r="Q241" s="70">
        <v>15.2813202515244</v>
      </c>
      <c r="R241" s="56">
        <v>3</v>
      </c>
      <c r="T241" s="71" t="s">
        <v>2129</v>
      </c>
      <c r="U241" s="56">
        <v>32.5</v>
      </c>
      <c r="AA241" s="56">
        <v>109</v>
      </c>
      <c r="AI241" s="70">
        <v>46.017700521147198</v>
      </c>
      <c r="AJ241" s="70">
        <v>15.2813202515244</v>
      </c>
      <c r="AK241" s="75">
        <v>1.17</v>
      </c>
      <c r="AP241" s="71">
        <v>7.47</v>
      </c>
      <c r="AR241" s="71">
        <v>500</v>
      </c>
      <c r="AY241" s="56" t="s">
        <v>3649</v>
      </c>
      <c r="AZ241" s="56" t="s">
        <v>3813</v>
      </c>
      <c r="BC241" s="56" t="s">
        <v>3814</v>
      </c>
    </row>
    <row r="242" spans="1:55" x14ac:dyDescent="0.35">
      <c r="A242" s="56" t="s">
        <v>1512</v>
      </c>
      <c r="D242" s="56" t="s">
        <v>3772</v>
      </c>
      <c r="E242" s="56" t="s">
        <v>29</v>
      </c>
      <c r="G242" s="56">
        <v>224</v>
      </c>
      <c r="H242" s="66" t="str">
        <f>VLOOKUP(I242,Codes!$A$1:$B$32,2,FALSE)</f>
        <v>CZ</v>
      </c>
      <c r="I242" s="56" t="s">
        <v>2</v>
      </c>
      <c r="J242" s="56" t="s">
        <v>3818</v>
      </c>
      <c r="M242" s="69" t="s">
        <v>3819</v>
      </c>
      <c r="N242" s="70">
        <v>49.631999999999998</v>
      </c>
      <c r="O242" s="70">
        <v>14.252000000000001</v>
      </c>
      <c r="P242" s="70">
        <v>49.631999999999998</v>
      </c>
      <c r="Q242" s="70">
        <v>14.252000000000001</v>
      </c>
      <c r="AH242" s="56">
        <v>3262</v>
      </c>
      <c r="AI242" s="70">
        <v>49.631999999999998</v>
      </c>
      <c r="AJ242" s="70">
        <v>14.252000000000001</v>
      </c>
      <c r="AV242" s="56" t="s">
        <v>1484</v>
      </c>
      <c r="AY242" s="56" t="s">
        <v>3649</v>
      </c>
    </row>
    <row r="243" spans="1:55" x14ac:dyDescent="0.35">
      <c r="A243" s="56" t="s">
        <v>3823</v>
      </c>
      <c r="D243" s="56" t="s">
        <v>3772</v>
      </c>
      <c r="E243" s="56" t="s">
        <v>29</v>
      </c>
      <c r="G243" s="56">
        <v>225</v>
      </c>
      <c r="H243" s="66" t="str">
        <f>VLOOKUP(I243,Codes!$A$1:$B$32,2,FALSE)</f>
        <v>CZ</v>
      </c>
      <c r="I243" s="56" t="s">
        <v>2</v>
      </c>
      <c r="J243" s="56" t="s">
        <v>3818</v>
      </c>
      <c r="N243" s="70">
        <v>49.846755999999999</v>
      </c>
      <c r="O243" s="70">
        <v>14.422269999999999</v>
      </c>
      <c r="P243" s="70">
        <v>49.846755999999999</v>
      </c>
      <c r="Q243" s="70">
        <v>14.422269999999999</v>
      </c>
      <c r="AI243" s="70">
        <v>49.846755999999999</v>
      </c>
      <c r="AJ243" s="70">
        <v>14.422269999999999</v>
      </c>
      <c r="AV243" s="56" t="s">
        <v>1486</v>
      </c>
    </row>
    <row r="244" spans="1:55" x14ac:dyDescent="0.35">
      <c r="A244" s="56" t="s">
        <v>1516</v>
      </c>
      <c r="D244" s="56" t="s">
        <v>3772</v>
      </c>
      <c r="E244" s="56" t="s">
        <v>29</v>
      </c>
      <c r="G244" s="56">
        <v>226</v>
      </c>
      <c r="H244" s="66" t="str">
        <f>VLOOKUP(I244,Codes!$A$1:$B$32,2,FALSE)</f>
        <v>CZ</v>
      </c>
      <c r="I244" s="56" t="s">
        <v>2</v>
      </c>
      <c r="J244" s="56" t="s">
        <v>3818</v>
      </c>
      <c r="N244" s="70">
        <v>49.938046999999997</v>
      </c>
      <c r="O244" s="70">
        <v>14.37443</v>
      </c>
      <c r="P244" s="70">
        <v>49.938046999999997</v>
      </c>
      <c r="Q244" s="70">
        <v>14.37443</v>
      </c>
      <c r="AH244" s="56">
        <v>3258</v>
      </c>
      <c r="AI244" s="70">
        <v>49.933999999999997</v>
      </c>
      <c r="AJ244" s="74">
        <v>14.37</v>
      </c>
      <c r="AV244" s="56" t="s">
        <v>3823</v>
      </c>
    </row>
    <row r="248" spans="1:55" x14ac:dyDescent="0.35">
      <c r="A248" s="358"/>
      <c r="B248" s="358"/>
      <c r="C248" s="359"/>
      <c r="D248" s="358"/>
      <c r="E248" s="358"/>
      <c r="F248" s="358"/>
      <c r="G248" s="358"/>
      <c r="H248" s="360"/>
      <c r="I248" s="358"/>
      <c r="J248" s="358"/>
      <c r="K248" s="358"/>
      <c r="L248" s="358"/>
      <c r="M248" s="361"/>
      <c r="N248" s="362"/>
      <c r="O248" s="362"/>
      <c r="P248" s="362"/>
      <c r="Q248" s="362"/>
      <c r="R248" s="358"/>
      <c r="S248" s="358"/>
      <c r="T248" s="363"/>
      <c r="U248" s="358"/>
      <c r="V248" s="358"/>
      <c r="W248" s="358"/>
      <c r="X248" s="358"/>
      <c r="Y248" s="363"/>
      <c r="Z248" s="358"/>
      <c r="AA248" s="358"/>
      <c r="AB248" s="358"/>
      <c r="AC248" s="364"/>
      <c r="AD248" s="364"/>
      <c r="AE248" s="358"/>
      <c r="AF248" s="358"/>
      <c r="AG248" s="358"/>
      <c r="AH248" s="358"/>
      <c r="AI248" s="362"/>
      <c r="AJ248" s="365"/>
      <c r="AK248" s="366"/>
      <c r="AL248" s="358"/>
      <c r="AM248" s="358"/>
      <c r="AN248" s="365"/>
      <c r="AO248" s="365"/>
      <c r="AP248" s="363"/>
      <c r="AQ248" s="367"/>
      <c r="AR248" s="363"/>
      <c r="AS248" s="363"/>
      <c r="AT248" s="363"/>
      <c r="AU248" s="358"/>
      <c r="AV248" s="358"/>
      <c r="AW248" s="358"/>
    </row>
    <row r="249" spans="1:55" x14ac:dyDescent="0.35">
      <c r="U249" s="56">
        <f>SUM(U123:U241)</f>
        <v>13567.565000000001</v>
      </c>
      <c r="V249" s="56">
        <f>U9+U25+U36+U55+U70+U76+U78+U77+U79+U87+U88+U95+U97+U100+U106+U111</f>
        <v>7608.42</v>
      </c>
      <c r="AL249" s="353"/>
    </row>
    <row r="250" spans="1:55" x14ac:dyDescent="0.35">
      <c r="A250" s="56" t="s">
        <v>3715</v>
      </c>
      <c r="U250" s="353">
        <f>U249/32298</f>
        <v>0.42007446281503502</v>
      </c>
      <c r="V250" s="56">
        <f>V249+U249</f>
        <v>21175.985000000001</v>
      </c>
    </row>
    <row r="251" spans="1:55" x14ac:dyDescent="0.35">
      <c r="A251" s="56" t="s">
        <v>3716</v>
      </c>
      <c r="L251" s="56" t="s">
        <v>3613</v>
      </c>
      <c r="M251" s="69" t="s">
        <v>3614</v>
      </c>
      <c r="V251" s="353">
        <f>V250/32298</f>
        <v>0.65564384791627961</v>
      </c>
    </row>
    <row r="252" spans="1:55" x14ac:dyDescent="0.35">
      <c r="A252" s="56" t="s">
        <v>448</v>
      </c>
      <c r="M252" s="69" t="s">
        <v>3615</v>
      </c>
      <c r="N252" s="70" t="s">
        <v>20</v>
      </c>
      <c r="AK252" s="56"/>
      <c r="AL252" s="353"/>
    </row>
    <row r="253" spans="1:55" x14ac:dyDescent="0.35">
      <c r="A253" s="56" t="s">
        <v>3717</v>
      </c>
      <c r="M253" s="69" t="s">
        <v>3695</v>
      </c>
      <c r="AK253" s="56"/>
      <c r="AL253" s="71"/>
    </row>
    <row r="254" spans="1:55" x14ac:dyDescent="0.35">
      <c r="U254" s="353">
        <f>U249/66000</f>
        <v>0.20556916666666666</v>
      </c>
      <c r="V254" s="353">
        <f>V250/66000</f>
        <v>0.32084825757575758</v>
      </c>
    </row>
    <row r="255" spans="1:55" x14ac:dyDescent="0.35">
      <c r="AK255" s="353"/>
    </row>
    <row r="256" spans="1:55" x14ac:dyDescent="0.35">
      <c r="C256" s="134">
        <v>1</v>
      </c>
      <c r="D256" s="56">
        <v>0</v>
      </c>
      <c r="E256" s="56">
        <v>1</v>
      </c>
      <c r="F256" s="56">
        <f>COUNTIF($AT$123:$AT$223,C256)</f>
        <v>7</v>
      </c>
      <c r="H256" s="390"/>
    </row>
    <row r="257" spans="3:6" x14ac:dyDescent="0.35">
      <c r="C257" s="134">
        <v>2</v>
      </c>
      <c r="D257" s="56">
        <f>E256+0.001</f>
        <v>1.0009999999999999</v>
      </c>
      <c r="E257" s="56">
        <v>5</v>
      </c>
      <c r="F257" s="56">
        <f>COUNTIF($AT$123:$AT$223,C257)</f>
        <v>17</v>
      </c>
    </row>
    <row r="258" spans="3:6" x14ac:dyDescent="0.35">
      <c r="C258" s="134">
        <v>3</v>
      </c>
      <c r="D258" s="56">
        <v>5</v>
      </c>
      <c r="E258" s="56">
        <v>10</v>
      </c>
      <c r="F258" s="56">
        <f>COUNTIF($AT$123:$AT$223,C258)</f>
        <v>11</v>
      </c>
    </row>
    <row r="259" spans="3:6" x14ac:dyDescent="0.35">
      <c r="C259" s="134">
        <v>4</v>
      </c>
      <c r="D259" s="56">
        <v>10</v>
      </c>
      <c r="E259" s="56">
        <v>30</v>
      </c>
      <c r="F259" s="56">
        <f>COUNTIF($AT$123:$AT$223,C259)</f>
        <v>3</v>
      </c>
    </row>
    <row r="260" spans="3:6" x14ac:dyDescent="0.35">
      <c r="C260" s="134">
        <v>5</v>
      </c>
      <c r="D260" s="56">
        <v>30</v>
      </c>
      <c r="E260" s="56">
        <v>100</v>
      </c>
      <c r="F260" s="56">
        <f>COUNTIF($AT$123:$AT$223,C260)</f>
        <v>3</v>
      </c>
    </row>
    <row r="261" spans="3:6" x14ac:dyDescent="0.35">
      <c r="C261" s="134">
        <v>6</v>
      </c>
      <c r="D261" s="56">
        <v>100</v>
      </c>
      <c r="E261" s="56" t="s">
        <v>3742</v>
      </c>
      <c r="F261" s="56">
        <f>COUNTIF($AT$123:$AT$223,C261)</f>
        <v>4</v>
      </c>
    </row>
    <row r="262" spans="3:6" x14ac:dyDescent="0.35">
      <c r="F262" s="56">
        <f>SUM(F256:F261)</f>
        <v>45</v>
      </c>
    </row>
    <row r="270" spans="3:6" x14ac:dyDescent="0.35">
      <c r="C270" s="134" t="s">
        <v>3771</v>
      </c>
    </row>
    <row r="278" spans="5:5" x14ac:dyDescent="0.35">
      <c r="E278" s="56">
        <f>2842+3401+5605</f>
        <v>11848</v>
      </c>
    </row>
  </sheetData>
  <autoFilter ref="A1:BM244" xr:uid="{00000000-0009-0000-0000-000004000000}"/>
  <sortState ref="G113:BV286">
    <sortCondition descending="1" ref="T113:T286"/>
  </sortState>
  <conditionalFormatting sqref="C2:C122">
    <cfRule type="cellIs" dxfId="3" priority="3" operator="equal">
      <formula>"N"</formula>
    </cfRule>
    <cfRule type="cellIs" dxfId="2" priority="4" operator="equal">
      <formula>"Y"</formula>
    </cfRule>
  </conditionalFormatting>
  <hyperlinks>
    <hyperlink ref="K26" r:id="rId1" tooltip="Chaira Hydro Power Plant" display="https://en.wikipedia.org/wiki/Chaira_Hydro_Power_Plant" xr:uid="{00000000-0004-0000-0400-000000000000}"/>
    <hyperlink ref="A26" r:id="rId2" tooltip="Sestrimo (page does not exist)" display="https://en.wikipedia.org/w/index.php?title=Sestrimo&amp;action=edit&amp;redlink=1" xr:uid="{00000000-0004-0000-0400-000001000000}"/>
    <hyperlink ref="K55" r:id="rId3" tooltip="Zakučac Hydroelectric Power Plant" display="https://en.wikipedia.org/wiki/Zaku%C4%8Dac_Hydroelectric_Power_Plant" xr:uid="{00000000-0004-0000-0400-000002000000}"/>
    <hyperlink ref="K41" r:id="rId4" tooltip="Dlouhé Stráně Hydro Power Plant" display="https://en.wikipedia.org/wiki/Dlouh%C3%A9_Str%C3%A1n%C4%9B_Hydro_Power_Plant" xr:uid="{00000000-0004-0000-0400-000003000000}"/>
    <hyperlink ref="A41" r:id="rId5" tooltip="Loučná nad Desnou" display="https://en.wikipedia.org/wiki/Lou%C4%8Dn%C3%A1_nad_Desnou" xr:uid="{00000000-0004-0000-0400-000004000000}"/>
    <hyperlink ref="I41" r:id="rId6" tooltip="ČEZ" display="https://en.wikipedia.org/wiki/%C4%8CEZ" xr:uid="{00000000-0004-0000-0400-000005000000}"/>
    <hyperlink ref="K67" r:id="rId7" tooltip="Dalešice Hydro Power Plant" display="https://en.wikipedia.org/wiki/Dale%C5%A1ice_Hydro_Power_Plant" xr:uid="{00000000-0004-0000-0400-000006000000}"/>
    <hyperlink ref="A67" r:id="rId8" tooltip="Kramolín (Třebíč District)" display="https://en.wikipedia.org/wiki/Kramol%C3%ADn_(T%C5%99eb%C3%AD%C4%8D_District)" xr:uid="{00000000-0004-0000-0400-000007000000}"/>
    <hyperlink ref="K88" r:id="rId9" tooltip="Orlík Hydro Power Plant" display="https://en.wikipedia.org/wiki/Orl%C3%ADk_Hydro_Power_Plant" xr:uid="{00000000-0004-0000-0400-000008000000}"/>
    <hyperlink ref="A88" r:id="rId10" tooltip="Solenice" display="https://en.wikipedia.org/wiki/Solenice" xr:uid="{00000000-0004-0000-0400-000009000000}"/>
    <hyperlink ref="K15" r:id="rId11" tooltip="Markersbach Pumped Storage Station (page does not exist)" display="https://en.wikipedia.org/w/index.php?title=Markersbach_Pumped_Storage_Station&amp;action=edit&amp;redlink=1" xr:uid="{00000000-0004-0000-0400-00000A000000}"/>
    <hyperlink ref="K92" r:id="rId12" tooltip="Säckingen Pumped Storage Station (page does not exist)" display="https://en.wikipedia.org/w/index.php?title=S%C3%A4ckingen_Pumped_Storage_Station&amp;action=edit&amp;redlink=1" xr:uid="{00000000-0004-0000-0400-00000B000000}"/>
    <hyperlink ref="K60" r:id="rId13" location="Waldeck_II" tooltip="Waldeck Pumped Storage Station" display="https://en.wikipedia.org/wiki/Waldeck_Pumped_Storage_Station - Waldeck_II" xr:uid="{00000000-0004-0000-0400-00000C000000}"/>
    <hyperlink ref="M60" r:id="rId14" display="https://tools.wmflabs.org/geohack/geohack.php?pagename=List_of_power_stations_in_Germany&amp;params=51.1665488_N_9.0465868_E_&amp;title=Waldeck+II+Pumped+Storage+Station" xr:uid="{00000000-0004-0000-0400-00000D000000}"/>
    <hyperlink ref="K74" r:id="rId15" tooltip="Kremasta Dam" display="https://en.wikipedia.org/wiki/Kremasta_Dam" xr:uid="{00000000-0004-0000-0400-00000E000000}"/>
    <hyperlink ref="M74" r:id="rId16" display="https://tools.wmflabs.org/geohack/geohack.php?pagename=List_of_power_stations_in_Greece&amp;params=38.8839511_N_21.4937961_E_&amp;title=Kremasta+Hydroelectric+Dam" xr:uid="{00000000-0004-0000-0400-00000F000000}"/>
    <hyperlink ref="K83" r:id="rId17" tooltip="Thisavros Dam" display="https://en.wikipedia.org/wiki/Thisavros_Dam" xr:uid="{00000000-0004-0000-0400-000010000000}"/>
    <hyperlink ref="M83" r:id="rId18" display="https://tools.wmflabs.org/geohack/geohack.php?pagename=List_of_power_stations_in_Greece&amp;params=41.354444_N_24.366944_E_&amp;title=Thisavros++Hydroelectric+Dam" xr:uid="{00000000-0004-0000-0400-000011000000}"/>
    <hyperlink ref="I77" r:id="rId19" tooltip="A2A" display="https://en.wikipedia.org/wiki/A2A" xr:uid="{00000000-0004-0000-0400-000012000000}"/>
    <hyperlink ref="I17" r:id="rId20" tooltip="Enel" display="https://en.wikipedia.org/wiki/Enel" xr:uid="{00000000-0004-0000-0400-000013000000}"/>
    <hyperlink ref="K17" r:id="rId21" tooltip="Edolo Pumped Storage Plant" display="https://en.wikipedia.org/wiki/Edolo_Pumped_Storage_Plant" xr:uid="{00000000-0004-0000-0400-000014000000}"/>
    <hyperlink ref="I18" r:id="rId22" tooltip="Enel" display="https://en.wikipedia.org/wiki/Enel" xr:uid="{00000000-0004-0000-0400-000015000000}"/>
    <hyperlink ref="K18" r:id="rId23" tooltip="Presenzano Hydroelectric Plant" display="https://en.wikipedia.org/wiki/Presenzano_Hydroelectric_Plant" xr:uid="{00000000-0004-0000-0400-000016000000}"/>
    <hyperlink ref="I45" r:id="rId24" tooltip="Enel" display="https://en.wikipedia.org/wiki/Enel" xr:uid="{00000000-0004-0000-0400-000017000000}"/>
    <hyperlink ref="I68" r:id="rId25" tooltip="Enel" display="https://en.wikipedia.org/wiki/Enel" xr:uid="{00000000-0004-0000-0400-000018000000}"/>
    <hyperlink ref="I8" r:id="rId26" tooltip="Enel" display="https://en.wikipedia.org/wiki/Enel" xr:uid="{00000000-0004-0000-0400-000019000000}"/>
    <hyperlink ref="I16" r:id="rId27" tooltip="Enel" display="https://en.wikipedia.org/wiki/Enel" xr:uid="{00000000-0004-0000-0400-00001A000000}"/>
    <hyperlink ref="K16" r:id="rId28" tooltip="Roncovalgrande Hydroelectric Plant" display="https://en.wikipedia.org/wiki/Roncovalgrande_Hydroelectric_Plant" xr:uid="{00000000-0004-0000-0400-00001B000000}"/>
    <hyperlink ref="A16" r:id="rId29" tooltip="Maccagno" display="https://en.wikipedia.org/wiki/Maccagno" xr:uid="{00000000-0004-0000-0400-00001C000000}"/>
    <hyperlink ref="K25" r:id="rId30" tooltip="Pļaviņas Hydroelectric Power Station" display="https://en.wikipedia.org/wiki/P%C4%BCavi%C5%86as_Hydroelectric_Power_Station" xr:uid="{00000000-0004-0000-0400-00001D000000}"/>
    <hyperlink ref="A25" r:id="rId31" tooltip="Aizkraukle" display="https://en.wikipedia.org/wiki/Aizkraukle" xr:uid="{00000000-0004-0000-0400-00001E000000}"/>
    <hyperlink ref="M25" r:id="rId32" display="https://tools.wmflabs.org/geohack/geohack.php?pagename=List_of_power_stations_in_Latvia&amp;params=56.5822027_N_25.2373123_E_&amp;title=P%C4%BCavi%C5%86as+Hydroelectric+Power+Station" xr:uid="{00000000-0004-0000-0400-00001F000000}"/>
    <hyperlink ref="K79" r:id="rId33" tooltip="Riga Hydroelectric Power Plant" display="https://en.wikipedia.org/wiki/Riga_Hydroelectric_Power_Plant" xr:uid="{00000000-0004-0000-0400-000020000000}"/>
    <hyperlink ref="A79" r:id="rId34" tooltip="Salaspils" display="https://en.wikipedia.org/wiki/Salaspils" xr:uid="{00000000-0004-0000-0400-000021000000}"/>
    <hyperlink ref="M79" r:id="rId35" display="https://tools.wmflabs.org/geohack/geohack.php?pagename=List_of_power_stations_in_Latvia&amp;params=56.8513187_N_24.2720389_E_&amp;title=Riga+Hydroelectric+Power+Plant" xr:uid="{00000000-0004-0000-0400-000022000000}"/>
    <hyperlink ref="K39" r:id="rId36" tooltip="Alto Lindoso Dam" display="https://en.wikipedia.org/wiki/Alto_Lindoso_Dam" xr:uid="{00000000-0004-0000-0400-000023000000}"/>
    <hyperlink ref="A39" r:id="rId37" tooltip="Viana do Castelo District" display="https://en.wikipedia.org/wiki/Viana_do_Castelo_District" xr:uid="{00000000-0004-0000-0400-000024000000}"/>
    <hyperlink ref="M39" r:id="rId38" display="https://tools.wmflabs.org/geohack/geohack.php?pagename=List_of_power_stations_in_Portugal&amp;params=41.872835_N_8.204075_W_type:landmark&amp;title=Alto+Lindoso+Dam" xr:uid="{00000000-0004-0000-0400-000025000000}"/>
    <hyperlink ref="K76" r:id="rId39" tooltip="Bemposta Dam" display="https://en.wikipedia.org/wiki/Bemposta_Dam" xr:uid="{00000000-0004-0000-0400-000026000000}"/>
    <hyperlink ref="A76" r:id="rId40" tooltip="Bragança District" display="https://en.wikipedia.org/wiki/Bragan%C3%A7a_District" xr:uid="{00000000-0004-0000-0400-000027000000}"/>
    <hyperlink ref="K87" r:id="rId41" tooltip="Miranda Dam" display="https://en.wikipedia.org/wiki/Miranda_Dam" xr:uid="{00000000-0004-0000-0400-000028000000}"/>
    <hyperlink ref="K70" r:id="rId42" tooltip="Picote Dam" display="https://en.wikipedia.org/wiki/Picote_Dam" xr:uid="{00000000-0004-0000-0400-000029000000}"/>
    <hyperlink ref="J50" r:id="rId43" tooltip="Lotru-Ciunget Hydroelectric Power Station" display="https://en.wikipedia.org/wiki/Lotru-Ciunget_Hydroelectric_Power_Station" xr:uid="{00000000-0004-0000-0400-00002A000000}"/>
    <hyperlink ref="K100" r:id="rId44" tooltip="Iron Gate II Hydroelectric Power Station" display="https://en.wikipedia.org/wiki/Iron_Gate_II_Hydroelectric_Power_Station" xr:uid="{00000000-0004-0000-0400-00002B000000}"/>
    <hyperlink ref="M100" r:id="rId45" display="https://tools.wmflabs.org/geohack/geohack.php?pagename=List_of_power_stations_in_Romania&amp;params=46.7889_N_22.5671625_E_&amp;title=Iron+Gate+II+Hydroelectric+Power+Station" xr:uid="{00000000-0004-0000-0400-00002C000000}"/>
    <hyperlink ref="K36" r:id="rId46" tooltip="Gabčíkovo – Nagymaros Dams" display="https://en.wikipedia.org/wiki/Gab%C4%8D%C3%ADkovo_%E2%80%93_Nagymaros_Dams" xr:uid="{00000000-0004-0000-0400-00002D000000}"/>
    <hyperlink ref="M36" r:id="rId47" display="https://tools.wmflabs.org/geohack/geohack.php?pagename=List_of_power_stations_in_Slovakia&amp;params=47.8800886_N_17.5385141_E_type:landmark&amp;title=Nagymaros+Dams" xr:uid="{00000000-0004-0000-0400-00002E000000}"/>
    <hyperlink ref="K62" r:id="rId48" tooltip="Porjus Hydroelectric Power Station" display="https://en.wikipedia.org/wiki/Porjus_Hydroelectric_Power_Station" xr:uid="{00000000-0004-0000-0400-00002F000000}"/>
    <hyperlink ref="L62" r:id="rId49" tooltip="Lule River" display="https://en.wikipedia.org/wiki/Lule_River" xr:uid="{00000000-0004-0000-0400-000030000000}"/>
    <hyperlink ref="K43" r:id="rId50" tooltip="Stornorrfors Hydroelectric power station (page does not exist)" display="https://en.wikipedia.org/w/index.php?title=Stornorrfors_Hydroelectric_power_station&amp;action=edit&amp;redlink=1" xr:uid="{00000000-0004-0000-0400-000031000000}"/>
    <hyperlink ref="L43" r:id="rId51" tooltip="Ume River" display="https://en.wikipedia.org/wiki/Ume_River" xr:uid="{00000000-0004-0000-0400-000032000000}"/>
    <hyperlink ref="K63" r:id="rId52" tooltip="Messaure (page does not exist)" display="https://en.wikipedia.org/w/index.php?title=Messaure&amp;action=edit&amp;redlink=1" xr:uid="{00000000-0004-0000-0400-000033000000}"/>
    <hyperlink ref="K66" r:id="rId53" tooltip="Letsi (page does not exist)" display="https://en.wikipedia.org/w/index.php?title=Letsi&amp;action=edit&amp;redlink=1" xr:uid="{00000000-0004-0000-0400-000034000000}"/>
    <hyperlink ref="L66" r:id="rId54" tooltip="Lesser Lule River" display="https://en.wikipedia.org/wiki/Lesser_Lule_River" xr:uid="{00000000-0004-0000-0400-000035000000}"/>
    <hyperlink ref="K102" r:id="rId55" tooltip="Kilforsen (page does not exist)" display="https://en.wikipedia.org/w/index.php?title=Kilforsen&amp;action=edit&amp;redlink=1" xr:uid="{00000000-0004-0000-0400-000036000000}"/>
    <hyperlink ref="L102" r:id="rId56" tooltip="Fjällsjö River (page does not exist)" display="https://en.wikipedia.org/w/index.php?title=Fj%C3%A4llsj%C3%B6_River&amp;action=edit&amp;redlink=1" xr:uid="{00000000-0004-0000-0400-000037000000}"/>
    <hyperlink ref="K5" r:id="rId57" tooltip="Bieudron Hydroelectric Power Station" display="https://en.wikipedia.org/wiki/Bieudron_Hydroelectric_Power_Station" xr:uid="{00000000-0004-0000-0400-000038000000}"/>
    <hyperlink ref="J71" r:id="rId58" tooltip="Linth–Limmern Power Stations" display="https://en.wikipedia.org/wiki/Linth%E2%80%93Limmern_Power_Stations" xr:uid="{00000000-0004-0000-0400-000039000000}"/>
    <hyperlink ref="A33" r:id="rId59" tooltip="Carinthia (state)" display="https://en.wikipedia.org/wiki/Carinthia_(state)" xr:uid="{00000000-0004-0000-0400-00003A000000}"/>
    <hyperlink ref="A81" r:id="rId60" tooltip="Kaunertal" display="https://en.wikipedia.org/wiki/Kaunertal" xr:uid="{00000000-0004-0000-0400-00003B000000}"/>
    <hyperlink ref="K49" r:id="rId61" tooltip="Alqueva Dam" display="https://en.wikipedia.org/wiki/Alqueva_Dam" xr:uid="{00000000-0004-0000-0400-00003C000000}"/>
    <hyperlink ref="I80" r:id="rId62" tooltip="Scottish Power" display="https://en.wikipedia.org/wiki/Scottish_Power" xr:uid="{00000000-0004-0000-0400-00003D000000}"/>
    <hyperlink ref="A80" r:id="rId63" tooltip="Argyll and Bute" display="https://en.wikipedia.org/wiki/Argyll_and_Bute" xr:uid="{00000000-0004-0000-0400-00003E000000}"/>
    <hyperlink ref="K24" r:id="rId64" tooltip="Kruonis Pumped Storage Plant" display="https://en.wikipedia.org/wiki/Kruonis_Pumped_Storage_Plant" xr:uid="{00000000-0004-0000-0400-00003F000000}"/>
    <hyperlink ref="I121" r:id="rId65" tooltip="Enel" display="https://en.wikipedia.org/wiki/Enel" xr:uid="{00000000-0004-0000-0400-000040000000}"/>
    <hyperlink ref="K121" r:id="rId66" tooltip="Entracque Power Plant" display="https://en.wikipedia.org/wiki/Entracque_Power_Plant" xr:uid="{00000000-0004-0000-0400-000041000000}"/>
    <hyperlink ref="K8" r:id="rId67" tooltip="Entracque Power Plant" display="https://en.wikipedia.org/wiki/Entracque_Power_Plant" xr:uid="{00000000-0004-0000-0400-000042000000}"/>
    <hyperlink ref="BC4" r:id="rId68" display="http://globalenergyobservatory.org/form.php?pid=45216" xr:uid="{00000000-0004-0000-0400-000043000000}"/>
    <hyperlink ref="BD38" r:id="rId69" display="http://www.statkraft.com/energy-sources/Power-plants/Norway/Saurdal/" xr:uid="{00000000-0004-0000-0400-000044000000}"/>
    <hyperlink ref="BC7" r:id="rId70" display="http://www.statkraft.com/energy-sources/Power-plants/Norway/Kvilldal/" xr:uid="{00000000-0004-0000-0400-000045000000}"/>
    <hyperlink ref="K9" r:id="rId71" tooltip="Iron Gate I Hydroelectric Power Station" display="https://en.wikipedia.org/wiki/Iron_Gate_I_Hydroelectric_Power_Station" xr:uid="{00000000-0004-0000-0400-000046000000}"/>
    <hyperlink ref="M9" r:id="rId72" display="https://tools.wmflabs.org/geohack/geohack.php?pagename=List_of_power_stations_in_Romania&amp;params=44.6732766_N_22.5320363_E_&amp;title=Iron+Gate+I+Hydroelectric+Power+Station" xr:uid="{00000000-0004-0000-0400-000047000000}"/>
    <hyperlink ref="AZ108" r:id="rId73" display="http://globalenergyobservatory.org/form.php?pid=45447" xr:uid="{00000000-0004-0000-0400-000048000000}"/>
    <hyperlink ref="BC10" r:id="rId74" display="https://www.engie-electrabel.be/assets/be/corporate/documents/12018_Coo_Folder_NL_LR.pdf" xr:uid="{00000000-0004-0000-0400-000049000000}"/>
    <hyperlink ref="BE112" r:id="rId75" xr:uid="{00000000-0004-0000-0400-00004A000000}"/>
    <hyperlink ref="BC33" r:id="rId76" display="http://www.verbund.com/pp/de/pumpspeicherkraftwerk/malta-hauptstufe" xr:uid="{00000000-0004-0000-0400-00004B000000}"/>
    <hyperlink ref="BD16" r:id="rId77" display="http://globalenergyobservatory.org/geoid/45431" xr:uid="{00000000-0004-0000-0400-00004C000000}"/>
    <hyperlink ref="BD33" r:id="rId78" display="https://de.wikipedia.org/wiki/Maltakraftwerke" xr:uid="{00000000-0004-0000-0400-00004D000000}"/>
    <hyperlink ref="BC2" r:id="rId79" display="https://fr.wikipedia.org/wiki/Barrage_de_Grand%27Maison" xr:uid="{00000000-0004-0000-0400-00004E000000}"/>
    <hyperlink ref="BC3" r:id="rId80" display="http://www.fhc.co.uk/dinorwig.htm" xr:uid="{00000000-0004-0000-0400-00004F000000}"/>
    <hyperlink ref="BD3" r:id="rId81" display="https://en.wikipedia.org/wiki/Marchlyn_Mawr" xr:uid="{00000000-0004-0000-0400-000050000000}"/>
    <hyperlink ref="BE3" r:id="rId82" display="http://globalenergyobservatory.org/form.php?pid=44137" xr:uid="{00000000-0004-0000-0400-000051000000}"/>
    <hyperlink ref="BD2" r:id="rId83" display="http://globalenergyobservatory.org/form.php?pid=44410" xr:uid="{00000000-0004-0000-0400-000052000000}"/>
    <hyperlink ref="BC96" r:id="rId84" display="www.grimselstrom.ch/home/download/1254" xr:uid="{00000000-0004-0000-0400-000053000000}"/>
    <hyperlink ref="AZ96" r:id="rId85" display="file:///C:/Users/Marte/Desktop/kwo2019s-power-plants.pdf" xr:uid="{00000000-0004-0000-0400-000054000000}"/>
    <hyperlink ref="BC108" r:id="rId86" display="http://www.grimselstrom.ch/electrical-energy/power-plants-and-dams/power-plants/" xr:uid="{00000000-0004-0000-0400-000055000000}"/>
    <hyperlink ref="BD108" r:id="rId87" display="www.grimselstrom.ch/home/download/1254" xr:uid="{00000000-0004-0000-0400-000056000000}"/>
    <hyperlink ref="AZ121" r:id="rId88" display="https://en.wikipedia.org/wiki/Entracque_Power_Plant" xr:uid="{00000000-0004-0000-0400-000057000000}"/>
    <hyperlink ref="BC121" r:id="rId89" display="http://globalenergyobservatory.org/geoid/45432" xr:uid="{00000000-0004-0000-0400-000058000000}"/>
    <hyperlink ref="AZ5" r:id="rId90" display="http://enipedia.tudelft.nl/wiki/Bieudron_Powerplant" xr:uid="{00000000-0004-0000-0400-000059000000}"/>
    <hyperlink ref="BC5" r:id="rId91" display="https://en.wikipedia.org/wiki/Bieudron_Hydroelectric_Power_Station" xr:uid="{00000000-0004-0000-0400-00005A000000}"/>
    <hyperlink ref="BC103" r:id="rId92" display="http://www.grande-dixence.ch/energie/hydraulic/switzerland/fionnay-power-station-altitude-1490.html" xr:uid="{00000000-0004-0000-0400-00005B000000}"/>
    <hyperlink ref="AZ7" r:id="rId93" display="https://en.wikipedia.org/wiki/Ulla-F%C3%B8rre" xr:uid="{00000000-0004-0000-0400-00005C000000}"/>
    <hyperlink ref="BD7" r:id="rId94" display="https://no.wikipedia.org/wiki/Kvilldal_kraftverk" xr:uid="{00000000-0004-0000-0400-00005D000000}"/>
    <hyperlink ref="AZ119" r:id="rId95" display="https://en.wikipedia.org/wiki/Ulla-F%C3%B8rre" xr:uid="{00000000-0004-0000-0400-00005E000000}"/>
    <hyperlink ref="BC6" r:id="rId96" display="http://www.iberdrola.es/about-us/a-great-company/facilities-map/2015/" xr:uid="{00000000-0004-0000-0400-00005F000000}"/>
    <hyperlink ref="BD6" r:id="rId97" display="https://en.wikipedia.org/wiki/Aldead%C3%A1vila_Dam" xr:uid="{00000000-0004-0000-0400-000060000000}"/>
    <hyperlink ref="BE6" r:id="rId98" location="Aldead.C3.A1vila_I" display="https://es.wikipedia.org/wiki/Presa_de_Aldead%C3%A1vila#Aldead.C3.A1vila_I" xr:uid="{00000000-0004-0000-0400-000061000000}"/>
    <hyperlink ref="AZ9" r:id="rId99" display="http://globalenergyobservatory.org/form.php?pid=40975" xr:uid="{00000000-0004-0000-0400-000062000000}"/>
    <hyperlink ref="BC9" r:id="rId100" display="https://en.wikipedia.org/wiki/Iron_Gate_I_Hydroelectric_Power_Station" xr:uid="{00000000-0004-0000-0400-000063000000}"/>
    <hyperlink ref="BC22" r:id="rId101" display="http://www.seprem.es/ficha.php?idpresa=579&amp;p=23" xr:uid="{00000000-0004-0000-0400-000064000000}"/>
    <hyperlink ref="I35" r:id="rId102" tooltip="Électricité de France" display="https://en.wikipedia.org/wiki/%C3%89lectricit%C3%A9_de_France" xr:uid="{00000000-0004-0000-0400-000065000000}"/>
    <hyperlink ref="AZ51" r:id="rId103" display="https://www.hs-mainz.de/fileadmin/content/fb1/pdf/Bau/Exkursionen/Kraftwerksgruppe_Sellrain-Silz.pdf" xr:uid="{00000000-0004-0000-0400-000066000000}"/>
    <hyperlink ref="AZ104" r:id="rId104" display="https://www.hs-mainz.de/fileadmin/content/fb1/pdf/Bau/Exkursionen/Kraftwerksgruppe_Sellrain-Silz.pdf" xr:uid="{00000000-0004-0000-0400-000067000000}"/>
    <hyperlink ref="AZ90" r:id="rId105" display="http://www.verbund.com/pp/de/pumpspeicherkraftwerk/haeusling" xr:uid="{00000000-0004-0000-0400-000068000000}"/>
    <hyperlink ref="I55" r:id="rId106" tooltip="Hrvatska elektroprivreda" display="https://en.wikipedia.org/wiki/Hrvatska_elektroprivreda" xr:uid="{00000000-0004-0000-0400-000069000000}"/>
    <hyperlink ref="AF76" r:id="rId107" tooltip="Bemposta Dam" display="https://en.wikipedia.org/wiki/Bemposta_Dam" xr:uid="{00000000-0004-0000-0400-00006A000000}"/>
    <hyperlink ref="AZ77" r:id="rId108" display="http://www.a2a.eu/it/impianti_reti/idroelettrica/grosio.html" xr:uid="{00000000-0004-0000-0400-00006B000000}"/>
    <hyperlink ref="AZ79" r:id="rId109" display="http://www.latvenergo.lv/portal/page/portal/english/latvenergo/main1/about_latvenergo/energy_production/hidroelektrostacijas" xr:uid="{00000000-0004-0000-0400-00006C000000}"/>
    <hyperlink ref="AZ106" r:id="rId110" display="http://www.latvenergo.lv/portal/page/portal/english/latvenergo/main1/about_latvenergo/energy_production/hidroelektrostacijas" xr:uid="{00000000-0004-0000-0400-00006D000000}"/>
    <hyperlink ref="BD27" r:id="rId111" display="http://voith.com/de/11_06_Broschuere-Pumped-storage_einzeln.pdf" xr:uid="{00000000-0004-0000-0400-00006E000000}"/>
    <hyperlink ref="I53" r:id="rId112" tooltip="Polska Grupa Energetyczna" display="https://de.wikipedia.org/wiki/Polska_Grupa_Energetyczna" xr:uid="{00000000-0004-0000-0400-00006F000000}"/>
    <hyperlink ref="I54" r:id="rId113" tooltip="Vorarlberger Illwerke" display="https://de.wikipedia.org/wiki/Vorarlberger_Illwerke" xr:uid="{00000000-0004-0000-0400-000070000000}"/>
    <hyperlink ref="M88" r:id="rId114" tooltip="Hohenwarte II Pumped Storage Station (page does not exist)" display="https://en.wikipedia.org/w/index.php?title=Hohenwarte_II_Pumped_Storage_Station&amp;action=edit&amp;redlink=1" xr:uid="{00000000-0004-0000-0400-000071000000}"/>
    <hyperlink ref="A32" r:id="rId115" tooltip="Carinthia (state)" display="https://en.wikipedia.org/wiki/Carinthia_(state)" xr:uid="{00000000-0004-0000-0400-000072000000}"/>
    <hyperlink ref="AZ32" r:id="rId116" display="http://www.verbund.com/pp/de/pumpspeicherkraftwerk/malta-oberstufe" xr:uid="{00000000-0004-0000-0400-000073000000}"/>
    <hyperlink ref="BC28" r:id="rId117" display="www.e-co.no/filestore/statkraft_ToreK.pdf" xr:uid="{00000000-0004-0000-0400-000074000000}"/>
    <hyperlink ref="AZ68" r:id="rId118" display="https://www.enel.it/it-it/documents/azienda/ambiente/dichiarazioni_ambientali/montorio_da2007_2008.pdf" xr:uid="{00000000-0004-0000-0400-000075000000}"/>
    <hyperlink ref="AZ28" r:id="rId119" display="http://www.e-co.no/?module=Articles;action=Article.publicOpen;ID=219" xr:uid="{00000000-0004-0000-0400-000076000000}"/>
    <hyperlink ref="BE64" r:id="rId120" display="http://energie.edf.com/fichiers/fckeditor/DP_Visite_Cheylas.pdf" xr:uid="{00000000-0004-0000-0400-000077000000}"/>
    <hyperlink ref="AZ29" r:id="rId121" display="http://www.seprem.es/ficha.php?idpresa=52&amp;p=2" xr:uid="{00000000-0004-0000-0400-000078000000}"/>
    <hyperlink ref="BC48" r:id="rId122" display="http://globalenergyobservatory.org/geoid/44131" xr:uid="{00000000-0004-0000-0400-000079000000}"/>
    <hyperlink ref="BE20" r:id="rId123" xr:uid="{00000000-0004-0000-0400-00007A000000}"/>
    <hyperlink ref="BC20" r:id="rId124" xr:uid="{00000000-0004-0000-0400-00007B000000}"/>
    <hyperlink ref="BE11" r:id="rId125" xr:uid="{00000000-0004-0000-0400-00007C000000}"/>
    <hyperlink ref="BD11" r:id="rId126" xr:uid="{00000000-0004-0000-0400-00007D000000}"/>
    <hyperlink ref="BC65" r:id="rId127" xr:uid="{00000000-0004-0000-0400-00007E000000}"/>
    <hyperlink ref="BE51" r:id="rId128" xr:uid="{00000000-0004-0000-0400-00007F000000}"/>
    <hyperlink ref="BD51" r:id="rId129" location="cite_note-tiwag-1" xr:uid="{00000000-0004-0000-0400-000080000000}"/>
    <hyperlink ref="BC51" r:id="rId130" xr:uid="{00000000-0004-0000-0400-000081000000}"/>
    <hyperlink ref="BF120" r:id="rId131" xr:uid="{00000000-0004-0000-0400-000082000000}"/>
    <hyperlink ref="BC34" r:id="rId132" xr:uid="{00000000-0004-0000-0400-000083000000}"/>
    <hyperlink ref="BF11" r:id="rId133" xr:uid="{00000000-0004-0000-0400-000084000000}"/>
    <hyperlink ref="BE32" r:id="rId134" xr:uid="{00000000-0004-0000-0400-000085000000}"/>
    <hyperlink ref="BC56" r:id="rId135" xr:uid="{00000000-0004-0000-0400-000086000000}"/>
    <hyperlink ref="BC58" r:id="rId136" xr:uid="{00000000-0004-0000-0400-000087000000}"/>
    <hyperlink ref="BC102" r:id="rId137" xr:uid="{00000000-0004-0000-0400-000088000000}"/>
    <hyperlink ref="BC112" r:id="rId138" xr:uid="{00000000-0004-0000-0400-000089000000}"/>
    <hyperlink ref="BD112" r:id="rId139" xr:uid="{00000000-0004-0000-0400-00008A000000}"/>
    <hyperlink ref="BF112" r:id="rId140" xr:uid="{00000000-0004-0000-0400-00008B000000}"/>
    <hyperlink ref="BC113" r:id="rId141" xr:uid="{00000000-0004-0000-0400-00008C000000}"/>
    <hyperlink ref="BD113" r:id="rId142" xr:uid="{00000000-0004-0000-0400-00008D000000}"/>
    <hyperlink ref="BC111" r:id="rId143" xr:uid="{00000000-0004-0000-0400-00008E000000}"/>
    <hyperlink ref="BC132" r:id="rId144" xr:uid="{F9D3E754-14DF-45DD-B457-3700032835F5}"/>
    <hyperlink ref="BC133" r:id="rId145" xr:uid="{404F8A9D-8C1A-4294-AE0D-8B57F62EAAB1}"/>
    <hyperlink ref="BD133" r:id="rId146" xr:uid="{316CE69B-3BA8-43CF-87D1-1D9B7972ED18}"/>
    <hyperlink ref="BC137" r:id="rId147" xr:uid="{F631E89D-84C2-4D74-970A-A5A72B975536}"/>
    <hyperlink ref="BC139" r:id="rId148" xr:uid="{BFD9C0A3-BC18-497F-8675-72FBB6C77BFB}"/>
    <hyperlink ref="BC140" r:id="rId149" xr:uid="{59CE6F18-6E8D-48CB-89BE-77AD624E993D}"/>
    <hyperlink ref="BC142" r:id="rId150" xr:uid="{7B04EFEE-45BB-4284-9467-C1D8957F273D}"/>
    <hyperlink ref="BD142" r:id="rId151" display="http://www.centrodeinformacao.ren.pt/PT/publicacoes/PublicacoesGerais/Hidroelectricidade em Portugal - Mem%C3%B3ria e desafio.pdf" xr:uid="{397B5B76-67A2-4CCB-A83C-C012E15B5BAF}"/>
    <hyperlink ref="BC145" r:id="rId152" xr:uid="{2AD7DCBB-E8E3-45DB-B83F-77B4CBB3C93A}"/>
    <hyperlink ref="BD145" r:id="rId153" xr:uid="{1E838274-0C61-4C42-AE57-A52A09CD7A23}"/>
    <hyperlink ref="BE145" r:id="rId154" xr:uid="{3BF8291A-5E62-4FBE-AEC0-C29D48B66FAB}"/>
    <hyperlink ref="BF145" r:id="rId155" xr:uid="{3DE8ED46-B111-4814-B980-ECBB63CA4DA2}"/>
    <hyperlink ref="BC155" r:id="rId156" xr:uid="{B5BC1E51-3BB7-4FB7-9230-2D6828E59B83}"/>
    <hyperlink ref="BC167" r:id="rId157" display="https://www.researchgate.net/profile/Michal_Habel2/publication/266072268_Dynamics_of_the_Vistula_River_channel_deformations_downstream_of_the_Wloclawek_Reservoir/links/542424610cf26120b7a71ebe/Dynamics-of-the-Vistula-River-channel-deformations-downstream-of-the-Wloclawek-Reservoir.pdf" xr:uid="{7CCAEF62-2259-49AB-87E1-B6B0888093DE}"/>
    <hyperlink ref="BD167" r:id="rId158" xr:uid="{9206597F-DA19-4EE9-887B-960858C04320}"/>
    <hyperlink ref="BC168" r:id="rId159" location="cite_note-5" display="https://fr.wikipedia.org/wiki/Barrage_de_Mar%C3%A8ges - cite_note-5" xr:uid="{6CE972F0-7B6B-4394-B8BD-F80CAA70A18E}"/>
    <hyperlink ref="BC169" r:id="rId160" xr:uid="{9726C936-C342-490A-8C45-CF08FF3B1E87}"/>
    <hyperlink ref="BD146" r:id="rId161" xr:uid="{C9000D6E-6E88-4889-B763-76783F08CC32}"/>
    <hyperlink ref="BC171" r:id="rId162" xr:uid="{A5F09A87-7A68-4BAE-B3A6-D13667F6E2E9}"/>
    <hyperlink ref="BC172" r:id="rId163" xr:uid="{8E8B1C53-F6CC-4E78-AE96-9A83FC1DB966}"/>
    <hyperlink ref="BC173" r:id="rId164" xr:uid="{D6900EC1-7B81-41CD-B85F-7ABC7334D0E7}"/>
    <hyperlink ref="BC181" r:id="rId165" location=".WlSlga6nG70" display="https://www.aet.ch/IT/Impianto-idroelettrico-Piottino-57db1a00 - .WlSlga6nG70" xr:uid="{8EBCE295-E630-45BF-8711-A8D2C59FC575}"/>
    <hyperlink ref="BD181" r:id="rId166" xr:uid="{AE4DD99E-90E6-465F-AC38-7FDCB572A9AD}"/>
    <hyperlink ref="BC179" r:id="rId167" location=".WlSbqa6nG70" display="https://www.aet.ch/IT/Impianto-idroelettrico-Nuova-Biaschina-af2c3e00 - .WlSbqa6nG70" xr:uid="{D91AD619-36B9-4CA8-84C1-106176DDBF85}"/>
    <hyperlink ref="BC180" r:id="rId168" location=".WlSbqa6nG70" display="https://www.aet.ch/IT/Impianto-idroelettrico-Nuova-Biaschina-af2c3e00 - .WlSbqa6nG70" xr:uid="{504F2C0A-322A-472D-9D52-0054837C191F}"/>
    <hyperlink ref="BC183" r:id="rId169" xr:uid="{64B795D2-3985-425F-800D-50CB0C3B64B0}"/>
    <hyperlink ref="BD183" r:id="rId170" display="https://de.wikipedia.org/wiki/Stausee_Ferden" xr:uid="{53BABE9F-FF8C-4B44-976D-ACEE0FC7954A}"/>
    <hyperlink ref="BC182" r:id="rId171" location=".WlTYYK6nG70" display="https://www.aet.ch/IT/Impianto-idroelettrico-Tremorgio-e68a9800 - .WlTYYK6nG70" xr:uid="{2C478612-7099-4E9A-BC46-4666FA61B9BF}"/>
    <hyperlink ref="BC184" r:id="rId172" xr:uid="{B8F44EF6-0EEA-41B0-8CB9-D7FBC5F25D2F}"/>
    <hyperlink ref="BC185" r:id="rId173" xr:uid="{E30A9F8C-6477-4B8D-93C6-AF44C24DDA78}"/>
    <hyperlink ref="BC186" r:id="rId174" xr:uid="{2B1039E4-D446-4FBD-816A-B6F55390BA23}"/>
    <hyperlink ref="BC189" r:id="rId175" xr:uid="{369D85FF-0719-49D9-9387-960CF187873C}"/>
    <hyperlink ref="BC190" r:id="rId176" xr:uid="{7220F94A-C5AA-4D18-BADF-C9A3CEE15297}"/>
    <hyperlink ref="BC192" r:id="rId177" xr:uid="{ACC8AB28-4EB3-472E-B5AA-905D949AAAA5}"/>
    <hyperlink ref="BD192" r:id="rId178" xr:uid="{DCCFE7D7-67CC-4CAB-AA15-037BB0923C74}"/>
    <hyperlink ref="BC193" r:id="rId179" xr:uid="{2D9186A6-C38C-45C1-A779-1C249A0CE696}"/>
    <hyperlink ref="BD193" r:id="rId180" xr:uid="{0E97262A-B0B9-4F6B-A802-3CB58D6E30E2}"/>
    <hyperlink ref="BE193" r:id="rId181" xr:uid="{5575021A-8D2D-4343-946C-7E68E0DC93FC}"/>
    <hyperlink ref="BC194" r:id="rId182" xr:uid="{2D1DE207-B0CB-48DB-9E3F-7C92E83CFA54}"/>
    <hyperlink ref="BD194" r:id="rId183" xr:uid="{59AD1460-4622-40AC-8837-599D93F6BEE5}"/>
    <hyperlink ref="BC195" r:id="rId184" xr:uid="{6E16F638-4EF3-4F42-83AF-1692EDB88A9F}"/>
    <hyperlink ref="BD195" r:id="rId185" xr:uid="{8AAC3B00-F4ED-4CAA-8BEB-0BCC29D23828}"/>
    <hyperlink ref="BC198" r:id="rId186" xr:uid="{F61E789B-BC87-41D4-8E49-09660B1C6F5C}"/>
    <hyperlink ref="BD198" r:id="rId187" xr:uid="{88F47862-88C4-41C7-91DC-F070E8D89C27}"/>
    <hyperlink ref="BE198" r:id="rId188" xr:uid="{A50EE422-9A2D-4914-B23C-8897011606E7}"/>
    <hyperlink ref="BC197" r:id="rId189" xr:uid="{55011147-DE67-4C54-977E-36D95E0C34E9}"/>
    <hyperlink ref="BD197" r:id="rId190" display="http://evolution.skf.com/a-steady-flow/" xr:uid="{19DC063A-5820-4F2D-9990-E5D649A33B46}"/>
    <hyperlink ref="BC196" r:id="rId191" xr:uid="{49B4D7BC-3C92-46C5-9001-974A64781A51}"/>
    <hyperlink ref="BD196" r:id="rId192" xr:uid="{6D85B5C2-F38D-4403-828D-743724177EB1}"/>
    <hyperlink ref="BC199" r:id="rId193" xr:uid="{0042A37F-1333-4474-8387-B13A61D6F066}"/>
    <hyperlink ref="BD199" r:id="rId194" xr:uid="{893CDE0B-0208-407C-BF36-6E032B39D021}"/>
    <hyperlink ref="BC200" r:id="rId195" xr:uid="{4B398B1D-E3F1-48CF-B383-62CCDCA6CFDC}"/>
    <hyperlink ref="BC187" r:id="rId196" xr:uid="{C3BBA1E6-6AB4-48DB-91EB-D9C4B7017A21}"/>
    <hyperlink ref="BD187" r:id="rId197" xr:uid="{43571C6B-68FE-4B2D-AB60-BF5293E56AD2}"/>
    <hyperlink ref="BE187" r:id="rId198" xr:uid="{C16B2F93-FF9D-489E-BFBA-CACF64B11623}"/>
    <hyperlink ref="BC202" r:id="rId199" xr:uid="{5C4BAE26-4702-4AD1-9C93-A0A026441E7D}"/>
    <hyperlink ref="BD202" r:id="rId200" xr:uid="{F64AD756-EACE-4B22-9340-B2B97A84E3B2}"/>
    <hyperlink ref="BC201" r:id="rId201" xr:uid="{1E833E78-D87E-4030-B619-FF8175E6ED0D}"/>
    <hyperlink ref="BD201" r:id="rId202" xr:uid="{516B53E9-43AC-4C0C-93CA-097B55A7E127}"/>
    <hyperlink ref="BC203" r:id="rId203" xr:uid="{17C1A1B5-549D-4728-B1CF-390A6891D480}"/>
    <hyperlink ref="BD203" r:id="rId204" xr:uid="{D0461EE3-8AE1-46A9-81DA-CAA388EC2465}"/>
    <hyperlink ref="BC131" r:id="rId205" xr:uid="{14B40C55-FB42-4FD7-A178-E27A6711EACF}"/>
    <hyperlink ref="BC128" r:id="rId206" xr:uid="{C2533A6F-789C-475A-8AD3-68E83001C590}"/>
    <hyperlink ref="BC204" r:id="rId207" xr:uid="{05DD68A3-3CE8-42A6-BD66-4D29995F440E}"/>
    <hyperlink ref="BC206" r:id="rId208" xr:uid="{716E9301-69D7-4E43-ABBF-3E6DE79C23A5}"/>
    <hyperlink ref="BC205" r:id="rId209" xr:uid="{FA889C18-7D3A-4C06-A437-4CA9F475F156}"/>
    <hyperlink ref="BC207" r:id="rId210" xr:uid="{F7D06CA2-75E6-4B50-B75F-CD7A200F38C4}"/>
    <hyperlink ref="BC208" r:id="rId211" xr:uid="{78C39EFD-5183-4F95-9202-505DBDD47C9B}"/>
    <hyperlink ref="BC209" r:id="rId212" xr:uid="{588C5AD7-8244-4274-9C1F-87925749DD8D}"/>
    <hyperlink ref="BD24" r:id="rId213" xr:uid="{860B3307-9494-4E8D-A505-05733FDA7D4F}"/>
    <hyperlink ref="BC210" r:id="rId214" xr:uid="{822446D4-ABBD-47D1-8949-2D4E6FBC9BC3}"/>
    <hyperlink ref="BD210" r:id="rId215" xr:uid="{98CBE867-A833-4608-A503-996E48473C44}"/>
    <hyperlink ref="BD211" r:id="rId216" xr:uid="{BBBEAF37-29FC-46FC-9936-A1C452E05810}"/>
    <hyperlink ref="BC212" r:id="rId217" xr:uid="{418912A9-CCD7-437F-A9B4-7D1F6C25000D}"/>
    <hyperlink ref="BC213" r:id="rId218" xr:uid="{80D4EE77-88D8-4C55-AE32-A66D6DEBD541}"/>
    <hyperlink ref="BC214" r:id="rId219" xr:uid="{3DBBF4B6-D789-459D-8128-FF8382F7D812}"/>
    <hyperlink ref="BC215" r:id="rId220" xr:uid="{50704446-E77C-4DE7-9062-CA5C64BD2832}"/>
    <hyperlink ref="BC216" r:id="rId221" xr:uid="{BFC392F1-CD2A-4721-AAF1-29BB2C3636D8}"/>
    <hyperlink ref="BC217" r:id="rId222" xr:uid="{9B2E044B-6B3A-44B0-9E26-3B99B632E281}"/>
    <hyperlink ref="BC218" r:id="rId223" xr:uid="{658E3AFD-28CC-470A-9979-83CF9B2E25C9}"/>
    <hyperlink ref="BC219" r:id="rId224" xr:uid="{46AFF5B3-5744-4C9F-AE37-512C8BA1876F}"/>
    <hyperlink ref="BD219" r:id="rId225" xr:uid="{2F98EED2-3E8A-4075-84A9-F80D0E694605}"/>
    <hyperlink ref="BC77" r:id="rId226" xr:uid="{016B7516-86A8-47B1-A910-DB186C320E48}"/>
    <hyperlink ref="BD77" r:id="rId227" xr:uid="{56F60BA8-435E-4F94-820A-D13037CBDD14}"/>
    <hyperlink ref="BC220" r:id="rId228" xr:uid="{E3D70A76-CB5D-493B-B43A-A8FFADE5A046}"/>
    <hyperlink ref="BD220" r:id="rId229" display="http://orizzontenergia.it/download/Appr/RINNOVABILI/2013_12_30_centrali idroelettriche_Univ Pavia.pdf" xr:uid="{085A6510-0C59-40F9-9092-2FD24C2ABD9C}"/>
    <hyperlink ref="BE220" r:id="rId230" xr:uid="{212BC2DD-0901-4F4D-A4FB-1CE92393C452}"/>
  </hyperlinks>
  <pageMargins left="0.7" right="0.7" top="0.75" bottom="0.75" header="0.3" footer="0.3"/>
  <pageSetup scale="25" orientation="landscape" r:id="rId231"/>
  <colBreaks count="2" manualBreakCount="2">
    <brk id="38" max="1048575" man="1"/>
    <brk id="51" max="1048575" man="1"/>
  </colBreaks>
  <drawing r:id="rId232"/>
  <legacyDrawing r:id="rId23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400-000000000000}">
          <x14:formula1>
            <xm:f>Codes!$E$1:$E$2</xm:f>
          </x14:formula1>
          <xm:sqref>C2:C122</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2BA3D1-B31C-49FE-9DBA-40BDECB425D6}">
  <dimension ref="A2:C5"/>
  <sheetViews>
    <sheetView workbookViewId="0">
      <selection activeCell="C3" sqref="C3"/>
    </sheetView>
  </sheetViews>
  <sheetFormatPr defaultRowHeight="14.5" x14ac:dyDescent="0.35"/>
  <sheetData>
    <row r="2" spans="1:3" x14ac:dyDescent="0.35">
      <c r="C2" t="s">
        <v>3448</v>
      </c>
    </row>
    <row r="3" spans="1:3" x14ac:dyDescent="0.35">
      <c r="A3" t="s">
        <v>3433</v>
      </c>
      <c r="C3">
        <f>2.1/13.1</f>
        <v>0.1603053435114504</v>
      </c>
    </row>
    <row r="4" spans="1:3" x14ac:dyDescent="0.35">
      <c r="A4" t="s">
        <v>3439</v>
      </c>
      <c r="C4">
        <f>0.9/4.2</f>
        <v>0.21428571428571427</v>
      </c>
    </row>
    <row r="5" spans="1:3" x14ac:dyDescent="0.35">
      <c r="A5" t="s">
        <v>3420</v>
      </c>
      <c r="C5">
        <f>4.5/17.2</f>
        <v>0.26162790697674421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5">
    <tabColor theme="8" tint="-0.249977111117893"/>
  </sheetPr>
  <dimension ref="A1:E54"/>
  <sheetViews>
    <sheetView workbookViewId="0">
      <selection activeCell="C5" sqref="C5"/>
    </sheetView>
  </sheetViews>
  <sheetFormatPr defaultColWidth="8.81640625" defaultRowHeight="14.5" x14ac:dyDescent="0.35"/>
  <cols>
    <col min="1" max="1" width="32.453125" customWidth="1"/>
    <col min="2" max="2" width="30" style="221" bestFit="1" customWidth="1"/>
    <col min="3" max="3" width="20.81640625" bestFit="1" customWidth="1"/>
    <col min="4" max="4" width="54.1796875" bestFit="1" customWidth="1"/>
  </cols>
  <sheetData>
    <row r="1" spans="1:4" s="169" customFormat="1" ht="15.75" customHeight="1" x14ac:dyDescent="0.35">
      <c r="A1" s="169" t="s">
        <v>2960</v>
      </c>
      <c r="B1" s="155" t="s">
        <v>2968</v>
      </c>
      <c r="C1" s="169" t="s">
        <v>2969</v>
      </c>
      <c r="D1" s="169" t="s">
        <v>2967</v>
      </c>
    </row>
    <row r="2" spans="1:4" s="127" customFormat="1" x14ac:dyDescent="0.35">
      <c r="A2" s="218" t="str">
        <f t="shared" ref="A2:A10" si="0">B2 &amp; "-" &amp; C2</f>
        <v>Rembesdalsvatn-Langavatn</v>
      </c>
      <c r="B2" s="220" t="s">
        <v>2711</v>
      </c>
      <c r="C2" s="127" t="s">
        <v>2709</v>
      </c>
      <c r="D2" s="127" t="s">
        <v>2970</v>
      </c>
    </row>
    <row r="3" spans="1:4" s="127" customFormat="1" x14ac:dyDescent="0.35">
      <c r="A3" s="218" t="str">
        <f t="shared" si="0"/>
        <v>Sysenvatn-Langavatn</v>
      </c>
      <c r="B3" s="220" t="s">
        <v>2712</v>
      </c>
      <c r="C3" s="127" t="s">
        <v>2709</v>
      </c>
      <c r="D3" s="127" t="s">
        <v>2970</v>
      </c>
    </row>
    <row r="4" spans="1:4" s="127" customFormat="1" x14ac:dyDescent="0.35">
      <c r="A4" s="218" t="str">
        <f t="shared" si="0"/>
        <v>Kallvatnet-Akersvatnet</v>
      </c>
      <c r="B4" s="220" t="s">
        <v>2338</v>
      </c>
      <c r="C4" s="127" t="s">
        <v>2336</v>
      </c>
      <c r="D4" s="127" t="s">
        <v>2970</v>
      </c>
    </row>
    <row r="5" spans="1:4" s="127" customFormat="1" x14ac:dyDescent="0.35">
      <c r="A5" s="218" t="str">
        <f t="shared" si="0"/>
        <v>Gresvatnet-Akersvatnet</v>
      </c>
      <c r="B5" s="220" t="s">
        <v>2339</v>
      </c>
      <c r="C5" s="127" t="s">
        <v>2336</v>
      </c>
      <c r="D5" s="127" t="s">
        <v>2970</v>
      </c>
    </row>
    <row r="6" spans="1:4" s="127" customFormat="1" x14ac:dyDescent="0.35">
      <c r="A6" s="218" t="str">
        <f t="shared" si="0"/>
        <v>Kjensvat-Akersvatnet</v>
      </c>
      <c r="B6" s="220" t="s">
        <v>2716</v>
      </c>
      <c r="C6" s="127" t="s">
        <v>2336</v>
      </c>
      <c r="D6" s="127" t="s">
        <v>2970</v>
      </c>
    </row>
    <row r="7" spans="1:4" s="127" customFormat="1" x14ac:dyDescent="0.35">
      <c r="A7" s="218" t="str">
        <f t="shared" si="0"/>
        <v>Longefan-Flumet</v>
      </c>
      <c r="B7" s="220" t="s">
        <v>2652</v>
      </c>
      <c r="C7" s="127" t="s">
        <v>2647</v>
      </c>
      <c r="D7" s="127" t="s">
        <v>2970</v>
      </c>
    </row>
    <row r="8" spans="1:4" s="127" customFormat="1" x14ac:dyDescent="0.35">
      <c r="A8" s="218" t="str">
        <f t="shared" si="0"/>
        <v>Pareloup-Villefranche-de-Panat</v>
      </c>
      <c r="B8" s="220" t="s">
        <v>1563</v>
      </c>
      <c r="C8" s="127" t="s">
        <v>2385</v>
      </c>
      <c r="D8" s="127" t="s">
        <v>2970</v>
      </c>
    </row>
    <row r="9" spans="1:4" x14ac:dyDescent="0.35">
      <c r="A9" s="96" t="str">
        <f t="shared" si="0"/>
        <v>Grimsel-Gelmersee</v>
      </c>
      <c r="B9" s="221" t="s">
        <v>2066</v>
      </c>
      <c r="C9" t="s">
        <v>2731</v>
      </c>
      <c r="D9" t="s">
        <v>2970</v>
      </c>
    </row>
    <row r="10" spans="1:4" x14ac:dyDescent="0.35">
      <c r="A10" s="96" t="str">
        <f t="shared" si="0"/>
        <v>Raeterichsboden-Gelmersee</v>
      </c>
      <c r="B10" s="221" t="s">
        <v>2732</v>
      </c>
      <c r="C10" t="s">
        <v>2731</v>
      </c>
      <c r="D10" t="s">
        <v>2970</v>
      </c>
    </row>
    <row r="11" spans="1:4" x14ac:dyDescent="0.35">
      <c r="A11" s="96" t="str">
        <f t="shared" ref="A11:A18" si="1">B11 &amp; "-" &amp; C11</f>
        <v>Svartevatn-Vargevatn</v>
      </c>
      <c r="B11" s="221" t="s">
        <v>2483</v>
      </c>
      <c r="C11" t="s">
        <v>2736</v>
      </c>
      <c r="D11" t="s">
        <v>2970</v>
      </c>
    </row>
    <row r="12" spans="1:4" x14ac:dyDescent="0.35">
      <c r="A12" s="96" t="str">
        <f t="shared" si="1"/>
        <v>Langavatn-Vargevatn</v>
      </c>
      <c r="B12" s="221" t="s">
        <v>2709</v>
      </c>
      <c r="C12" t="s">
        <v>2736</v>
      </c>
      <c r="D12" t="s">
        <v>2970</v>
      </c>
    </row>
    <row r="13" spans="1:4" x14ac:dyDescent="0.35">
      <c r="A13" s="96" t="str">
        <f t="shared" si="1"/>
        <v>Katlavatn-Vargevatn</v>
      </c>
      <c r="B13" s="221" t="s">
        <v>2733</v>
      </c>
      <c r="C13" t="s">
        <v>2736</v>
      </c>
      <c r="D13" t="s">
        <v>2970</v>
      </c>
    </row>
    <row r="14" spans="1:4" x14ac:dyDescent="0.35">
      <c r="A14" s="96" t="str">
        <f t="shared" si="1"/>
        <v>Bergdalsvatn-Vargevatn</v>
      </c>
      <c r="B14" s="221" t="s">
        <v>2734</v>
      </c>
      <c r="C14" t="s">
        <v>2736</v>
      </c>
      <c r="D14" t="s">
        <v>2970</v>
      </c>
    </row>
    <row r="15" spans="1:4" x14ac:dyDescent="0.35">
      <c r="A15" s="96" t="str">
        <f t="shared" si="1"/>
        <v>Vesterdalstjern-Vargevatn</v>
      </c>
      <c r="B15" s="221" t="s">
        <v>2735</v>
      </c>
      <c r="C15" t="s">
        <v>2736</v>
      </c>
      <c r="D15" t="s">
        <v>2970</v>
      </c>
    </row>
    <row r="16" spans="1:4" x14ac:dyDescent="0.35">
      <c r="A16" s="96" t="str">
        <f t="shared" si="1"/>
        <v>Vetlebotnvatn-Vargevatn</v>
      </c>
      <c r="B16" s="221" t="s">
        <v>2154</v>
      </c>
      <c r="C16" t="s">
        <v>2736</v>
      </c>
      <c r="D16" t="s">
        <v>2970</v>
      </c>
    </row>
    <row r="17" spans="1:5" x14ac:dyDescent="0.35">
      <c r="A17" s="96" t="str">
        <f t="shared" si="1"/>
        <v>Orichella-Timpagrande</v>
      </c>
      <c r="B17" s="221" t="s">
        <v>498</v>
      </c>
      <c r="C17" t="s">
        <v>496</v>
      </c>
    </row>
    <row r="18" spans="1:5" x14ac:dyDescent="0.35">
      <c r="A18" s="96" t="str">
        <f t="shared" si="1"/>
        <v>Timpagrande-Calusia</v>
      </c>
      <c r="B18" s="221" t="s">
        <v>496</v>
      </c>
      <c r="C18" t="s">
        <v>3316</v>
      </c>
    </row>
    <row r="24" spans="1:5" ht="15" thickBot="1" x14ac:dyDescent="0.4">
      <c r="A24" s="94" t="s">
        <v>3017</v>
      </c>
    </row>
    <row r="25" spans="1:5" x14ac:dyDescent="0.35">
      <c r="A25" s="222" t="s">
        <v>3000</v>
      </c>
      <c r="B25" s="223" t="s">
        <v>3002</v>
      </c>
      <c r="C25" s="224" t="s">
        <v>2711</v>
      </c>
      <c r="D25" s="225"/>
      <c r="E25" s="226" t="s">
        <v>1056</v>
      </c>
    </row>
    <row r="26" spans="1:5" x14ac:dyDescent="0.35">
      <c r="A26" s="227" t="s">
        <v>3001</v>
      </c>
      <c r="B26" s="228" t="s">
        <v>3002</v>
      </c>
      <c r="C26" s="229" t="s">
        <v>2709</v>
      </c>
      <c r="D26" s="93"/>
      <c r="E26" s="230" t="s">
        <v>1056</v>
      </c>
    </row>
    <row r="27" spans="1:5" x14ac:dyDescent="0.35">
      <c r="A27" s="227" t="s">
        <v>3000</v>
      </c>
      <c r="B27" s="231" t="s">
        <v>3003</v>
      </c>
      <c r="C27" s="232" t="s">
        <v>2712</v>
      </c>
      <c r="D27" s="93"/>
      <c r="E27" s="230" t="s">
        <v>1056</v>
      </c>
    </row>
    <row r="28" spans="1:5" x14ac:dyDescent="0.35">
      <c r="A28" s="227" t="s">
        <v>3001</v>
      </c>
      <c r="B28" s="231" t="s">
        <v>3003</v>
      </c>
      <c r="C28" s="229" t="s">
        <v>2709</v>
      </c>
      <c r="D28" s="93"/>
      <c r="E28" s="230" t="s">
        <v>1056</v>
      </c>
    </row>
    <row r="29" spans="1:5" x14ac:dyDescent="0.35">
      <c r="A29" s="227" t="s">
        <v>3000</v>
      </c>
      <c r="B29" s="228" t="s">
        <v>3004</v>
      </c>
      <c r="C29" s="232" t="s">
        <v>2338</v>
      </c>
      <c r="D29" s="93"/>
      <c r="E29" s="230" t="s">
        <v>1056</v>
      </c>
    </row>
    <row r="30" spans="1:5" x14ac:dyDescent="0.35">
      <c r="A30" s="227" t="s">
        <v>3001</v>
      </c>
      <c r="B30" s="228" t="s">
        <v>3004</v>
      </c>
      <c r="C30" s="229" t="s">
        <v>2336</v>
      </c>
      <c r="D30" s="93"/>
      <c r="E30" s="230" t="s">
        <v>1056</v>
      </c>
    </row>
    <row r="31" spans="1:5" x14ac:dyDescent="0.35">
      <c r="A31" s="227" t="s">
        <v>3000</v>
      </c>
      <c r="B31" s="231" t="s">
        <v>3005</v>
      </c>
      <c r="C31" s="232" t="s">
        <v>2339</v>
      </c>
      <c r="D31" s="93"/>
      <c r="E31" s="230" t="s">
        <v>1056</v>
      </c>
    </row>
    <row r="32" spans="1:5" x14ac:dyDescent="0.35">
      <c r="A32" s="227" t="s">
        <v>3001</v>
      </c>
      <c r="B32" s="231" t="s">
        <v>3005</v>
      </c>
      <c r="C32" s="229" t="s">
        <v>2336</v>
      </c>
      <c r="D32" s="93"/>
      <c r="E32" s="230" t="s">
        <v>1056</v>
      </c>
    </row>
    <row r="33" spans="1:5" x14ac:dyDescent="0.35">
      <c r="A33" s="227" t="s">
        <v>3000</v>
      </c>
      <c r="B33" s="231" t="s">
        <v>3006</v>
      </c>
      <c r="C33" s="232" t="s">
        <v>2716</v>
      </c>
      <c r="D33" s="93"/>
      <c r="E33" s="230" t="s">
        <v>1056</v>
      </c>
    </row>
    <row r="34" spans="1:5" x14ac:dyDescent="0.35">
      <c r="A34" s="227" t="s">
        <v>3001</v>
      </c>
      <c r="B34" s="231" t="s">
        <v>3006</v>
      </c>
      <c r="C34" s="229" t="s">
        <v>2336</v>
      </c>
      <c r="D34" s="93"/>
      <c r="E34" s="230" t="s">
        <v>1056</v>
      </c>
    </row>
    <row r="35" spans="1:5" x14ac:dyDescent="0.35">
      <c r="A35" s="227" t="s">
        <v>3000</v>
      </c>
      <c r="B35" s="231" t="s">
        <v>3007</v>
      </c>
      <c r="C35" s="232" t="s">
        <v>2652</v>
      </c>
      <c r="D35" s="93"/>
      <c r="E35" s="230" t="s">
        <v>1056</v>
      </c>
    </row>
    <row r="36" spans="1:5" x14ac:dyDescent="0.35">
      <c r="A36" s="227" t="s">
        <v>3001</v>
      </c>
      <c r="B36" s="231" t="s">
        <v>3007</v>
      </c>
      <c r="C36" s="229" t="s">
        <v>2647</v>
      </c>
      <c r="D36" s="93"/>
      <c r="E36" s="230" t="s">
        <v>1056</v>
      </c>
    </row>
    <row r="37" spans="1:5" x14ac:dyDescent="0.35">
      <c r="A37" s="227" t="s">
        <v>3000</v>
      </c>
      <c r="B37" s="231" t="s">
        <v>3008</v>
      </c>
      <c r="C37" s="232" t="s">
        <v>1563</v>
      </c>
      <c r="D37" s="93"/>
      <c r="E37" s="230" t="s">
        <v>1056</v>
      </c>
    </row>
    <row r="38" spans="1:5" x14ac:dyDescent="0.35">
      <c r="A38" s="227" t="s">
        <v>3001</v>
      </c>
      <c r="B38" s="231" t="s">
        <v>3008</v>
      </c>
      <c r="C38" s="229" t="s">
        <v>2385</v>
      </c>
      <c r="D38" s="93"/>
      <c r="E38" s="230" t="s">
        <v>1056</v>
      </c>
    </row>
    <row r="39" spans="1:5" x14ac:dyDescent="0.35">
      <c r="A39" s="227" t="s">
        <v>3000</v>
      </c>
      <c r="B39" s="231" t="s">
        <v>3009</v>
      </c>
      <c r="C39" s="231" t="s">
        <v>2066</v>
      </c>
      <c r="D39" s="93"/>
      <c r="E39" s="230" t="s">
        <v>1056</v>
      </c>
    </row>
    <row r="40" spans="1:5" x14ac:dyDescent="0.35">
      <c r="A40" s="227" t="s">
        <v>3001</v>
      </c>
      <c r="B40" s="231" t="s">
        <v>3009</v>
      </c>
      <c r="C40" s="93" t="s">
        <v>2731</v>
      </c>
      <c r="D40" s="93"/>
      <c r="E40" s="230" t="s">
        <v>1056</v>
      </c>
    </row>
    <row r="41" spans="1:5" x14ac:dyDescent="0.35">
      <c r="A41" s="227" t="s">
        <v>3000</v>
      </c>
      <c r="B41" s="231" t="s">
        <v>3010</v>
      </c>
      <c r="C41" s="231" t="s">
        <v>2732</v>
      </c>
      <c r="D41" s="93"/>
      <c r="E41" s="230" t="s">
        <v>1056</v>
      </c>
    </row>
    <row r="42" spans="1:5" x14ac:dyDescent="0.35">
      <c r="A42" s="227" t="s">
        <v>3001</v>
      </c>
      <c r="B42" s="231" t="s">
        <v>3010</v>
      </c>
      <c r="C42" s="93" t="s">
        <v>2731</v>
      </c>
      <c r="D42" s="93"/>
      <c r="E42" s="230" t="s">
        <v>1056</v>
      </c>
    </row>
    <row r="43" spans="1:5" x14ac:dyDescent="0.35">
      <c r="A43" s="227" t="s">
        <v>3000</v>
      </c>
      <c r="B43" s="231" t="s">
        <v>3011</v>
      </c>
      <c r="C43" s="231" t="s">
        <v>2483</v>
      </c>
      <c r="D43" s="93"/>
      <c r="E43" s="230" t="s">
        <v>1056</v>
      </c>
    </row>
    <row r="44" spans="1:5" x14ac:dyDescent="0.35">
      <c r="A44" s="227" t="s">
        <v>3001</v>
      </c>
      <c r="B44" s="231" t="s">
        <v>3011</v>
      </c>
      <c r="C44" s="93" t="s">
        <v>2736</v>
      </c>
      <c r="D44" s="93"/>
      <c r="E44" s="230" t="s">
        <v>1056</v>
      </c>
    </row>
    <row r="45" spans="1:5" x14ac:dyDescent="0.35">
      <c r="A45" s="227" t="s">
        <v>3000</v>
      </c>
      <c r="B45" s="231" t="s">
        <v>3012</v>
      </c>
      <c r="C45" s="231" t="s">
        <v>2709</v>
      </c>
      <c r="D45" s="93"/>
      <c r="E45" s="230" t="s">
        <v>1056</v>
      </c>
    </row>
    <row r="46" spans="1:5" x14ac:dyDescent="0.35">
      <c r="A46" s="227" t="s">
        <v>3001</v>
      </c>
      <c r="B46" s="231" t="s">
        <v>3012</v>
      </c>
      <c r="C46" s="93" t="s">
        <v>2736</v>
      </c>
      <c r="D46" s="93"/>
      <c r="E46" s="230" t="s">
        <v>1056</v>
      </c>
    </row>
    <row r="47" spans="1:5" x14ac:dyDescent="0.35">
      <c r="A47" s="227" t="s">
        <v>3000</v>
      </c>
      <c r="B47" s="231" t="s">
        <v>3013</v>
      </c>
      <c r="C47" s="231" t="s">
        <v>2733</v>
      </c>
      <c r="D47" s="93"/>
      <c r="E47" s="230" t="s">
        <v>1056</v>
      </c>
    </row>
    <row r="48" spans="1:5" x14ac:dyDescent="0.35">
      <c r="A48" s="227" t="s">
        <v>3001</v>
      </c>
      <c r="B48" s="231" t="s">
        <v>3013</v>
      </c>
      <c r="C48" s="93" t="s">
        <v>2736</v>
      </c>
      <c r="D48" s="93"/>
      <c r="E48" s="230" t="s">
        <v>1056</v>
      </c>
    </row>
    <row r="49" spans="1:5" x14ac:dyDescent="0.35">
      <c r="A49" s="227" t="s">
        <v>3000</v>
      </c>
      <c r="B49" s="231" t="s">
        <v>3014</v>
      </c>
      <c r="C49" s="231" t="s">
        <v>2734</v>
      </c>
      <c r="D49" s="93"/>
      <c r="E49" s="230" t="s">
        <v>1056</v>
      </c>
    </row>
    <row r="50" spans="1:5" x14ac:dyDescent="0.35">
      <c r="A50" s="227" t="s">
        <v>3001</v>
      </c>
      <c r="B50" s="231" t="s">
        <v>3014</v>
      </c>
      <c r="C50" s="93" t="s">
        <v>2736</v>
      </c>
      <c r="D50" s="93"/>
      <c r="E50" s="230" t="s">
        <v>1056</v>
      </c>
    </row>
    <row r="51" spans="1:5" x14ac:dyDescent="0.35">
      <c r="A51" s="227" t="s">
        <v>3000</v>
      </c>
      <c r="B51" s="231" t="s">
        <v>3015</v>
      </c>
      <c r="C51" s="231" t="s">
        <v>2735</v>
      </c>
      <c r="D51" s="93"/>
      <c r="E51" s="230" t="s">
        <v>1056</v>
      </c>
    </row>
    <row r="52" spans="1:5" x14ac:dyDescent="0.35">
      <c r="A52" s="227" t="s">
        <v>3001</v>
      </c>
      <c r="B52" s="231" t="s">
        <v>3015</v>
      </c>
      <c r="C52" s="93" t="s">
        <v>2736</v>
      </c>
      <c r="D52" s="93"/>
      <c r="E52" s="230" t="s">
        <v>1056</v>
      </c>
    </row>
    <row r="53" spans="1:5" x14ac:dyDescent="0.35">
      <c r="A53" s="227" t="s">
        <v>3000</v>
      </c>
      <c r="B53" s="231" t="s">
        <v>3016</v>
      </c>
      <c r="C53" s="231" t="s">
        <v>2154</v>
      </c>
      <c r="D53" s="93"/>
      <c r="E53" s="230" t="s">
        <v>1056</v>
      </c>
    </row>
    <row r="54" spans="1:5" ht="15" thickBot="1" x14ac:dyDescent="0.4">
      <c r="A54" s="233" t="s">
        <v>3001</v>
      </c>
      <c r="B54" s="234" t="s">
        <v>3016</v>
      </c>
      <c r="C54" s="235" t="s">
        <v>2736</v>
      </c>
      <c r="D54" s="235"/>
      <c r="E54" s="236" t="s">
        <v>1056</v>
      </c>
    </row>
  </sheetData>
  <pageMargins left="0.7" right="0.7" top="0.75" bottom="0.75" header="0.3" footer="0.3"/>
  <pageSetup paperSize="9" orientation="portrait" horizontalDpi="300" verticalDpi="300"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0">
    <tabColor rgb="FFFFFF00"/>
  </sheetPr>
  <dimension ref="A1:P200"/>
  <sheetViews>
    <sheetView topLeftCell="A22" zoomScale="70" zoomScaleNormal="70" zoomScalePageLayoutView="70" workbookViewId="0">
      <selection activeCell="E54" sqref="C54:E54"/>
    </sheetView>
  </sheetViews>
  <sheetFormatPr defaultColWidth="8.81640625" defaultRowHeight="14.5" x14ac:dyDescent="0.35"/>
  <cols>
    <col min="1" max="1" width="31.453125" bestFit="1" customWidth="1"/>
    <col min="2" max="2" width="25" style="148" bestFit="1" customWidth="1"/>
    <col min="3" max="3" width="16.1796875" style="148" bestFit="1" customWidth="1"/>
    <col min="4" max="4" width="15.6328125" style="148" bestFit="1" customWidth="1"/>
    <col min="5" max="6" width="14.36328125" style="148" bestFit="1" customWidth="1"/>
    <col min="7" max="11" width="14.36328125" style="148" customWidth="1"/>
    <col min="12" max="12" width="34.81640625" style="149" bestFit="1" customWidth="1"/>
    <col min="13" max="16" width="12.6328125" style="149" bestFit="1" customWidth="1"/>
  </cols>
  <sheetData>
    <row r="1" spans="1:16" s="94" customFormat="1" x14ac:dyDescent="0.35">
      <c r="A1" s="94" t="s">
        <v>2830</v>
      </c>
      <c r="B1" s="150" t="s">
        <v>2890</v>
      </c>
      <c r="C1" s="150" t="s">
        <v>2891</v>
      </c>
      <c r="D1" s="150" t="s">
        <v>2892</v>
      </c>
      <c r="E1" s="150" t="s">
        <v>2893</v>
      </c>
      <c r="F1" s="150" t="s">
        <v>2894</v>
      </c>
      <c r="G1" s="150" t="s">
        <v>2900</v>
      </c>
      <c r="H1" s="150" t="s">
        <v>2901</v>
      </c>
      <c r="I1" s="150" t="s">
        <v>2902</v>
      </c>
      <c r="J1" s="150" t="s">
        <v>2903</v>
      </c>
      <c r="K1" s="150" t="s">
        <v>2904</v>
      </c>
      <c r="L1" s="151" t="s">
        <v>2895</v>
      </c>
      <c r="M1" s="151" t="s">
        <v>2896</v>
      </c>
      <c r="N1" s="151" t="s">
        <v>2897</v>
      </c>
      <c r="O1" s="151" t="s">
        <v>2898</v>
      </c>
      <c r="P1" s="151" t="s">
        <v>2899</v>
      </c>
    </row>
    <row r="2" spans="1:16" x14ac:dyDescent="0.35">
      <c r="A2" t="str">
        <f t="array" aca="1" ref="A2:A200" ca="1">genList</f>
        <v>Grand Maison Dam</v>
      </c>
      <c r="B2" s="148" t="str">
        <f ca="1">VLOOKUP(A2,Generators!A2:AZ516,MATCH("Upper Reservoir",Generators!$A$1:$AZ$1,0),FALSE)</f>
        <v>Grand Maison</v>
      </c>
      <c r="C2" s="152"/>
      <c r="D2" s="152"/>
      <c r="E2" s="152"/>
      <c r="L2" s="149" t="str">
        <f ca="1">IF(VLOOKUP(A2,Generators!A2:AZ516,MATCH("Lower Reservoir",Generators!$A$1:$AZ$1,0),FALSE)=0,A2 &amp; "_lower",VLOOKUP(A2,Generators!A2:AZ516,MATCH("Lower Reservoir",Generators!$A$1:$AZ$1,0),FALSE))</f>
        <v>Verney</v>
      </c>
    </row>
    <row r="3" spans="1:16" x14ac:dyDescent="0.35">
      <c r="A3" t="str">
        <f ca="1"/>
        <v>Dinorwig</v>
      </c>
      <c r="B3" s="148" t="str">
        <f ca="1">VLOOKUP(A3,Generators!A3:AZ517,MATCH("Upper Reservoir",Generators!$A$1:$AZ$1,0),FALSE)</f>
        <v>Marchlyn Mawr</v>
      </c>
      <c r="L3" s="149" t="str">
        <f ca="1">IF(VLOOKUP(A3,Generators!A3:AZ517,MATCH("Lower Reservoir",Generators!$A$1:$AZ$1,0),FALSE)=0,A3 &amp; "_lower",VLOOKUP(A3,Generators!A3:AZ517,MATCH("Lower Reservoir",Generators!$A$1:$AZ$1,0),FALSE))</f>
        <v>Llyn Peris</v>
      </c>
    </row>
    <row r="4" spans="1:16" x14ac:dyDescent="0.35">
      <c r="A4" t="str">
        <f ca="1"/>
        <v>Vianden</v>
      </c>
      <c r="B4" s="148" t="str">
        <f ca="1">VLOOKUP(A4,Generators!A4:AZ518,MATCH("Upper Reservoir",Generators!$A$1:$AZ$1,0),FALSE)</f>
        <v>Vianden upper</v>
      </c>
      <c r="L4" s="149" t="str">
        <f ca="1">IF(VLOOKUP(A4,Generators!A4:AZ518,MATCH("Lower Reservoir",Generators!$A$1:$AZ$1,0),FALSE)=0,A4 &amp; "_lower",VLOOKUP(A4,Generators!A4:AZ518,MATCH("Lower Reservoir",Generators!$A$1:$AZ$1,0),FALSE))</f>
        <v>Vianden lower</v>
      </c>
    </row>
    <row r="5" spans="1:16" x14ac:dyDescent="0.35">
      <c r="A5" t="str">
        <f ca="1"/>
        <v>Bieudron</v>
      </c>
      <c r="B5" s="148" t="str">
        <f ca="1">VLOOKUP(A5,Generators!A5:AZ519,MATCH("Upper Reservoir",Generators!$A$1:$AZ$1,0),FALSE)</f>
        <v>Grand Dixence reservoir</v>
      </c>
      <c r="L5" s="149" t="str">
        <f ca="1">IF(VLOOKUP(A5,Generators!A5:AZ519,MATCH("Lower Reservoir",Generators!$A$1:$AZ$1,0),FALSE)=0,A5 &amp; "_lower",VLOOKUP(A5,Generators!A5:AZ519,MATCH("Lower Reservoir",Generators!$A$1:$AZ$1,0),FALSE))</f>
        <v>Rhone</v>
      </c>
    </row>
    <row r="6" spans="1:16" x14ac:dyDescent="0.35">
      <c r="A6" t="str">
        <f ca="1"/>
        <v>Aldeadavila</v>
      </c>
      <c r="B6" s="148" t="str">
        <f ca="1">VLOOKUP(A6,Generators!A6:AZ520,MATCH("Upper Reservoir",Generators!$A$1:$AZ$1,0),FALSE)</f>
        <v>Aldeadavila</v>
      </c>
      <c r="L6" s="149" t="str">
        <f ca="1">IF(VLOOKUP(A6,Generators!A6:AZ520,MATCH("Lower Reservoir",Generators!$A$1:$AZ$1,0),FALSE)=0,A6 &amp; "_lower",VLOOKUP(A6,Generators!A6:AZ520,MATCH("Lower Reservoir",Generators!$A$1:$AZ$1,0),FALSE))</f>
        <v>Dougo</v>
      </c>
    </row>
    <row r="7" spans="1:16" x14ac:dyDescent="0.35">
      <c r="A7" t="str">
        <f ca="1"/>
        <v>Kvilldal</v>
      </c>
      <c r="B7" s="148" t="str">
        <f ca="1">VLOOKUP(A7,Generators!A7:AZ521,MATCH("Upper Reservoir",Generators!$A$1:$AZ$1,0),FALSE)</f>
        <v>Lake Blasjo</v>
      </c>
      <c r="L7" s="149" t="str">
        <f ca="1">IF(VLOOKUP(A7,Generators!A7:AZ521,MATCH("Lower Reservoir",Generators!$A$1:$AZ$1,0),FALSE)=0,A7 &amp; "_lower",VLOOKUP(A7,Generators!A7:AZ521,MATCH("Lower Reservoir",Generators!$A$1:$AZ$1,0),FALSE))</f>
        <v>Kvilldal_lower</v>
      </c>
    </row>
    <row r="8" spans="1:16" x14ac:dyDescent="0.35">
      <c r="A8" t="str">
        <f ca="1"/>
        <v>Chiotas Piastra</v>
      </c>
      <c r="B8" s="148" t="str">
        <f ca="1">VLOOKUP(A8,Generators!A8:AZ522,MATCH("Upper Reservoir",Generators!$A$1:$AZ$1,0),FALSE)</f>
        <v>Lago del Chiotas</v>
      </c>
      <c r="L8" s="149" t="str">
        <f ca="1">IF(VLOOKUP(A8,Generators!A8:AZ522,MATCH("Lower Reservoir",Generators!$A$1:$AZ$1,0),FALSE)=0,A8 &amp; "_lower",VLOOKUP(A8,Generators!A8:AZ522,MATCH("Lower Reservoir",Generators!$A$1:$AZ$1,0),FALSE))</f>
        <v>Lago della Piastra</v>
      </c>
    </row>
    <row r="9" spans="1:16" x14ac:dyDescent="0.35">
      <c r="A9" t="str">
        <f ca="1"/>
        <v>Iron Gate I</v>
      </c>
      <c r="B9" s="148" t="str">
        <f ca="1">VLOOKUP(A9,Generators!A9:AZ523,MATCH("Upper Reservoir",Generators!$A$1:$AZ$1,0),FALSE)</f>
        <v>Iron Gate 1</v>
      </c>
      <c r="L9" s="149" t="str">
        <f ca="1">IF(VLOOKUP(A9,Generators!A9:AZ523,MATCH("Lower Reservoir",Generators!$A$1:$AZ$1,0),FALSE)=0,A9 &amp; "_lower",VLOOKUP(A9,Generators!A9:AZ523,MATCH("Lower Reservoir",Generators!$A$1:$AZ$1,0),FALSE))</f>
        <v>Iron Gate I_lower</v>
      </c>
    </row>
    <row r="10" spans="1:16" x14ac:dyDescent="0.35">
      <c r="A10" t="str">
        <f ca="1"/>
        <v>Coo-Trois-Ponts</v>
      </c>
      <c r="B10" s="148" t="str">
        <f ca="1">VLOOKUP(A10,Generators!A10:AZ524,MATCH("Upper Reservoir",Generators!$A$1:$AZ$1,0),FALSE)</f>
        <v>Coo 1, Coo 2</v>
      </c>
      <c r="L10" s="149" t="str">
        <f ca="1">IF(VLOOKUP(A10,Generators!A10:AZ524,MATCH("Lower Reservoir",Generators!$A$1:$AZ$1,0),FALSE)=0,A10 &amp; "_lower",VLOOKUP(A10,Generators!A10:AZ524,MATCH("Lower Reservoir",Generators!$A$1:$AZ$1,0),FALSE))</f>
        <v>Coo Beneden</v>
      </c>
    </row>
    <row r="11" spans="1:16" x14ac:dyDescent="0.35">
      <c r="A11" t="str">
        <f ca="1"/>
        <v>Sima</v>
      </c>
      <c r="B11" s="148" t="str">
        <f ca="1">VLOOKUP(A11,Generators!A11:AZ525,MATCH("Upper Reservoir",Generators!$A$1:$AZ$1,0),FALSE)</f>
        <v>Langavatn</v>
      </c>
      <c r="C11" s="152" t="s">
        <v>2711</v>
      </c>
      <c r="D11" s="152" t="s">
        <v>2712</v>
      </c>
      <c r="E11" s="152"/>
      <c r="L11" s="149" t="str">
        <f ca="1">IF(VLOOKUP(A11,Generators!A11:AZ525,MATCH("Lower Reservoir",Generators!$A$1:$AZ$1,0),FALSE)=0,A11 &amp; "_lower",VLOOKUP(A11,Generators!A11:AZ525,MATCH("Lower Reservoir",Generators!$A$1:$AZ$1,0),FALSE))</f>
        <v>Eidfjord</v>
      </c>
    </row>
    <row r="12" spans="1:16" x14ac:dyDescent="0.35">
      <c r="A12" t="str">
        <f ca="1"/>
        <v xml:space="preserve">Goldisthal  </v>
      </c>
      <c r="B12" s="148" t="str">
        <f ca="1">VLOOKUP(A12,Generators!A12:AZ526,MATCH("Upper Reservoir",Generators!$A$1:$AZ$1,0),FALSE)</f>
        <v>Goldisthal-oberbecken</v>
      </c>
      <c r="L12" s="149" t="str">
        <f ca="1">IF(VLOOKUP(A12,Generators!A12:AZ526,MATCH("Lower Reservoir",Generators!$A$1:$AZ$1,0),FALSE)=0,A12 &amp; "_lower",VLOOKUP(A12,Generators!A12:AZ526,MATCH("Lower Reservoir",Generators!$A$1:$AZ$1,0),FALSE))</f>
        <v>Goldisthal-Oberes S</v>
      </c>
    </row>
    <row r="13" spans="1:16" x14ac:dyDescent="0.35">
      <c r="A13" t="str">
        <f ca="1"/>
        <v>Markersbach</v>
      </c>
      <c r="B13" s="148" t="str">
        <f ca="1">VLOOKUP(A13,Generators!A12:AZ527,MATCH("Upper Reservoir",Generators!$A$1:$AZ$1,0),FALSE)</f>
        <v>Markersbach-oberbecken</v>
      </c>
      <c r="L13" s="149" t="str">
        <f ca="1">IF(VLOOKUP(A13,Generators!A12:AZ527,MATCH("Lower Reservoir",Generators!$A$1:$AZ$1,0),FALSE)=0,A13 &amp; "_lower",VLOOKUP(A13,Generators!A12:AZ527,MATCH("Lower Reservoir",Generators!$A$1:$AZ$1,0),FALSE))</f>
        <v>Markersbach-unterbecken</v>
      </c>
    </row>
    <row r="14" spans="1:16" x14ac:dyDescent="0.35">
      <c r="A14" t="str">
        <f ca="1"/>
        <v>Roncovalgrande (Delio)</v>
      </c>
      <c r="B14" s="148" t="str">
        <f ca="1">VLOOKUP(A14,Generators!A13:AZ528,MATCH("Upper Reservoir",Generators!$A$1:$AZ$1,0),FALSE)</f>
        <v>Lago Delio</v>
      </c>
      <c r="L14" s="149" t="str">
        <f ca="1">IF(VLOOKUP(A14,Generators!A13:AZ528,MATCH("Lower Reservoir",Generators!$A$1:$AZ$1,0),FALSE)=0,A14 &amp; "_lower",VLOOKUP(A14,Generators!A13:AZ528,MATCH("Lower Reservoir",Generators!$A$1:$AZ$1,0),FALSE))</f>
        <v>Lago Maggiore</v>
      </c>
    </row>
    <row r="15" spans="1:16" x14ac:dyDescent="0.35">
      <c r="A15" t="str">
        <f ca="1"/>
        <v>Edolo</v>
      </c>
      <c r="B15" s="148" t="str">
        <f ca="1">VLOOKUP(A15,Generators!A14:AZ529,MATCH("Upper Reservoir",Generators!$A$1:$AZ$1,0),FALSE)</f>
        <v>Avio, Benedetto</v>
      </c>
      <c r="L15" s="149" t="str">
        <f ca="1">IF(VLOOKUP(A15,Generators!A14:AZ529,MATCH("Lower Reservoir",Generators!$A$1:$AZ$1,0),FALSE)=0,A15 &amp; "_lower",VLOOKUP(A15,Generators!A14:AZ529,MATCH("Lower Reservoir",Generators!$A$1:$AZ$1,0),FALSE))</f>
        <v>Lago Edolo</v>
      </c>
    </row>
    <row r="16" spans="1:16" x14ac:dyDescent="0.35">
      <c r="A16" t="str">
        <f ca="1"/>
        <v>Domenico Cimarosa (Presenzano)</v>
      </c>
      <c r="B16" s="148" t="str">
        <f ca="1">VLOOKUP(A16,Generators!A15:AZ530,MATCH("Upper Reservoir",Generators!$A$1:$AZ$1,0),FALSE)</f>
        <v>Cesima</v>
      </c>
      <c r="L16" s="149" t="str">
        <f ca="1">IF(VLOOKUP(A16,Generators!A15:AZ530,MATCH("Lower Reservoir",Generators!$A$1:$AZ$1,0),FALSE)=0,A16 &amp; "_lower",VLOOKUP(A16,Generators!A15:AZ530,MATCH("Lower Reservoir",Generators!$A$1:$AZ$1,0),FALSE))</f>
        <v>Presenzano Lower</v>
      </c>
    </row>
    <row r="17" spans="1:12" x14ac:dyDescent="0.35">
      <c r="A17" t="str">
        <f ca="1"/>
        <v>Wehr (Hornbergstufe)</v>
      </c>
      <c r="B17" s="148" t="str">
        <f ca="1">VLOOKUP(A17,Generators!A16:AZ531,MATCH("Upper Reservoir",Generators!$A$1:$AZ$1,0),FALSE)</f>
        <v>Hornbergbecken</v>
      </c>
      <c r="L17" s="149" t="str">
        <f ca="1">IF(VLOOKUP(A17,Generators!A16:AZ531,MATCH("Lower Reservoir",Generators!$A$1:$AZ$1,0),FALSE)=0,A17 &amp; "_lower",VLOOKUP(A17,Generators!A16:AZ531,MATCH("Lower Reservoir",Generators!$A$1:$AZ$1,0),FALSE))</f>
        <v>Wehrabecken</v>
      </c>
    </row>
    <row r="18" spans="1:12" x14ac:dyDescent="0.35">
      <c r="A18" t="str">
        <f ca="1"/>
        <v>Harspranget</v>
      </c>
      <c r="B18" s="148" t="str">
        <f ca="1">VLOOKUP(A18,Generators!A17:AZ532,MATCH("Upper Reservoir",Generators!$A$1:$AZ$1,0),FALSE)</f>
        <v>Harspranget</v>
      </c>
      <c r="L18" s="149" t="str">
        <f ca="1">IF(VLOOKUP(A18,Generators!A17:AZ532,MATCH("Lower Reservoir",Generators!$A$1:$AZ$1,0),FALSE)=0,A18 &amp; "_lower",VLOOKUP(A18,Generators!A17:AZ532,MATCH("Lower Reservoir",Generators!$A$1:$AZ$1,0),FALSE))</f>
        <v>Lule</v>
      </c>
    </row>
    <row r="19" spans="1:12" x14ac:dyDescent="0.35">
      <c r="A19" t="str">
        <f ca="1"/>
        <v>Tonstad (Sira-Kvina)</v>
      </c>
      <c r="B19" s="148" t="str">
        <f ca="1">VLOOKUP(A19,Generators!A18:AZ533,MATCH("Upper Reservoir",Generators!$A$1:$AZ$1,0),FALSE)</f>
        <v>Homstolvatnet</v>
      </c>
      <c r="L19" s="149" t="str">
        <f ca="1">IF(VLOOKUP(A19,Generators!A18:AZ533,MATCH("Lower Reservoir",Generators!$A$1:$AZ$1,0),FALSE)=0,A19 &amp; "_lower",VLOOKUP(A19,Generators!A18:AZ533,MATCH("Lower Reservoir",Generators!$A$1:$AZ$1,0),FALSE))</f>
        <v>Kvina</v>
      </c>
    </row>
    <row r="20" spans="1:12" x14ac:dyDescent="0.35">
      <c r="A20" t="str">
        <f ca="1"/>
        <v>Oriol (Alcantara II)</v>
      </c>
      <c r="B20" s="148" t="str">
        <f ca="1">VLOOKUP(A20,Generators!A19:AZ534,MATCH("Upper Reservoir",Generators!$A$1:$AZ$1,0),FALSE)</f>
        <v>Alcantara</v>
      </c>
      <c r="L20" s="149" t="str">
        <f ca="1">IF(VLOOKUP(A20,Generators!A19:AZ534,MATCH("Lower Reservoir",Generators!$A$1:$AZ$1,0),FALSE)=0,A20 &amp; "_lower",VLOOKUP(A20,Generators!A19:AZ534,MATCH("Lower Reservoir",Generators!$A$1:$AZ$1,0),FALSE))</f>
        <v>Tagus</v>
      </c>
    </row>
    <row r="21" spans="1:12" x14ac:dyDescent="0.35">
      <c r="A21" t="str">
        <f ca="1"/>
        <v>Montezic</v>
      </c>
      <c r="B21" s="148" t="str">
        <f ca="1">VLOOKUP(A21,Generators!A20:AZ535,MATCH("Upper Reservoir",Generators!$A$1:$AZ$1,0),FALSE)</f>
        <v>Monnes_l'Etang</v>
      </c>
      <c r="L21" s="149" t="str">
        <f ca="1">IF(VLOOKUP(A21,Generators!A20:AZ535,MATCH("Lower Reservoir",Generators!$A$1:$AZ$1,0),FALSE)=0,A21 &amp; "_lower",VLOOKUP(A21,Generators!A20:AZ535,MATCH("Lower Reservoir",Generators!$A$1:$AZ$1,0),FALSE))</f>
        <v>Couesques</v>
      </c>
    </row>
    <row r="22" spans="1:12" x14ac:dyDescent="0.35">
      <c r="A22" t="str">
        <f ca="1"/>
        <v>Kruonis Pumped Storage Plant</v>
      </c>
      <c r="B22" s="148" t="str">
        <f ca="1">VLOOKUP(A22,Generators!A21:AZ536,MATCH("Upper Reservoir",Generators!$A$1:$AZ$1,0),FALSE)</f>
        <v>Kruonis upper</v>
      </c>
      <c r="L22" s="149" t="str">
        <f ca="1">IF(VLOOKUP(A22,Generators!A21:AZ536,MATCH("Lower Reservoir",Generators!$A$1:$AZ$1,0),FALSE)=0,A22 &amp; "_lower",VLOOKUP(A22,Generators!A21:AZ536,MATCH("Lower Reservoir",Generators!$A$1:$AZ$1,0),FALSE))</f>
        <v>Kaunas reservoir</v>
      </c>
    </row>
    <row r="23" spans="1:12" x14ac:dyDescent="0.35">
      <c r="A23" t="str">
        <f ca="1"/>
        <v>Pļaviņas</v>
      </c>
      <c r="B23" s="148" t="str">
        <f ca="1">VLOOKUP(A23,Generators!A22:AZ537,MATCH("Upper Reservoir",Generators!$A$1:$AZ$1,0),FALSE)</f>
        <v>Plavinas Reservoir</v>
      </c>
      <c r="L23" s="149" t="str">
        <f ca="1">IF(VLOOKUP(A23,Generators!A22:AZ537,MATCH("Lower Reservoir",Generators!$A$1:$AZ$1,0),FALSE)=0,A23 &amp; "_lower",VLOOKUP(A23,Generators!A22:AZ537,MATCH("Lower Reservoir",Generators!$A$1:$AZ$1,0),FALSE))</f>
        <v>Daugava</v>
      </c>
    </row>
    <row r="24" spans="1:12" x14ac:dyDescent="0.35">
      <c r="A24" t="str">
        <f ca="1"/>
        <v>Chaira</v>
      </c>
      <c r="B24" s="148" t="str">
        <f ca="1">VLOOKUP(A24,Generators!A23:AZ538,MATCH("Upper Reservoir",Generators!$A$1:$AZ$1,0),FALSE)</f>
        <v>Belmeken</v>
      </c>
      <c r="L24" s="149" t="str">
        <f ca="1">IF(VLOOKUP(A24,Generators!A23:AZ538,MATCH("Lower Reservoir",Generators!$A$1:$AZ$1,0),FALSE)=0,A24 &amp; "_lower",VLOOKUP(A24,Generators!A23:AZ538,MATCH("Lower Reservoir",Generators!$A$1:$AZ$1,0),FALSE))</f>
        <v>Chaira</v>
      </c>
    </row>
    <row r="25" spans="1:12" x14ac:dyDescent="0.35">
      <c r="A25" t="str">
        <f ca="1"/>
        <v>La Muela II</v>
      </c>
      <c r="B25" s="148" t="str">
        <f ca="1">VLOOKUP(A25,Generators!A24:AZ539,MATCH("Upper Reservoir",Generators!$A$1:$AZ$1,0),FALSE)</f>
        <v>Muela upper reservoir</v>
      </c>
      <c r="L25" s="149" t="str">
        <f ca="1">IF(VLOOKUP(A25,Generators!A24:AZ539,MATCH("Lower Reservoir",Generators!$A$1:$AZ$1,0),FALSE)=0,A25 &amp; "_lower",VLOOKUP(A25,Generators!A24:AZ539,MATCH("Lower Reservoir",Generators!$A$1:$AZ$1,0),FALSE))</f>
        <v>Cortes de Pallas</v>
      </c>
    </row>
    <row r="26" spans="1:12" x14ac:dyDescent="0.35">
      <c r="A26" t="str">
        <f ca="1"/>
        <v>Aurland I</v>
      </c>
      <c r="B26" s="148" t="str">
        <f ca="1">VLOOKUP(A26,Generators!A25:AZ540,MATCH("Upper Reservoir",Generators!$A$1:$AZ$1,0),FALSE)</f>
        <v>Viddalsvatn</v>
      </c>
      <c r="L26" s="149" t="str">
        <f ca="1">IF(VLOOKUP(A26,Generators!A25:AZ540,MATCH("Lower Reservoir",Generators!$A$1:$AZ$1,0),FALSE)=0,A26 &amp; "_lower",VLOOKUP(A26,Generators!A25:AZ540,MATCH("Lower Reservoir",Generators!$A$1:$AZ$1,0),FALSE))</f>
        <v>Vassbygdivatn</v>
      </c>
    </row>
    <row r="27" spans="1:12" x14ac:dyDescent="0.35">
      <c r="A27" t="str">
        <f ca="1"/>
        <v>Almendra (Villarino)</v>
      </c>
      <c r="B27" s="148" t="str">
        <f ca="1">VLOOKUP(A27,Generators!A26:AZ541,MATCH("Upper Reservoir",Generators!$A$1:$AZ$1,0),FALSE)</f>
        <v>Almendra dam reservoir</v>
      </c>
      <c r="L27" s="149" t="str">
        <f ca="1">IF(VLOOKUP(A27,Generators!A26:AZ541,MATCH("Lower Reservoir",Generators!$A$1:$AZ$1,0),FALSE)=0,A27 &amp; "_lower",VLOOKUP(A27,Generators!A26:AZ541,MATCH("Lower Reservoir",Generators!$A$1:$AZ$1,0),FALSE))</f>
        <v>Tormes</v>
      </c>
    </row>
    <row r="28" spans="1:12" x14ac:dyDescent="0.35">
      <c r="A28" t="str">
        <f ca="1"/>
        <v>Super-Bissorte</v>
      </c>
      <c r="B28" s="148" t="str">
        <f ca="1">VLOOKUP(A28,Generators!A27:AZ542,MATCH("Upper Reservoir",Generators!$A$1:$AZ$1,0),FALSE)</f>
        <v>Bissorte</v>
      </c>
      <c r="L28" s="149" t="str">
        <f ca="1">IF(VLOOKUP(A28,Generators!A27:AZ542,MATCH("Lower Reservoir",Generators!$A$1:$AZ$1,0),FALSE)=0,A28 &amp; "_lower",VLOOKUP(A28,Generators!A27:AZ542,MATCH("Lower Reservoir",Generators!$A$1:$AZ$1,0),FALSE))</f>
        <v>Pont des Chevres</v>
      </c>
    </row>
    <row r="29" spans="1:12" x14ac:dyDescent="0.35">
      <c r="A29" t="str">
        <f ca="1"/>
        <v>Cierny Vah</v>
      </c>
      <c r="B29" s="148" t="str">
        <f ca="1">VLOOKUP(A29,Generators!A28:AZ543,MATCH("Upper Reservoir",Generators!$A$1:$AZ$1,0),FALSE)</f>
        <v xml:space="preserve">Cierny Vah upper </v>
      </c>
      <c r="L29" s="149" t="str">
        <f ca="1">IF(VLOOKUP(A29,Generators!A28:AZ543,MATCH("Lower Reservoir",Generators!$A$1:$AZ$1,0),FALSE)=0,A29 &amp; "_lower",VLOOKUP(A29,Generators!A28:AZ543,MATCH("Lower Reservoir",Generators!$A$1:$AZ$1,0),FALSE))</f>
        <v>Cierny Vah lower</v>
      </c>
    </row>
    <row r="30" spans="1:12" x14ac:dyDescent="0.35">
      <c r="A30" t="str">
        <f ca="1"/>
        <v>Galgenbichl</v>
      </c>
      <c r="B30" s="148" t="str">
        <f ca="1">VLOOKUP(A30,Generators!A29:AZ544,MATCH("Upper Reservoir",Generators!$A$1:$AZ$1,0),FALSE)</f>
        <v xml:space="preserve">Koelnbrein  </v>
      </c>
      <c r="L30" s="149" t="str">
        <f ca="1">IF(VLOOKUP(A30,Generators!A29:AZ544,MATCH("Lower Reservoir",Generators!$A$1:$AZ$1,0),FALSE)=0,A30 &amp; "_lower",VLOOKUP(A30,Generators!A29:AZ544,MATCH("Lower Reservoir",Generators!$A$1:$AZ$1,0),FALSE))</f>
        <v>Galgenbichl</v>
      </c>
    </row>
    <row r="31" spans="1:12" x14ac:dyDescent="0.35">
      <c r="A31" t="str">
        <f ca="1"/>
        <v>Rottau</v>
      </c>
      <c r="B31" s="148" t="str">
        <f ca="1">VLOOKUP(A31,Generators!A30:AZ545,MATCH("Upper Reservoir",Generators!$A$1:$AZ$1,0),FALSE)</f>
        <v>Galgenbichl</v>
      </c>
      <c r="L31" s="149" t="str">
        <f ca="1">IF(VLOOKUP(A31,Generators!A30:AZ545,MATCH("Lower Reservoir",Generators!$A$1:$AZ$1,0),FALSE)=0,A31 &amp; "_lower",VLOOKUP(A31,Generators!A30:AZ545,MATCH("Lower Reservoir",Generators!$A$1:$AZ$1,0),FALSE))</f>
        <v>Moell</v>
      </c>
    </row>
    <row r="32" spans="1:12" x14ac:dyDescent="0.35">
      <c r="A32" t="str">
        <f ca="1"/>
        <v xml:space="preserve">Reisseck II </v>
      </c>
      <c r="B32" s="148" t="str">
        <f ca="1">VLOOKUP(A32,Generators!A31:AZ546,MATCH("Upper Reservoir",Generators!$A$1:$AZ$1,0),FALSE)</f>
        <v>Grosser Mühldorfer</v>
      </c>
      <c r="L32" s="149" t="str">
        <f ca="1">IF(VLOOKUP(A32,Generators!A31:AZ546,MATCH("Lower Reservoir",Generators!$A$1:$AZ$1,0),FALSE)=0,A32 &amp; "_lower",VLOOKUP(A32,Generators!A31:AZ546,MATCH("Lower Reservoir",Generators!$A$1:$AZ$1,0),FALSE))</f>
        <v>Goesskarspeicher</v>
      </c>
    </row>
    <row r="33" spans="1:12" x14ac:dyDescent="0.35">
      <c r="A33" t="str">
        <f ca="1"/>
        <v>Revin Pumped Storage</v>
      </c>
      <c r="B33" s="148" t="str">
        <f ca="1">VLOOKUP(A33,Generators!A33:AZ547,MATCH("Upper Reservoir",Generators!$A$1:$AZ$1,0),FALSE)</f>
        <v>Marquisades</v>
      </c>
      <c r="L33" s="149" t="str">
        <f ca="1">IF(VLOOKUP(A33,Generators!A33:AZ547,MATCH("Lower Reservoir",Generators!$A$1:$AZ$1,0),FALSE)=0,A33 &amp; "_lower",VLOOKUP(A33,Generators!A33:AZ547,MATCH("Lower Reservoir",Generators!$A$1:$AZ$1,0),FALSE))</f>
        <v>Whitaker</v>
      </c>
    </row>
    <row r="34" spans="1:12" x14ac:dyDescent="0.35">
      <c r="A34" t="str">
        <f ca="1"/>
        <v>Gabcikovo (Nagymaros Dams)</v>
      </c>
      <c r="B34" s="148" t="str">
        <f ca="1">VLOOKUP(A34,Generators!A35:AZ548,MATCH("Upper Reservoir",Generators!$A$1:$AZ$1,0),FALSE)</f>
        <v>Gabcikovo</v>
      </c>
      <c r="L34" s="149" t="str">
        <f ca="1">IF(VLOOKUP(A34,Generators!A35:AZ548,MATCH("Lower Reservoir",Generators!$A$1:$AZ$1,0),FALSE)=0,A34 &amp; "_lower",VLOOKUP(A34,Generators!A35:AZ548,MATCH("Lower Reservoir",Generators!$A$1:$AZ$1,0),FALSE))</f>
        <v>Gabcikovo (Nagymaros Dams)_lower</v>
      </c>
    </row>
    <row r="35" spans="1:12" x14ac:dyDescent="0.35">
      <c r="A35" t="str">
        <f ca="1"/>
        <v>Zarnowiec</v>
      </c>
      <c r="B35" s="148" t="str">
        <f ca="1">VLOOKUP(A35,Generators!A36:AZ549,MATCH("Upper Reservoir",Generators!$A$1:$AZ$1,0),FALSE)</f>
        <v>Czymanowo</v>
      </c>
      <c r="L35" s="149" t="str">
        <f ca="1">IF(VLOOKUP(A35,Generators!A36:AZ549,MATCH("Lower Reservoir",Generators!$A$1:$AZ$1,0),FALSE)=0,A35 &amp; "_lower",VLOOKUP(A35,Generators!A36:AZ549,MATCH("Lower Reservoir",Generators!$A$1:$AZ$1,0),FALSE))</f>
        <v>Zarnowiec</v>
      </c>
    </row>
    <row r="36" spans="1:12" x14ac:dyDescent="0.35">
      <c r="A36" t="str">
        <f ca="1"/>
        <v>Saurdal</v>
      </c>
      <c r="B36" s="148" t="str">
        <f ca="1">VLOOKUP(A36,Generators!A37:AZ550,MATCH("Upper Reservoir",Generators!$A$1:$AZ$1,0),FALSE)</f>
        <v>Lake Blasjo</v>
      </c>
      <c r="L36" s="149" t="str">
        <f ca="1">IF(VLOOKUP(A36,Generators!A37:AZ550,MATCH("Lower Reservoir",Generators!$A$1:$AZ$1,0),FALSE)=0,A36 &amp; "_lower",VLOOKUP(A36,Generators!A37:AZ550,MATCH("Lower Reservoir",Generators!$A$1:$AZ$1,0),FALSE))</f>
        <v>Suldalsvatnet</v>
      </c>
    </row>
    <row r="37" spans="1:12" x14ac:dyDescent="0.35">
      <c r="A37" t="str">
        <f ca="1"/>
        <v>Alto Lindoso Dam</v>
      </c>
      <c r="B37" s="148" t="str">
        <f ca="1">VLOOKUP(A37,Generators!A38:AZ551,MATCH("Upper Reservoir",Generators!$A$1:$AZ$1,0),FALSE)</f>
        <v>Alto Lindoso</v>
      </c>
      <c r="L37" s="149" t="str">
        <f ca="1">IF(VLOOKUP(A37,Generators!A38:AZ551,MATCH("Lower Reservoir",Generators!$A$1:$AZ$1,0),FALSE)=0,A37 &amp; "_lower",VLOOKUP(A37,Generators!A38:AZ551,MATCH("Lower Reservoir",Generators!$A$1:$AZ$1,0),FALSE))</f>
        <v>Touvedo</v>
      </c>
    </row>
    <row r="38" spans="1:12" x14ac:dyDescent="0.35">
      <c r="A38" t="str">
        <f ca="1"/>
        <v>La Muela I</v>
      </c>
      <c r="B38" s="148" t="str">
        <f ca="1">VLOOKUP(A38,Generators!A39:AZ552,MATCH("Upper Reservoir",Generators!$A$1:$AZ$1,0),FALSE)</f>
        <v>Muela upper reservoir</v>
      </c>
      <c r="L38" s="149" t="str">
        <f ca="1">IF(VLOOKUP(A38,Generators!A39:AZ552,MATCH("Lower Reservoir",Generators!$A$1:$AZ$1,0),FALSE)=0,A38 &amp; "_lower",VLOOKUP(A38,Generators!A39:AZ552,MATCH("Lower Reservoir",Generators!$A$1:$AZ$1,0),FALSE))</f>
        <v>Cortes de Pallas</v>
      </c>
    </row>
    <row r="39" spans="1:12" x14ac:dyDescent="0.35">
      <c r="A39" t="str">
        <f ca="1"/>
        <v>Dlouhe Strane</v>
      </c>
      <c r="B39" s="148" t="str">
        <f ca="1">VLOOKUP(A39,Generators!A40:AZ553,MATCH("Upper Reservoir",Generators!$A$1:$AZ$1,0),FALSE)</f>
        <v>Dlouhe Strane upper</v>
      </c>
      <c r="L39" s="149" t="str">
        <f ca="1">IF(VLOOKUP(A39,Generators!A40:AZ553,MATCH("Lower Reservoir",Generators!$A$1:$AZ$1,0),FALSE)=0,A39 &amp; "_lower",VLOOKUP(A39,Generators!A40:AZ553,MATCH("Lower Reservoir",Generators!$A$1:$AZ$1,0),FALSE))</f>
        <v>Dlouhe Strane lower</v>
      </c>
    </row>
    <row r="40" spans="1:12" x14ac:dyDescent="0.35">
      <c r="A40" t="str">
        <f ca="1"/>
        <v>Svartisen</v>
      </c>
      <c r="B40" s="148" t="str">
        <f ca="1">VLOOKUP(A40,Generators!A41:AZ554,MATCH("Upper Reservoir",Generators!$A$1:$AZ$1,0),FALSE)</f>
        <v>Storglomvatnet</v>
      </c>
      <c r="L40" s="149" t="str">
        <f ca="1">IF(VLOOKUP(A40,Generators!A41:AZ554,MATCH("Lower Reservoir",Generators!$A$1:$AZ$1,0),FALSE)=0,A40 &amp; "_lower",VLOOKUP(A40,Generators!A41:AZ554,MATCH("Lower Reservoir",Generators!$A$1:$AZ$1,0),FALSE))</f>
        <v>Svartisen_lower</v>
      </c>
    </row>
    <row r="41" spans="1:12" x14ac:dyDescent="0.35">
      <c r="A41" t="str">
        <f ca="1"/>
        <v>Stornorrfors</v>
      </c>
      <c r="B41" s="148" t="str">
        <f ca="1">VLOOKUP(A41,Generators!A42:AZ555,MATCH("Upper Reservoir",Generators!$A$1:$AZ$1,0),FALSE)</f>
        <v>Stornorrfors dam</v>
      </c>
      <c r="L41" s="149" t="str">
        <f ca="1">IF(VLOOKUP(A41,Generators!A42:AZ555,MATCH("Lower Reservoir",Generators!$A$1:$AZ$1,0),FALSE)=0,A41 &amp; "_lower",VLOOKUP(A41,Generators!A42:AZ555,MATCH("Lower Reservoir",Generators!$A$1:$AZ$1,0),FALSE))</f>
        <v>Stornorrfors_lower</v>
      </c>
    </row>
    <row r="42" spans="1:12" x14ac:dyDescent="0.35">
      <c r="A42" t="str">
        <f ca="1"/>
        <v>Limberg I II</v>
      </c>
      <c r="B42" s="148" t="str">
        <f ca="1">VLOOKUP(A42,Generators!A43:AZ556,MATCH("Upper Reservoir",Generators!$A$1:$AZ$1,0),FALSE)</f>
        <v>Mooserboden</v>
      </c>
      <c r="L42" s="149" t="str">
        <f ca="1">IF(VLOOKUP(A42,Generators!A43:AZ556,MATCH("Lower Reservoir",Generators!$A$1:$AZ$1,0),FALSE)=0,A42 &amp; "_lower",VLOOKUP(A42,Generators!A43:AZ556,MATCH("Lower Reservoir",Generators!$A$1:$AZ$1,0),FALSE))</f>
        <v>Wasserfallboden</v>
      </c>
    </row>
    <row r="43" spans="1:12" x14ac:dyDescent="0.35">
      <c r="A43" t="str">
        <f ca="1"/>
        <v>San Fiorano</v>
      </c>
      <c r="B43" s="148" t="str">
        <f ca="1">VLOOKUP(A43,Generators!A44:AZ557,MATCH("Upper Reservoir",Generators!$A$1:$AZ$1,0),FALSE)</f>
        <v>Lago d'Arno</v>
      </c>
      <c r="L43" s="149" t="str">
        <f ca="1">IF(VLOOKUP(A43,Generators!A44:AZ557,MATCH("Lower Reservoir",Generators!$A$1:$AZ$1,0),FALSE)=0,A43 &amp; "_lower",VLOOKUP(A43,Generators!A44:AZ557,MATCH("Lower Reservoir",Generators!$A$1:$AZ$1,0),FALSE))</f>
        <v>Sellero</v>
      </c>
    </row>
    <row r="44" spans="1:12" x14ac:dyDescent="0.35">
      <c r="A44" t="str">
        <f ca="1"/>
        <v>La Bathie</v>
      </c>
      <c r="B44" s="148" t="str">
        <f ca="1">VLOOKUP(A44,Generators!A45:AZ558,MATCH("Upper Reservoir",Generators!$A$1:$AZ$1,0),FALSE)</f>
        <v>Roselend</v>
      </c>
      <c r="L44" s="149" t="str">
        <f ca="1">IF(VLOOKUP(A44,Generators!A45:AZ558,MATCH("Lower Reservoir",Generators!$A$1:$AZ$1,0),FALSE)=0,A44 &amp; "_lower",VLOOKUP(A44,Generators!A45:AZ558,MATCH("Lower Reservoir",Generators!$A$1:$AZ$1,0),FALSE))</f>
        <v>La Bathie_lower</v>
      </c>
    </row>
    <row r="45" spans="1:12" x14ac:dyDescent="0.35">
      <c r="A45" t="str">
        <f ca="1"/>
        <v>Kops II</v>
      </c>
      <c r="B45" s="148" t="str">
        <f ca="1">VLOOKUP(A45,Generators!A46:AZ559,MATCH("Upper Reservoir",Generators!$A$1:$AZ$1,0),FALSE)</f>
        <v>Kops</v>
      </c>
      <c r="L45" s="149" t="str">
        <f ca="1">IF(VLOOKUP(A45,Generators!A46:AZ559,MATCH("Lower Reservoir",Generators!$A$1:$AZ$1,0),FALSE)=0,A45 &amp; "_lower",VLOOKUP(A45,Generators!A46:AZ559,MATCH("Lower Reservoir",Generators!$A$1:$AZ$1,0),FALSE))</f>
        <v>Rifa</v>
      </c>
    </row>
    <row r="46" spans="1:12" x14ac:dyDescent="0.35">
      <c r="A46" t="str">
        <f ca="1"/>
        <v>Saucelle</v>
      </c>
      <c r="B46" s="148" t="str">
        <f ca="1">VLOOKUP(A46,Generators!A47:AZ560,MATCH("Upper Reservoir",Generators!$A$1:$AZ$1,0),FALSE)</f>
        <v>Saucelle</v>
      </c>
      <c r="L46" s="149" t="str">
        <f ca="1">IF(VLOOKUP(A46,Generators!A47:AZ560,MATCH("Lower Reservoir",Generators!$A$1:$AZ$1,0),FALSE)=0,A46 &amp; "_lower",VLOOKUP(A46,Generators!A47:AZ560,MATCH("Lower Reservoir",Generators!$A$1:$AZ$1,0),FALSE))</f>
        <v>Saucelle_lower</v>
      </c>
    </row>
    <row r="47" spans="1:12" x14ac:dyDescent="0.35">
      <c r="A47" t="str">
        <f ca="1"/>
        <v>Alqueva I II</v>
      </c>
      <c r="B47" s="148" t="str">
        <f ca="1">VLOOKUP(A47,Generators!A48:AZ561,MATCH("Upper Reservoir",Generators!$A$1:$AZ$1,0),FALSE)</f>
        <v>Alqueva</v>
      </c>
      <c r="L47" s="149" t="str">
        <f ca="1">IF(VLOOKUP(A47,Generators!A48:AZ561,MATCH("Lower Reservoir",Generators!$A$1:$AZ$1,0),FALSE)=0,A47 &amp; "_lower",VLOOKUP(A47,Generators!A48:AZ561,MATCH("Lower Reservoir",Generators!$A$1:$AZ$1,0),FALSE))</f>
        <v>Pedrogao</v>
      </c>
    </row>
    <row r="48" spans="1:12" x14ac:dyDescent="0.35">
      <c r="A48" t="str">
        <f ca="1"/>
        <v>Ciunget</v>
      </c>
      <c r="B48" s="148" t="str">
        <f ca="1">VLOOKUP(A48,Generators!A49:AZ562,MATCH("Upper Reservoir",Generators!$A$1:$AZ$1,0),FALSE)</f>
        <v xml:space="preserve">Vidra </v>
      </c>
      <c r="L48" s="149" t="str">
        <f ca="1">IF(VLOOKUP(A48,Generators!A49:AZ562,MATCH("Lower Reservoir",Generators!$A$1:$AZ$1,0),FALSE)=0,A48 &amp; "_lower",VLOOKUP(A48,Generators!A49:AZ562,MATCH("Lower Reservoir",Generators!$A$1:$AZ$1,0),FALSE))</f>
        <v>Ciunget_lower</v>
      </c>
    </row>
    <row r="49" spans="1:12" x14ac:dyDescent="0.35">
      <c r="A49" t="str">
        <f ca="1"/>
        <v>Silz</v>
      </c>
      <c r="B49" s="148" t="str">
        <f ca="1">VLOOKUP(A49,Generators!A50:AZ563,MATCH("Upper Reservoir",Generators!$A$1:$AZ$1,0),FALSE)</f>
        <v>Laengental</v>
      </c>
      <c r="L49" s="149" t="str">
        <f ca="1">IF(VLOOKUP(A49,Generators!A50:AZ563,MATCH("Lower Reservoir",Generators!$A$1:$AZ$1,0),FALSE)=0,A49 &amp; "_lower",VLOOKUP(A49,Generators!A50:AZ563,MATCH("Lower Reservoir",Generators!$A$1:$AZ$1,0),FALSE))</f>
        <v>Silz_lower</v>
      </c>
    </row>
    <row r="50" spans="1:12" x14ac:dyDescent="0.35">
      <c r="A50" t="str">
        <f ca="1"/>
        <v>Anapo</v>
      </c>
      <c r="B50" s="148" t="str">
        <f ca="1">VLOOKUP(A50,Generators!A51:AZ564,MATCH("Upper Reservoir",Generators!$A$1:$AZ$1,0),FALSE)</f>
        <v>Anapo upper reservoir</v>
      </c>
      <c r="L50" s="149" t="str">
        <f ca="1">IF(VLOOKUP(A50,Generators!A51:AZ564,MATCH("Lower Reservoir",Generators!$A$1:$AZ$1,0),FALSE)=0,A50 &amp; "_lower",VLOOKUP(A50,Generators!A51:AZ564,MATCH("Lower Reservoir",Generators!$A$1:$AZ$1,0),FALSE))</f>
        <v>Anapo lower reservoir</v>
      </c>
    </row>
    <row r="51" spans="1:12" x14ac:dyDescent="0.35">
      <c r="A51" t="str">
        <f ca="1"/>
        <v>Porabka-zar</v>
      </c>
      <c r="B51" s="148" t="str">
        <f ca="1">VLOOKUP(A51,Generators!A52:AZ565,MATCH("Upper Reservoir",Generators!$A$1:$AZ$1,0),FALSE)</f>
        <v>Zar</v>
      </c>
      <c r="L51" s="149" t="str">
        <f ca="1">IF(VLOOKUP(A51,Generators!A52:AZ565,MATCH("Lower Reservoir",Generators!$A$1:$AZ$1,0),FALSE)=0,A51 &amp; "_lower",VLOOKUP(A51,Generators!A52:AZ565,MATCH("Lower Reservoir",Generators!$A$1:$AZ$1,0),FALSE))</f>
        <v>Miedzybrodzie</v>
      </c>
    </row>
    <row r="52" spans="1:12" x14ac:dyDescent="0.35">
      <c r="A52" t="str">
        <f ca="1"/>
        <v>Rodundwerk I II</v>
      </c>
      <c r="B52" s="148" t="str">
        <f ca="1">VLOOKUP(A52,Generators!A53:AZ566,MATCH("Upper Reservoir",Generators!$A$1:$AZ$1,0),FALSE)</f>
        <v>Latschau</v>
      </c>
      <c r="L52" s="149" t="str">
        <f ca="1">IF(VLOOKUP(A52,Generators!A53:AZ566,MATCH("Lower Reservoir",Generators!$A$1:$AZ$1,0),FALSE)=0,A52 &amp; "_lower",VLOOKUP(A52,Generators!A53:AZ566,MATCH("Lower Reservoir",Generators!$A$1:$AZ$1,0),FALSE))</f>
        <v>Rodund</v>
      </c>
    </row>
    <row r="53" spans="1:12" x14ac:dyDescent="0.35">
      <c r="A53" t="str">
        <f ca="1"/>
        <v xml:space="preserve">Zakucac </v>
      </c>
      <c r="B53" s="148" t="str">
        <f ca="1">VLOOKUP(A53,Generators!A54:AZ567,MATCH("Upper Reservoir",Generators!$A$1:$AZ$1,0),FALSE)</f>
        <v>Zakucac</v>
      </c>
      <c r="L53" s="149" t="str">
        <f ca="1">IF(VLOOKUP(A53,Generators!A54:AZ567,MATCH("Lower Reservoir",Generators!$A$1:$AZ$1,0),FALSE)=0,A53 &amp; "_lower",VLOOKUP(A53,Generators!A54:AZ567,MATCH("Lower Reservoir",Generators!$A$1:$AZ$1,0),FALSE))</f>
        <v>Zakucac _lower</v>
      </c>
    </row>
    <row r="54" spans="1:12" x14ac:dyDescent="0.35">
      <c r="A54" t="str">
        <f ca="1"/>
        <v>Rana</v>
      </c>
      <c r="B54" s="148" t="str">
        <f ca="1">VLOOKUP(A54,Generators!A55:AZ568,MATCH("Upper Reservoir",Generators!$A$1:$AZ$1,0),FALSE)</f>
        <v>Akersvatnet</v>
      </c>
      <c r="C54" s="152" t="s">
        <v>2338</v>
      </c>
      <c r="D54" s="152" t="s">
        <v>2339</v>
      </c>
      <c r="E54" s="152" t="s">
        <v>2716</v>
      </c>
      <c r="L54" s="149" t="str">
        <f ca="1">IF(VLOOKUP(A54,Generators!A55:AZ568,MATCH("Lower Reservoir",Generators!$A$1:$AZ$1,0),FALSE)=0,A54 &amp; "_lower",VLOOKUP(A54,Generators!A55:AZ568,MATCH("Lower Reservoir",Generators!$A$1:$AZ$1,0),FALSE))</f>
        <v>Rana_lower</v>
      </c>
    </row>
    <row r="55" spans="1:12" x14ac:dyDescent="0.35">
      <c r="A55" t="str">
        <f ca="1"/>
        <v>Waldeck II</v>
      </c>
      <c r="B55" s="148" t="str">
        <f ca="1">VLOOKUP(A55,Generators!A56:AZ569,MATCH("Upper Reservoir",Generators!$A$1:$AZ$1,0),FALSE)</f>
        <v>Oberbecken Waldeck II</v>
      </c>
      <c r="L55" s="149" t="str">
        <f ca="1">IF(VLOOKUP(A55,Generators!A56:AZ569,MATCH("Lower Reservoir",Generators!$A$1:$AZ$1,0),FALSE)=0,A55 &amp; "_lower",VLOOKUP(A55,Generators!A56:AZ569,MATCH("Lower Reservoir",Generators!$A$1:$AZ$1,0),FALSE))</f>
        <v>Affoldener See</v>
      </c>
    </row>
    <row r="56" spans="1:12" x14ac:dyDescent="0.35">
      <c r="A56" t="str">
        <f ca="1"/>
        <v>Cedillo</v>
      </c>
      <c r="B56" s="148" t="str">
        <f ca="1">VLOOKUP(A56,Generators!A57:AZ570,MATCH("Upper Reservoir",Generators!$A$1:$AZ$1,0),FALSE)</f>
        <v>Cedillo</v>
      </c>
      <c r="L56" s="149" t="str">
        <f ca="1">IF(VLOOKUP(A56,Generators!A57:AZ570,MATCH("Lower Reservoir",Generators!$A$1:$AZ$1,0),FALSE)=0,A56 &amp; "_lower",VLOOKUP(A56,Generators!A57:AZ570,MATCH("Lower Reservoir",Generators!$A$1:$AZ$1,0),FALSE))</f>
        <v>Cedillo_lower</v>
      </c>
    </row>
    <row r="57" spans="1:12" x14ac:dyDescent="0.35">
      <c r="A57" t="str">
        <f ca="1"/>
        <v>Porjus</v>
      </c>
      <c r="B57" s="148" t="str">
        <f ca="1">VLOOKUP(A57,Generators!A58:AZ571,MATCH("Upper Reservoir",Generators!$A$1:$AZ$1,0),FALSE)</f>
        <v>Porjus</v>
      </c>
      <c r="C57" s="152" t="s">
        <v>2652</v>
      </c>
      <c r="L57" s="149" t="str">
        <f ca="1">IF(VLOOKUP(A57,Generators!A58:AZ571,MATCH("Lower Reservoir",Generators!$A$1:$AZ$1,0),FALSE)=0,A57 &amp; "_lower",VLOOKUP(A57,Generators!A58:AZ571,MATCH("Lower Reservoir",Generators!$A$1:$AZ$1,0),FALSE))</f>
        <v>Porjus_lower</v>
      </c>
    </row>
    <row r="58" spans="1:12" x14ac:dyDescent="0.35">
      <c r="A58" t="str">
        <f ca="1"/>
        <v>Messaure</v>
      </c>
      <c r="B58" s="148" t="str">
        <f ca="1">VLOOKUP(A58,Generators!A59:AZ572,MATCH("Upper Reservoir",Generators!$A$1:$AZ$1,0),FALSE)</f>
        <v>Messaure dam</v>
      </c>
      <c r="L58" s="149" t="str">
        <f ca="1">IF(VLOOKUP(A58,Generators!A59:AZ572,MATCH("Lower Reservoir",Generators!$A$1:$AZ$1,0),FALSE)=0,A58 &amp; "_lower",VLOOKUP(A58,Generators!A59:AZ572,MATCH("Lower Reservoir",Generators!$A$1:$AZ$1,0),FALSE))</f>
        <v>Messaure_lower</v>
      </c>
    </row>
    <row r="59" spans="1:12" x14ac:dyDescent="0.35">
      <c r="A59" t="str">
        <f ca="1"/>
        <v>Cheylas</v>
      </c>
      <c r="B59" s="148" t="str">
        <f ca="1">VLOOKUP(A59,Generators!A60:AZ573,MATCH("Upper Reservoir",Generators!$A$1:$AZ$1,0),FALSE)</f>
        <v>Flumet</v>
      </c>
      <c r="L59" s="149" t="str">
        <f ca="1">IF(VLOOKUP(A59,Generators!A60:AZ573,MATCH("Lower Reservoir",Generators!$A$1:$AZ$1,0),FALSE)=0,A59 &amp; "_lower",VLOOKUP(A59,Generators!A60:AZ573,MATCH("Lower Reservoir",Generators!$A$1:$AZ$1,0),FALSE))</f>
        <v>Cheylas</v>
      </c>
    </row>
    <row r="60" spans="1:12" x14ac:dyDescent="0.35">
      <c r="A60" t="str">
        <f ca="1"/>
        <v>Letsi</v>
      </c>
      <c r="B60" s="148" t="str">
        <f ca="1">VLOOKUP(A60,Generators!A61:AZ574,MATCH("Upper Reservoir",Generators!$A$1:$AZ$1,0),FALSE)</f>
        <v>Letsi</v>
      </c>
      <c r="L60" s="149" t="str">
        <f ca="1">IF(VLOOKUP(A60,Generators!A61:AZ574,MATCH("Lower Reservoir",Generators!$A$1:$AZ$1,0),FALSE)=0,A60 &amp; "_lower",VLOOKUP(A60,Generators!A61:AZ574,MATCH("Lower Reservoir",Generators!$A$1:$AZ$1,0),FALSE))</f>
        <v>Letsi_lower</v>
      </c>
    </row>
    <row r="61" spans="1:12" x14ac:dyDescent="0.35">
      <c r="A61" t="str">
        <f ca="1"/>
        <v>Dalesice</v>
      </c>
      <c r="B61" s="148" t="str">
        <f ca="1">VLOOKUP(A61,Generators!A62:AZ575,MATCH("Upper Reservoir",Generators!$A$1:$AZ$1,0),FALSE)</f>
        <v>Dalesice</v>
      </c>
      <c r="L61" s="149" t="str">
        <f ca="1">IF(VLOOKUP(A61,Generators!A62:AZ575,MATCH("Lower Reservoir",Generators!$A$1:$AZ$1,0),FALSE)=0,A61 &amp; "_lower",VLOOKUP(A61,Generators!A62:AZ575,MATCH("Lower Reservoir",Generators!$A$1:$AZ$1,0),FALSE))</f>
        <v>Mohelno</v>
      </c>
    </row>
    <row r="62" spans="1:12" x14ac:dyDescent="0.35">
      <c r="A62" t="str">
        <f ca="1"/>
        <v>San Giacomo</v>
      </c>
      <c r="B62" s="148" t="str">
        <f ca="1">VLOOKUP(A62,Generators!A63:AZ576,MATCH("Upper Reservoir",Generators!$A$1:$AZ$1,0),FALSE)</f>
        <v>Provvidenza</v>
      </c>
      <c r="L62" s="149" t="str">
        <f ca="1">IF(VLOOKUP(A62,Generators!A63:AZ576,MATCH("Lower Reservoir",Generators!$A$1:$AZ$1,0),FALSE)=0,A62 &amp; "_lower",VLOOKUP(A62,Generators!A63:AZ576,MATCH("Lower Reservoir",Generators!$A$1:$AZ$1,0),FALSE))</f>
        <v>Piaganini</v>
      </c>
    </row>
    <row r="63" spans="1:12" x14ac:dyDescent="0.35">
      <c r="A63" t="str">
        <f ca="1"/>
        <v>Gento-Sallente</v>
      </c>
      <c r="B63" s="148" t="str">
        <f ca="1">VLOOKUP(A63,Generators!A64:AZ577,MATCH("Upper Reservoir",Generators!$A$1:$AZ$1,0),FALSE)</f>
        <v>Gento</v>
      </c>
      <c r="L63" s="149" t="str">
        <f ca="1">IF(VLOOKUP(A63,Generators!A64:AZ577,MATCH("Lower Reservoir",Generators!$A$1:$AZ$1,0),FALSE)=0,A63 &amp; "_lower",VLOOKUP(A63,Generators!A64:AZ577,MATCH("Lower Reservoir",Generators!$A$1:$AZ$1,0),FALSE))</f>
        <v>Sallente</v>
      </c>
    </row>
    <row r="64" spans="1:12" x14ac:dyDescent="0.35">
      <c r="A64" t="str">
        <f ca="1"/>
        <v>Picote I + II</v>
      </c>
      <c r="B64" s="148" t="str">
        <f ca="1">VLOOKUP(A64,Generators!A65:AZ578,MATCH("Upper Reservoir",Generators!$A$1:$AZ$1,0),FALSE)</f>
        <v>Picote</v>
      </c>
      <c r="C64" s="152" t="s">
        <v>1563</v>
      </c>
      <c r="L64" s="149" t="str">
        <f ca="1">IF(VLOOKUP(A64,Generators!A65:AZ578,MATCH("Lower Reservoir",Generators!$A$1:$AZ$1,0),FALSE)=0,A64 &amp; "_lower",VLOOKUP(A64,Generators!A65:AZ578,MATCH("Lower Reservoir",Generators!$A$1:$AZ$1,0),FALSE))</f>
        <v>Picote I + II_lower</v>
      </c>
    </row>
    <row r="65" spans="1:12" x14ac:dyDescent="0.35">
      <c r="A65" t="str">
        <f ca="1"/>
        <v>Tierfehd</v>
      </c>
      <c r="B65" s="148" t="str">
        <f ca="1">VLOOKUP(A65,Generators!A66:AZ579,MATCH("Upper Reservoir",Generators!$A$1:$AZ$1,0),FALSE)</f>
        <v>Limmern</v>
      </c>
      <c r="L65" s="149" t="str">
        <f ca="1">IF(VLOOKUP(A65,Generators!A66:AZ579,MATCH("Lower Reservoir",Generators!$A$1:$AZ$1,0),FALSE)=0,A65 &amp; "_lower",VLOOKUP(A65,Generators!A66:AZ579,MATCH("Lower Reservoir",Generators!$A$1:$AZ$1,0),FALSE))</f>
        <v>Tierfehd</v>
      </c>
    </row>
    <row r="66" spans="1:12" x14ac:dyDescent="0.35">
      <c r="A66" t="str">
        <f ca="1"/>
        <v>Pouget</v>
      </c>
      <c r="B66" s="148" t="str">
        <f ca="1">VLOOKUP(A66,Generators!A67:AZ580,MATCH("Upper Reservoir",Generators!$A$1:$AZ$1,0),FALSE)</f>
        <v>Villefranche-de-Panat</v>
      </c>
      <c r="L66" s="149" t="str">
        <f ca="1">IF(VLOOKUP(A66,Generators!A67:AZ580,MATCH("Lower Reservoir",Generators!$A$1:$AZ$1,0),FALSE)=0,A66 &amp; "_lower",VLOOKUP(A66,Generators!A67:AZ580,MATCH("Lower Reservoir",Generators!$A$1:$AZ$1,0),FALSE))</f>
        <v>Pouget_lower</v>
      </c>
    </row>
    <row r="67" spans="1:12" x14ac:dyDescent="0.35">
      <c r="A67" t="str">
        <f ca="1"/>
        <v>Kremasta</v>
      </c>
      <c r="B67" s="148" t="str">
        <f ca="1">VLOOKUP(A67,Generators!A68:AZ581,MATCH("Upper Reservoir",Generators!$A$1:$AZ$1,0),FALSE)</f>
        <v>Kremasta</v>
      </c>
      <c r="L67" s="149" t="str">
        <f ca="1">IF(VLOOKUP(A67,Generators!A68:AZ581,MATCH("Lower Reservoir",Generators!$A$1:$AZ$1,0),FALSE)=0,A67 &amp; "_lower",VLOOKUP(A67,Generators!A68:AZ581,MATCH("Lower Reservoir",Generators!$A$1:$AZ$1,0),FALSE))</f>
        <v>Kremasta_lower</v>
      </c>
    </row>
    <row r="68" spans="1:12" x14ac:dyDescent="0.35">
      <c r="A68" t="str">
        <f ca="1"/>
        <v>Tokke</v>
      </c>
      <c r="B68" s="148" t="str">
        <f ca="1">VLOOKUP(A68,Generators!A69:AZ582,MATCH("Upper Reservoir",Generators!$A$1:$AZ$1,0),FALSE)</f>
        <v>Vinjevatn</v>
      </c>
      <c r="L68" s="149" t="str">
        <f ca="1">IF(VLOOKUP(A68,Generators!A69:AZ582,MATCH("Lower Reservoir",Generators!$A$1:$AZ$1,0),FALSE)=0,A68 &amp; "_lower",VLOOKUP(A68,Generators!A69:AZ582,MATCH("Lower Reservoir",Generators!$A$1:$AZ$1,0),FALSE))</f>
        <v>Bandak</v>
      </c>
    </row>
    <row r="69" spans="1:12" x14ac:dyDescent="0.35">
      <c r="A69" t="str">
        <f ca="1"/>
        <v>Bemposta</v>
      </c>
      <c r="B69" s="148" t="str">
        <f ca="1">VLOOKUP(A69,Generators!A70:AZ583,MATCH("Upper Reservoir",Generators!$A$1:$AZ$1,0),FALSE)</f>
        <v>Bemposta</v>
      </c>
      <c r="L69" s="149" t="str">
        <f ca="1">IF(VLOOKUP(A69,Generators!A70:AZ583,MATCH("Lower Reservoir",Generators!$A$1:$AZ$1,0),FALSE)=0,A69 &amp; "_lower",VLOOKUP(A69,Generators!A70:AZ583,MATCH("Lower Reservoir",Generators!$A$1:$AZ$1,0),FALSE))</f>
        <v>Bemposta_lower</v>
      </c>
    </row>
    <row r="70" spans="1:12" x14ac:dyDescent="0.35">
      <c r="A70" t="str">
        <f ca="1"/>
        <v>Grosio</v>
      </c>
      <c r="B70" s="148" t="str">
        <f ca="1">VLOOKUP(A70,Generators!A71:AZ584,MATCH("Upper Reservoir",Generators!$A$1:$AZ$1,0),FALSE)</f>
        <v>Val Grosina</v>
      </c>
      <c r="L70" s="149" t="str">
        <f ca="1">IF(VLOOKUP(A70,Generators!A71:AZ584,MATCH("Lower Reservoir",Generators!$A$1:$AZ$1,0),FALSE)=0,A70 &amp; "_lower",VLOOKUP(A70,Generators!A71:AZ584,MATCH("Lower Reservoir",Generators!$A$1:$AZ$1,0),FALSE))</f>
        <v>Grosio_lower</v>
      </c>
    </row>
    <row r="71" spans="1:12" x14ac:dyDescent="0.35">
      <c r="A71" t="str">
        <f ca="1"/>
        <v>Genissiat</v>
      </c>
      <c r="B71" s="148" t="str">
        <f ca="1">VLOOKUP(A71,Generators!A72:AZ585,MATCH("Upper Reservoir",Generators!$A$1:$AZ$1,0),FALSE)</f>
        <v>Genissiat</v>
      </c>
      <c r="L71" s="149" t="str">
        <f ca="1">IF(VLOOKUP(A71,Generators!A72:AZ585,MATCH("Lower Reservoir",Generators!$A$1:$AZ$1,0),FALSE)=0,A71 &amp; "_lower",VLOOKUP(A71,Generators!A72:AZ585,MATCH("Lower Reservoir",Generators!$A$1:$AZ$1,0),FALSE))</f>
        <v>Genissiat_lower</v>
      </c>
    </row>
    <row r="72" spans="1:12" x14ac:dyDescent="0.35">
      <c r="A72" t="str">
        <f ca="1"/>
        <v>Riga</v>
      </c>
      <c r="B72" s="148" t="str">
        <f ca="1">VLOOKUP(A72,Generators!A73:AZ586,MATCH("Upper Reservoir",Generators!$A$1:$AZ$1,0),FALSE)</f>
        <v>Riga</v>
      </c>
      <c r="L72" s="149" t="str">
        <f ca="1">IF(VLOOKUP(A72,Generators!A73:AZ586,MATCH("Lower Reservoir",Generators!$A$1:$AZ$1,0),FALSE)=0,A72 &amp; "_lower",VLOOKUP(A72,Generators!A73:AZ586,MATCH("Lower Reservoir",Generators!$A$1:$AZ$1,0),FALSE))</f>
        <v>Daugava</v>
      </c>
    </row>
    <row r="73" spans="1:12" x14ac:dyDescent="0.35">
      <c r="A73" t="str">
        <f ca="1"/>
        <v>Cruachan</v>
      </c>
      <c r="B73" s="148" t="str">
        <f ca="1">VLOOKUP(A73,Generators!A74:AZ587,MATCH("Upper Reservoir",Generators!$A$1:$AZ$1,0),FALSE)</f>
        <v>Cruachan</v>
      </c>
      <c r="L73" s="149" t="str">
        <f ca="1">IF(VLOOKUP(A73,Generators!A74:AZ587,MATCH("Lower Reservoir",Generators!$A$1:$AZ$1,0),FALSE)=0,A73 &amp; "_lower",VLOOKUP(A73,Generators!A74:AZ587,MATCH("Lower Reservoir",Generators!$A$1:$AZ$1,0),FALSE))</f>
        <v>Loch Awe</v>
      </c>
    </row>
    <row r="74" spans="1:12" x14ac:dyDescent="0.35">
      <c r="A74" t="str">
        <f ca="1"/>
        <v>Kaunertal</v>
      </c>
      <c r="B74" s="148" t="str">
        <f ca="1">VLOOKUP(A74,Generators!A75:AZ588,MATCH("Upper Reservoir",Generators!$A$1:$AZ$1,0),FALSE)</f>
        <v>Gepatsch</v>
      </c>
      <c r="L74" s="149" t="str">
        <f ca="1">IF(VLOOKUP(A74,Generators!A75:AZ588,MATCH("Lower Reservoir",Generators!$A$1:$AZ$1,0),FALSE)=0,A74 &amp; "_lower",VLOOKUP(A74,Generators!A75:AZ588,MATCH("Lower Reservoir",Generators!$A$1:$AZ$1,0),FALSE))</f>
        <v>Kaunertal_lower</v>
      </c>
    </row>
    <row r="75" spans="1:12" x14ac:dyDescent="0.35">
      <c r="A75" t="str">
        <f ca="1"/>
        <v>Nendaz</v>
      </c>
      <c r="B75" s="148" t="str">
        <f ca="1">VLOOKUP(A75,Generators!A76:AZ589,MATCH("Upper Reservoir",Generators!$A$1:$AZ$1,0),FALSE)</f>
        <v>Grand Dixence reservoir</v>
      </c>
      <c r="L75" s="149" t="str">
        <f ca="1">IF(VLOOKUP(A75,Generators!A76:AZ589,MATCH("Lower Reservoir",Generators!$A$1:$AZ$1,0),FALSE)=0,A75 &amp; "_lower",VLOOKUP(A75,Generators!A76:AZ589,MATCH("Lower Reservoir",Generators!$A$1:$AZ$1,0),FALSE))</f>
        <v>Nendaz_lower</v>
      </c>
    </row>
    <row r="76" spans="1:12" x14ac:dyDescent="0.35">
      <c r="A76" t="str">
        <f ca="1"/>
        <v>Thisavros</v>
      </c>
      <c r="B76" s="148" t="str">
        <f ca="1">VLOOKUP(A76,Generators!A77:AZ590,MATCH("Upper Reservoir",Generators!$A$1:$AZ$1,0),FALSE)</f>
        <v>Thissavros</v>
      </c>
      <c r="L76" s="149" t="str">
        <f ca="1">IF(VLOOKUP(A76,Generators!A77:AZ590,MATCH("Lower Reservoir",Generators!$A$1:$AZ$1,0),FALSE)=0,A76 &amp; "_lower",VLOOKUP(A76,Generators!A77:AZ590,MATCH("Lower Reservoir",Generators!$A$1:$AZ$1,0),FALSE))</f>
        <v>Platanovryssi</v>
      </c>
    </row>
    <row r="77" spans="1:12" x14ac:dyDescent="0.35">
      <c r="A77" t="str">
        <f ca="1"/>
        <v>Serre-Poncon</v>
      </c>
      <c r="B77" s="148" t="str">
        <f ca="1">VLOOKUP(A77,Generators!A78:AZ591,MATCH("Upper Reservoir",Generators!$A$1:$AZ$1,0),FALSE)</f>
        <v>Serre-Poncon</v>
      </c>
      <c r="L77" s="149" t="str">
        <f ca="1">IF(VLOOKUP(A77,Generators!A78:AZ591,MATCH("Lower Reservoir",Generators!$A$1:$AZ$1,0),FALSE)=0,A77 &amp; "_lower",VLOOKUP(A77,Generators!A78:AZ591,MATCH("Lower Reservoir",Generators!$A$1:$AZ$1,0),FALSE))</f>
        <v>Serre-Poncon_lower</v>
      </c>
    </row>
    <row r="78" spans="1:12" x14ac:dyDescent="0.35">
      <c r="A78" t="str">
        <f ca="1"/>
        <v>Tyin</v>
      </c>
      <c r="B78" s="148" t="str">
        <f ca="1">VLOOKUP(A78,Generators!A79:AZ592,MATCH("Upper Reservoir",Generators!$A$1:$AZ$1,0),FALSE)</f>
        <v>Tyin</v>
      </c>
      <c r="L78" s="149" t="str">
        <f ca="1">IF(VLOOKUP(A78,Generators!A79:AZ592,MATCH("Lower Reservoir",Generators!$A$1:$AZ$1,0),FALSE)=0,A78 &amp; "_lower",VLOOKUP(A78,Generators!A79:AZ592,MATCH("Lower Reservoir",Generators!$A$1:$AZ$1,0),FALSE))</f>
        <v>Ardalsvatnet</v>
      </c>
    </row>
    <row r="79" spans="1:12" x14ac:dyDescent="0.35">
      <c r="A79" t="str">
        <f ca="1"/>
        <v>Tajo De la Encantada (El Chorro)</v>
      </c>
      <c r="B79" s="148" t="str">
        <f ca="1">VLOOKUP(A79,Generators!A80:AZ593,MATCH("Upper Reservoir",Generators!$A$1:$AZ$1,0),FALSE)</f>
        <v>Tajo de la Encantada upper</v>
      </c>
      <c r="L79" s="149" t="str">
        <f ca="1">IF(VLOOKUP(A79,Generators!A80:AZ593,MATCH("Lower Reservoir",Generators!$A$1:$AZ$1,0),FALSE)=0,A79 &amp; "_lower",VLOOKUP(A79,Generators!A80:AZ593,MATCH("Lower Reservoir",Generators!$A$1:$AZ$1,0),FALSE))</f>
        <v>Tajo de la Encantada</v>
      </c>
    </row>
    <row r="80" spans="1:12" x14ac:dyDescent="0.35">
      <c r="A80" t="str">
        <f ca="1"/>
        <v>Miranda</v>
      </c>
      <c r="B80" s="148" t="str">
        <f ca="1">VLOOKUP(A80,Generators!A81:AZ594,MATCH("Upper Reservoir",Generators!$A$1:$AZ$1,0),FALSE)</f>
        <v>Miranda</v>
      </c>
      <c r="L80" s="149" t="str">
        <f ca="1">IF(VLOOKUP(A80,Generators!A81:AZ594,MATCH("Lower Reservoir",Generators!$A$1:$AZ$1,0),FALSE)=0,A80 &amp; "_lower",VLOOKUP(A80,Generators!A81:AZ594,MATCH("Lower Reservoir",Generators!$A$1:$AZ$1,0),FALSE))</f>
        <v>Miranda_lower</v>
      </c>
    </row>
    <row r="81" spans="1:12" x14ac:dyDescent="0.35">
      <c r="A81" t="str">
        <f ca="1"/>
        <v>Orlik</v>
      </c>
      <c r="B81" s="148" t="str">
        <f ca="1">VLOOKUP(A81,Generators!A82:AZ595,MATCH("Upper Reservoir",Generators!$A$1:$AZ$1,0),FALSE)</f>
        <v>Orlik</v>
      </c>
      <c r="L81" s="149" t="str">
        <f ca="1">IF(VLOOKUP(A81,Generators!A82:AZ595,MATCH("Lower Reservoir",Generators!$A$1:$AZ$1,0),FALSE)=0,A81 &amp; "_lower",VLOOKUP(A81,Generators!A82:AZ595,MATCH("Lower Reservoir",Generators!$A$1:$AZ$1,0),FALSE))</f>
        <v>Orlik_lower</v>
      </c>
    </row>
    <row r="82" spans="1:12" x14ac:dyDescent="0.35">
      <c r="A82" t="str">
        <f ca="1"/>
        <v>Monteynard</v>
      </c>
      <c r="B82" s="148" t="str">
        <f ca="1">VLOOKUP(A82,Generators!A83:AZ596,MATCH("Upper Reservoir",Generators!$A$1:$AZ$1,0),FALSE)</f>
        <v>Monteynard</v>
      </c>
      <c r="L82" s="149" t="str">
        <f ca="1">IF(VLOOKUP(A82,Generators!A83:AZ596,MATCH("Lower Reservoir",Generators!$A$1:$AZ$1,0),FALSE)=0,A82 &amp; "_lower",VLOOKUP(A82,Generators!A83:AZ596,MATCH("Lower Reservoir",Generators!$A$1:$AZ$1,0),FALSE))</f>
        <v>Monteynard_lower</v>
      </c>
    </row>
    <row r="83" spans="1:12" x14ac:dyDescent="0.35">
      <c r="A83" t="str">
        <f ca="1"/>
        <v>Hausling</v>
      </c>
      <c r="B83" s="148" t="str">
        <f ca="1">VLOOKUP(A83,Generators!A84:AZ597,MATCH("Upper Reservoir",Generators!$A$1:$AZ$1,0),FALSE)</f>
        <v>Zillergruendel</v>
      </c>
      <c r="L83" s="149" t="str">
        <f ca="1">IF(VLOOKUP(A83,Generators!A84:AZ597,MATCH("Lower Reservoir",Generators!$A$1:$AZ$1,0),FALSE)=0,A83 &amp; "_lower",VLOOKUP(A83,Generators!A84:AZ597,MATCH("Lower Reservoir",Generators!$A$1:$AZ$1,0),FALSE))</f>
        <v>Stillup</v>
      </c>
    </row>
    <row r="84" spans="1:12" x14ac:dyDescent="0.35">
      <c r="A84" t="str">
        <f ca="1"/>
        <v>Villarodin</v>
      </c>
      <c r="B84" s="148" t="str">
        <f ca="1">VLOOKUP(A84,Generators!A85:AZ598,MATCH("Upper Reservoir",Generators!$A$1:$AZ$1,0),FALSE)</f>
        <v>Le Mont Cenis</v>
      </c>
      <c r="L84" s="149" t="str">
        <f ca="1">IF(VLOOKUP(A84,Generators!A85:AZ598,MATCH("Lower Reservoir",Generators!$A$1:$AZ$1,0),FALSE)=0,A84 &amp; "_lower",VLOOKUP(A84,Generators!A85:AZ598,MATCH("Lower Reservoir",Generators!$A$1:$AZ$1,0),FALSE))</f>
        <v>Villarodin_lower</v>
      </c>
    </row>
    <row r="85" spans="1:12" x14ac:dyDescent="0.35">
      <c r="A85" t="str">
        <f ca="1"/>
        <v>Sackingen</v>
      </c>
      <c r="B85" s="148" t="str">
        <f ca="1">VLOOKUP(A85,Generators!A86:AZ599,MATCH("Upper Reservoir",Generators!$A$1:$AZ$1,0),FALSE)</f>
        <v>Eggbergbecken</v>
      </c>
      <c r="L85" s="149" t="str">
        <f ca="1">IF(VLOOKUP(A85,Generators!A86:AZ599,MATCH("Lower Reservoir",Generators!$A$1:$AZ$1,0),FALSE)=0,A85 &amp; "_lower",VLOOKUP(A85,Generators!A86:AZ599,MATCH("Lower Reservoir",Generators!$A$1:$AZ$1,0),FALSE))</f>
        <v>Rhein</v>
      </c>
    </row>
    <row r="86" spans="1:12" x14ac:dyDescent="0.35">
      <c r="A86" t="str">
        <f ca="1"/>
        <v>Ffestiniog</v>
      </c>
      <c r="B86" s="148" t="str">
        <f ca="1">VLOOKUP(A86,Generators!A87:AZ600,MATCH("Upper Reservoir",Generators!$A$1:$AZ$1,0),FALSE)</f>
        <v>Stwlan</v>
      </c>
      <c r="L86" s="149" t="str">
        <f ca="1">IF(VLOOKUP(A86,Generators!A87:AZ600,MATCH("Lower Reservoir",Generators!$A$1:$AZ$1,0),FALSE)=0,A86 &amp; "_lower",VLOOKUP(A86,Generators!A87:AZ600,MATCH("Lower Reservoir",Generators!$A$1:$AZ$1,0),FALSE))</f>
        <v>Tan-y-Grisiau</v>
      </c>
    </row>
    <row r="87" spans="1:12" x14ac:dyDescent="0.35">
      <c r="A87" t="str">
        <f ca="1"/>
        <v>San Massenza I</v>
      </c>
      <c r="B87" s="148" t="str">
        <f ca="1">VLOOKUP(A87,Generators!A88:AZ601,MATCH("Upper Reservoir",Generators!$A$1:$AZ$1,0),FALSE)</f>
        <v>Molveno</v>
      </c>
      <c r="L87" s="149" t="str">
        <f ca="1">IF(VLOOKUP(A87,Generators!A88:AZ601,MATCH("Lower Reservoir",Generators!$A$1:$AZ$1,0),FALSE)=0,A87 &amp; "_lower",VLOOKUP(A87,Generators!A88:AZ601,MATCH("Lower Reservoir",Generators!$A$1:$AZ$1,0),FALSE))</f>
        <v>Lago Santa Massenza</v>
      </c>
    </row>
    <row r="88" spans="1:12" x14ac:dyDescent="0.35">
      <c r="A88" t="str">
        <f ca="1"/>
        <v>Conzere-Mondragon (Bollene)</v>
      </c>
      <c r="B88" s="148" t="str">
        <f ca="1">VLOOKUP(A88,Generators!A89:AZ602,MATCH("Upper Reservoir",Generators!$A$1:$AZ$1,0),FALSE)</f>
        <v>Canal Donzere-Mondragon</v>
      </c>
      <c r="L88" s="149" t="str">
        <f ca="1">IF(VLOOKUP(A88,Generators!A89:AZ602,MATCH("Lower Reservoir",Generators!$A$1:$AZ$1,0),FALSE)=0,A88 &amp; "_lower",VLOOKUP(A88,Generators!A89:AZ602,MATCH("Lower Reservoir",Generators!$A$1:$AZ$1,0),FALSE))</f>
        <v>Conzere-Mondragon (Bollene)_lower</v>
      </c>
    </row>
    <row r="89" spans="1:12" x14ac:dyDescent="0.35">
      <c r="A89" t="str">
        <f ca="1"/>
        <v>Grimsel 2</v>
      </c>
      <c r="B89" s="148" t="str">
        <f ca="1">VLOOKUP(A89,Generators!A90:AZ603,MATCH("Upper Reservoir",Generators!$A$1:$AZ$1,0),FALSE)</f>
        <v>Oberaar</v>
      </c>
      <c r="L89" s="149" t="str">
        <f ca="1">IF(VLOOKUP(A89,Generators!A90:AZ603,MATCH("Lower Reservoir",Generators!$A$1:$AZ$1,0),FALSE)=0,A89 &amp; "_lower",VLOOKUP(A89,Generators!A90:AZ603,MATCH("Lower Reservoir",Generators!$A$1:$AZ$1,0),FALSE))</f>
        <v>Grimsel</v>
      </c>
    </row>
    <row r="90" spans="1:12" x14ac:dyDescent="0.35">
      <c r="A90" t="str">
        <f ca="1"/>
        <v>Bitsch (Biel)</v>
      </c>
      <c r="B90" s="148" t="str">
        <f ca="1">VLOOKUP(A90,Generators!A91:AZ604,MATCH("Upper Reservoir",Generators!$A$1:$AZ$1,0),FALSE)</f>
        <v>Gibidum</v>
      </c>
      <c r="L90" s="149" t="str">
        <f ca="1">IF(VLOOKUP(A90,Generators!A91:AZ604,MATCH("Lower Reservoir",Generators!$A$1:$AZ$1,0),FALSE)=0,A90 &amp; "_lower",VLOOKUP(A90,Generators!A91:AZ604,MATCH("Lower Reservoir",Generators!$A$1:$AZ$1,0),FALSE))</f>
        <v>Bitsch (Biel)_lower</v>
      </c>
    </row>
    <row r="91" spans="1:12" x14ac:dyDescent="0.35">
      <c r="A91" t="str">
        <f ca="1"/>
        <v>Malgovert</v>
      </c>
      <c r="B91" s="148" t="str">
        <f ca="1">VLOOKUP(A91,Generators!A92:AZ605,MATCH("Upper Reservoir",Generators!$A$1:$AZ$1,0),FALSE)</f>
        <v>Chevril</v>
      </c>
      <c r="L91" s="149" t="str">
        <f ca="1">IF(VLOOKUP(A91,Generators!A92:AZ605,MATCH("Lower Reservoir",Generators!$A$1:$AZ$1,0),FALSE)=0,A91 &amp; "_lower",VLOOKUP(A91,Generators!A92:AZ605,MATCH("Lower Reservoir",Generators!$A$1:$AZ$1,0),FALSE))</f>
        <v>Malgovert_lower</v>
      </c>
    </row>
    <row r="92" spans="1:12" x14ac:dyDescent="0.35">
      <c r="A92" t="str">
        <f ca="1"/>
        <v>Mequinenza</v>
      </c>
      <c r="B92" s="148" t="str">
        <f ca="1">VLOOKUP(A92,Generators!A93:AZ606,MATCH("Upper Reservoir",Generators!$A$1:$AZ$1,0),FALSE)</f>
        <v>Mequinenza</v>
      </c>
      <c r="L92" s="149" t="str">
        <f ca="1">IF(VLOOKUP(A92,Generators!A93:AZ606,MATCH("Lower Reservoir",Generators!$A$1:$AZ$1,0),FALSE)=0,A92 &amp; "_lower",VLOOKUP(A92,Generators!A93:AZ606,MATCH("Lower Reservoir",Generators!$A$1:$AZ$1,0),FALSE))</f>
        <v>Mequinenza_lower</v>
      </c>
    </row>
    <row r="93" spans="1:12" x14ac:dyDescent="0.35">
      <c r="A93" t="str">
        <f ca="1"/>
        <v>Iron Gate II</v>
      </c>
      <c r="B93" s="148" t="e">
        <f ca="1">VLOOKUP(A93,Generators!A94:AZ607,MATCH("Upper Reservoir",Generators!$A$1:$AZ$1,0),FALSE)</f>
        <v>#N/A</v>
      </c>
      <c r="L93" s="149" t="e">
        <f ca="1">IF(VLOOKUP(A93,Generators!A94:AZ607,MATCH("Lower Reservoir",Generators!$A$1:$AZ$1,0),FALSE)=0,A93 &amp; "_lower",VLOOKUP(A93,Generators!A94:AZ607,MATCH("Lower Reservoir",Generators!$A$1:$AZ$1,0),FALSE))</f>
        <v>#N/A</v>
      </c>
    </row>
    <row r="94" spans="1:12" x14ac:dyDescent="0.35">
      <c r="A94" t="str">
        <f ca="1"/>
        <v>Vinje</v>
      </c>
      <c r="B94" s="148" t="str">
        <f ca="1">VLOOKUP(A94,Generators!A95:AZ608,MATCH("Upper Reservoir",Generators!$A$1:$AZ$1,0),FALSE)</f>
        <v>Totak</v>
      </c>
      <c r="L94" s="149" t="str">
        <f ca="1">IF(VLOOKUP(A94,Generators!A95:AZ608,MATCH("Lower Reservoir",Generators!$A$1:$AZ$1,0),FALSE)=0,A94 &amp; "_lower",VLOOKUP(A94,Generators!A95:AZ608,MATCH("Lower Reservoir",Generators!$A$1:$AZ$1,0),FALSE))</f>
        <v>Vinjevatn</v>
      </c>
    </row>
    <row r="95" spans="1:12" x14ac:dyDescent="0.35">
      <c r="A95" t="str">
        <f ca="1"/>
        <v>Kilforsen</v>
      </c>
      <c r="B95" s="148" t="str">
        <f ca="1">VLOOKUP(A95,Generators!A96:AZ609,MATCH("Upper Reservoir",Generators!$A$1:$AZ$1,0),FALSE)</f>
        <v>Imnas</v>
      </c>
      <c r="L95" s="149" t="str">
        <f ca="1">IF(VLOOKUP(A95,Generators!A96:AZ609,MATCH("Lower Reservoir",Generators!$A$1:$AZ$1,0),FALSE)=0,A95 &amp; "_lower",VLOOKUP(A95,Generators!A96:AZ609,MATCH("Lower Reservoir",Generators!$A$1:$AZ$1,0),FALSE))</f>
        <v>Angerman</v>
      </c>
    </row>
    <row r="96" spans="1:12" x14ac:dyDescent="0.35">
      <c r="A96" t="str">
        <f ca="1"/>
        <v>Fionnay (Dixence)</v>
      </c>
      <c r="B96" s="148" t="str">
        <f ca="1">VLOOKUP(A96,Generators!A97:AZ610,MATCH("Upper Reservoir",Generators!$A$1:$AZ$1,0),FALSE)</f>
        <v>Grand Dixence reservoir</v>
      </c>
      <c r="L96" s="149" t="str">
        <f ca="1">IF(VLOOKUP(A96,Generators!A97:AZ610,MATCH("Lower Reservoir",Generators!$A$1:$AZ$1,0),FALSE)=0,A96 &amp; "_lower",VLOOKUP(A96,Generators!A97:AZ610,MATCH("Lower Reservoir",Generators!$A$1:$AZ$1,0),FALSE))</f>
        <v>Fionnay (Dixence)_lower</v>
      </c>
    </row>
    <row r="97" spans="1:12" x14ac:dyDescent="0.35">
      <c r="A97" t="str">
        <f ca="1"/>
        <v>Kuhtai</v>
      </c>
      <c r="B97" s="148" t="str">
        <f ca="1">VLOOKUP(A97,Generators!A98:AZ611,MATCH("Upper Reservoir",Generators!$A$1:$AZ$1,0),FALSE)</f>
        <v>Finstertal</v>
      </c>
      <c r="L97" s="149" t="str">
        <f ca="1">IF(VLOOKUP(A97,Generators!A98:AZ611,MATCH("Lower Reservoir",Generators!$A$1:$AZ$1,0),FALSE)=0,A97 &amp; "_lower",VLOOKUP(A97,Generators!A98:AZ611,MATCH("Lower Reservoir",Generators!$A$1:$AZ$1,0),FALSE))</f>
        <v>Laengental</v>
      </c>
    </row>
    <row r="98" spans="1:12" x14ac:dyDescent="0.35">
      <c r="A98" t="str">
        <f ca="1"/>
        <v>Aurland III</v>
      </c>
      <c r="B98" s="148" t="str">
        <f ca="1">VLOOKUP(A98,Generators!A99:AZ612,MATCH("Upper Reservoir",Generators!$A$1:$AZ$1,0),FALSE)</f>
        <v>Nyhellervatn</v>
      </c>
      <c r="L98" s="149" t="str">
        <f ca="1">IF(VLOOKUP(A98,Generators!A99:AZ612,MATCH("Lower Reservoir",Generators!$A$1:$AZ$1,0),FALSE)=0,A98 &amp; "_lower",VLOOKUP(A98,Generators!A99:AZ612,MATCH("Lower Reservoir",Generators!$A$1:$AZ$1,0),FALSE))</f>
        <v>Vetlebotnvatn</v>
      </c>
    </row>
    <row r="99" spans="1:12" x14ac:dyDescent="0.35">
      <c r="A99" t="str">
        <f ca="1"/>
        <v>Kegums</v>
      </c>
      <c r="B99" s="148" t="str">
        <f ca="1">VLOOKUP(A99,Generators!A100:AZ613,MATCH("Upper Reservoir",Generators!$A$1:$AZ$1,0),FALSE)</f>
        <v>Kegums</v>
      </c>
      <c r="C99" s="152" t="s">
        <v>2732</v>
      </c>
      <c r="D99" s="152" t="s">
        <v>2066</v>
      </c>
      <c r="L99" s="149" t="str">
        <f ca="1">IF(VLOOKUP(A99,Generators!A100:AZ613,MATCH("Lower Reservoir",Generators!$A$1:$AZ$1,0),FALSE)=0,A99 &amp; "_lower",VLOOKUP(A99,Generators!A100:AZ613,MATCH("Lower Reservoir",Generators!$A$1:$AZ$1,0),FALSE))</f>
        <v>Daugava</v>
      </c>
    </row>
    <row r="100" spans="1:12" x14ac:dyDescent="0.35">
      <c r="A100" t="str">
        <f ca="1"/>
        <v>Ribarroja</v>
      </c>
      <c r="B100" s="148" t="str">
        <f ca="1">VLOOKUP(A100,Generators!A101:AZ614,MATCH("Upper Reservoir",Generators!$A$1:$AZ$1,0),FALSE)</f>
        <v>Ribarroja</v>
      </c>
      <c r="L100" s="149" t="str">
        <f ca="1">IF(VLOOKUP(A100,Generators!A101:AZ614,MATCH("Lower Reservoir",Generators!$A$1:$AZ$1,0),FALSE)=0,A100 &amp; "_lower",VLOOKUP(A100,Generators!A101:AZ614,MATCH("Lower Reservoir",Generators!$A$1:$AZ$1,0),FALSE))</f>
        <v>Ribarroja_lower</v>
      </c>
    </row>
    <row r="101" spans="1:12" x14ac:dyDescent="0.35">
      <c r="A101" t="str">
        <f ca="1"/>
        <v>Innertkirchen 1</v>
      </c>
      <c r="B101" s="148" t="str">
        <f ca="1">VLOOKUP(A101,Generators!A102:AZ615,MATCH("Upper Reservoir",Generators!$A$1:$AZ$1,0),FALSE)</f>
        <v>Gelmersee</v>
      </c>
      <c r="C101" s="152" t="s">
        <v>2483</v>
      </c>
      <c r="D101" s="152" t="s">
        <v>2709</v>
      </c>
      <c r="E101" s="152" t="s">
        <v>2733</v>
      </c>
      <c r="F101" s="152" t="s">
        <v>2734</v>
      </c>
      <c r="G101" s="152" t="s">
        <v>2735</v>
      </c>
      <c r="H101" s="152" t="s">
        <v>2154</v>
      </c>
      <c r="L101" s="149" t="str">
        <f ca="1">IF(VLOOKUP(A101,Generators!A102:AZ615,MATCH("Lower Reservoir",Generators!$A$1:$AZ$1,0),FALSE)=0,A101 &amp; "_lower",VLOOKUP(A101,Generators!A102:AZ615,MATCH("Lower Reservoir",Generators!$A$1:$AZ$1,0),FALSE))</f>
        <v>Innertkirchen 1_lower</v>
      </c>
    </row>
    <row r="102" spans="1:12" x14ac:dyDescent="0.35">
      <c r="A102" t="str">
        <f ca="1"/>
        <v>Premadio</v>
      </c>
      <c r="B102" s="148" t="str">
        <f ca="1">VLOOKUP(A102,Generators!A103:AZ616,MATCH("Upper Reservoir",Generators!$A$1:$AZ$1,0),FALSE)</f>
        <v>Cancano_San Giacomo</v>
      </c>
      <c r="L102" s="149" t="str">
        <f ca="1">IF(VLOOKUP(A102,Generators!A103:AZ616,MATCH("Lower Reservoir",Generators!$A$1:$AZ$1,0),FALSE)=0,A102 &amp; "_lower",VLOOKUP(A102,Generators!A103:AZ616,MATCH("Lower Reservoir",Generators!$A$1:$AZ$1,0),FALSE))</f>
        <v>Val Grosina</v>
      </c>
    </row>
    <row r="103" spans="1:12" x14ac:dyDescent="0.35">
      <c r="A103" t="str">
        <f ca="1"/>
        <v>Aurland II</v>
      </c>
      <c r="B103" s="148" t="str">
        <f ca="1">VLOOKUP(A103,Generators!A104:AZ617,MATCH("Upper Reservoir",Generators!$A$1:$AZ$1,0),FALSE)</f>
        <v>Vargevatn</v>
      </c>
      <c r="L103" s="149" t="str">
        <f ca="1">IF(VLOOKUP(A103,Generators!A104:AZ617,MATCH("Lower Reservoir",Generators!$A$1:$AZ$1,0),FALSE)=0,A103 &amp; "_lower",VLOOKUP(A103,Generators!A104:AZ617,MATCH("Lower Reservoir",Generators!$A$1:$AZ$1,0),FALSE))</f>
        <v>Viddalsvatn</v>
      </c>
    </row>
    <row r="104" spans="1:12" x14ac:dyDescent="0.35">
      <c r="A104" t="str">
        <f ca="1"/>
        <v>Hylen</v>
      </c>
      <c r="B104" s="148" t="str">
        <f ca="1">VLOOKUP(A104,Generators!A105:AZ618,MATCH("Upper Reservoir",Generators!$A$1:$AZ$1,0),FALSE)</f>
        <v>Suldalsvatnet</v>
      </c>
      <c r="L104" s="149" t="str">
        <f ca="1">IF(VLOOKUP(A104,Generators!A105:AZ618,MATCH("Lower Reservoir",Generators!$A$1:$AZ$1,0),FALSE)=0,A104 &amp; "_lower",VLOOKUP(A104,Generators!A105:AZ618,MATCH("Lower Reservoir",Generators!$A$1:$AZ$1,0),FALSE))</f>
        <v>Hylen_lower</v>
      </c>
    </row>
    <row r="105" spans="1:12" x14ac:dyDescent="0.35">
      <c r="A105" t="str">
        <f ca="1"/>
        <v>Provvidenza</v>
      </c>
      <c r="B105" s="148" t="str">
        <f ca="1">VLOOKUP(A105,Generators!A106:AZ619,MATCH("Upper Reservoir",Generators!$A$1:$AZ$1,0),FALSE)</f>
        <v>Lago di Campotosto</v>
      </c>
      <c r="L105" s="149" t="str">
        <f ca="1">IF(VLOOKUP(A105,Generators!A106:AZ619,MATCH("Lower Reservoir",Generators!$A$1:$AZ$1,0),FALSE)=0,A105 &amp; "_lower",VLOOKUP(A105,Generators!A106:AZ619,MATCH("Lower Reservoir",Generators!$A$1:$AZ$1,0),FALSE))</f>
        <v>Provvidenza</v>
      </c>
    </row>
    <row r="106" spans="1:12" x14ac:dyDescent="0.35">
      <c r="A106" t="str">
        <f ca="1"/>
        <v>Rovinas Piastra</v>
      </c>
      <c r="B106" s="148" t="str">
        <f ca="1">VLOOKUP(A106,Generators!A107:AZ620,MATCH("Upper Reservoir",Generators!$A$1:$AZ$1,0),FALSE)</f>
        <v>Lago della Rovina</v>
      </c>
      <c r="L106" s="149" t="str">
        <f ca="1">IF(VLOOKUP(A106,Generators!A107:AZ620,MATCH("Lower Reservoir",Generators!$A$1:$AZ$1,0),FALSE)=0,A106 &amp; "_lower",VLOOKUP(A106,Generators!A107:AZ620,MATCH("Lower Reservoir",Generators!$A$1:$AZ$1,0),FALSE))</f>
        <v>Lago della Piastra</v>
      </c>
    </row>
    <row r="107" spans="1:12" x14ac:dyDescent="0.35">
      <c r="A107" t="str">
        <f ca="1"/>
        <v>Brevieres</v>
      </c>
      <c r="B107" s="148" t="str">
        <f ca="1">VLOOKUP(A107,Generators!A108:AZ621,MATCH("Upper Reservoir",Generators!$A$1:$AZ$1,0),FALSE)</f>
        <v>Chevril</v>
      </c>
      <c r="L107" s="149" t="str">
        <f ca="1">IF(VLOOKUP(A107,Generators!A108:AZ621,MATCH("Lower Reservoir",Generators!$A$1:$AZ$1,0),FALSE)=0,A107 &amp; "_lower",VLOOKUP(A107,Generators!A108:AZ621,MATCH("Lower Reservoir",Generators!$A$1:$AZ$1,0),FALSE))</f>
        <v>Brevieres_lower</v>
      </c>
    </row>
    <row r="108" spans="1:12" x14ac:dyDescent="0.35">
      <c r="A108" t="e">
        <f ca="1"/>
        <v>#N/A</v>
      </c>
      <c r="B108" s="148" t="e">
        <f ca="1">VLOOKUP(A108,Generators!A109:AZ622,MATCH("Upper Reservoir",Generators!$A$1:$AZ$1,0),FALSE)</f>
        <v>#N/A</v>
      </c>
    </row>
    <row r="109" spans="1:12" x14ac:dyDescent="0.35">
      <c r="A109" t="e">
        <f ca="1"/>
        <v>#N/A</v>
      </c>
      <c r="B109" s="148" t="e">
        <f ca="1">VLOOKUP(A109,Generators!A110:AZ623,MATCH("Upper Reservoir",Generators!$A$1:$AZ$1,0),FALSE)</f>
        <v>#N/A</v>
      </c>
    </row>
    <row r="110" spans="1:12" x14ac:dyDescent="0.35">
      <c r="A110" t="e">
        <f ca="1"/>
        <v>#N/A</v>
      </c>
      <c r="B110" s="148" t="e">
        <f ca="1">VLOOKUP(A110,Generators!A111:AZ624,MATCH("Upper Reservoir",Generators!$A$1:$AZ$1,0),FALSE)</f>
        <v>#N/A</v>
      </c>
    </row>
    <row r="111" spans="1:12" x14ac:dyDescent="0.35">
      <c r="A111" t="e">
        <f ca="1"/>
        <v>#N/A</v>
      </c>
      <c r="B111" s="148" t="e">
        <f ca="1">VLOOKUP(A111,Generators!A112:AZ625,MATCH("Upper Reservoir",Generators!$A$1:$AZ$1,0),FALSE)</f>
        <v>#N/A</v>
      </c>
    </row>
    <row r="112" spans="1:12" x14ac:dyDescent="0.35">
      <c r="A112" t="e">
        <f ca="1"/>
        <v>#N/A</v>
      </c>
      <c r="B112" s="148" t="e">
        <f ca="1">VLOOKUP(A112,Generators!A113:AZ626,MATCH("Upper Reservoir",Generators!$A$1:$AZ$1,0),FALSE)</f>
        <v>#N/A</v>
      </c>
    </row>
    <row r="113" spans="1:2" x14ac:dyDescent="0.35">
      <c r="A113" t="e">
        <f ca="1"/>
        <v>#N/A</v>
      </c>
      <c r="B113" s="148" t="e">
        <f ca="1">VLOOKUP(A113,Generators!A114:AZ627,MATCH("Upper Reservoir",Generators!$A$1:$AZ$1,0),FALSE)</f>
        <v>#N/A</v>
      </c>
    </row>
    <row r="114" spans="1:2" x14ac:dyDescent="0.35">
      <c r="A114" t="e">
        <f ca="1"/>
        <v>#N/A</v>
      </c>
      <c r="B114" s="148" t="e">
        <f ca="1">VLOOKUP(A114,Generators!A115:AZ628,MATCH("Upper Reservoir",Generators!$A$1:$AZ$1,0),FALSE)</f>
        <v>#N/A</v>
      </c>
    </row>
    <row r="115" spans="1:2" x14ac:dyDescent="0.35">
      <c r="A115" t="e">
        <f ca="1"/>
        <v>#N/A</v>
      </c>
      <c r="B115" s="148" t="e">
        <f ca="1">VLOOKUP(A115,Generators!A116:AZ629,MATCH("Upper Reservoir",Generators!$A$1:$AZ$1,0),FALSE)</f>
        <v>#N/A</v>
      </c>
    </row>
    <row r="116" spans="1:2" x14ac:dyDescent="0.35">
      <c r="A116" t="e">
        <f ca="1"/>
        <v>#N/A</v>
      </c>
      <c r="B116" s="148" t="e">
        <f ca="1">VLOOKUP(A116,Generators!A117:AZ630,MATCH("Upper Reservoir",Generators!$A$1:$AZ$1,0),FALSE)</f>
        <v>#N/A</v>
      </c>
    </row>
    <row r="117" spans="1:2" x14ac:dyDescent="0.35">
      <c r="A117" t="e">
        <f ca="1"/>
        <v>#N/A</v>
      </c>
      <c r="B117" s="148" t="e">
        <f ca="1">VLOOKUP(A117,Generators!A118:AZ631,MATCH("Upper Reservoir",Generators!$A$1:$AZ$1,0),FALSE)</f>
        <v>#N/A</v>
      </c>
    </row>
    <row r="118" spans="1:2" x14ac:dyDescent="0.35">
      <c r="A118" t="e">
        <f ca="1"/>
        <v>#N/A</v>
      </c>
      <c r="B118" s="148" t="e">
        <f ca="1">VLOOKUP(A118,Generators!A119:AZ632,MATCH("Upper Reservoir",Generators!$A$1:$AZ$1,0),FALSE)</f>
        <v>#N/A</v>
      </c>
    </row>
    <row r="119" spans="1:2" x14ac:dyDescent="0.35">
      <c r="A119" t="e">
        <f ca="1"/>
        <v>#N/A</v>
      </c>
      <c r="B119" s="148" t="e">
        <f ca="1">VLOOKUP(A119,Generators!A120:AZ633,MATCH("Upper Reservoir",Generators!$A$1:$AZ$1,0),FALSE)</f>
        <v>#N/A</v>
      </c>
    </row>
    <row r="120" spans="1:2" x14ac:dyDescent="0.35">
      <c r="A120" t="e">
        <f ca="1"/>
        <v>#N/A</v>
      </c>
      <c r="B120" s="148" t="e">
        <f ca="1">VLOOKUP(A120,Generators!A121:AZ634,MATCH("Upper Reservoir",Generators!$A$1:$AZ$1,0),FALSE)</f>
        <v>#N/A</v>
      </c>
    </row>
    <row r="121" spans="1:2" x14ac:dyDescent="0.35">
      <c r="A121" t="e">
        <f ca="1"/>
        <v>#N/A</v>
      </c>
      <c r="B121" s="148" t="e">
        <f ca="1">VLOOKUP(A121,Generators!A32:AZ635,MATCH("Upper Reservoir",Generators!$A$1:$AZ$1,0),FALSE)</f>
        <v>#N/A</v>
      </c>
    </row>
    <row r="122" spans="1:2" x14ac:dyDescent="0.35">
      <c r="A122" t="e">
        <f ca="1"/>
        <v>#N/A</v>
      </c>
      <c r="B122" s="148" t="e">
        <f ca="1">VLOOKUP(A122,Generators!A122:AZ636,MATCH("Upper Reservoir",Generators!$A$1:$AZ$1,0),FALSE)</f>
        <v>#N/A</v>
      </c>
    </row>
    <row r="123" spans="1:2" x14ac:dyDescent="0.35">
      <c r="A123" t="e">
        <f ca="1"/>
        <v>#N/A</v>
      </c>
      <c r="B123" s="148" t="e">
        <f ca="1">VLOOKUP(A123,Generators!A123:AZ637,MATCH("Upper Reservoir",Generators!$A$1:$AZ$1,0),FALSE)</f>
        <v>#N/A</v>
      </c>
    </row>
    <row r="124" spans="1:2" x14ac:dyDescent="0.35">
      <c r="A124" t="e">
        <f ca="1"/>
        <v>#N/A</v>
      </c>
      <c r="B124" s="148" t="e">
        <f ca="1">VLOOKUP(A124,Generators!A123:AZ638,MATCH("Upper Reservoir",Generators!$A$1:$AZ$1,0),FALSE)</f>
        <v>#N/A</v>
      </c>
    </row>
    <row r="125" spans="1:2" x14ac:dyDescent="0.35">
      <c r="A125" t="e">
        <f ca="1"/>
        <v>#N/A</v>
      </c>
      <c r="B125" s="148" t="e">
        <f ca="1">VLOOKUP(A125,Generators!A123:AZ639,MATCH("Upper Reservoir",Generators!$A$1:$AZ$1,0),FALSE)</f>
        <v>#N/A</v>
      </c>
    </row>
    <row r="126" spans="1:2" x14ac:dyDescent="0.35">
      <c r="A126" t="e">
        <f ca="1"/>
        <v>#N/A</v>
      </c>
      <c r="B126" s="148" t="e">
        <f ca="1">VLOOKUP(A126,Generators!A123:AZ640,MATCH("Upper Reservoir",Generators!$A$1:$AZ$1,0),FALSE)</f>
        <v>#N/A</v>
      </c>
    </row>
    <row r="127" spans="1:2" x14ac:dyDescent="0.35">
      <c r="A127" t="e">
        <f ca="1"/>
        <v>#N/A</v>
      </c>
      <c r="B127" s="148" t="e">
        <f ca="1">VLOOKUP(A127,Generators!A123:AZ641,MATCH("Upper Reservoir",Generators!$A$1:$AZ$1,0),FALSE)</f>
        <v>#N/A</v>
      </c>
    </row>
    <row r="128" spans="1:2" x14ac:dyDescent="0.35">
      <c r="A128" t="e">
        <f ca="1"/>
        <v>#N/A</v>
      </c>
      <c r="B128" s="148" t="e">
        <f ca="1">VLOOKUP(A128,Generators!A123:AZ642,MATCH("Upper Reservoir",Generators!$A$1:$AZ$1,0),FALSE)</f>
        <v>#N/A</v>
      </c>
    </row>
    <row r="129" spans="1:2" x14ac:dyDescent="0.35">
      <c r="A129" t="e">
        <f ca="1"/>
        <v>#N/A</v>
      </c>
      <c r="B129" s="148" t="e">
        <f ca="1">VLOOKUP(A129,Generators!A123:AZ643,MATCH("Upper Reservoir",Generators!$A$1:$AZ$1,0),FALSE)</f>
        <v>#N/A</v>
      </c>
    </row>
    <row r="130" spans="1:2" x14ac:dyDescent="0.35">
      <c r="A130" t="e">
        <f ca="1"/>
        <v>#N/A</v>
      </c>
      <c r="B130" s="148" t="e">
        <f ca="1">VLOOKUP(A130,Generators!A123:AZ644,MATCH("Upper Reservoir",Generators!$A$1:$AZ$1,0),FALSE)</f>
        <v>#N/A</v>
      </c>
    </row>
    <row r="131" spans="1:2" x14ac:dyDescent="0.35">
      <c r="A131" t="e">
        <f ca="1"/>
        <v>#N/A</v>
      </c>
      <c r="B131" s="148" t="e">
        <f ca="1">VLOOKUP(A131,Generators!A123:AZ645,MATCH("Upper Reservoir",Generators!$A$1:$AZ$1,0),FALSE)</f>
        <v>#N/A</v>
      </c>
    </row>
    <row r="132" spans="1:2" x14ac:dyDescent="0.35">
      <c r="A132" t="e">
        <f ca="1"/>
        <v>#N/A</v>
      </c>
      <c r="B132" s="148" t="e">
        <f ca="1">VLOOKUP(A132,Generators!A123:AZ646,MATCH("Upper Reservoir",Generators!$A$1:$AZ$1,0),FALSE)</f>
        <v>#N/A</v>
      </c>
    </row>
    <row r="133" spans="1:2" x14ac:dyDescent="0.35">
      <c r="A133" t="e">
        <f ca="1"/>
        <v>#N/A</v>
      </c>
      <c r="B133" s="148" t="e">
        <f ca="1">VLOOKUP(A133,Generators!A123:AZ647,MATCH("Upper Reservoir",Generators!$A$1:$AZ$1,0),FALSE)</f>
        <v>#N/A</v>
      </c>
    </row>
    <row r="134" spans="1:2" x14ac:dyDescent="0.35">
      <c r="A134" t="e">
        <f ca="1"/>
        <v>#N/A</v>
      </c>
      <c r="B134" s="148" t="e">
        <f ca="1">VLOOKUP(A134,Generators!A123:AZ648,MATCH("Upper Reservoir",Generators!$A$1:$AZ$1,0),FALSE)</f>
        <v>#N/A</v>
      </c>
    </row>
    <row r="135" spans="1:2" x14ac:dyDescent="0.35">
      <c r="A135" t="e">
        <f ca="1"/>
        <v>#N/A</v>
      </c>
      <c r="B135" s="148" t="e">
        <f ca="1">VLOOKUP(A135,Generators!A123:AZ649,MATCH("Upper Reservoir",Generators!$A$1:$AZ$1,0),FALSE)</f>
        <v>#N/A</v>
      </c>
    </row>
    <row r="136" spans="1:2" x14ac:dyDescent="0.35">
      <c r="A136" t="e">
        <f ca="1"/>
        <v>#N/A</v>
      </c>
      <c r="B136" s="148" t="e">
        <f ca="1">VLOOKUP(A136,Generators!A123:AZ650,MATCH("Upper Reservoir",Generators!$A$1:$AZ$1,0),FALSE)</f>
        <v>#N/A</v>
      </c>
    </row>
    <row r="137" spans="1:2" x14ac:dyDescent="0.35">
      <c r="A137" t="e">
        <f ca="1"/>
        <v>#N/A</v>
      </c>
      <c r="B137" s="148" t="e">
        <f ca="1">VLOOKUP(A137,Generators!A123:AZ651,MATCH("Upper Reservoir",Generators!$A$1:$AZ$1,0),FALSE)</f>
        <v>#N/A</v>
      </c>
    </row>
    <row r="138" spans="1:2" x14ac:dyDescent="0.35">
      <c r="A138" t="e">
        <f ca="1"/>
        <v>#N/A</v>
      </c>
      <c r="B138" s="148" t="e">
        <f ca="1">VLOOKUP(A138,Generators!A123:AZ652,MATCH("Upper Reservoir",Generators!$A$1:$AZ$1,0),FALSE)</f>
        <v>#N/A</v>
      </c>
    </row>
    <row r="139" spans="1:2" x14ac:dyDescent="0.35">
      <c r="A139" t="e">
        <f ca="1"/>
        <v>#N/A</v>
      </c>
      <c r="B139" s="148" t="e">
        <f ca="1">VLOOKUP(A139,Generators!A123:AZ653,MATCH("Upper Reservoir",Generators!$A$1:$AZ$1,0),FALSE)</f>
        <v>#N/A</v>
      </c>
    </row>
    <row r="140" spans="1:2" x14ac:dyDescent="0.35">
      <c r="A140" t="e">
        <f ca="1"/>
        <v>#N/A</v>
      </c>
      <c r="B140" s="148" t="e">
        <f ca="1">VLOOKUP(A140,Generators!A123:AZ654,MATCH("Upper Reservoir",Generators!$A$1:$AZ$1,0),FALSE)</f>
        <v>#N/A</v>
      </c>
    </row>
    <row r="141" spans="1:2" x14ac:dyDescent="0.35">
      <c r="A141" t="e">
        <f ca="1"/>
        <v>#N/A</v>
      </c>
      <c r="B141" s="148" t="e">
        <f ca="1">VLOOKUP(A141,Generators!A123:AZ655,MATCH("Upper Reservoir",Generators!$A$1:$AZ$1,0),FALSE)</f>
        <v>#N/A</v>
      </c>
    </row>
    <row r="142" spans="1:2" x14ac:dyDescent="0.35">
      <c r="A142" t="e">
        <f ca="1"/>
        <v>#N/A</v>
      </c>
      <c r="B142" s="148" t="e">
        <f ca="1">VLOOKUP(A142,Generators!A123:AZ656,MATCH("Upper Reservoir",Generators!$A$1:$AZ$1,0),FALSE)</f>
        <v>#N/A</v>
      </c>
    </row>
    <row r="143" spans="1:2" x14ac:dyDescent="0.35">
      <c r="A143" t="e">
        <f ca="1"/>
        <v>#N/A</v>
      </c>
      <c r="B143" s="148" t="e">
        <f ca="1">VLOOKUP(A143,Generators!A123:AZ657,MATCH("Upper Reservoir",Generators!$A$1:$AZ$1,0),FALSE)</f>
        <v>#N/A</v>
      </c>
    </row>
    <row r="144" spans="1:2" x14ac:dyDescent="0.35">
      <c r="A144" t="e">
        <f ca="1"/>
        <v>#N/A</v>
      </c>
      <c r="B144" s="148" t="e">
        <f ca="1">VLOOKUP(A144,Generators!A123:AZ658,MATCH("Upper Reservoir",Generators!$A$1:$AZ$1,0),FALSE)</f>
        <v>#N/A</v>
      </c>
    </row>
    <row r="145" spans="1:2" x14ac:dyDescent="0.35">
      <c r="A145" t="e">
        <f ca="1"/>
        <v>#N/A</v>
      </c>
      <c r="B145" s="148" t="e">
        <f ca="1">VLOOKUP(A145,Generators!A123:AZ659,MATCH("Upper Reservoir",Generators!$A$1:$AZ$1,0),FALSE)</f>
        <v>#N/A</v>
      </c>
    </row>
    <row r="146" spans="1:2" x14ac:dyDescent="0.35">
      <c r="A146" t="e">
        <f ca="1"/>
        <v>#N/A</v>
      </c>
      <c r="B146" s="148" t="e">
        <f ca="1">VLOOKUP(A146,Generators!A123:AZ660,MATCH("Upper Reservoir",Generators!$A$1:$AZ$1,0),FALSE)</f>
        <v>#N/A</v>
      </c>
    </row>
    <row r="147" spans="1:2" x14ac:dyDescent="0.35">
      <c r="A147" t="e">
        <f ca="1"/>
        <v>#N/A</v>
      </c>
      <c r="B147" s="148" t="e">
        <f ca="1">VLOOKUP(A147,Generators!A123:AZ661,MATCH("Upper Reservoir",Generators!$A$1:$AZ$1,0),FALSE)</f>
        <v>#N/A</v>
      </c>
    </row>
    <row r="148" spans="1:2" x14ac:dyDescent="0.35">
      <c r="A148" t="e">
        <f ca="1"/>
        <v>#N/A</v>
      </c>
      <c r="B148" s="148" t="e">
        <f ca="1">VLOOKUP(A148,Generators!A123:AZ662,MATCH("Upper Reservoir",Generators!$A$1:$AZ$1,0),FALSE)</f>
        <v>#N/A</v>
      </c>
    </row>
    <row r="149" spans="1:2" x14ac:dyDescent="0.35">
      <c r="A149" t="e">
        <f ca="1"/>
        <v>#N/A</v>
      </c>
      <c r="B149" s="148" t="e">
        <f ca="1">VLOOKUP(A149,Generators!A123:AZ663,MATCH("Upper Reservoir",Generators!$A$1:$AZ$1,0),FALSE)</f>
        <v>#N/A</v>
      </c>
    </row>
    <row r="150" spans="1:2" x14ac:dyDescent="0.35">
      <c r="A150" t="e">
        <f ca="1"/>
        <v>#N/A</v>
      </c>
      <c r="B150" s="148" t="e">
        <f ca="1">VLOOKUP(A150,Generators!A123:AZ664,MATCH("Upper Reservoir",Generators!$A$1:$AZ$1,0),FALSE)</f>
        <v>#N/A</v>
      </c>
    </row>
    <row r="151" spans="1:2" x14ac:dyDescent="0.35">
      <c r="A151" t="e">
        <f ca="1"/>
        <v>#N/A</v>
      </c>
      <c r="B151" s="148" t="e">
        <f ca="1">VLOOKUP(A151,Generators!A123:AZ665,MATCH("Upper Reservoir",Generators!$A$1:$AZ$1,0),FALSE)</f>
        <v>#N/A</v>
      </c>
    </row>
    <row r="152" spans="1:2" x14ac:dyDescent="0.35">
      <c r="A152" t="e">
        <f ca="1"/>
        <v>#N/A</v>
      </c>
      <c r="B152" s="148" t="e">
        <f ca="1">VLOOKUP(A152,Generators!A123:AZ666,MATCH("Upper Reservoir",Generators!$A$1:$AZ$1,0),FALSE)</f>
        <v>#N/A</v>
      </c>
    </row>
    <row r="153" spans="1:2" x14ac:dyDescent="0.35">
      <c r="A153" t="e">
        <f ca="1"/>
        <v>#N/A</v>
      </c>
      <c r="B153" s="148" t="e">
        <f ca="1">VLOOKUP(A153,Generators!A123:AZ667,MATCH("Upper Reservoir",Generators!$A$1:$AZ$1,0),FALSE)</f>
        <v>#N/A</v>
      </c>
    </row>
    <row r="154" spans="1:2" x14ac:dyDescent="0.35">
      <c r="A154" t="e">
        <f ca="1"/>
        <v>#N/A</v>
      </c>
      <c r="B154" s="148" t="e">
        <f ca="1">VLOOKUP(A154,Generators!A123:AZ668,MATCH("Upper Reservoir",Generators!$A$1:$AZ$1,0),FALSE)</f>
        <v>#N/A</v>
      </c>
    </row>
    <row r="155" spans="1:2" x14ac:dyDescent="0.35">
      <c r="A155" t="e">
        <f ca="1"/>
        <v>#N/A</v>
      </c>
      <c r="B155" s="148" t="e">
        <f ca="1">VLOOKUP(A155,Generators!A123:AZ669,MATCH("Upper Reservoir",Generators!$A$1:$AZ$1,0),FALSE)</f>
        <v>#N/A</v>
      </c>
    </row>
    <row r="156" spans="1:2" x14ac:dyDescent="0.35">
      <c r="A156" t="e">
        <f ca="1"/>
        <v>#N/A</v>
      </c>
      <c r="B156" s="148" t="e">
        <f ca="1">VLOOKUP(A156,Generators!A123:AZ670,MATCH("Upper Reservoir",Generators!$A$1:$AZ$1,0),FALSE)</f>
        <v>#N/A</v>
      </c>
    </row>
    <row r="157" spans="1:2" x14ac:dyDescent="0.35">
      <c r="A157" t="e">
        <f ca="1"/>
        <v>#N/A</v>
      </c>
      <c r="B157" s="148" t="e">
        <f ca="1">VLOOKUP(A157,Generators!A123:AZ671,MATCH("Upper Reservoir",Generators!$A$1:$AZ$1,0),FALSE)</f>
        <v>#N/A</v>
      </c>
    </row>
    <row r="158" spans="1:2" x14ac:dyDescent="0.35">
      <c r="A158" t="e">
        <f ca="1"/>
        <v>#N/A</v>
      </c>
      <c r="B158" s="148" t="e">
        <f ca="1">VLOOKUP(A158,Generators!A123:AZ672,MATCH("Upper Reservoir",Generators!$A$1:$AZ$1,0),FALSE)</f>
        <v>#N/A</v>
      </c>
    </row>
    <row r="159" spans="1:2" x14ac:dyDescent="0.35">
      <c r="A159" t="e">
        <f ca="1"/>
        <v>#N/A</v>
      </c>
      <c r="B159" s="148" t="e">
        <f ca="1">VLOOKUP(A159,Generators!A123:AZ673,MATCH("Upper Reservoir",Generators!$A$1:$AZ$1,0),FALSE)</f>
        <v>#N/A</v>
      </c>
    </row>
    <row r="160" spans="1:2" x14ac:dyDescent="0.35">
      <c r="A160" t="e">
        <f ca="1"/>
        <v>#N/A</v>
      </c>
      <c r="B160" s="148" t="e">
        <f ca="1">VLOOKUP(A160,Generators!A123:AZ674,MATCH("Upper Reservoir",Generators!$A$1:$AZ$1,0),FALSE)</f>
        <v>#N/A</v>
      </c>
    </row>
    <row r="161" spans="1:2" x14ac:dyDescent="0.35">
      <c r="A161" t="e">
        <f ca="1"/>
        <v>#N/A</v>
      </c>
      <c r="B161" s="148" t="e">
        <f ca="1">VLOOKUP(A161,Generators!A123:AZ675,MATCH("Upper Reservoir",Generators!$A$1:$AZ$1,0),FALSE)</f>
        <v>#N/A</v>
      </c>
    </row>
    <row r="162" spans="1:2" x14ac:dyDescent="0.35">
      <c r="A162" t="e">
        <f ca="1"/>
        <v>#N/A</v>
      </c>
      <c r="B162" s="148" t="e">
        <f ca="1">VLOOKUP(A162,Generators!A123:AZ676,MATCH("Upper Reservoir",Generators!$A$1:$AZ$1,0),FALSE)</f>
        <v>#N/A</v>
      </c>
    </row>
    <row r="163" spans="1:2" x14ac:dyDescent="0.35">
      <c r="A163" t="e">
        <f ca="1"/>
        <v>#N/A</v>
      </c>
      <c r="B163" s="148" t="e">
        <f ca="1">VLOOKUP(A163,Generators!A123:AZ677,MATCH("Upper Reservoir",Generators!$A$1:$AZ$1,0),FALSE)</f>
        <v>#N/A</v>
      </c>
    </row>
    <row r="164" spans="1:2" x14ac:dyDescent="0.35">
      <c r="A164" t="e">
        <f ca="1"/>
        <v>#N/A</v>
      </c>
      <c r="B164" s="148" t="e">
        <f ca="1">VLOOKUP(A164,Generators!A123:AZ678,MATCH("Upper Reservoir",Generators!$A$1:$AZ$1,0),FALSE)</f>
        <v>#N/A</v>
      </c>
    </row>
    <row r="165" spans="1:2" x14ac:dyDescent="0.35">
      <c r="A165" t="e">
        <f ca="1"/>
        <v>#N/A</v>
      </c>
      <c r="B165" s="148" t="e">
        <f ca="1">VLOOKUP(A165,Generators!A123:AZ679,MATCH("Upper Reservoir",Generators!$A$1:$AZ$1,0),FALSE)</f>
        <v>#N/A</v>
      </c>
    </row>
    <row r="166" spans="1:2" x14ac:dyDescent="0.35">
      <c r="A166" t="e">
        <f ca="1"/>
        <v>#N/A</v>
      </c>
      <c r="B166" s="148" t="e">
        <f ca="1">VLOOKUP(A166,Generators!A123:AZ680,MATCH("Upper Reservoir",Generators!$A$1:$AZ$1,0),FALSE)</f>
        <v>#N/A</v>
      </c>
    </row>
    <row r="167" spans="1:2" x14ac:dyDescent="0.35">
      <c r="A167" t="e">
        <f ca="1"/>
        <v>#N/A</v>
      </c>
      <c r="B167" s="148" t="e">
        <f ca="1">VLOOKUP(A167,Generators!A123:AZ681,MATCH("Upper Reservoir",Generators!$A$1:$AZ$1,0),FALSE)</f>
        <v>#N/A</v>
      </c>
    </row>
    <row r="168" spans="1:2" x14ac:dyDescent="0.35">
      <c r="A168" t="e">
        <f ca="1"/>
        <v>#N/A</v>
      </c>
      <c r="B168" s="148" t="e">
        <f ca="1">VLOOKUP(A168,Generators!A123:AZ682,MATCH("Upper Reservoir",Generators!$A$1:$AZ$1,0),FALSE)</f>
        <v>#N/A</v>
      </c>
    </row>
    <row r="169" spans="1:2" x14ac:dyDescent="0.35">
      <c r="A169" t="e">
        <f ca="1"/>
        <v>#N/A</v>
      </c>
      <c r="B169" s="148" t="e">
        <f ca="1">VLOOKUP(A169,Generators!A123:AZ683,MATCH("Upper Reservoir",Generators!$A$1:$AZ$1,0),FALSE)</f>
        <v>#N/A</v>
      </c>
    </row>
    <row r="170" spans="1:2" x14ac:dyDescent="0.35">
      <c r="A170" t="e">
        <f ca="1"/>
        <v>#N/A</v>
      </c>
      <c r="B170" s="148" t="e">
        <f ca="1">VLOOKUP(A170,Generators!A123:AZ684,MATCH("Upper Reservoir",Generators!$A$1:$AZ$1,0),FALSE)</f>
        <v>#N/A</v>
      </c>
    </row>
    <row r="171" spans="1:2" x14ac:dyDescent="0.35">
      <c r="A171" t="e">
        <f ca="1"/>
        <v>#N/A</v>
      </c>
      <c r="B171" s="148" t="e">
        <f ca="1">VLOOKUP(A171,Generators!A123:AZ685,MATCH("Upper Reservoir",Generators!$A$1:$AZ$1,0),FALSE)</f>
        <v>#N/A</v>
      </c>
    </row>
    <row r="172" spans="1:2" x14ac:dyDescent="0.35">
      <c r="A172" t="e">
        <f ca="1"/>
        <v>#N/A</v>
      </c>
      <c r="B172" s="148" t="e">
        <f ca="1">VLOOKUP(A172,Generators!A123:AZ686,MATCH("Upper Reservoir",Generators!$A$1:$AZ$1,0),FALSE)</f>
        <v>#N/A</v>
      </c>
    </row>
    <row r="173" spans="1:2" x14ac:dyDescent="0.35">
      <c r="A173" t="e">
        <f ca="1"/>
        <v>#N/A</v>
      </c>
      <c r="B173" s="148" t="e">
        <f ca="1">VLOOKUP(A173,Generators!A123:AZ687,MATCH("Upper Reservoir",Generators!$A$1:$AZ$1,0),FALSE)</f>
        <v>#N/A</v>
      </c>
    </row>
    <row r="174" spans="1:2" x14ac:dyDescent="0.35">
      <c r="A174" t="e">
        <f ca="1"/>
        <v>#N/A</v>
      </c>
      <c r="B174" s="148" t="e">
        <f ca="1">VLOOKUP(A174,Generators!A123:AZ688,MATCH("Upper Reservoir",Generators!$A$1:$AZ$1,0),FALSE)</f>
        <v>#N/A</v>
      </c>
    </row>
    <row r="175" spans="1:2" x14ac:dyDescent="0.35">
      <c r="A175" t="e">
        <f ca="1"/>
        <v>#N/A</v>
      </c>
      <c r="B175" s="148" t="e">
        <f ca="1">VLOOKUP(A175,Generators!A123:AZ689,MATCH("Upper Reservoir",Generators!$A$1:$AZ$1,0),FALSE)</f>
        <v>#N/A</v>
      </c>
    </row>
    <row r="176" spans="1:2" x14ac:dyDescent="0.35">
      <c r="A176" t="e">
        <f ca="1"/>
        <v>#N/A</v>
      </c>
      <c r="B176" s="148" t="e">
        <f ca="1">VLOOKUP(A176,Generators!A123:AZ690,MATCH("Upper Reservoir",Generators!$A$1:$AZ$1,0),FALSE)</f>
        <v>#N/A</v>
      </c>
    </row>
    <row r="177" spans="1:2" x14ac:dyDescent="0.35">
      <c r="A177" t="e">
        <f ca="1"/>
        <v>#N/A</v>
      </c>
      <c r="B177" s="148" t="e">
        <f ca="1">VLOOKUP(A177,Generators!A123:AZ691,MATCH("Upper Reservoir",Generators!$A$1:$AZ$1,0),FALSE)</f>
        <v>#N/A</v>
      </c>
    </row>
    <row r="178" spans="1:2" x14ac:dyDescent="0.35">
      <c r="A178" t="e">
        <f ca="1"/>
        <v>#N/A</v>
      </c>
      <c r="B178" s="148" t="e">
        <f ca="1">VLOOKUP(A178,Generators!A123:AZ692,MATCH("Upper Reservoir",Generators!$A$1:$AZ$1,0),FALSE)</f>
        <v>#N/A</v>
      </c>
    </row>
    <row r="179" spans="1:2" x14ac:dyDescent="0.35">
      <c r="A179" t="e">
        <f ca="1"/>
        <v>#N/A</v>
      </c>
      <c r="B179" s="148" t="e">
        <f ca="1">VLOOKUP(A179,Generators!A123:AZ693,MATCH("Upper Reservoir",Generators!$A$1:$AZ$1,0),FALSE)</f>
        <v>#N/A</v>
      </c>
    </row>
    <row r="180" spans="1:2" x14ac:dyDescent="0.35">
      <c r="A180" t="e">
        <f ca="1"/>
        <v>#N/A</v>
      </c>
      <c r="B180" s="148" t="e">
        <f ca="1">VLOOKUP(A180,Generators!A123:AZ694,MATCH("Upper Reservoir",Generators!$A$1:$AZ$1,0),FALSE)</f>
        <v>#N/A</v>
      </c>
    </row>
    <row r="181" spans="1:2" x14ac:dyDescent="0.35">
      <c r="A181" t="e">
        <f ca="1"/>
        <v>#N/A</v>
      </c>
      <c r="B181" s="148" t="e">
        <f ca="1">VLOOKUP(A181,Generators!A123:AZ695,MATCH("Upper Reservoir",Generators!$A$1:$AZ$1,0),FALSE)</f>
        <v>#N/A</v>
      </c>
    </row>
    <row r="182" spans="1:2" x14ac:dyDescent="0.35">
      <c r="A182" t="e">
        <f ca="1"/>
        <v>#N/A</v>
      </c>
      <c r="B182" s="148" t="e">
        <f ca="1">VLOOKUP(A182,Generators!A123:AZ696,MATCH("Upper Reservoir",Generators!$A$1:$AZ$1,0),FALSE)</f>
        <v>#N/A</v>
      </c>
    </row>
    <row r="183" spans="1:2" x14ac:dyDescent="0.35">
      <c r="A183" t="e">
        <f ca="1"/>
        <v>#N/A</v>
      </c>
      <c r="B183" s="148" t="e">
        <f ca="1">VLOOKUP(A183,Generators!A123:AZ697,MATCH("Upper Reservoir",Generators!$A$1:$AZ$1,0),FALSE)</f>
        <v>#N/A</v>
      </c>
    </row>
    <row r="184" spans="1:2" x14ac:dyDescent="0.35">
      <c r="A184" t="e">
        <f ca="1"/>
        <v>#N/A</v>
      </c>
      <c r="B184" s="148" t="e">
        <f ca="1">VLOOKUP(A184,Generators!A123:AZ698,MATCH("Upper Reservoir",Generators!$A$1:$AZ$1,0),FALSE)</f>
        <v>#N/A</v>
      </c>
    </row>
    <row r="185" spans="1:2" x14ac:dyDescent="0.35">
      <c r="A185" t="e">
        <f ca="1"/>
        <v>#N/A</v>
      </c>
      <c r="B185" s="148" t="e">
        <f ca="1">VLOOKUP(A185,Generators!A123:AZ699,MATCH("Upper Reservoir",Generators!$A$1:$AZ$1,0),FALSE)</f>
        <v>#N/A</v>
      </c>
    </row>
    <row r="186" spans="1:2" x14ac:dyDescent="0.35">
      <c r="A186" t="e">
        <f ca="1"/>
        <v>#N/A</v>
      </c>
      <c r="B186" s="148" t="e">
        <f ca="1">VLOOKUP(A186,Generators!A123:AZ700,MATCH("Upper Reservoir",Generators!$A$1:$AZ$1,0),FALSE)</f>
        <v>#N/A</v>
      </c>
    </row>
    <row r="187" spans="1:2" x14ac:dyDescent="0.35">
      <c r="A187" t="e">
        <f ca="1"/>
        <v>#N/A</v>
      </c>
      <c r="B187" s="148" t="e">
        <f ca="1">VLOOKUP(A187,Generators!A123:AZ701,MATCH("Upper Reservoir",Generators!$A$1:$AZ$1,0),FALSE)</f>
        <v>#N/A</v>
      </c>
    </row>
    <row r="188" spans="1:2" x14ac:dyDescent="0.35">
      <c r="A188" t="e">
        <f ca="1"/>
        <v>#N/A</v>
      </c>
      <c r="B188" s="148" t="e">
        <f ca="1">VLOOKUP(A188,Generators!A123:AZ702,MATCH("Upper Reservoir",Generators!$A$1:$AZ$1,0),FALSE)</f>
        <v>#N/A</v>
      </c>
    </row>
    <row r="189" spans="1:2" x14ac:dyDescent="0.35">
      <c r="A189" t="e">
        <f ca="1"/>
        <v>#N/A</v>
      </c>
      <c r="B189" s="148" t="e">
        <f ca="1">VLOOKUP(A189,Generators!A123:AZ703,MATCH("Upper Reservoir",Generators!$A$1:$AZ$1,0),FALSE)</f>
        <v>#N/A</v>
      </c>
    </row>
    <row r="190" spans="1:2" x14ac:dyDescent="0.35">
      <c r="A190" t="e">
        <f ca="1"/>
        <v>#N/A</v>
      </c>
      <c r="B190" s="148" t="e">
        <f ca="1">VLOOKUP(A190,Generators!A123:AZ704,MATCH("Upper Reservoir",Generators!$A$1:$AZ$1,0),FALSE)</f>
        <v>#N/A</v>
      </c>
    </row>
    <row r="191" spans="1:2" x14ac:dyDescent="0.35">
      <c r="A191" t="e">
        <f ca="1"/>
        <v>#N/A</v>
      </c>
      <c r="B191" s="148" t="e">
        <f ca="1">VLOOKUP(A191,Generators!A123:AZ705,MATCH("Upper Reservoir",Generators!$A$1:$AZ$1,0),FALSE)</f>
        <v>#N/A</v>
      </c>
    </row>
    <row r="192" spans="1:2" x14ac:dyDescent="0.35">
      <c r="A192" t="e">
        <f ca="1"/>
        <v>#N/A</v>
      </c>
      <c r="B192" s="148" t="e">
        <f ca="1">VLOOKUP(A192,Generators!A123:AZ706,MATCH("Upper Reservoir",Generators!$A$1:$AZ$1,0),FALSE)</f>
        <v>#N/A</v>
      </c>
    </row>
    <row r="193" spans="1:2" x14ac:dyDescent="0.35">
      <c r="A193" t="e">
        <f ca="1"/>
        <v>#N/A</v>
      </c>
      <c r="B193" s="148" t="e">
        <f ca="1">VLOOKUP(A193,Generators!A124:AZ707,MATCH("Upper Reservoir",Generators!$A$1:$AZ$1,0),FALSE)</f>
        <v>#N/A</v>
      </c>
    </row>
    <row r="194" spans="1:2" x14ac:dyDescent="0.35">
      <c r="A194" t="e">
        <f ca="1"/>
        <v>#N/A</v>
      </c>
      <c r="B194" s="148" t="e">
        <f ca="1">VLOOKUP(A194,Generators!A125:AZ708,MATCH("Upper Reservoir",Generators!$A$1:$AZ$1,0),FALSE)</f>
        <v>#N/A</v>
      </c>
    </row>
    <row r="195" spans="1:2" x14ac:dyDescent="0.35">
      <c r="A195" t="e">
        <f ca="1"/>
        <v>#N/A</v>
      </c>
      <c r="B195" s="148" t="e">
        <f ca="1">VLOOKUP(A195,Generators!A126:AZ709,MATCH("Upper Reservoir",Generators!$A$1:$AZ$1,0),FALSE)</f>
        <v>#N/A</v>
      </c>
    </row>
    <row r="196" spans="1:2" x14ac:dyDescent="0.35">
      <c r="A196" t="e">
        <f ca="1"/>
        <v>#N/A</v>
      </c>
      <c r="B196" s="148" t="e">
        <f ca="1">VLOOKUP(A196,Generators!A127:AZ710,MATCH("Upper Reservoir",Generators!$A$1:$AZ$1,0),FALSE)</f>
        <v>#N/A</v>
      </c>
    </row>
    <row r="197" spans="1:2" x14ac:dyDescent="0.35">
      <c r="A197" t="e">
        <f ca="1"/>
        <v>#N/A</v>
      </c>
      <c r="B197" s="148" t="e">
        <f ca="1">VLOOKUP(A197,Generators!A128:AZ711,MATCH("Upper Reservoir",Generators!$A$1:$AZ$1,0),FALSE)</f>
        <v>#N/A</v>
      </c>
    </row>
    <row r="198" spans="1:2" x14ac:dyDescent="0.35">
      <c r="A198" t="e">
        <f ca="1"/>
        <v>#N/A</v>
      </c>
      <c r="B198" s="148" t="e">
        <f ca="1">VLOOKUP(A198,Generators!A129:AZ712,MATCH("Upper Reservoir",Generators!$A$1:$AZ$1,0),FALSE)</f>
        <v>#N/A</v>
      </c>
    </row>
    <row r="199" spans="1:2" x14ac:dyDescent="0.35">
      <c r="A199" t="e">
        <f ca="1"/>
        <v>#N/A</v>
      </c>
      <c r="B199" s="148" t="e">
        <f ca="1">VLOOKUP(A199,Generators!A130:AZ713,MATCH("Upper Reservoir",Generators!$A$1:$AZ$1,0),FALSE)</f>
        <v>#N/A</v>
      </c>
    </row>
    <row r="200" spans="1:2" x14ac:dyDescent="0.35">
      <c r="A200" t="e">
        <f ca="1"/>
        <v>#N/A</v>
      </c>
      <c r="B200" s="148" t="e">
        <f ca="1">VLOOKUP(A200,Generators!A131:AZ714,MATCH("Upper Reservoir",Generators!$A$1:$AZ$1,0),FALSE)</f>
        <v>#N/A</v>
      </c>
    </row>
  </sheetData>
  <pageMargins left="0.7" right="0.7" top="0.75" bottom="0.75" header="0.3" footer="0.3"/>
  <pageSetup paperSize="9"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2">
    <tabColor rgb="FFFFFF00"/>
  </sheetPr>
  <dimension ref="A1:N121"/>
  <sheetViews>
    <sheetView topLeftCell="A34" workbookViewId="0">
      <selection activeCell="C64" sqref="C64"/>
    </sheetView>
  </sheetViews>
  <sheetFormatPr defaultColWidth="8.81640625" defaultRowHeight="14.5" x14ac:dyDescent="0.35"/>
  <cols>
    <col min="1" max="4" width="30.36328125" style="96" customWidth="1"/>
    <col min="5" max="6" width="8.81640625" style="96"/>
    <col min="7" max="7" width="56.453125" style="96" customWidth="1"/>
    <col min="8" max="9" width="18.453125" style="96" customWidth="1"/>
    <col min="10" max="13" width="8.81640625" style="96"/>
    <col min="14" max="14" width="16.36328125" style="96" bestFit="1" customWidth="1"/>
    <col min="15" max="16384" width="8.81640625" style="96"/>
  </cols>
  <sheetData>
    <row r="1" spans="1:14" s="147" customFormat="1" x14ac:dyDescent="0.35">
      <c r="A1" s="145" t="s">
        <v>2960</v>
      </c>
      <c r="B1" s="145" t="s">
        <v>2880</v>
      </c>
      <c r="C1" s="145" t="s">
        <v>2885</v>
      </c>
      <c r="D1" s="145" t="s">
        <v>2886</v>
      </c>
      <c r="E1" s="146" t="s">
        <v>2889</v>
      </c>
      <c r="F1" s="146" t="s">
        <v>2888</v>
      </c>
      <c r="G1" s="146" t="s">
        <v>2826</v>
      </c>
      <c r="H1" s="146" t="s">
        <v>2905</v>
      </c>
      <c r="I1" s="146" t="s">
        <v>2907</v>
      </c>
      <c r="J1" s="146" t="s">
        <v>2827</v>
      </c>
      <c r="K1" s="146" t="s">
        <v>2828</v>
      </c>
      <c r="N1" s="147" t="s">
        <v>2918</v>
      </c>
    </row>
    <row r="2" spans="1:14" x14ac:dyDescent="0.35">
      <c r="A2" s="191" t="s">
        <v>2773</v>
      </c>
      <c r="B2" s="97" t="str">
        <f>VLOOKUP(A2,Generators!$A$2:$AZ$1016,MATCH('Unique Generator Objects'!$B$1,Generators!$A$1:$AZ$1,0),FALSE)</f>
        <v>hydro-PHS</v>
      </c>
      <c r="C2" s="97" t="str">
        <f>A2</f>
        <v>Grand Maison Dam</v>
      </c>
      <c r="D2" s="97" t="s">
        <v>2887</v>
      </c>
      <c r="E2" s="96" t="str">
        <f>VLOOKUP(A2,Generators!$A$2:$BC$122,MATCH(Generators!$I$1,Generators!$A$1:$BC$1,0),FALSE)</f>
        <v>FR</v>
      </c>
      <c r="G2" s="96" t="str">
        <f ca="1">VLOOKUP('Unique Generator Objects'!A2,'Generator-Storage Assignment'!$A$2:$K$200,2,FALSE) &amp; IF(VLOOKUP('Unique Generator Objects'!A2,'Generator-Storage Assignment'!$A$2:$K$200,3,FALSE)="","",";" &amp; VLOOKUP('Unique Generator Objects'!A2,'Generator-Storage Assignment'!$A$2:$K$200,3,FALSE))&amp; IF(VLOOKUP('Unique Generator Objects'!A2,'Generator-Storage Assignment'!$A$2:$K$200,4,FALSE)="","",";" &amp; VLOOKUP('Unique Generator Objects'!A2,'Generator-Storage Assignment'!$A$2:$K$200,4,FALSE))&amp; IF(VLOOKUP('Unique Generator Objects'!A2,'Generator-Storage Assignment'!$A$2:$K$200,5,FALSE)="","",";" &amp; VLOOKUP('Unique Generator Objects'!A2,'Generator-Storage Assignment'!$A$2:$K$200,5,FALSE))&amp; IF(VLOOKUP('Unique Generator Objects'!A2,'Generator-Storage Assignment'!$A$2:$K$200,6,FALSE)="","",";" &amp; VLOOKUP('Unique Generator Objects'!A2,'Generator-Storage Assignment'!$A$2:$K$200,6,FALSE))&amp; IF(VLOOKUP('Unique Generator Objects'!A2,'Generator-Storage Assignment'!$A$2:$K$200,7,FALSE)="","",";" &amp; VLOOKUP('Unique Generator Objects'!A2,'Generator-Storage Assignment'!$A$2:$K$200,7,FALSE))&amp; IF(VLOOKUP('Unique Generator Objects'!A2,'Generator-Storage Assignment'!$A$2:$K$200,8,FALSE)="","",";" &amp; VLOOKUP('Unique Generator Objects'!A2,'Generator-Storage Assignment'!$A$2:$K$200,8,FALSE))&amp; IF(VLOOKUP('Unique Generator Objects'!A2,'Generator-Storage Assignment'!$A$2:$K$200,9,FALSE)="","",";" &amp; VLOOKUP('Unique Generator Objects'!A2,'Generator-Storage Assignment'!$A$2:$K$200,9,FALSE))</f>
        <v>Grand Maison</v>
      </c>
      <c r="H2" s="96" t="str">
        <f ca="1">VLOOKUP('Unique Generator Objects'!A2,'Generator-Storage Assignment'!$A$2:$L$200,12,FALSE)</f>
        <v>Verney</v>
      </c>
      <c r="J2" s="96">
        <f>VLOOKUP(A2,Generators!$A:$O,14,FALSE)</f>
        <v>45.145277999999998</v>
      </c>
      <c r="K2" s="96">
        <f>VLOOKUP(A2,Generators!$A:$O,15,FALSE)</f>
        <v>6.0508329999999999</v>
      </c>
      <c r="M2" s="95"/>
      <c r="N2" s="96" t="str">
        <f ca="1">IF(AND(B2="hydro-PHS",NOT(ISTEXT(H2))),"True","False")</f>
        <v>False</v>
      </c>
    </row>
    <row r="3" spans="1:14" x14ac:dyDescent="0.35">
      <c r="A3" s="191" t="s">
        <v>1049</v>
      </c>
      <c r="B3" s="97" t="str">
        <f>VLOOKUP(A3,Generators!$A$2:$AZ$1016,MATCH('Unique Generator Objects'!$B$1,Generators!$A$1:$AZ$1,0),FALSE)</f>
        <v>hydro-PHS</v>
      </c>
      <c r="C3" s="97" t="str">
        <f t="shared" ref="C3:C66" si="0">A3</f>
        <v>Dinorwig</v>
      </c>
      <c r="D3" s="97" t="s">
        <v>2887</v>
      </c>
      <c r="E3" s="96" t="str">
        <f>VLOOKUP(A3,Generators!$A$2:$BC$122,MATCH(Generators!$I$1,Generators!$A$1:$BC$1,0),FALSE)</f>
        <v>GB</v>
      </c>
      <c r="G3" s="96" t="str">
        <f ca="1">VLOOKUP('Unique Generator Objects'!A3,'Generator-Storage Assignment'!$A$2:$K$200,2,FALSE) &amp; IF(VLOOKUP('Unique Generator Objects'!A3,'Generator-Storage Assignment'!$A$2:$K$200,3,FALSE)="","",";" &amp; VLOOKUP('Unique Generator Objects'!A3,'Generator-Storage Assignment'!$A$2:$K$200,3,FALSE))&amp; IF(VLOOKUP('Unique Generator Objects'!A3,'Generator-Storage Assignment'!$A$2:$K$200,4,FALSE)="","",";" &amp; VLOOKUP('Unique Generator Objects'!A3,'Generator-Storage Assignment'!$A$2:$K$200,4,FALSE))&amp; IF(VLOOKUP('Unique Generator Objects'!A3,'Generator-Storage Assignment'!$A$2:$K$200,5,FALSE)="","",";" &amp; VLOOKUP('Unique Generator Objects'!A3,'Generator-Storage Assignment'!$A$2:$K$200,5,FALSE))&amp; IF(VLOOKUP('Unique Generator Objects'!A3,'Generator-Storage Assignment'!$A$2:$K$200,6,FALSE)="","",";" &amp; VLOOKUP('Unique Generator Objects'!A3,'Generator-Storage Assignment'!$A$2:$K$200,6,FALSE))&amp; IF(VLOOKUP('Unique Generator Objects'!A3,'Generator-Storage Assignment'!$A$2:$K$200,7,FALSE)="","",";" &amp; VLOOKUP('Unique Generator Objects'!A3,'Generator-Storage Assignment'!$A$2:$K$200,7,FALSE))&amp; IF(VLOOKUP('Unique Generator Objects'!A3,'Generator-Storage Assignment'!$A$2:$K$200,8,FALSE)="","",";" &amp; VLOOKUP('Unique Generator Objects'!A3,'Generator-Storage Assignment'!$A$2:$K$200,8,FALSE))&amp; IF(VLOOKUP('Unique Generator Objects'!A3,'Generator-Storage Assignment'!$A$2:$K$200,9,FALSE)="","",";" &amp; VLOOKUP('Unique Generator Objects'!A3,'Generator-Storage Assignment'!$A$2:$K$200,9,FALSE))</f>
        <v>Marchlyn Mawr</v>
      </c>
      <c r="H3" s="96" t="str">
        <f ca="1">VLOOKUP('Unique Generator Objects'!A3,'Generator-Storage Assignment'!$A$2:$L$200,12,FALSE)</f>
        <v>Llyn Peris</v>
      </c>
      <c r="J3" s="96">
        <f>VLOOKUP(A3,Generators!$A:$O,14,FALSE)</f>
        <v>53.118611000000001</v>
      </c>
      <c r="K3" s="96">
        <f>VLOOKUP(A3,Generators!$A:$O,15,FALSE)</f>
        <v>-4.1138890000000004</v>
      </c>
      <c r="M3" s="97"/>
      <c r="N3" s="96" t="str">
        <f t="shared" ref="N3:N66" ca="1" si="1">IF(AND(B3="hydro-PHS",NOT(ISTEXT(H3))),"True","False")</f>
        <v>False</v>
      </c>
    </row>
    <row r="4" spans="1:14" x14ac:dyDescent="0.35">
      <c r="A4" s="191" t="s">
        <v>679</v>
      </c>
      <c r="B4" s="97" t="str">
        <f>VLOOKUP(A4,Generators!$A$2:$AZ$1016,MATCH('Unique Generator Objects'!$B$1,Generators!$A$1:$AZ$1,0),FALSE)</f>
        <v>hydro-PHS</v>
      </c>
      <c r="C4" s="97" t="str">
        <f t="shared" si="0"/>
        <v>Vianden</v>
      </c>
      <c r="D4" s="97" t="s">
        <v>2887</v>
      </c>
      <c r="E4" s="96" t="str">
        <f>VLOOKUP(A4,Generators!$A$2:$BC$122,MATCH(Generators!$I$1,Generators!$A$1:$BC$1,0),FALSE)</f>
        <v>LU</v>
      </c>
      <c r="G4" s="96" t="str">
        <f ca="1">VLOOKUP('Unique Generator Objects'!A4,'Generator-Storage Assignment'!$A$2:$K$200,2,FALSE) &amp; IF(VLOOKUP('Unique Generator Objects'!A4,'Generator-Storage Assignment'!$A$2:$K$200,3,FALSE)="","",";" &amp; VLOOKUP('Unique Generator Objects'!A4,'Generator-Storage Assignment'!$A$2:$K$200,3,FALSE))&amp; IF(VLOOKUP('Unique Generator Objects'!A4,'Generator-Storage Assignment'!$A$2:$K$200,4,FALSE)="","",";" &amp; VLOOKUP('Unique Generator Objects'!A4,'Generator-Storage Assignment'!$A$2:$K$200,4,FALSE))&amp; IF(VLOOKUP('Unique Generator Objects'!A4,'Generator-Storage Assignment'!$A$2:$K$200,5,FALSE)="","",";" &amp; VLOOKUP('Unique Generator Objects'!A4,'Generator-Storage Assignment'!$A$2:$K$200,5,FALSE))&amp; IF(VLOOKUP('Unique Generator Objects'!A4,'Generator-Storage Assignment'!$A$2:$K$200,6,FALSE)="","",";" &amp; VLOOKUP('Unique Generator Objects'!A4,'Generator-Storage Assignment'!$A$2:$K$200,6,FALSE))&amp; IF(VLOOKUP('Unique Generator Objects'!A4,'Generator-Storage Assignment'!$A$2:$K$200,7,FALSE)="","",";" &amp; VLOOKUP('Unique Generator Objects'!A4,'Generator-Storage Assignment'!$A$2:$K$200,7,FALSE))&amp; IF(VLOOKUP('Unique Generator Objects'!A4,'Generator-Storage Assignment'!$A$2:$K$200,8,FALSE)="","",";" &amp; VLOOKUP('Unique Generator Objects'!A4,'Generator-Storage Assignment'!$A$2:$K$200,8,FALSE))&amp; IF(VLOOKUP('Unique Generator Objects'!A4,'Generator-Storage Assignment'!$A$2:$K$200,9,FALSE)="","",";" &amp; VLOOKUP('Unique Generator Objects'!A4,'Generator-Storage Assignment'!$A$2:$K$200,9,FALSE))</f>
        <v>Vianden upper</v>
      </c>
      <c r="H4" s="96" t="str">
        <f ca="1">VLOOKUP('Unique Generator Objects'!A4,'Generator-Storage Assignment'!$A$2:$L$200,12,FALSE)</f>
        <v>Vianden lower</v>
      </c>
      <c r="J4" s="96">
        <f>VLOOKUP(A4,Generators!$A:$O,14,FALSE)</f>
        <v>49.952221999999999</v>
      </c>
      <c r="K4" s="96">
        <f>VLOOKUP(A4,Generators!$A:$O,15,FALSE)</f>
        <v>6.1772220000000004</v>
      </c>
      <c r="M4" s="97"/>
      <c r="N4" s="96" t="str">
        <f t="shared" ca="1" si="1"/>
        <v>False</v>
      </c>
    </row>
    <row r="5" spans="1:14" x14ac:dyDescent="0.35">
      <c r="A5" s="191" t="s">
        <v>999</v>
      </c>
      <c r="B5" s="97" t="str">
        <f>VLOOKUP(A5,Generators!$A$2:$AZ$1016,MATCH('Unique Generator Objects'!$B$1,Generators!$A$1:$AZ$1,0),FALSE)</f>
        <v>hydro-STO</v>
      </c>
      <c r="C5" s="97" t="str">
        <f t="shared" si="0"/>
        <v>Bieudron</v>
      </c>
      <c r="D5" s="97" t="s">
        <v>2887</v>
      </c>
      <c r="E5" s="96" t="str">
        <f>VLOOKUP(A5,Generators!$A$2:$BC$122,MATCH(Generators!$I$1,Generators!$A$1:$BC$1,0),FALSE)</f>
        <v>CH</v>
      </c>
      <c r="G5" s="96" t="str">
        <f ca="1">VLOOKUP('Unique Generator Objects'!A5,'Generator-Storage Assignment'!$A$2:$K$200,2,FALSE) &amp; IF(VLOOKUP('Unique Generator Objects'!A5,'Generator-Storage Assignment'!$A$2:$K$200,3,FALSE)="","",";" &amp; VLOOKUP('Unique Generator Objects'!A5,'Generator-Storage Assignment'!$A$2:$K$200,3,FALSE))&amp; IF(VLOOKUP('Unique Generator Objects'!A5,'Generator-Storage Assignment'!$A$2:$K$200,4,FALSE)="","",";" &amp; VLOOKUP('Unique Generator Objects'!A5,'Generator-Storage Assignment'!$A$2:$K$200,4,FALSE))&amp; IF(VLOOKUP('Unique Generator Objects'!A5,'Generator-Storage Assignment'!$A$2:$K$200,5,FALSE)="","",";" &amp; VLOOKUP('Unique Generator Objects'!A5,'Generator-Storage Assignment'!$A$2:$K$200,5,FALSE))&amp; IF(VLOOKUP('Unique Generator Objects'!A5,'Generator-Storage Assignment'!$A$2:$K$200,6,FALSE)="","",";" &amp; VLOOKUP('Unique Generator Objects'!A5,'Generator-Storage Assignment'!$A$2:$K$200,6,FALSE))&amp; IF(VLOOKUP('Unique Generator Objects'!A5,'Generator-Storage Assignment'!$A$2:$K$200,7,FALSE)="","",";" &amp; VLOOKUP('Unique Generator Objects'!A5,'Generator-Storage Assignment'!$A$2:$K$200,7,FALSE))&amp; IF(VLOOKUP('Unique Generator Objects'!A5,'Generator-Storage Assignment'!$A$2:$K$200,8,FALSE)="","",";" &amp; VLOOKUP('Unique Generator Objects'!A5,'Generator-Storage Assignment'!$A$2:$K$200,8,FALSE))&amp; IF(VLOOKUP('Unique Generator Objects'!A5,'Generator-Storage Assignment'!$A$2:$K$200,9,FALSE)="","",";" &amp; VLOOKUP('Unique Generator Objects'!A5,'Generator-Storage Assignment'!$A$2:$K$200,9,FALSE))</f>
        <v>Grand Dixence reservoir</v>
      </c>
      <c r="H5" s="96" t="str">
        <f ca="1">VLOOKUP('Unique Generator Objects'!A5,'Generator-Storage Assignment'!$A$2:$L$200,12,FALSE)</f>
        <v>Rhone</v>
      </c>
      <c r="J5" s="96">
        <f>VLOOKUP(A5,Generators!$A:$O,14,FALSE)</f>
        <v>46.185296999999998</v>
      </c>
      <c r="K5" s="96">
        <f>VLOOKUP(A5,Generators!$A:$O,15,FALSE)</f>
        <v>7.2495609999999999</v>
      </c>
      <c r="M5" s="97"/>
      <c r="N5" s="96" t="str">
        <f t="shared" ca="1" si="1"/>
        <v>False</v>
      </c>
    </row>
    <row r="6" spans="1:14" x14ac:dyDescent="0.35">
      <c r="A6" s="191" t="s">
        <v>1854</v>
      </c>
      <c r="B6" s="97" t="str">
        <f>VLOOKUP(A6,Generators!$A$2:$AZ$1016,MATCH('Unique Generator Objects'!$B$1,Generators!$A$1:$AZ$1,0),FALSE)</f>
        <v>hydro-PHS</v>
      </c>
      <c r="C6" s="97" t="str">
        <f t="shared" si="0"/>
        <v>Aldeadavila</v>
      </c>
      <c r="D6" s="97" t="s">
        <v>2887</v>
      </c>
      <c r="E6" s="96" t="str">
        <f>VLOOKUP(A6,Generators!$A$2:$BC$122,MATCH(Generators!$I$1,Generators!$A$1:$BC$1,0),FALSE)</f>
        <v>ES</v>
      </c>
      <c r="G6" s="96" t="str">
        <f ca="1">VLOOKUP('Unique Generator Objects'!A6,'Generator-Storage Assignment'!$A$2:$K$200,2,FALSE) &amp; IF(VLOOKUP('Unique Generator Objects'!A6,'Generator-Storage Assignment'!$A$2:$K$200,3,FALSE)="","",";" &amp; VLOOKUP('Unique Generator Objects'!A6,'Generator-Storage Assignment'!$A$2:$K$200,3,FALSE))&amp; IF(VLOOKUP('Unique Generator Objects'!A6,'Generator-Storage Assignment'!$A$2:$K$200,4,FALSE)="","",";" &amp; VLOOKUP('Unique Generator Objects'!A6,'Generator-Storage Assignment'!$A$2:$K$200,4,FALSE))&amp; IF(VLOOKUP('Unique Generator Objects'!A6,'Generator-Storage Assignment'!$A$2:$K$200,5,FALSE)="","",";" &amp; VLOOKUP('Unique Generator Objects'!A6,'Generator-Storage Assignment'!$A$2:$K$200,5,FALSE))&amp; IF(VLOOKUP('Unique Generator Objects'!A6,'Generator-Storage Assignment'!$A$2:$K$200,6,FALSE)="","",";" &amp; VLOOKUP('Unique Generator Objects'!A6,'Generator-Storage Assignment'!$A$2:$K$200,6,FALSE))&amp; IF(VLOOKUP('Unique Generator Objects'!A6,'Generator-Storage Assignment'!$A$2:$K$200,7,FALSE)="","",";" &amp; VLOOKUP('Unique Generator Objects'!A6,'Generator-Storage Assignment'!$A$2:$K$200,7,FALSE))&amp; IF(VLOOKUP('Unique Generator Objects'!A6,'Generator-Storage Assignment'!$A$2:$K$200,8,FALSE)="","",";" &amp; VLOOKUP('Unique Generator Objects'!A6,'Generator-Storage Assignment'!$A$2:$K$200,8,FALSE))&amp; IF(VLOOKUP('Unique Generator Objects'!A6,'Generator-Storage Assignment'!$A$2:$K$200,9,FALSE)="","",";" &amp; VLOOKUP('Unique Generator Objects'!A6,'Generator-Storage Assignment'!$A$2:$K$200,9,FALSE))</f>
        <v>Aldeadavila</v>
      </c>
      <c r="H6" s="96" t="str">
        <f ca="1">VLOOKUP('Unique Generator Objects'!A6,'Generator-Storage Assignment'!$A$2:$L$200,12,FALSE)</f>
        <v>Dougo</v>
      </c>
      <c r="J6" s="96">
        <f>VLOOKUP(A6,Generators!$A:$O,14,FALSE)</f>
        <v>41.211669999999998</v>
      </c>
      <c r="K6" s="96">
        <f>VLOOKUP(A6,Generators!$A:$O,15,FALSE)</f>
        <v>-6.6855599999999997</v>
      </c>
      <c r="M6" s="97"/>
      <c r="N6" s="96" t="str">
        <f t="shared" ca="1" si="1"/>
        <v>False</v>
      </c>
    </row>
    <row r="7" spans="1:14" x14ac:dyDescent="0.35">
      <c r="A7" s="192" t="s">
        <v>2101</v>
      </c>
      <c r="B7" s="97" t="str">
        <f>VLOOKUP(A7,Generators!$A$2:$AZ$1016,MATCH('Unique Generator Objects'!$B$1,Generators!$A$1:$AZ$1,0),FALSE)</f>
        <v>hydro-STO</v>
      </c>
      <c r="C7" s="97" t="str">
        <f t="shared" si="0"/>
        <v>Kvilldal</v>
      </c>
      <c r="D7" s="97" t="s">
        <v>2887</v>
      </c>
      <c r="E7" s="96" t="str">
        <f>VLOOKUP(A7,Generators!$A$2:$BC$122,MATCH(Generators!$I$1,Generators!$A$1:$BC$1,0),FALSE)</f>
        <v>NO</v>
      </c>
      <c r="G7" s="96" t="str">
        <f ca="1">VLOOKUP('Unique Generator Objects'!A7,'Generator-Storage Assignment'!$A$2:$K$200,2,FALSE) &amp; IF(VLOOKUP('Unique Generator Objects'!A7,'Generator-Storage Assignment'!$A$2:$K$200,3,FALSE)="","",";" &amp; VLOOKUP('Unique Generator Objects'!A7,'Generator-Storage Assignment'!$A$2:$K$200,3,FALSE))&amp; IF(VLOOKUP('Unique Generator Objects'!A7,'Generator-Storage Assignment'!$A$2:$K$200,4,FALSE)="","",";" &amp; VLOOKUP('Unique Generator Objects'!A7,'Generator-Storage Assignment'!$A$2:$K$200,4,FALSE))&amp; IF(VLOOKUP('Unique Generator Objects'!A7,'Generator-Storage Assignment'!$A$2:$K$200,5,FALSE)="","",";" &amp; VLOOKUP('Unique Generator Objects'!A7,'Generator-Storage Assignment'!$A$2:$K$200,5,FALSE))&amp; IF(VLOOKUP('Unique Generator Objects'!A7,'Generator-Storage Assignment'!$A$2:$K$200,6,FALSE)="","",";" &amp; VLOOKUP('Unique Generator Objects'!A7,'Generator-Storage Assignment'!$A$2:$K$200,6,FALSE))&amp; IF(VLOOKUP('Unique Generator Objects'!A7,'Generator-Storage Assignment'!$A$2:$K$200,7,FALSE)="","",";" &amp; VLOOKUP('Unique Generator Objects'!A7,'Generator-Storage Assignment'!$A$2:$K$200,7,FALSE))&amp; IF(VLOOKUP('Unique Generator Objects'!A7,'Generator-Storage Assignment'!$A$2:$K$200,8,FALSE)="","",";" &amp; VLOOKUP('Unique Generator Objects'!A7,'Generator-Storage Assignment'!$A$2:$K$200,8,FALSE))&amp; IF(VLOOKUP('Unique Generator Objects'!A7,'Generator-Storage Assignment'!$A$2:$K$200,9,FALSE)="","",";" &amp; VLOOKUP('Unique Generator Objects'!A7,'Generator-Storage Assignment'!$A$2:$K$200,9,FALSE))</f>
        <v>Lake Blasjo</v>
      </c>
      <c r="H7" s="96" t="str">
        <f ca="1">VLOOKUP('Unique Generator Objects'!A7,'Generator-Storage Assignment'!$A$2:$L$200,12,FALSE)</f>
        <v>Kvilldal_lower</v>
      </c>
      <c r="J7" s="96">
        <f>VLOOKUP(A7,Generators!$A:$O,14,FALSE)</f>
        <v>59.528779999999998</v>
      </c>
      <c r="K7" s="96">
        <f>VLOOKUP(A7,Generators!$A:$O,15,FALSE)</f>
        <v>6.6542000000000003</v>
      </c>
      <c r="M7" s="97"/>
      <c r="N7" s="96" t="str">
        <f t="shared" ca="1" si="1"/>
        <v>False</v>
      </c>
    </row>
    <row r="8" spans="1:14" x14ac:dyDescent="0.35">
      <c r="A8" s="191" t="s">
        <v>2150</v>
      </c>
      <c r="B8" s="97" t="str">
        <f>VLOOKUP(A8,Generators!$A$2:$AZ$1016,MATCH('Unique Generator Objects'!$B$1,Generators!$A$1:$AZ$1,0),FALSE)</f>
        <v>hydro-PHS</v>
      </c>
      <c r="C8" s="97" t="str">
        <f t="shared" si="0"/>
        <v>Chiotas Piastra</v>
      </c>
      <c r="D8" s="97" t="s">
        <v>2887</v>
      </c>
      <c r="E8" s="96" t="str">
        <f>VLOOKUP(A8,Generators!$A$2:$BC$122,MATCH(Generators!$I$1,Generators!$A$1:$BC$1,0),FALSE)</f>
        <v>IT</v>
      </c>
      <c r="G8" s="96" t="str">
        <f ca="1">VLOOKUP('Unique Generator Objects'!A8,'Generator-Storage Assignment'!$A$2:$K$200,2,FALSE) &amp; IF(VLOOKUP('Unique Generator Objects'!A8,'Generator-Storage Assignment'!$A$2:$K$200,3,FALSE)="","",";" &amp; VLOOKUP('Unique Generator Objects'!A8,'Generator-Storage Assignment'!$A$2:$K$200,3,FALSE))&amp; IF(VLOOKUP('Unique Generator Objects'!A8,'Generator-Storage Assignment'!$A$2:$K$200,4,FALSE)="","",";" &amp; VLOOKUP('Unique Generator Objects'!A8,'Generator-Storage Assignment'!$A$2:$K$200,4,FALSE))&amp; IF(VLOOKUP('Unique Generator Objects'!A8,'Generator-Storage Assignment'!$A$2:$K$200,5,FALSE)="","",";" &amp; VLOOKUP('Unique Generator Objects'!A8,'Generator-Storage Assignment'!$A$2:$K$200,5,FALSE))&amp; IF(VLOOKUP('Unique Generator Objects'!A8,'Generator-Storage Assignment'!$A$2:$K$200,6,FALSE)="","",";" &amp; VLOOKUP('Unique Generator Objects'!A8,'Generator-Storage Assignment'!$A$2:$K$200,6,FALSE))&amp; IF(VLOOKUP('Unique Generator Objects'!A8,'Generator-Storage Assignment'!$A$2:$K$200,7,FALSE)="","",";" &amp; VLOOKUP('Unique Generator Objects'!A8,'Generator-Storage Assignment'!$A$2:$K$200,7,FALSE))&amp; IF(VLOOKUP('Unique Generator Objects'!A8,'Generator-Storage Assignment'!$A$2:$K$200,8,FALSE)="","",";" &amp; VLOOKUP('Unique Generator Objects'!A8,'Generator-Storage Assignment'!$A$2:$K$200,8,FALSE))&amp; IF(VLOOKUP('Unique Generator Objects'!A8,'Generator-Storage Assignment'!$A$2:$K$200,9,FALSE)="","",";" &amp; VLOOKUP('Unique Generator Objects'!A8,'Generator-Storage Assignment'!$A$2:$K$200,9,FALSE))</f>
        <v>Lago del Chiotas</v>
      </c>
      <c r="H8" s="96" t="str">
        <f ca="1">VLOOKUP('Unique Generator Objects'!A8,'Generator-Storage Assignment'!$A$2:$L$200,12,FALSE)</f>
        <v>Lago della Piastra</v>
      </c>
      <c r="J8" s="96">
        <f>VLOOKUP(A8,Generators!$A:$O,14,FALSE)</f>
        <v>44.224722</v>
      </c>
      <c r="K8" s="96">
        <f>VLOOKUP(A8,Generators!$A:$O,15,FALSE)</f>
        <v>7.3861109999999996</v>
      </c>
      <c r="M8" s="97"/>
      <c r="N8" s="96" t="str">
        <f t="shared" ca="1" si="1"/>
        <v>False</v>
      </c>
    </row>
    <row r="9" spans="1:14" x14ac:dyDescent="0.35">
      <c r="A9" s="191" t="s">
        <v>2119</v>
      </c>
      <c r="B9" s="97" t="str">
        <f>VLOOKUP(A9,Generators!$A$2:$AZ$1016,MATCH('Unique Generator Objects'!$B$1,Generators!$A$1:$AZ$1,0),FALSE)</f>
        <v>hydro-ROR</v>
      </c>
      <c r="C9" s="97" t="str">
        <f t="shared" si="0"/>
        <v>Iron Gate I</v>
      </c>
      <c r="D9" s="97" t="s">
        <v>2887</v>
      </c>
      <c r="E9" s="96" t="str">
        <f>VLOOKUP(A9,Generators!$A$2:$BC$122,MATCH(Generators!$I$1,Generators!$A$1:$BC$1,0),FALSE)</f>
        <v>RO</v>
      </c>
      <c r="G9" s="96" t="str">
        <f ca="1">VLOOKUP('Unique Generator Objects'!A9,'Generator-Storage Assignment'!$A$2:$K$200,2,FALSE) &amp; IF(VLOOKUP('Unique Generator Objects'!A9,'Generator-Storage Assignment'!$A$2:$K$200,3,FALSE)="","",";" &amp; VLOOKUP('Unique Generator Objects'!A9,'Generator-Storage Assignment'!$A$2:$K$200,3,FALSE))&amp; IF(VLOOKUP('Unique Generator Objects'!A9,'Generator-Storage Assignment'!$A$2:$K$200,4,FALSE)="","",";" &amp; VLOOKUP('Unique Generator Objects'!A9,'Generator-Storage Assignment'!$A$2:$K$200,4,FALSE))&amp; IF(VLOOKUP('Unique Generator Objects'!A9,'Generator-Storage Assignment'!$A$2:$K$200,5,FALSE)="","",";" &amp; VLOOKUP('Unique Generator Objects'!A9,'Generator-Storage Assignment'!$A$2:$K$200,5,FALSE))&amp; IF(VLOOKUP('Unique Generator Objects'!A9,'Generator-Storage Assignment'!$A$2:$K$200,6,FALSE)="","",";" &amp; VLOOKUP('Unique Generator Objects'!A9,'Generator-Storage Assignment'!$A$2:$K$200,6,FALSE))&amp; IF(VLOOKUP('Unique Generator Objects'!A9,'Generator-Storage Assignment'!$A$2:$K$200,7,FALSE)="","",";" &amp; VLOOKUP('Unique Generator Objects'!A9,'Generator-Storage Assignment'!$A$2:$K$200,7,FALSE))&amp; IF(VLOOKUP('Unique Generator Objects'!A9,'Generator-Storage Assignment'!$A$2:$K$200,8,FALSE)="","",";" &amp; VLOOKUP('Unique Generator Objects'!A9,'Generator-Storage Assignment'!$A$2:$K$200,8,FALSE))&amp; IF(VLOOKUP('Unique Generator Objects'!A9,'Generator-Storage Assignment'!$A$2:$K$200,9,FALSE)="","",";" &amp; VLOOKUP('Unique Generator Objects'!A9,'Generator-Storage Assignment'!$A$2:$K$200,9,FALSE))</f>
        <v>Iron Gate 1</v>
      </c>
      <c r="H9" s="96" t="str">
        <f ca="1">VLOOKUP('Unique Generator Objects'!A9,'Generator-Storage Assignment'!$A$2:$L$200,12,FALSE)</f>
        <v>Iron Gate I_lower</v>
      </c>
      <c r="J9" s="96">
        <f>VLOOKUP(A9,Generators!$A:$O,14,FALSE)</f>
        <v>44.673276600000001</v>
      </c>
      <c r="K9" s="96">
        <f>VLOOKUP(A9,Generators!$A:$O,15,FALSE)</f>
        <v>22.532036300000001</v>
      </c>
      <c r="M9" s="97"/>
      <c r="N9" s="96" t="str">
        <f t="shared" ca="1" si="1"/>
        <v>False</v>
      </c>
    </row>
    <row r="10" spans="1:14" x14ac:dyDescent="0.35">
      <c r="A10" s="191" t="s">
        <v>50</v>
      </c>
      <c r="B10" s="97" t="str">
        <f>VLOOKUP(A10,Generators!$A$2:$AZ$1016,MATCH('Unique Generator Objects'!$B$1,Generators!$A$1:$AZ$1,0),FALSE)</f>
        <v>hydro-PHS</v>
      </c>
      <c r="C10" s="97" t="str">
        <f t="shared" si="0"/>
        <v>Coo-Trois-Ponts</v>
      </c>
      <c r="D10" s="97" t="s">
        <v>2887</v>
      </c>
      <c r="E10" s="96" t="str">
        <f>VLOOKUP(A10,Generators!$A$2:$BC$122,MATCH(Generators!$I$1,Generators!$A$1:$BC$1,0),FALSE)</f>
        <v>BE</v>
      </c>
      <c r="G10" s="96" t="str">
        <f ca="1">VLOOKUP('Unique Generator Objects'!A10,'Generator-Storage Assignment'!$A$2:$K$200,2,FALSE) &amp; IF(VLOOKUP('Unique Generator Objects'!A10,'Generator-Storage Assignment'!$A$2:$K$200,3,FALSE)="","",";" &amp; VLOOKUP('Unique Generator Objects'!A10,'Generator-Storage Assignment'!$A$2:$K$200,3,FALSE))&amp; IF(VLOOKUP('Unique Generator Objects'!A10,'Generator-Storage Assignment'!$A$2:$K$200,4,FALSE)="","",";" &amp; VLOOKUP('Unique Generator Objects'!A10,'Generator-Storage Assignment'!$A$2:$K$200,4,FALSE))&amp; IF(VLOOKUP('Unique Generator Objects'!A10,'Generator-Storage Assignment'!$A$2:$K$200,5,FALSE)="","",";" &amp; VLOOKUP('Unique Generator Objects'!A10,'Generator-Storage Assignment'!$A$2:$K$200,5,FALSE))&amp; IF(VLOOKUP('Unique Generator Objects'!A10,'Generator-Storage Assignment'!$A$2:$K$200,6,FALSE)="","",";" &amp; VLOOKUP('Unique Generator Objects'!A10,'Generator-Storage Assignment'!$A$2:$K$200,6,FALSE))&amp; IF(VLOOKUP('Unique Generator Objects'!A10,'Generator-Storage Assignment'!$A$2:$K$200,7,FALSE)="","",";" &amp; VLOOKUP('Unique Generator Objects'!A10,'Generator-Storage Assignment'!$A$2:$K$200,7,FALSE))&amp; IF(VLOOKUP('Unique Generator Objects'!A10,'Generator-Storage Assignment'!$A$2:$K$200,8,FALSE)="","",";" &amp; VLOOKUP('Unique Generator Objects'!A10,'Generator-Storage Assignment'!$A$2:$K$200,8,FALSE))&amp; IF(VLOOKUP('Unique Generator Objects'!A10,'Generator-Storage Assignment'!$A$2:$K$200,9,FALSE)="","",";" &amp; VLOOKUP('Unique Generator Objects'!A10,'Generator-Storage Assignment'!$A$2:$K$200,9,FALSE))</f>
        <v>Coo 1, Coo 2</v>
      </c>
      <c r="H10" s="96" t="str">
        <f ca="1">VLOOKUP('Unique Generator Objects'!A10,'Generator-Storage Assignment'!$A$2:$L$200,12,FALSE)</f>
        <v>Coo Beneden</v>
      </c>
      <c r="J10" s="96">
        <f>VLOOKUP(A10,Generators!$A:$O,14,FALSE)</f>
        <v>50.386713999999998</v>
      </c>
      <c r="K10" s="96">
        <f>VLOOKUP(A10,Generators!$A:$O,15,FALSE)</f>
        <v>5.8572579999999999</v>
      </c>
      <c r="M10" s="97"/>
      <c r="N10" s="96" t="str">
        <f t="shared" ca="1" si="1"/>
        <v>False</v>
      </c>
    </row>
    <row r="11" spans="1:14" x14ac:dyDescent="0.35">
      <c r="A11" s="191" t="s">
        <v>2167</v>
      </c>
      <c r="B11" s="97" t="str">
        <f>VLOOKUP(A11,Generators!$A$2:$AZ$1016,MATCH('Unique Generator Objects'!$B$1,Generators!$A$1:$AZ$1,0),FALSE)</f>
        <v>hydro-STO</v>
      </c>
      <c r="C11" s="97" t="str">
        <f t="shared" si="0"/>
        <v>Sima</v>
      </c>
      <c r="D11" s="97" t="s">
        <v>2887</v>
      </c>
      <c r="E11" s="96" t="str">
        <f>VLOOKUP(A11,Generators!$A$2:$BC$122,MATCH(Generators!$I$1,Generators!$A$1:$BC$1,0),FALSE)</f>
        <v>NO</v>
      </c>
      <c r="G11" s="96" t="str">
        <f ca="1">VLOOKUP('Unique Generator Objects'!A11,'Generator-Storage Assignment'!$A$2:$K$200,2,FALSE) &amp; IF(VLOOKUP('Unique Generator Objects'!A11,'Generator-Storage Assignment'!$A$2:$K$200,3,FALSE)="","",";" &amp; VLOOKUP('Unique Generator Objects'!A11,'Generator-Storage Assignment'!$A$2:$K$200,3,FALSE))&amp; IF(VLOOKUP('Unique Generator Objects'!A11,'Generator-Storage Assignment'!$A$2:$K$200,4,FALSE)="","",";" &amp; VLOOKUP('Unique Generator Objects'!A11,'Generator-Storage Assignment'!$A$2:$K$200,4,FALSE))&amp; IF(VLOOKUP('Unique Generator Objects'!A11,'Generator-Storage Assignment'!$A$2:$K$200,5,FALSE)="","",";" &amp; VLOOKUP('Unique Generator Objects'!A11,'Generator-Storage Assignment'!$A$2:$K$200,5,FALSE))&amp; IF(VLOOKUP('Unique Generator Objects'!A11,'Generator-Storage Assignment'!$A$2:$K$200,6,FALSE)="","",";" &amp; VLOOKUP('Unique Generator Objects'!A11,'Generator-Storage Assignment'!$A$2:$K$200,6,FALSE))&amp; IF(VLOOKUP('Unique Generator Objects'!A11,'Generator-Storage Assignment'!$A$2:$K$200,7,FALSE)="","",";" &amp; VLOOKUP('Unique Generator Objects'!A11,'Generator-Storage Assignment'!$A$2:$K$200,7,FALSE))&amp; IF(VLOOKUP('Unique Generator Objects'!A11,'Generator-Storage Assignment'!$A$2:$K$200,8,FALSE)="","",";" &amp; VLOOKUP('Unique Generator Objects'!A11,'Generator-Storage Assignment'!$A$2:$K$200,8,FALSE))&amp; IF(VLOOKUP('Unique Generator Objects'!A11,'Generator-Storage Assignment'!$A$2:$K$200,9,FALSE)="","",";" &amp; VLOOKUP('Unique Generator Objects'!A11,'Generator-Storage Assignment'!$A$2:$K$200,9,FALSE))</f>
        <v>Langavatn;Rembesdalsvatn;Sysenvatn</v>
      </c>
      <c r="H11" s="96" t="str">
        <f ca="1">VLOOKUP('Unique Generator Objects'!A11,'Generator-Storage Assignment'!$A$2:$L$200,12,FALSE)</f>
        <v>Eidfjord</v>
      </c>
      <c r="J11" s="96">
        <f>VLOOKUP(A11,Generators!$A:$O,14,FALSE)</f>
        <v>60.499443999999997</v>
      </c>
      <c r="K11" s="96">
        <f>VLOOKUP(A11,Generators!$A:$O,15,FALSE)</f>
        <v>7.1419439999999996</v>
      </c>
      <c r="M11" s="97"/>
      <c r="N11" s="96" t="str">
        <f t="shared" ca="1" si="1"/>
        <v>False</v>
      </c>
    </row>
    <row r="12" spans="1:14" x14ac:dyDescent="0.35">
      <c r="A12" s="191" t="s">
        <v>2170</v>
      </c>
      <c r="B12" s="97" t="str">
        <f>VLOOKUP(A12,Generators!$A$2:$AZ$1016,MATCH('Unique Generator Objects'!$B$1,Generators!$A$1:$AZ$1,0),FALSE)</f>
        <v>hydro-PHS</v>
      </c>
      <c r="C12" s="97" t="str">
        <f t="shared" si="0"/>
        <v xml:space="preserve">Goldisthal  </v>
      </c>
      <c r="D12" s="97" t="s">
        <v>2887</v>
      </c>
      <c r="E12" s="96" t="str">
        <f>VLOOKUP(A12,Generators!$A$2:$BC$122,MATCH(Generators!$I$1,Generators!$A$1:$BC$1,0),FALSE)</f>
        <v>DE</v>
      </c>
      <c r="G12" s="96" t="str">
        <f ca="1">VLOOKUP('Unique Generator Objects'!A12,'Generator-Storage Assignment'!$A$2:$K$200,2,FALSE) &amp; IF(VLOOKUP('Unique Generator Objects'!A12,'Generator-Storage Assignment'!$A$2:$K$200,3,FALSE)="","",";" &amp; VLOOKUP('Unique Generator Objects'!A12,'Generator-Storage Assignment'!$A$2:$K$200,3,FALSE))&amp; IF(VLOOKUP('Unique Generator Objects'!A12,'Generator-Storage Assignment'!$A$2:$K$200,4,FALSE)="","",";" &amp; VLOOKUP('Unique Generator Objects'!A12,'Generator-Storage Assignment'!$A$2:$K$200,4,FALSE))&amp; IF(VLOOKUP('Unique Generator Objects'!A12,'Generator-Storage Assignment'!$A$2:$K$200,5,FALSE)="","",";" &amp; VLOOKUP('Unique Generator Objects'!A12,'Generator-Storage Assignment'!$A$2:$K$200,5,FALSE))&amp; IF(VLOOKUP('Unique Generator Objects'!A12,'Generator-Storage Assignment'!$A$2:$K$200,6,FALSE)="","",";" &amp; VLOOKUP('Unique Generator Objects'!A12,'Generator-Storage Assignment'!$A$2:$K$200,6,FALSE))&amp; IF(VLOOKUP('Unique Generator Objects'!A12,'Generator-Storage Assignment'!$A$2:$K$200,7,FALSE)="","",";" &amp; VLOOKUP('Unique Generator Objects'!A12,'Generator-Storage Assignment'!$A$2:$K$200,7,FALSE))&amp; IF(VLOOKUP('Unique Generator Objects'!A12,'Generator-Storage Assignment'!$A$2:$K$200,8,FALSE)="","",";" &amp; VLOOKUP('Unique Generator Objects'!A12,'Generator-Storage Assignment'!$A$2:$K$200,8,FALSE))&amp; IF(VLOOKUP('Unique Generator Objects'!A12,'Generator-Storage Assignment'!$A$2:$K$200,9,FALSE)="","",";" &amp; VLOOKUP('Unique Generator Objects'!A12,'Generator-Storage Assignment'!$A$2:$K$200,9,FALSE))</f>
        <v>Goldisthal-oberbecken</v>
      </c>
      <c r="H12" s="96" t="str">
        <f ca="1">VLOOKUP('Unique Generator Objects'!A12,'Generator-Storage Assignment'!$A$2:$L$200,12,FALSE)</f>
        <v>Goldisthal-Oberes S</v>
      </c>
      <c r="J12" s="96">
        <f>VLOOKUP(A12,Generators!$A:$O,14,FALSE)</f>
        <v>50.508083999999997</v>
      </c>
      <c r="K12" s="96">
        <f>VLOOKUP(A12,Generators!$A:$O,15,FALSE)</f>
        <v>11.004471000000001</v>
      </c>
      <c r="M12" s="98"/>
      <c r="N12" s="96" t="str">
        <f t="shared" ca="1" si="1"/>
        <v>False</v>
      </c>
    </row>
    <row r="13" spans="1:14" x14ac:dyDescent="0.35">
      <c r="A13" s="191" t="s">
        <v>387</v>
      </c>
      <c r="B13" s="97" t="str">
        <f>VLOOKUP(A13,Generators!$A$2:$AZ$1016,MATCH('Unique Generator Objects'!$B$1,Generators!$A$1:$AZ$1,0),FALSE)</f>
        <v>hydro-PHS</v>
      </c>
      <c r="C13" s="97" t="str">
        <f t="shared" si="0"/>
        <v>Markersbach</v>
      </c>
      <c r="D13" s="97" t="s">
        <v>2887</v>
      </c>
      <c r="E13" s="96" t="str">
        <f>VLOOKUP(A13,Generators!$A$2:$BC$122,MATCH(Generators!$I$1,Generators!$A$1:$BC$1,0),FALSE)</f>
        <v>DE</v>
      </c>
      <c r="G13" s="96" t="str">
        <f ca="1">VLOOKUP('Unique Generator Objects'!A13,'Generator-Storage Assignment'!$A$2:$K$200,2,FALSE) &amp; IF(VLOOKUP('Unique Generator Objects'!A13,'Generator-Storage Assignment'!$A$2:$K$200,3,FALSE)="","",";" &amp; VLOOKUP('Unique Generator Objects'!A13,'Generator-Storage Assignment'!$A$2:$K$200,3,FALSE))&amp; IF(VLOOKUP('Unique Generator Objects'!A13,'Generator-Storage Assignment'!$A$2:$K$200,4,FALSE)="","",";" &amp; VLOOKUP('Unique Generator Objects'!A13,'Generator-Storage Assignment'!$A$2:$K$200,4,FALSE))&amp; IF(VLOOKUP('Unique Generator Objects'!A13,'Generator-Storage Assignment'!$A$2:$K$200,5,FALSE)="","",";" &amp; VLOOKUP('Unique Generator Objects'!A13,'Generator-Storage Assignment'!$A$2:$K$200,5,FALSE))&amp; IF(VLOOKUP('Unique Generator Objects'!A13,'Generator-Storage Assignment'!$A$2:$K$200,6,FALSE)="","",";" &amp; VLOOKUP('Unique Generator Objects'!A13,'Generator-Storage Assignment'!$A$2:$K$200,6,FALSE))&amp; IF(VLOOKUP('Unique Generator Objects'!A13,'Generator-Storage Assignment'!$A$2:$K$200,7,FALSE)="","",";" &amp; VLOOKUP('Unique Generator Objects'!A13,'Generator-Storage Assignment'!$A$2:$K$200,7,FALSE))&amp; IF(VLOOKUP('Unique Generator Objects'!A13,'Generator-Storage Assignment'!$A$2:$K$200,8,FALSE)="","",";" &amp; VLOOKUP('Unique Generator Objects'!A13,'Generator-Storage Assignment'!$A$2:$K$200,8,FALSE))&amp; IF(VLOOKUP('Unique Generator Objects'!A13,'Generator-Storage Assignment'!$A$2:$K$200,9,FALSE)="","",";" &amp; VLOOKUP('Unique Generator Objects'!A13,'Generator-Storage Assignment'!$A$2:$K$200,9,FALSE))</f>
        <v>Markersbach-oberbecken</v>
      </c>
      <c r="H13" s="96" t="str">
        <f ca="1">VLOOKUP('Unique Generator Objects'!A13,'Generator-Storage Assignment'!$A$2:$L$200,12,FALSE)</f>
        <v>Markersbach-unterbecken</v>
      </c>
      <c r="J13" s="96">
        <f>VLOOKUP(A13,Generators!$A:$O,14,FALSE)</f>
        <v>50.517527000000001</v>
      </c>
      <c r="K13" s="96">
        <f>VLOOKUP(A13,Generators!$A:$O,15,FALSE)</f>
        <v>12.880644</v>
      </c>
      <c r="M13" s="97"/>
      <c r="N13" s="96" t="str">
        <f t="shared" ca="1" si="1"/>
        <v>False</v>
      </c>
    </row>
    <row r="14" spans="1:14" x14ac:dyDescent="0.35">
      <c r="A14" s="191" t="s">
        <v>2184</v>
      </c>
      <c r="B14" s="97" t="str">
        <f>VLOOKUP(A14,Generators!$A$2:$AZ$1016,MATCH('Unique Generator Objects'!$B$1,Generators!$A$1:$AZ$1,0),FALSE)</f>
        <v>hydro-PHS</v>
      </c>
      <c r="C14" s="97" t="str">
        <f t="shared" si="0"/>
        <v>Roncovalgrande (Delio)</v>
      </c>
      <c r="D14" s="97" t="s">
        <v>2887</v>
      </c>
      <c r="E14" s="96" t="str">
        <f>VLOOKUP(A14,Generators!$A$2:$BC$122,MATCH(Generators!$I$1,Generators!$A$1:$BC$1,0),FALSE)</f>
        <v>IT</v>
      </c>
      <c r="G14" s="96" t="str">
        <f ca="1">VLOOKUP('Unique Generator Objects'!A14,'Generator-Storage Assignment'!$A$2:$K$200,2,FALSE) &amp; IF(VLOOKUP('Unique Generator Objects'!A14,'Generator-Storage Assignment'!$A$2:$K$200,3,FALSE)="","",";" &amp; VLOOKUP('Unique Generator Objects'!A14,'Generator-Storage Assignment'!$A$2:$K$200,3,FALSE))&amp; IF(VLOOKUP('Unique Generator Objects'!A14,'Generator-Storage Assignment'!$A$2:$K$200,4,FALSE)="","",";" &amp; VLOOKUP('Unique Generator Objects'!A14,'Generator-Storage Assignment'!$A$2:$K$200,4,FALSE))&amp; IF(VLOOKUP('Unique Generator Objects'!A14,'Generator-Storage Assignment'!$A$2:$K$200,5,FALSE)="","",";" &amp; VLOOKUP('Unique Generator Objects'!A14,'Generator-Storage Assignment'!$A$2:$K$200,5,FALSE))&amp; IF(VLOOKUP('Unique Generator Objects'!A14,'Generator-Storage Assignment'!$A$2:$K$200,6,FALSE)="","",";" &amp; VLOOKUP('Unique Generator Objects'!A14,'Generator-Storage Assignment'!$A$2:$K$200,6,FALSE))&amp; IF(VLOOKUP('Unique Generator Objects'!A14,'Generator-Storage Assignment'!$A$2:$K$200,7,FALSE)="","",";" &amp; VLOOKUP('Unique Generator Objects'!A14,'Generator-Storage Assignment'!$A$2:$K$200,7,FALSE))&amp; IF(VLOOKUP('Unique Generator Objects'!A14,'Generator-Storage Assignment'!$A$2:$K$200,8,FALSE)="","",";" &amp; VLOOKUP('Unique Generator Objects'!A14,'Generator-Storage Assignment'!$A$2:$K$200,8,FALSE))&amp; IF(VLOOKUP('Unique Generator Objects'!A14,'Generator-Storage Assignment'!$A$2:$K$200,9,FALSE)="","",";" &amp; VLOOKUP('Unique Generator Objects'!A14,'Generator-Storage Assignment'!$A$2:$K$200,9,FALSE))</f>
        <v>Lago Delio</v>
      </c>
      <c r="H14" s="96" t="str">
        <f ca="1">VLOOKUP('Unique Generator Objects'!A14,'Generator-Storage Assignment'!$A$2:$L$200,12,FALSE)</f>
        <v>Lago Maggiore</v>
      </c>
      <c r="J14" s="96">
        <f>VLOOKUP(A14,Generators!$A:$O,14,FALSE)</f>
        <v>46.069443999999997</v>
      </c>
      <c r="K14" s="96">
        <f>VLOOKUP(A14,Generators!$A:$O,15,FALSE)</f>
        <v>8.7319440000000004</v>
      </c>
      <c r="M14" s="97"/>
      <c r="N14" s="96" t="str">
        <f t="shared" ca="1" si="1"/>
        <v>False</v>
      </c>
    </row>
    <row r="15" spans="1:14" x14ac:dyDescent="0.35">
      <c r="A15" s="191" t="s">
        <v>515</v>
      </c>
      <c r="B15" s="97" t="str">
        <f>VLOOKUP(A15,Generators!$A$2:$AZ$1016,MATCH('Unique Generator Objects'!$B$1,Generators!$A$1:$AZ$1,0),FALSE)</f>
        <v>hydro-PHS</v>
      </c>
      <c r="C15" s="97" t="str">
        <f t="shared" si="0"/>
        <v>Edolo</v>
      </c>
      <c r="D15" s="97" t="s">
        <v>2887</v>
      </c>
      <c r="E15" s="96" t="str">
        <f>VLOOKUP(A15,Generators!$A$2:$BC$122,MATCH(Generators!$I$1,Generators!$A$1:$BC$1,0),FALSE)</f>
        <v>IT</v>
      </c>
      <c r="G15" s="96" t="str">
        <f ca="1">VLOOKUP('Unique Generator Objects'!A15,'Generator-Storage Assignment'!$A$2:$K$200,2,FALSE) &amp; IF(VLOOKUP('Unique Generator Objects'!A15,'Generator-Storage Assignment'!$A$2:$K$200,3,FALSE)="","",";" &amp; VLOOKUP('Unique Generator Objects'!A15,'Generator-Storage Assignment'!$A$2:$K$200,3,FALSE))&amp; IF(VLOOKUP('Unique Generator Objects'!A15,'Generator-Storage Assignment'!$A$2:$K$200,4,FALSE)="","",";" &amp; VLOOKUP('Unique Generator Objects'!A15,'Generator-Storage Assignment'!$A$2:$K$200,4,FALSE))&amp; IF(VLOOKUP('Unique Generator Objects'!A15,'Generator-Storage Assignment'!$A$2:$K$200,5,FALSE)="","",";" &amp; VLOOKUP('Unique Generator Objects'!A15,'Generator-Storage Assignment'!$A$2:$K$200,5,FALSE))&amp; IF(VLOOKUP('Unique Generator Objects'!A15,'Generator-Storage Assignment'!$A$2:$K$200,6,FALSE)="","",";" &amp; VLOOKUP('Unique Generator Objects'!A15,'Generator-Storage Assignment'!$A$2:$K$200,6,FALSE))&amp; IF(VLOOKUP('Unique Generator Objects'!A15,'Generator-Storage Assignment'!$A$2:$K$200,7,FALSE)="","",";" &amp; VLOOKUP('Unique Generator Objects'!A15,'Generator-Storage Assignment'!$A$2:$K$200,7,FALSE))&amp; IF(VLOOKUP('Unique Generator Objects'!A15,'Generator-Storage Assignment'!$A$2:$K$200,8,FALSE)="","",";" &amp; VLOOKUP('Unique Generator Objects'!A15,'Generator-Storage Assignment'!$A$2:$K$200,8,FALSE))&amp; IF(VLOOKUP('Unique Generator Objects'!A15,'Generator-Storage Assignment'!$A$2:$K$200,9,FALSE)="","",";" &amp; VLOOKUP('Unique Generator Objects'!A15,'Generator-Storage Assignment'!$A$2:$K$200,9,FALSE))</f>
        <v>Avio, Benedetto</v>
      </c>
      <c r="H15" s="96" t="str">
        <f ca="1">VLOOKUP('Unique Generator Objects'!A15,'Generator-Storage Assignment'!$A$2:$L$200,12,FALSE)</f>
        <v>Lago Edolo</v>
      </c>
      <c r="J15" s="96">
        <f>VLOOKUP(A15,Generators!$A:$O,14,FALSE)</f>
        <v>46.170833000000002</v>
      </c>
      <c r="K15" s="96">
        <f>VLOOKUP(A15,Generators!$A:$O,15,FALSE)</f>
        <v>10.347778</v>
      </c>
      <c r="M15" s="99"/>
      <c r="N15" s="96" t="str">
        <f t="shared" ca="1" si="1"/>
        <v>False</v>
      </c>
    </row>
    <row r="16" spans="1:14" x14ac:dyDescent="0.35">
      <c r="A16" s="193" t="s">
        <v>2192</v>
      </c>
      <c r="B16" s="97" t="str">
        <f>VLOOKUP(A16,Generators!$A$2:$AZ$1016,MATCH('Unique Generator Objects'!$B$1,Generators!$A$1:$AZ$1,0),FALSE)</f>
        <v>hydro-PHS</v>
      </c>
      <c r="C16" s="97" t="str">
        <f t="shared" si="0"/>
        <v>Domenico Cimarosa (Presenzano)</v>
      </c>
      <c r="D16" s="97" t="s">
        <v>2887</v>
      </c>
      <c r="E16" s="96" t="str">
        <f>VLOOKUP(A16,Generators!$A$2:$BC$122,MATCH(Generators!$I$1,Generators!$A$1:$BC$1,0),FALSE)</f>
        <v>IT</v>
      </c>
      <c r="G16" s="96" t="str">
        <f ca="1">VLOOKUP('Unique Generator Objects'!A16,'Generator-Storage Assignment'!$A$2:$K$200,2,FALSE) &amp; IF(VLOOKUP('Unique Generator Objects'!A16,'Generator-Storage Assignment'!$A$2:$K$200,3,FALSE)="","",";" &amp; VLOOKUP('Unique Generator Objects'!A16,'Generator-Storage Assignment'!$A$2:$K$200,3,FALSE))&amp; IF(VLOOKUP('Unique Generator Objects'!A16,'Generator-Storage Assignment'!$A$2:$K$200,4,FALSE)="","",";" &amp; VLOOKUP('Unique Generator Objects'!A16,'Generator-Storage Assignment'!$A$2:$K$200,4,FALSE))&amp; IF(VLOOKUP('Unique Generator Objects'!A16,'Generator-Storage Assignment'!$A$2:$K$200,5,FALSE)="","",";" &amp; VLOOKUP('Unique Generator Objects'!A16,'Generator-Storage Assignment'!$A$2:$K$200,5,FALSE))&amp; IF(VLOOKUP('Unique Generator Objects'!A16,'Generator-Storage Assignment'!$A$2:$K$200,6,FALSE)="","",";" &amp; VLOOKUP('Unique Generator Objects'!A16,'Generator-Storage Assignment'!$A$2:$K$200,6,FALSE))&amp; IF(VLOOKUP('Unique Generator Objects'!A16,'Generator-Storage Assignment'!$A$2:$K$200,7,FALSE)="","",";" &amp; VLOOKUP('Unique Generator Objects'!A16,'Generator-Storage Assignment'!$A$2:$K$200,7,FALSE))&amp; IF(VLOOKUP('Unique Generator Objects'!A16,'Generator-Storage Assignment'!$A$2:$K$200,8,FALSE)="","",";" &amp; VLOOKUP('Unique Generator Objects'!A16,'Generator-Storage Assignment'!$A$2:$K$200,8,FALSE))&amp; IF(VLOOKUP('Unique Generator Objects'!A16,'Generator-Storage Assignment'!$A$2:$K$200,9,FALSE)="","",";" &amp; VLOOKUP('Unique Generator Objects'!A16,'Generator-Storage Assignment'!$A$2:$K$200,9,FALSE))</f>
        <v>Cesima</v>
      </c>
      <c r="H16" s="96" t="str">
        <f ca="1">VLOOKUP('Unique Generator Objects'!A16,'Generator-Storage Assignment'!$A$2:$L$200,12,FALSE)</f>
        <v>Presenzano Lower</v>
      </c>
      <c r="J16" s="96">
        <f>VLOOKUP(A16,Generators!$A:$O,14,FALSE)</f>
        <v>41.381388999999999</v>
      </c>
      <c r="K16" s="96">
        <f>VLOOKUP(A16,Generators!$A:$O,15,FALSE)</f>
        <v>14.090278</v>
      </c>
      <c r="M16" s="97"/>
      <c r="N16" s="96" t="str">
        <f t="shared" ca="1" si="1"/>
        <v>False</v>
      </c>
    </row>
    <row r="17" spans="1:14" x14ac:dyDescent="0.35">
      <c r="A17" s="191" t="s">
        <v>2610</v>
      </c>
      <c r="B17" s="97" t="str">
        <f>VLOOKUP(A17,Generators!$A$2:$AZ$1016,MATCH('Unique Generator Objects'!$B$1,Generators!$A$1:$AZ$1,0),FALSE)</f>
        <v>hydro-PHS</v>
      </c>
      <c r="C17" s="97" t="str">
        <f t="shared" si="0"/>
        <v>Wehr (Hornbergstufe)</v>
      </c>
      <c r="D17" s="97" t="s">
        <v>2887</v>
      </c>
      <c r="E17" s="96" t="str">
        <f>VLOOKUP(A17,Generators!$A$2:$BC$122,MATCH(Generators!$I$1,Generators!$A$1:$BC$1,0),FALSE)</f>
        <v>DE</v>
      </c>
      <c r="G17" s="96" t="str">
        <f ca="1">VLOOKUP('Unique Generator Objects'!A17,'Generator-Storage Assignment'!$A$2:$K$200,2,FALSE) &amp; IF(VLOOKUP('Unique Generator Objects'!A17,'Generator-Storage Assignment'!$A$2:$K$200,3,FALSE)="","",";" &amp; VLOOKUP('Unique Generator Objects'!A17,'Generator-Storage Assignment'!$A$2:$K$200,3,FALSE))&amp; IF(VLOOKUP('Unique Generator Objects'!A17,'Generator-Storage Assignment'!$A$2:$K$200,4,FALSE)="","",";" &amp; VLOOKUP('Unique Generator Objects'!A17,'Generator-Storage Assignment'!$A$2:$K$200,4,FALSE))&amp; IF(VLOOKUP('Unique Generator Objects'!A17,'Generator-Storage Assignment'!$A$2:$K$200,5,FALSE)="","",";" &amp; VLOOKUP('Unique Generator Objects'!A17,'Generator-Storage Assignment'!$A$2:$K$200,5,FALSE))&amp; IF(VLOOKUP('Unique Generator Objects'!A17,'Generator-Storage Assignment'!$A$2:$K$200,6,FALSE)="","",";" &amp; VLOOKUP('Unique Generator Objects'!A17,'Generator-Storage Assignment'!$A$2:$K$200,6,FALSE))&amp; IF(VLOOKUP('Unique Generator Objects'!A17,'Generator-Storage Assignment'!$A$2:$K$200,7,FALSE)="","",";" &amp; VLOOKUP('Unique Generator Objects'!A17,'Generator-Storage Assignment'!$A$2:$K$200,7,FALSE))&amp; IF(VLOOKUP('Unique Generator Objects'!A17,'Generator-Storage Assignment'!$A$2:$K$200,8,FALSE)="","",";" &amp; VLOOKUP('Unique Generator Objects'!A17,'Generator-Storage Assignment'!$A$2:$K$200,8,FALSE))&amp; IF(VLOOKUP('Unique Generator Objects'!A17,'Generator-Storage Assignment'!$A$2:$K$200,9,FALSE)="","",";" &amp; VLOOKUP('Unique Generator Objects'!A17,'Generator-Storage Assignment'!$A$2:$K$200,9,FALSE))</f>
        <v>Hornbergbecken</v>
      </c>
      <c r="H17" s="96" t="str">
        <f ca="1">VLOOKUP('Unique Generator Objects'!A17,'Generator-Storage Assignment'!$A$2:$L$200,12,FALSE)</f>
        <v>Wehrabecken</v>
      </c>
      <c r="J17" s="96">
        <f>VLOOKUP(A17,Generators!$A:$O,14,FALSE)</f>
        <v>47.652566</v>
      </c>
      <c r="K17" s="96">
        <f>VLOOKUP(A17,Generators!$A:$O,15,FALSE)</f>
        <v>7.9257770000000001</v>
      </c>
      <c r="M17" s="97"/>
      <c r="N17" s="96" t="str">
        <f t="shared" ca="1" si="1"/>
        <v>False</v>
      </c>
    </row>
    <row r="18" spans="1:14" x14ac:dyDescent="0.35">
      <c r="A18" s="191" t="s">
        <v>2206</v>
      </c>
      <c r="B18" s="97" t="str">
        <f>VLOOKUP(A18,Generators!$A$2:$AZ$1016,MATCH('Unique Generator Objects'!$B$1,Generators!$A$1:$AZ$1,0),FALSE)</f>
        <v>hydro-STO</v>
      </c>
      <c r="C18" s="97" t="str">
        <f t="shared" si="0"/>
        <v>Harspranget</v>
      </c>
      <c r="D18" s="97" t="s">
        <v>2887</v>
      </c>
      <c r="E18" s="96" t="str">
        <f>VLOOKUP(A18,Generators!$A$2:$BC$122,MATCH(Generators!$I$1,Generators!$A$1:$BC$1,0),FALSE)</f>
        <v>SE</v>
      </c>
      <c r="G18" s="96" t="str">
        <f ca="1">VLOOKUP('Unique Generator Objects'!A18,'Generator-Storage Assignment'!$A$2:$K$200,2,FALSE) &amp; IF(VLOOKUP('Unique Generator Objects'!A18,'Generator-Storage Assignment'!$A$2:$K$200,3,FALSE)="","",";" &amp; VLOOKUP('Unique Generator Objects'!A18,'Generator-Storage Assignment'!$A$2:$K$200,3,FALSE))&amp; IF(VLOOKUP('Unique Generator Objects'!A18,'Generator-Storage Assignment'!$A$2:$K$200,4,FALSE)="","",";" &amp; VLOOKUP('Unique Generator Objects'!A18,'Generator-Storage Assignment'!$A$2:$K$200,4,FALSE))&amp; IF(VLOOKUP('Unique Generator Objects'!A18,'Generator-Storage Assignment'!$A$2:$K$200,5,FALSE)="","",";" &amp; VLOOKUP('Unique Generator Objects'!A18,'Generator-Storage Assignment'!$A$2:$K$200,5,FALSE))&amp; IF(VLOOKUP('Unique Generator Objects'!A18,'Generator-Storage Assignment'!$A$2:$K$200,6,FALSE)="","",";" &amp; VLOOKUP('Unique Generator Objects'!A18,'Generator-Storage Assignment'!$A$2:$K$200,6,FALSE))&amp; IF(VLOOKUP('Unique Generator Objects'!A18,'Generator-Storage Assignment'!$A$2:$K$200,7,FALSE)="","",";" &amp; VLOOKUP('Unique Generator Objects'!A18,'Generator-Storage Assignment'!$A$2:$K$200,7,FALSE))&amp; IF(VLOOKUP('Unique Generator Objects'!A18,'Generator-Storage Assignment'!$A$2:$K$200,8,FALSE)="","",";" &amp; VLOOKUP('Unique Generator Objects'!A18,'Generator-Storage Assignment'!$A$2:$K$200,8,FALSE))&amp; IF(VLOOKUP('Unique Generator Objects'!A18,'Generator-Storage Assignment'!$A$2:$K$200,9,FALSE)="","",";" &amp; VLOOKUP('Unique Generator Objects'!A18,'Generator-Storage Assignment'!$A$2:$K$200,9,FALSE))</f>
        <v>Harspranget</v>
      </c>
      <c r="H18" s="96" t="str">
        <f ca="1">VLOOKUP('Unique Generator Objects'!A18,'Generator-Storage Assignment'!$A$2:$L$200,12,FALSE)</f>
        <v>Lule</v>
      </c>
      <c r="J18" s="96">
        <f>VLOOKUP(A18,Generators!$A:$O,14,FALSE)</f>
        <v>66.885000000000005</v>
      </c>
      <c r="K18" s="96">
        <f>VLOOKUP(A18,Generators!$A:$O,15,FALSE)</f>
        <v>19.814800000000002</v>
      </c>
      <c r="M18" s="97"/>
      <c r="N18" s="96" t="str">
        <f t="shared" ca="1" si="1"/>
        <v>False</v>
      </c>
    </row>
    <row r="19" spans="1:14" x14ac:dyDescent="0.35">
      <c r="A19" s="191" t="s">
        <v>2854</v>
      </c>
      <c r="B19" s="97" t="str">
        <f>VLOOKUP(A19,Generators!$A$2:$AZ$1016,MATCH('Unique Generator Objects'!$B$1,Generators!$A$1:$AZ$1,0),FALSE)</f>
        <v>hydro-STO</v>
      </c>
      <c r="C19" s="97" t="str">
        <f t="shared" si="0"/>
        <v>Tonstad (Sira-Kvina)</v>
      </c>
      <c r="D19" s="97" t="s">
        <v>2887</v>
      </c>
      <c r="E19" s="96" t="str">
        <f>VLOOKUP(A19,Generators!$A$2:$BC$122,MATCH(Generators!$I$1,Generators!$A$1:$BC$1,0),FALSE)</f>
        <v>NO</v>
      </c>
      <c r="G19" s="96" t="str">
        <f ca="1">VLOOKUP('Unique Generator Objects'!A19,'Generator-Storage Assignment'!$A$2:$K$200,2,FALSE) &amp; IF(VLOOKUP('Unique Generator Objects'!A19,'Generator-Storage Assignment'!$A$2:$K$200,3,FALSE)="","",";" &amp; VLOOKUP('Unique Generator Objects'!A19,'Generator-Storage Assignment'!$A$2:$K$200,3,FALSE))&amp; IF(VLOOKUP('Unique Generator Objects'!A19,'Generator-Storage Assignment'!$A$2:$K$200,4,FALSE)="","",";" &amp; VLOOKUP('Unique Generator Objects'!A19,'Generator-Storage Assignment'!$A$2:$K$200,4,FALSE))&amp; IF(VLOOKUP('Unique Generator Objects'!A19,'Generator-Storage Assignment'!$A$2:$K$200,5,FALSE)="","",";" &amp; VLOOKUP('Unique Generator Objects'!A19,'Generator-Storage Assignment'!$A$2:$K$200,5,FALSE))&amp; IF(VLOOKUP('Unique Generator Objects'!A19,'Generator-Storage Assignment'!$A$2:$K$200,6,FALSE)="","",";" &amp; VLOOKUP('Unique Generator Objects'!A19,'Generator-Storage Assignment'!$A$2:$K$200,6,FALSE))&amp; IF(VLOOKUP('Unique Generator Objects'!A19,'Generator-Storage Assignment'!$A$2:$K$200,7,FALSE)="","",";" &amp; VLOOKUP('Unique Generator Objects'!A19,'Generator-Storage Assignment'!$A$2:$K$200,7,FALSE))&amp; IF(VLOOKUP('Unique Generator Objects'!A19,'Generator-Storage Assignment'!$A$2:$K$200,8,FALSE)="","",";" &amp; VLOOKUP('Unique Generator Objects'!A19,'Generator-Storage Assignment'!$A$2:$K$200,8,FALSE))&amp; IF(VLOOKUP('Unique Generator Objects'!A19,'Generator-Storage Assignment'!$A$2:$K$200,9,FALSE)="","",";" &amp; VLOOKUP('Unique Generator Objects'!A19,'Generator-Storage Assignment'!$A$2:$K$200,9,FALSE))</f>
        <v>Homstolvatnet</v>
      </c>
      <c r="H19" s="96" t="str">
        <f ca="1">VLOOKUP('Unique Generator Objects'!A19,'Generator-Storage Assignment'!$A$2:$L$200,12,FALSE)</f>
        <v>Kvina</v>
      </c>
      <c r="J19" s="96">
        <f>VLOOKUP(A19,Generators!$A:$O,14,FALSE)</f>
        <v>58.659166999999997</v>
      </c>
      <c r="K19" s="96">
        <f>VLOOKUP(A19,Generators!$A:$O,15,FALSE)</f>
        <v>6.7169439999999998</v>
      </c>
      <c r="M19" s="97"/>
      <c r="N19" s="96" t="str">
        <f t="shared" ca="1" si="1"/>
        <v>False</v>
      </c>
    </row>
    <row r="20" spans="1:14" x14ac:dyDescent="0.35">
      <c r="A20" s="192" t="s">
        <v>2774</v>
      </c>
      <c r="B20" s="97" t="str">
        <f>VLOOKUP(A20,Generators!$A$2:$AZ$1016,MATCH('Unique Generator Objects'!$B$1,Generators!$A$1:$AZ$1,0),FALSE)</f>
        <v>hydro-STO</v>
      </c>
      <c r="C20" s="97" t="str">
        <f t="shared" si="0"/>
        <v>Oriol (Alcantara II)</v>
      </c>
      <c r="D20" s="97" t="s">
        <v>2887</v>
      </c>
      <c r="E20" s="96" t="str">
        <f>VLOOKUP(A20,Generators!$A$2:$BC$122,MATCH(Generators!$I$1,Generators!$A$1:$BC$1,0),FALSE)</f>
        <v>ES</v>
      </c>
      <c r="G20" s="96" t="str">
        <f ca="1">VLOOKUP('Unique Generator Objects'!A20,'Generator-Storage Assignment'!$A$2:$K$200,2,FALSE) &amp; IF(VLOOKUP('Unique Generator Objects'!A20,'Generator-Storage Assignment'!$A$2:$K$200,3,FALSE)="","",";" &amp; VLOOKUP('Unique Generator Objects'!A20,'Generator-Storage Assignment'!$A$2:$K$200,3,FALSE))&amp; IF(VLOOKUP('Unique Generator Objects'!A20,'Generator-Storage Assignment'!$A$2:$K$200,4,FALSE)="","",";" &amp; VLOOKUP('Unique Generator Objects'!A20,'Generator-Storage Assignment'!$A$2:$K$200,4,FALSE))&amp; IF(VLOOKUP('Unique Generator Objects'!A20,'Generator-Storage Assignment'!$A$2:$K$200,5,FALSE)="","",";" &amp; VLOOKUP('Unique Generator Objects'!A20,'Generator-Storage Assignment'!$A$2:$K$200,5,FALSE))&amp; IF(VLOOKUP('Unique Generator Objects'!A20,'Generator-Storage Assignment'!$A$2:$K$200,6,FALSE)="","",";" &amp; VLOOKUP('Unique Generator Objects'!A20,'Generator-Storage Assignment'!$A$2:$K$200,6,FALSE))&amp; IF(VLOOKUP('Unique Generator Objects'!A20,'Generator-Storage Assignment'!$A$2:$K$200,7,FALSE)="","",";" &amp; VLOOKUP('Unique Generator Objects'!A20,'Generator-Storage Assignment'!$A$2:$K$200,7,FALSE))&amp; IF(VLOOKUP('Unique Generator Objects'!A20,'Generator-Storage Assignment'!$A$2:$K$200,8,FALSE)="","",";" &amp; VLOOKUP('Unique Generator Objects'!A20,'Generator-Storage Assignment'!$A$2:$K$200,8,FALSE))&amp; IF(VLOOKUP('Unique Generator Objects'!A20,'Generator-Storage Assignment'!$A$2:$K$200,9,FALSE)="","",";" &amp; VLOOKUP('Unique Generator Objects'!A20,'Generator-Storage Assignment'!$A$2:$K$200,9,FALSE))</f>
        <v>Alcantara</v>
      </c>
      <c r="H20" s="96" t="str">
        <f ca="1">VLOOKUP('Unique Generator Objects'!A20,'Generator-Storage Assignment'!$A$2:$L$200,12,FALSE)</f>
        <v>Tagus</v>
      </c>
      <c r="J20" s="96">
        <f>VLOOKUP(A20,Generators!$A:$O,14,FALSE)</f>
        <v>39.729999999999997</v>
      </c>
      <c r="K20" s="96">
        <f>VLOOKUP(A20,Generators!$A:$O,15,FALSE)</f>
        <v>-6.8847199999999997</v>
      </c>
      <c r="M20" s="97"/>
      <c r="N20" s="96" t="str">
        <f t="shared" ca="1" si="1"/>
        <v>False</v>
      </c>
    </row>
    <row r="21" spans="1:14" x14ac:dyDescent="0.35">
      <c r="A21" s="191" t="s">
        <v>2473</v>
      </c>
      <c r="B21" s="97" t="str">
        <f>VLOOKUP(A21,Generators!$A$2:$AZ$1016,MATCH('Unique Generator Objects'!$B$1,Generators!$A$1:$AZ$1,0),FALSE)</f>
        <v>hydro-PHS</v>
      </c>
      <c r="C21" s="97" t="str">
        <f t="shared" si="0"/>
        <v>Montezic</v>
      </c>
      <c r="D21" s="97" t="s">
        <v>2887</v>
      </c>
      <c r="E21" s="96" t="str">
        <f>VLOOKUP(A21,Generators!$A$2:$BC$122,MATCH(Generators!$I$1,Generators!$A$1:$BC$1,0),FALSE)</f>
        <v>FR</v>
      </c>
      <c r="G21" s="96" t="str">
        <f ca="1">VLOOKUP('Unique Generator Objects'!A21,'Generator-Storage Assignment'!$A$2:$K$200,2,FALSE) &amp; IF(VLOOKUP('Unique Generator Objects'!A21,'Generator-Storage Assignment'!$A$2:$K$200,3,FALSE)="","",";" &amp; VLOOKUP('Unique Generator Objects'!A21,'Generator-Storage Assignment'!$A$2:$K$200,3,FALSE))&amp; IF(VLOOKUP('Unique Generator Objects'!A21,'Generator-Storage Assignment'!$A$2:$K$200,4,FALSE)="","",";" &amp; VLOOKUP('Unique Generator Objects'!A21,'Generator-Storage Assignment'!$A$2:$K$200,4,FALSE))&amp; IF(VLOOKUP('Unique Generator Objects'!A21,'Generator-Storage Assignment'!$A$2:$K$200,5,FALSE)="","",";" &amp; VLOOKUP('Unique Generator Objects'!A21,'Generator-Storage Assignment'!$A$2:$K$200,5,FALSE))&amp; IF(VLOOKUP('Unique Generator Objects'!A21,'Generator-Storage Assignment'!$A$2:$K$200,6,FALSE)="","",";" &amp; VLOOKUP('Unique Generator Objects'!A21,'Generator-Storage Assignment'!$A$2:$K$200,6,FALSE))&amp; IF(VLOOKUP('Unique Generator Objects'!A21,'Generator-Storage Assignment'!$A$2:$K$200,7,FALSE)="","",";" &amp; VLOOKUP('Unique Generator Objects'!A21,'Generator-Storage Assignment'!$A$2:$K$200,7,FALSE))&amp; IF(VLOOKUP('Unique Generator Objects'!A21,'Generator-Storage Assignment'!$A$2:$K$200,8,FALSE)="","",";" &amp; VLOOKUP('Unique Generator Objects'!A21,'Generator-Storage Assignment'!$A$2:$K$200,8,FALSE))&amp; IF(VLOOKUP('Unique Generator Objects'!A21,'Generator-Storage Assignment'!$A$2:$K$200,9,FALSE)="","",";" &amp; VLOOKUP('Unique Generator Objects'!A21,'Generator-Storage Assignment'!$A$2:$K$200,9,FALSE))</f>
        <v>Monnes_l'Etang</v>
      </c>
      <c r="H21" s="96" t="str">
        <f ca="1">VLOOKUP('Unique Generator Objects'!A21,'Generator-Storage Assignment'!$A$2:$L$200,12,FALSE)</f>
        <v>Couesques</v>
      </c>
      <c r="J21" s="96">
        <f>VLOOKUP(A21,Generators!$A:$O,14,FALSE)</f>
        <v>44.7258</v>
      </c>
      <c r="K21" s="96">
        <f>VLOOKUP(A21,Generators!$A:$O,15,FALSE)</f>
        <v>2.6488670000000001</v>
      </c>
      <c r="M21" s="97"/>
      <c r="N21" s="96" t="str">
        <f t="shared" ca="1" si="1"/>
        <v>False</v>
      </c>
    </row>
    <row r="22" spans="1:14" x14ac:dyDescent="0.35">
      <c r="A22" s="193" t="s">
        <v>1393</v>
      </c>
      <c r="B22" s="97" t="str">
        <f>VLOOKUP(A22,Generators!$A$2:$AZ$1016,MATCH('Unique Generator Objects'!$B$1,Generators!$A$1:$AZ$1,0),FALSE)</f>
        <v>hydro-PHS</v>
      </c>
      <c r="C22" s="97" t="str">
        <f t="shared" si="0"/>
        <v>Kruonis Pumped Storage Plant</v>
      </c>
      <c r="D22" s="97" t="s">
        <v>2887</v>
      </c>
      <c r="E22" s="96" t="str">
        <f>VLOOKUP(A22,Generators!$A$2:$BC$122,MATCH(Generators!$I$1,Generators!$A$1:$BC$1,0),FALSE)</f>
        <v>LT</v>
      </c>
      <c r="G22" s="96" t="str">
        <f ca="1">VLOOKUP('Unique Generator Objects'!A22,'Generator-Storage Assignment'!$A$2:$K$200,2,FALSE) &amp; IF(VLOOKUP('Unique Generator Objects'!A22,'Generator-Storage Assignment'!$A$2:$K$200,3,FALSE)="","",";" &amp; VLOOKUP('Unique Generator Objects'!A22,'Generator-Storage Assignment'!$A$2:$K$200,3,FALSE))&amp; IF(VLOOKUP('Unique Generator Objects'!A22,'Generator-Storage Assignment'!$A$2:$K$200,4,FALSE)="","",";" &amp; VLOOKUP('Unique Generator Objects'!A22,'Generator-Storage Assignment'!$A$2:$K$200,4,FALSE))&amp; IF(VLOOKUP('Unique Generator Objects'!A22,'Generator-Storage Assignment'!$A$2:$K$200,5,FALSE)="","",";" &amp; VLOOKUP('Unique Generator Objects'!A22,'Generator-Storage Assignment'!$A$2:$K$200,5,FALSE))&amp; IF(VLOOKUP('Unique Generator Objects'!A22,'Generator-Storage Assignment'!$A$2:$K$200,6,FALSE)="","",";" &amp; VLOOKUP('Unique Generator Objects'!A22,'Generator-Storage Assignment'!$A$2:$K$200,6,FALSE))&amp; IF(VLOOKUP('Unique Generator Objects'!A22,'Generator-Storage Assignment'!$A$2:$K$200,7,FALSE)="","",";" &amp; VLOOKUP('Unique Generator Objects'!A22,'Generator-Storage Assignment'!$A$2:$K$200,7,FALSE))&amp; IF(VLOOKUP('Unique Generator Objects'!A22,'Generator-Storage Assignment'!$A$2:$K$200,8,FALSE)="","",";" &amp; VLOOKUP('Unique Generator Objects'!A22,'Generator-Storage Assignment'!$A$2:$K$200,8,FALSE))&amp; IF(VLOOKUP('Unique Generator Objects'!A22,'Generator-Storage Assignment'!$A$2:$K$200,9,FALSE)="","",";" &amp; VLOOKUP('Unique Generator Objects'!A22,'Generator-Storage Assignment'!$A$2:$K$200,9,FALSE))</f>
        <v>Kruonis upper</v>
      </c>
      <c r="H22" s="96" t="str">
        <f ca="1">VLOOKUP('Unique Generator Objects'!A22,'Generator-Storage Assignment'!$A$2:$L$200,12,FALSE)</f>
        <v>Kaunas reservoir</v>
      </c>
      <c r="J22" s="96">
        <f>VLOOKUP(A22,Generators!$A:$O,14,FALSE)</f>
        <v>54.799076999999997</v>
      </c>
      <c r="K22" s="96">
        <f>VLOOKUP(A22,Generators!$A:$O,15,FALSE)</f>
        <v>24.247084000000001</v>
      </c>
      <c r="M22" s="97"/>
      <c r="N22" s="96" t="str">
        <f t="shared" ca="1" si="1"/>
        <v>False</v>
      </c>
    </row>
    <row r="23" spans="1:14" x14ac:dyDescent="0.35">
      <c r="A23" s="191" t="s">
        <v>2244</v>
      </c>
      <c r="B23" s="97" t="str">
        <f>VLOOKUP(A23,Generators!$A$2:$AZ$1016,MATCH('Unique Generator Objects'!$B$1,Generators!$A$1:$AZ$1,0),FALSE)</f>
        <v>hydro-ROR</v>
      </c>
      <c r="C23" s="97" t="str">
        <f t="shared" si="0"/>
        <v>Pļaviņas</v>
      </c>
      <c r="D23" s="97" t="s">
        <v>2887</v>
      </c>
      <c r="E23" s="96" t="str">
        <f>VLOOKUP(A23,Generators!$A$2:$BC$122,MATCH(Generators!$I$1,Generators!$A$1:$BC$1,0),FALSE)</f>
        <v>LV</v>
      </c>
      <c r="G23" s="96" t="str">
        <f ca="1">VLOOKUP('Unique Generator Objects'!A23,'Generator-Storage Assignment'!$A$2:$K$200,2,FALSE) &amp; IF(VLOOKUP('Unique Generator Objects'!A23,'Generator-Storage Assignment'!$A$2:$K$200,3,FALSE)="","",";" &amp; VLOOKUP('Unique Generator Objects'!A23,'Generator-Storage Assignment'!$A$2:$K$200,3,FALSE))&amp; IF(VLOOKUP('Unique Generator Objects'!A23,'Generator-Storage Assignment'!$A$2:$K$200,4,FALSE)="","",";" &amp; VLOOKUP('Unique Generator Objects'!A23,'Generator-Storage Assignment'!$A$2:$K$200,4,FALSE))&amp; IF(VLOOKUP('Unique Generator Objects'!A23,'Generator-Storage Assignment'!$A$2:$K$200,5,FALSE)="","",";" &amp; VLOOKUP('Unique Generator Objects'!A23,'Generator-Storage Assignment'!$A$2:$K$200,5,FALSE))&amp; IF(VLOOKUP('Unique Generator Objects'!A23,'Generator-Storage Assignment'!$A$2:$K$200,6,FALSE)="","",";" &amp; VLOOKUP('Unique Generator Objects'!A23,'Generator-Storage Assignment'!$A$2:$K$200,6,FALSE))&amp; IF(VLOOKUP('Unique Generator Objects'!A23,'Generator-Storage Assignment'!$A$2:$K$200,7,FALSE)="","",";" &amp; VLOOKUP('Unique Generator Objects'!A23,'Generator-Storage Assignment'!$A$2:$K$200,7,FALSE))&amp; IF(VLOOKUP('Unique Generator Objects'!A23,'Generator-Storage Assignment'!$A$2:$K$200,8,FALSE)="","",";" &amp; VLOOKUP('Unique Generator Objects'!A23,'Generator-Storage Assignment'!$A$2:$K$200,8,FALSE))&amp; IF(VLOOKUP('Unique Generator Objects'!A23,'Generator-Storage Assignment'!$A$2:$K$200,9,FALSE)="","",";" &amp; VLOOKUP('Unique Generator Objects'!A23,'Generator-Storage Assignment'!$A$2:$K$200,9,FALSE))</f>
        <v>Plavinas Reservoir</v>
      </c>
      <c r="H23" s="96" t="str">
        <f ca="1">VLOOKUP('Unique Generator Objects'!A23,'Generator-Storage Assignment'!$A$2:$L$200,12,FALSE)</f>
        <v>Daugava</v>
      </c>
      <c r="J23" s="96">
        <f>VLOOKUP(A23,Generators!$A:$O,14,FALSE)</f>
        <v>56.582202700000003</v>
      </c>
      <c r="K23" s="96">
        <f>VLOOKUP(A23,Generators!$A:$O,15,FALSE)</f>
        <v>25.237312299999999</v>
      </c>
      <c r="M23" s="97"/>
      <c r="N23" s="96" t="str">
        <f t="shared" ca="1" si="1"/>
        <v>False</v>
      </c>
    </row>
    <row r="24" spans="1:14" x14ac:dyDescent="0.35">
      <c r="A24" s="191" t="s">
        <v>45</v>
      </c>
      <c r="B24" s="97" t="str">
        <f>VLOOKUP(A24,Generators!$A$2:$AZ$1016,MATCH('Unique Generator Objects'!$B$1,Generators!$A$1:$AZ$1,0),FALSE)</f>
        <v>hydro-PHS</v>
      </c>
      <c r="C24" s="97" t="str">
        <f t="shared" si="0"/>
        <v>Chaira</v>
      </c>
      <c r="D24" s="97" t="s">
        <v>2887</v>
      </c>
      <c r="E24" s="96" t="str">
        <f>VLOOKUP(A24,Generators!$A$2:$BC$122,MATCH(Generators!$I$1,Generators!$A$1:$BC$1,0),FALSE)</f>
        <v>BG</v>
      </c>
      <c r="G24" s="96" t="str">
        <f ca="1">VLOOKUP('Unique Generator Objects'!A24,'Generator-Storage Assignment'!$A$2:$K$200,2,FALSE) &amp; IF(VLOOKUP('Unique Generator Objects'!A24,'Generator-Storage Assignment'!$A$2:$K$200,3,FALSE)="","",";" &amp; VLOOKUP('Unique Generator Objects'!A24,'Generator-Storage Assignment'!$A$2:$K$200,3,FALSE))&amp; IF(VLOOKUP('Unique Generator Objects'!A24,'Generator-Storage Assignment'!$A$2:$K$200,4,FALSE)="","",";" &amp; VLOOKUP('Unique Generator Objects'!A24,'Generator-Storage Assignment'!$A$2:$K$200,4,FALSE))&amp; IF(VLOOKUP('Unique Generator Objects'!A24,'Generator-Storage Assignment'!$A$2:$K$200,5,FALSE)="","",";" &amp; VLOOKUP('Unique Generator Objects'!A24,'Generator-Storage Assignment'!$A$2:$K$200,5,FALSE))&amp; IF(VLOOKUP('Unique Generator Objects'!A24,'Generator-Storage Assignment'!$A$2:$K$200,6,FALSE)="","",";" &amp; VLOOKUP('Unique Generator Objects'!A24,'Generator-Storage Assignment'!$A$2:$K$200,6,FALSE))&amp; IF(VLOOKUP('Unique Generator Objects'!A24,'Generator-Storage Assignment'!$A$2:$K$200,7,FALSE)="","",";" &amp; VLOOKUP('Unique Generator Objects'!A24,'Generator-Storage Assignment'!$A$2:$K$200,7,FALSE))&amp; IF(VLOOKUP('Unique Generator Objects'!A24,'Generator-Storage Assignment'!$A$2:$K$200,8,FALSE)="","",";" &amp; VLOOKUP('Unique Generator Objects'!A24,'Generator-Storage Assignment'!$A$2:$K$200,8,FALSE))&amp; IF(VLOOKUP('Unique Generator Objects'!A24,'Generator-Storage Assignment'!$A$2:$K$200,9,FALSE)="","",";" &amp; VLOOKUP('Unique Generator Objects'!A24,'Generator-Storage Assignment'!$A$2:$K$200,9,FALSE))</f>
        <v>Belmeken</v>
      </c>
      <c r="H24" s="96" t="str">
        <f ca="1">VLOOKUP('Unique Generator Objects'!A24,'Generator-Storage Assignment'!$A$2:$L$200,12,FALSE)</f>
        <v>Chaira</v>
      </c>
      <c r="J24" s="96">
        <f>VLOOKUP(A24,Generators!$A:$O,14,FALSE)</f>
        <v>42.158949999999997</v>
      </c>
      <c r="K24" s="96">
        <f>VLOOKUP(A24,Generators!$A:$O,15,FALSE)</f>
        <v>23.870844999999999</v>
      </c>
      <c r="M24" s="99"/>
      <c r="N24" s="96" t="str">
        <f t="shared" ca="1" si="1"/>
        <v>False</v>
      </c>
    </row>
    <row r="25" spans="1:14" x14ac:dyDescent="0.35">
      <c r="A25" s="192" t="s">
        <v>2482</v>
      </c>
      <c r="B25" s="97" t="str">
        <f>VLOOKUP(A25,Generators!$A$2:$AZ$1016,MATCH('Unique Generator Objects'!$B$1,Generators!$A$1:$AZ$1,0),FALSE)</f>
        <v>hydro-PHS</v>
      </c>
      <c r="C25" s="97" t="str">
        <f t="shared" si="0"/>
        <v>La Muela II</v>
      </c>
      <c r="D25" s="97" t="s">
        <v>2887</v>
      </c>
      <c r="E25" s="96" t="str">
        <f>VLOOKUP(A25,Generators!$A$2:$BC$122,MATCH(Generators!$I$1,Generators!$A$1:$BC$1,0),FALSE)</f>
        <v>ES</v>
      </c>
      <c r="G25" s="96" t="str">
        <f ca="1">VLOOKUP('Unique Generator Objects'!A25,'Generator-Storage Assignment'!$A$2:$K$200,2,FALSE) &amp; IF(VLOOKUP('Unique Generator Objects'!A25,'Generator-Storage Assignment'!$A$2:$K$200,3,FALSE)="","",";" &amp; VLOOKUP('Unique Generator Objects'!A25,'Generator-Storage Assignment'!$A$2:$K$200,3,FALSE))&amp; IF(VLOOKUP('Unique Generator Objects'!A25,'Generator-Storage Assignment'!$A$2:$K$200,4,FALSE)="","",";" &amp; VLOOKUP('Unique Generator Objects'!A25,'Generator-Storage Assignment'!$A$2:$K$200,4,FALSE))&amp; IF(VLOOKUP('Unique Generator Objects'!A25,'Generator-Storage Assignment'!$A$2:$K$200,5,FALSE)="","",";" &amp; VLOOKUP('Unique Generator Objects'!A25,'Generator-Storage Assignment'!$A$2:$K$200,5,FALSE))&amp; IF(VLOOKUP('Unique Generator Objects'!A25,'Generator-Storage Assignment'!$A$2:$K$200,6,FALSE)="","",";" &amp; VLOOKUP('Unique Generator Objects'!A25,'Generator-Storage Assignment'!$A$2:$K$200,6,FALSE))&amp; IF(VLOOKUP('Unique Generator Objects'!A25,'Generator-Storage Assignment'!$A$2:$K$200,7,FALSE)="","",";" &amp; VLOOKUP('Unique Generator Objects'!A25,'Generator-Storage Assignment'!$A$2:$K$200,7,FALSE))&amp; IF(VLOOKUP('Unique Generator Objects'!A25,'Generator-Storage Assignment'!$A$2:$K$200,8,FALSE)="","",";" &amp; VLOOKUP('Unique Generator Objects'!A25,'Generator-Storage Assignment'!$A$2:$K$200,8,FALSE))&amp; IF(VLOOKUP('Unique Generator Objects'!A25,'Generator-Storage Assignment'!$A$2:$K$200,9,FALSE)="","",";" &amp; VLOOKUP('Unique Generator Objects'!A25,'Generator-Storage Assignment'!$A$2:$K$200,9,FALSE))</f>
        <v>Muela upper reservoir</v>
      </c>
      <c r="H25" s="96" t="str">
        <f ca="1">VLOOKUP('Unique Generator Objects'!A25,'Generator-Storage Assignment'!$A$2:$L$200,12,FALSE)</f>
        <v>Cortes de Pallas</v>
      </c>
      <c r="J25" s="96">
        <f>VLOOKUP(A25,Generators!$A:$O,14,FALSE)</f>
        <v>39.260416999999997</v>
      </c>
      <c r="K25" s="96">
        <f>VLOOKUP(A25,Generators!$A:$O,15,FALSE)</f>
        <v>-0.91958300000000004</v>
      </c>
      <c r="M25" s="99"/>
      <c r="N25" s="96" t="str">
        <f t="shared" ca="1" si="1"/>
        <v>False</v>
      </c>
    </row>
    <row r="26" spans="1:14" x14ac:dyDescent="0.35">
      <c r="A26" s="192" t="s">
        <v>2133</v>
      </c>
      <c r="B26" s="97" t="str">
        <f>VLOOKUP(A26,Generators!$A$2:$AZ$1016,MATCH('Unique Generator Objects'!$B$1,Generators!$A$1:$AZ$1,0),FALSE)</f>
        <v>hydro-STO</v>
      </c>
      <c r="C26" s="97" t="str">
        <f t="shared" si="0"/>
        <v>Aurland I</v>
      </c>
      <c r="D26" s="97" t="s">
        <v>2887</v>
      </c>
      <c r="E26" s="96" t="str">
        <f>VLOOKUP(A26,Generators!$A$2:$BC$122,MATCH(Generators!$I$1,Generators!$A$1:$BC$1,0),FALSE)</f>
        <v>NO</v>
      </c>
      <c r="G26" s="96" t="str">
        <f ca="1">VLOOKUP('Unique Generator Objects'!A26,'Generator-Storage Assignment'!$A$2:$K$200,2,FALSE) &amp; IF(VLOOKUP('Unique Generator Objects'!A26,'Generator-Storage Assignment'!$A$2:$K$200,3,FALSE)="","",";" &amp; VLOOKUP('Unique Generator Objects'!A26,'Generator-Storage Assignment'!$A$2:$K$200,3,FALSE))&amp; IF(VLOOKUP('Unique Generator Objects'!A26,'Generator-Storage Assignment'!$A$2:$K$200,4,FALSE)="","",";" &amp; VLOOKUP('Unique Generator Objects'!A26,'Generator-Storage Assignment'!$A$2:$K$200,4,FALSE))&amp; IF(VLOOKUP('Unique Generator Objects'!A26,'Generator-Storage Assignment'!$A$2:$K$200,5,FALSE)="","",";" &amp; VLOOKUP('Unique Generator Objects'!A26,'Generator-Storage Assignment'!$A$2:$K$200,5,FALSE))&amp; IF(VLOOKUP('Unique Generator Objects'!A26,'Generator-Storage Assignment'!$A$2:$K$200,6,FALSE)="","",";" &amp; VLOOKUP('Unique Generator Objects'!A26,'Generator-Storage Assignment'!$A$2:$K$200,6,FALSE))&amp; IF(VLOOKUP('Unique Generator Objects'!A26,'Generator-Storage Assignment'!$A$2:$K$200,7,FALSE)="","",";" &amp; VLOOKUP('Unique Generator Objects'!A26,'Generator-Storage Assignment'!$A$2:$K$200,7,FALSE))&amp; IF(VLOOKUP('Unique Generator Objects'!A26,'Generator-Storage Assignment'!$A$2:$K$200,8,FALSE)="","",";" &amp; VLOOKUP('Unique Generator Objects'!A26,'Generator-Storage Assignment'!$A$2:$K$200,8,FALSE))&amp; IF(VLOOKUP('Unique Generator Objects'!A26,'Generator-Storage Assignment'!$A$2:$K$200,9,FALSE)="","",";" &amp; VLOOKUP('Unique Generator Objects'!A26,'Generator-Storage Assignment'!$A$2:$K$200,9,FALSE))</f>
        <v>Viddalsvatn</v>
      </c>
      <c r="H26" s="96" t="str">
        <f ca="1">VLOOKUP('Unique Generator Objects'!A26,'Generator-Storage Assignment'!$A$2:$L$200,12,FALSE)</f>
        <v>Vassbygdivatn</v>
      </c>
      <c r="J26" s="96">
        <f>VLOOKUP(A26,Generators!$A:$O,14,FALSE)</f>
        <v>60.861060000000002</v>
      </c>
      <c r="K26" s="96">
        <f>VLOOKUP(A26,Generators!$A:$O,15,FALSE)</f>
        <v>7.3044880000000001</v>
      </c>
      <c r="M26" s="97"/>
      <c r="N26" s="96" t="str">
        <f t="shared" ca="1" si="1"/>
        <v>False</v>
      </c>
    </row>
    <row r="27" spans="1:14" x14ac:dyDescent="0.35">
      <c r="A27" s="191" t="s">
        <v>2254</v>
      </c>
      <c r="B27" s="97" t="str">
        <f>VLOOKUP(A27,Generators!$A$2:$AZ$1016,MATCH('Unique Generator Objects'!$B$1,Generators!$A$1:$AZ$1,0),FALSE)</f>
        <v>hydro-PHS</v>
      </c>
      <c r="C27" s="97" t="str">
        <f t="shared" si="0"/>
        <v>Almendra (Villarino)</v>
      </c>
      <c r="D27" s="97" t="s">
        <v>2887</v>
      </c>
      <c r="E27" s="96" t="str">
        <f>VLOOKUP(A27,Generators!$A$2:$BC$122,MATCH(Generators!$I$1,Generators!$A$1:$BC$1,0),FALSE)</f>
        <v>ES</v>
      </c>
      <c r="G27" s="96" t="str">
        <f ca="1">VLOOKUP('Unique Generator Objects'!A27,'Generator-Storage Assignment'!$A$2:$K$200,2,FALSE) &amp; IF(VLOOKUP('Unique Generator Objects'!A27,'Generator-Storage Assignment'!$A$2:$K$200,3,FALSE)="","",";" &amp; VLOOKUP('Unique Generator Objects'!A27,'Generator-Storage Assignment'!$A$2:$K$200,3,FALSE))&amp; IF(VLOOKUP('Unique Generator Objects'!A27,'Generator-Storage Assignment'!$A$2:$K$200,4,FALSE)="","",";" &amp; VLOOKUP('Unique Generator Objects'!A27,'Generator-Storage Assignment'!$A$2:$K$200,4,FALSE))&amp; IF(VLOOKUP('Unique Generator Objects'!A27,'Generator-Storage Assignment'!$A$2:$K$200,5,FALSE)="","",";" &amp; VLOOKUP('Unique Generator Objects'!A27,'Generator-Storage Assignment'!$A$2:$K$200,5,FALSE))&amp; IF(VLOOKUP('Unique Generator Objects'!A27,'Generator-Storage Assignment'!$A$2:$K$200,6,FALSE)="","",";" &amp; VLOOKUP('Unique Generator Objects'!A27,'Generator-Storage Assignment'!$A$2:$K$200,6,FALSE))&amp; IF(VLOOKUP('Unique Generator Objects'!A27,'Generator-Storage Assignment'!$A$2:$K$200,7,FALSE)="","",";" &amp; VLOOKUP('Unique Generator Objects'!A27,'Generator-Storage Assignment'!$A$2:$K$200,7,FALSE))&amp; IF(VLOOKUP('Unique Generator Objects'!A27,'Generator-Storage Assignment'!$A$2:$K$200,8,FALSE)="","",";" &amp; VLOOKUP('Unique Generator Objects'!A27,'Generator-Storage Assignment'!$A$2:$K$200,8,FALSE))&amp; IF(VLOOKUP('Unique Generator Objects'!A27,'Generator-Storage Assignment'!$A$2:$K$200,9,FALSE)="","",";" &amp; VLOOKUP('Unique Generator Objects'!A27,'Generator-Storage Assignment'!$A$2:$K$200,9,FALSE))</f>
        <v>Almendra dam reservoir</v>
      </c>
      <c r="H27" s="96" t="str">
        <f ca="1">VLOOKUP('Unique Generator Objects'!A27,'Generator-Storage Assignment'!$A$2:$L$200,12,FALSE)</f>
        <v>Tormes</v>
      </c>
      <c r="J27" s="96">
        <f>VLOOKUP(A27,Generators!$A:$O,14,FALSE)</f>
        <v>41.270159999999997</v>
      </c>
      <c r="K27" s="96">
        <f>VLOOKUP(A27,Generators!$A:$O,15,FALSE)</f>
        <v>-6.3208000000000002</v>
      </c>
      <c r="M27" s="97"/>
      <c r="N27" s="96" t="str">
        <f t="shared" ca="1" si="1"/>
        <v>False</v>
      </c>
    </row>
    <row r="28" spans="1:14" x14ac:dyDescent="0.35">
      <c r="A28" s="191" t="s">
        <v>2474</v>
      </c>
      <c r="B28" s="97" t="str">
        <f>VLOOKUP(A28,Generators!$A$2:$AZ$1016,MATCH('Unique Generator Objects'!$B$1,Generators!$A$1:$AZ$1,0),FALSE)</f>
        <v>hydro-PHS</v>
      </c>
      <c r="C28" s="97" t="str">
        <f t="shared" si="0"/>
        <v>Super-Bissorte</v>
      </c>
      <c r="D28" s="97" t="s">
        <v>2887</v>
      </c>
      <c r="E28" s="96" t="str">
        <f>VLOOKUP(A28,Generators!$A$2:$BC$122,MATCH(Generators!$I$1,Generators!$A$1:$BC$1,0),FALSE)</f>
        <v>FR</v>
      </c>
      <c r="G28" s="96" t="str">
        <f ca="1">VLOOKUP('Unique Generator Objects'!A28,'Generator-Storage Assignment'!$A$2:$K$200,2,FALSE) &amp; IF(VLOOKUP('Unique Generator Objects'!A28,'Generator-Storage Assignment'!$A$2:$K$200,3,FALSE)="","",";" &amp; VLOOKUP('Unique Generator Objects'!A28,'Generator-Storage Assignment'!$A$2:$K$200,3,FALSE))&amp; IF(VLOOKUP('Unique Generator Objects'!A28,'Generator-Storage Assignment'!$A$2:$K$200,4,FALSE)="","",";" &amp; VLOOKUP('Unique Generator Objects'!A28,'Generator-Storage Assignment'!$A$2:$K$200,4,FALSE))&amp; IF(VLOOKUP('Unique Generator Objects'!A28,'Generator-Storage Assignment'!$A$2:$K$200,5,FALSE)="","",";" &amp; VLOOKUP('Unique Generator Objects'!A28,'Generator-Storage Assignment'!$A$2:$K$200,5,FALSE))&amp; IF(VLOOKUP('Unique Generator Objects'!A28,'Generator-Storage Assignment'!$A$2:$K$200,6,FALSE)="","",";" &amp; VLOOKUP('Unique Generator Objects'!A28,'Generator-Storage Assignment'!$A$2:$K$200,6,FALSE))&amp; IF(VLOOKUP('Unique Generator Objects'!A28,'Generator-Storage Assignment'!$A$2:$K$200,7,FALSE)="","",";" &amp; VLOOKUP('Unique Generator Objects'!A28,'Generator-Storage Assignment'!$A$2:$K$200,7,FALSE))&amp; IF(VLOOKUP('Unique Generator Objects'!A28,'Generator-Storage Assignment'!$A$2:$K$200,8,FALSE)="","",";" &amp; VLOOKUP('Unique Generator Objects'!A28,'Generator-Storage Assignment'!$A$2:$K$200,8,FALSE))&amp; IF(VLOOKUP('Unique Generator Objects'!A28,'Generator-Storage Assignment'!$A$2:$K$200,9,FALSE)="","",";" &amp; VLOOKUP('Unique Generator Objects'!A28,'Generator-Storage Assignment'!$A$2:$K$200,9,FALSE))</f>
        <v>Bissorte</v>
      </c>
      <c r="H28" s="96" t="str">
        <f ca="1">VLOOKUP('Unique Generator Objects'!A28,'Generator-Storage Assignment'!$A$2:$L$200,12,FALSE)</f>
        <v>Pont des Chevres</v>
      </c>
      <c r="J28" s="96">
        <f>VLOOKUP(A28,Generators!$A:$O,14,FALSE)</f>
        <v>45.201999999999998</v>
      </c>
      <c r="K28" s="96">
        <f>VLOOKUP(A28,Generators!$A:$O,15,FALSE)</f>
        <v>6.5759999999999996</v>
      </c>
      <c r="M28" s="97"/>
      <c r="N28" s="96" t="str">
        <f t="shared" ca="1" si="1"/>
        <v>False</v>
      </c>
    </row>
    <row r="29" spans="1:14" x14ac:dyDescent="0.35">
      <c r="A29" s="191" t="s">
        <v>2285</v>
      </c>
      <c r="B29" s="97" t="str">
        <f>VLOOKUP(A29,Generators!$A$2:$AZ$1016,MATCH('Unique Generator Objects'!$B$1,Generators!$A$1:$AZ$1,0),FALSE)</f>
        <v>hydro-PHS</v>
      </c>
      <c r="C29" s="97" t="str">
        <f t="shared" si="0"/>
        <v>Cierny Vah</v>
      </c>
      <c r="D29" s="97" t="s">
        <v>2887</v>
      </c>
      <c r="E29" s="96" t="str">
        <f>VLOOKUP(A29,Generators!$A$2:$BC$122,MATCH(Generators!$I$1,Generators!$A$1:$BC$1,0),FALSE)</f>
        <v>SK</v>
      </c>
      <c r="G29" s="96" t="str">
        <f ca="1">VLOOKUP('Unique Generator Objects'!A29,'Generator-Storage Assignment'!$A$2:$K$200,2,FALSE) &amp; IF(VLOOKUP('Unique Generator Objects'!A29,'Generator-Storage Assignment'!$A$2:$K$200,3,FALSE)="","",";" &amp; VLOOKUP('Unique Generator Objects'!A29,'Generator-Storage Assignment'!$A$2:$K$200,3,FALSE))&amp; IF(VLOOKUP('Unique Generator Objects'!A29,'Generator-Storage Assignment'!$A$2:$K$200,4,FALSE)="","",";" &amp; VLOOKUP('Unique Generator Objects'!A29,'Generator-Storage Assignment'!$A$2:$K$200,4,FALSE))&amp; IF(VLOOKUP('Unique Generator Objects'!A29,'Generator-Storage Assignment'!$A$2:$K$200,5,FALSE)="","",";" &amp; VLOOKUP('Unique Generator Objects'!A29,'Generator-Storage Assignment'!$A$2:$K$200,5,FALSE))&amp; IF(VLOOKUP('Unique Generator Objects'!A29,'Generator-Storage Assignment'!$A$2:$K$200,6,FALSE)="","",";" &amp; VLOOKUP('Unique Generator Objects'!A29,'Generator-Storage Assignment'!$A$2:$K$200,6,FALSE))&amp; IF(VLOOKUP('Unique Generator Objects'!A29,'Generator-Storage Assignment'!$A$2:$K$200,7,FALSE)="","",";" &amp; VLOOKUP('Unique Generator Objects'!A29,'Generator-Storage Assignment'!$A$2:$K$200,7,FALSE))&amp; IF(VLOOKUP('Unique Generator Objects'!A29,'Generator-Storage Assignment'!$A$2:$K$200,8,FALSE)="","",";" &amp; VLOOKUP('Unique Generator Objects'!A29,'Generator-Storage Assignment'!$A$2:$K$200,8,FALSE))&amp; IF(VLOOKUP('Unique Generator Objects'!A29,'Generator-Storage Assignment'!$A$2:$K$200,9,FALSE)="","",";" &amp; VLOOKUP('Unique Generator Objects'!A29,'Generator-Storage Assignment'!$A$2:$K$200,9,FALSE))</f>
        <v xml:space="preserve">Cierny Vah upper </v>
      </c>
      <c r="H29" s="96" t="str">
        <f ca="1">VLOOKUP('Unique Generator Objects'!A29,'Generator-Storage Assignment'!$A$2:$L$200,12,FALSE)</f>
        <v>Cierny Vah lower</v>
      </c>
      <c r="J29" s="96">
        <f>VLOOKUP(A29,Generators!$A:$O,14,FALSE)</f>
        <v>49.008789999999998</v>
      </c>
      <c r="K29" s="96">
        <f>VLOOKUP(A29,Generators!$A:$O,15,FALSE)</f>
        <v>19.912237000000001</v>
      </c>
      <c r="M29" s="97"/>
      <c r="N29" s="96" t="str">
        <f t="shared" ca="1" si="1"/>
        <v>False</v>
      </c>
    </row>
    <row r="30" spans="1:14" x14ac:dyDescent="0.35">
      <c r="A30" s="192" t="s">
        <v>27</v>
      </c>
      <c r="B30" s="97" t="str">
        <f>VLOOKUP(A30,Generators!$A$2:$AZ$1016,MATCH('Unique Generator Objects'!$B$1,Generators!$A$1:$AZ$1,0),FALSE)</f>
        <v>hydro-PHS</v>
      </c>
      <c r="C30" s="97" t="str">
        <f t="shared" si="0"/>
        <v>Galgenbichl</v>
      </c>
      <c r="D30" s="97" t="s">
        <v>2887</v>
      </c>
      <c r="E30" s="96" t="str">
        <f>VLOOKUP(A30,Generators!$A$2:$BC$122,MATCH(Generators!$I$1,Generators!$A$1:$BC$1,0),FALSE)</f>
        <v>AT</v>
      </c>
      <c r="G30" s="96" t="str">
        <f ca="1">VLOOKUP('Unique Generator Objects'!A30,'Generator-Storage Assignment'!$A$2:$K$200,2,FALSE) &amp; IF(VLOOKUP('Unique Generator Objects'!A30,'Generator-Storage Assignment'!$A$2:$K$200,3,FALSE)="","",";" &amp; VLOOKUP('Unique Generator Objects'!A30,'Generator-Storage Assignment'!$A$2:$K$200,3,FALSE))&amp; IF(VLOOKUP('Unique Generator Objects'!A30,'Generator-Storage Assignment'!$A$2:$K$200,4,FALSE)="","",";" &amp; VLOOKUP('Unique Generator Objects'!A30,'Generator-Storage Assignment'!$A$2:$K$200,4,FALSE))&amp; IF(VLOOKUP('Unique Generator Objects'!A30,'Generator-Storage Assignment'!$A$2:$K$200,5,FALSE)="","",";" &amp; VLOOKUP('Unique Generator Objects'!A30,'Generator-Storage Assignment'!$A$2:$K$200,5,FALSE))&amp; IF(VLOOKUP('Unique Generator Objects'!A30,'Generator-Storage Assignment'!$A$2:$K$200,6,FALSE)="","",";" &amp; VLOOKUP('Unique Generator Objects'!A30,'Generator-Storage Assignment'!$A$2:$K$200,6,FALSE))&amp; IF(VLOOKUP('Unique Generator Objects'!A30,'Generator-Storage Assignment'!$A$2:$K$200,7,FALSE)="","",";" &amp; VLOOKUP('Unique Generator Objects'!A30,'Generator-Storage Assignment'!$A$2:$K$200,7,FALSE))&amp; IF(VLOOKUP('Unique Generator Objects'!A30,'Generator-Storage Assignment'!$A$2:$K$200,8,FALSE)="","",";" &amp; VLOOKUP('Unique Generator Objects'!A30,'Generator-Storage Assignment'!$A$2:$K$200,8,FALSE))&amp; IF(VLOOKUP('Unique Generator Objects'!A30,'Generator-Storage Assignment'!$A$2:$K$200,9,FALSE)="","",";" &amp; VLOOKUP('Unique Generator Objects'!A30,'Generator-Storage Assignment'!$A$2:$K$200,9,FALSE))</f>
        <v xml:space="preserve">Koelnbrein  </v>
      </c>
      <c r="H30" s="96" t="str">
        <f ca="1">VLOOKUP('Unique Generator Objects'!A30,'Generator-Storage Assignment'!$A$2:$L$200,12,FALSE)</f>
        <v>Galgenbichl</v>
      </c>
      <c r="J30" s="96">
        <f>VLOOKUP(A30,Generators!$A:$O,14,FALSE)</f>
        <v>47.079379000000003</v>
      </c>
      <c r="K30" s="96">
        <f>VLOOKUP(A30,Generators!$A:$O,15,FALSE)</f>
        <v>13.339188</v>
      </c>
      <c r="M30" s="97"/>
      <c r="N30" s="96" t="str">
        <f t="shared" ca="1" si="1"/>
        <v>False</v>
      </c>
    </row>
    <row r="31" spans="1:14" x14ac:dyDescent="0.35">
      <c r="A31" s="191" t="s">
        <v>2775</v>
      </c>
      <c r="B31" s="97" t="str">
        <f>VLOOKUP(A31,Generators!$A$2:$AZ$1016,MATCH('Unique Generator Objects'!$B$1,Generators!$A$1:$AZ$1,0),FALSE)</f>
        <v>hydro-PHS</v>
      </c>
      <c r="C31" s="97" t="str">
        <f t="shared" si="0"/>
        <v>Rottau</v>
      </c>
      <c r="D31" s="97" t="s">
        <v>2887</v>
      </c>
      <c r="E31" s="96" t="str">
        <f>VLOOKUP(A31,Generators!$A$2:$BC$122,MATCH(Generators!$I$1,Generators!$A$1:$BC$1,0),FALSE)</f>
        <v>AT</v>
      </c>
      <c r="G31" s="96" t="str">
        <f ca="1">VLOOKUP('Unique Generator Objects'!A31,'Generator-Storage Assignment'!$A$2:$K$200,2,FALSE) &amp; IF(VLOOKUP('Unique Generator Objects'!A31,'Generator-Storage Assignment'!$A$2:$K$200,3,FALSE)="","",";" &amp; VLOOKUP('Unique Generator Objects'!A31,'Generator-Storage Assignment'!$A$2:$K$200,3,FALSE))&amp; IF(VLOOKUP('Unique Generator Objects'!A31,'Generator-Storage Assignment'!$A$2:$K$200,4,FALSE)="","",";" &amp; VLOOKUP('Unique Generator Objects'!A31,'Generator-Storage Assignment'!$A$2:$K$200,4,FALSE))&amp; IF(VLOOKUP('Unique Generator Objects'!A31,'Generator-Storage Assignment'!$A$2:$K$200,5,FALSE)="","",";" &amp; VLOOKUP('Unique Generator Objects'!A31,'Generator-Storage Assignment'!$A$2:$K$200,5,FALSE))&amp; IF(VLOOKUP('Unique Generator Objects'!A31,'Generator-Storage Assignment'!$A$2:$K$200,6,FALSE)="","",";" &amp; VLOOKUP('Unique Generator Objects'!A31,'Generator-Storage Assignment'!$A$2:$K$200,6,FALSE))&amp; IF(VLOOKUP('Unique Generator Objects'!A31,'Generator-Storage Assignment'!$A$2:$K$200,7,FALSE)="","",";" &amp; VLOOKUP('Unique Generator Objects'!A31,'Generator-Storage Assignment'!$A$2:$K$200,7,FALSE))&amp; IF(VLOOKUP('Unique Generator Objects'!A31,'Generator-Storage Assignment'!$A$2:$K$200,8,FALSE)="","",";" &amp; VLOOKUP('Unique Generator Objects'!A31,'Generator-Storage Assignment'!$A$2:$K$200,8,FALSE))&amp; IF(VLOOKUP('Unique Generator Objects'!A31,'Generator-Storage Assignment'!$A$2:$K$200,9,FALSE)="","",";" &amp; VLOOKUP('Unique Generator Objects'!A31,'Generator-Storage Assignment'!$A$2:$K$200,9,FALSE))</f>
        <v>Galgenbichl</v>
      </c>
      <c r="H31" s="96" t="str">
        <f ca="1">VLOOKUP('Unique Generator Objects'!A31,'Generator-Storage Assignment'!$A$2:$L$200,12,FALSE)</f>
        <v>Moell</v>
      </c>
      <c r="J31" s="96">
        <f>VLOOKUP(A31,Generators!$A:$O,14,FALSE)</f>
        <v>46.870327000000003</v>
      </c>
      <c r="K31" s="96">
        <f>VLOOKUP(A31,Generators!$A:$O,15,FALSE)</f>
        <v>13.329065999999999</v>
      </c>
      <c r="M31" s="99"/>
      <c r="N31" s="96" t="str">
        <f t="shared" ca="1" si="1"/>
        <v>False</v>
      </c>
    </row>
    <row r="32" spans="1:14" x14ac:dyDescent="0.35">
      <c r="A32" s="191" t="s">
        <v>2972</v>
      </c>
      <c r="B32" s="97" t="str">
        <f>VLOOKUP(A32,Generators!$A$2:$AZ$1016,MATCH('Unique Generator Objects'!$B$1,Generators!$A$1:$AZ$1,0),FALSE)</f>
        <v>hydro-PHS</v>
      </c>
      <c r="C32" s="97" t="str">
        <f t="shared" si="0"/>
        <v xml:space="preserve">Reisseck II </v>
      </c>
      <c r="D32" s="97" t="s">
        <v>2887</v>
      </c>
      <c r="E32" s="96" t="str">
        <f>VLOOKUP(A32,Generators!$A$2:$BC$122,MATCH(Generators!$I$1,Generators!$A$1:$BC$1,0),FALSE)</f>
        <v>AT</v>
      </c>
      <c r="G32" s="96" t="str">
        <f ca="1">VLOOKUP('Unique Generator Objects'!A32,'Generator-Storage Assignment'!$A$2:$K$200,2,FALSE) &amp; IF(VLOOKUP('Unique Generator Objects'!A32,'Generator-Storage Assignment'!$A$2:$K$200,3,FALSE)="","",";" &amp; VLOOKUP('Unique Generator Objects'!A32,'Generator-Storage Assignment'!$A$2:$K$200,3,FALSE))&amp; IF(VLOOKUP('Unique Generator Objects'!A32,'Generator-Storage Assignment'!$A$2:$K$200,4,FALSE)="","",";" &amp; VLOOKUP('Unique Generator Objects'!A32,'Generator-Storage Assignment'!$A$2:$K$200,4,FALSE))&amp; IF(VLOOKUP('Unique Generator Objects'!A32,'Generator-Storage Assignment'!$A$2:$K$200,5,FALSE)="","",";" &amp; VLOOKUP('Unique Generator Objects'!A32,'Generator-Storage Assignment'!$A$2:$K$200,5,FALSE))&amp; IF(VLOOKUP('Unique Generator Objects'!A32,'Generator-Storage Assignment'!$A$2:$K$200,6,FALSE)="","",";" &amp; VLOOKUP('Unique Generator Objects'!A32,'Generator-Storage Assignment'!$A$2:$K$200,6,FALSE))&amp; IF(VLOOKUP('Unique Generator Objects'!A32,'Generator-Storage Assignment'!$A$2:$K$200,7,FALSE)="","",";" &amp; VLOOKUP('Unique Generator Objects'!A32,'Generator-Storage Assignment'!$A$2:$K$200,7,FALSE))&amp; IF(VLOOKUP('Unique Generator Objects'!A32,'Generator-Storage Assignment'!$A$2:$K$200,8,FALSE)="","",";" &amp; VLOOKUP('Unique Generator Objects'!A32,'Generator-Storage Assignment'!$A$2:$K$200,8,FALSE))&amp; IF(VLOOKUP('Unique Generator Objects'!A32,'Generator-Storage Assignment'!$A$2:$K$200,9,FALSE)="","",";" &amp; VLOOKUP('Unique Generator Objects'!A32,'Generator-Storage Assignment'!$A$2:$K$200,9,FALSE))</f>
        <v>Grosser Mühldorfer</v>
      </c>
      <c r="H32" s="96" t="str">
        <f ca="1">VLOOKUP('Unique Generator Objects'!A32,'Generator-Storage Assignment'!$A$2:$L$200,12,FALSE)</f>
        <v>Goesskarspeicher</v>
      </c>
      <c r="J32" s="96">
        <f>VLOOKUP(A32,Generators!$A:$O,14,FALSE)</f>
        <v>46.870327000000003</v>
      </c>
      <c r="K32" s="96">
        <f>VLOOKUP(A32,Generators!$A:$O,15,FALSE)</f>
        <v>13.329065999999999</v>
      </c>
      <c r="M32" s="97"/>
      <c r="N32" s="96" t="str">
        <f t="shared" ca="1" si="1"/>
        <v>False</v>
      </c>
    </row>
    <row r="33" spans="1:14" x14ac:dyDescent="0.35">
      <c r="A33" s="191" t="s">
        <v>2262</v>
      </c>
      <c r="B33" s="97" t="str">
        <f>VLOOKUP(A33,Generators!$A$2:$AZ$1016,MATCH('Unique Generator Objects'!$B$1,Generators!$A$1:$AZ$1,0),FALSE)</f>
        <v>hydro-PHS</v>
      </c>
      <c r="C33" s="97" t="str">
        <f t="shared" si="0"/>
        <v>Revin Pumped Storage</v>
      </c>
      <c r="D33" s="97" t="s">
        <v>2887</v>
      </c>
      <c r="E33" s="96" t="str">
        <f>VLOOKUP(A33,Generators!$A$2:$BC$122,MATCH(Generators!$I$1,Generators!$A$1:$BC$1,0),FALSE)</f>
        <v>FR</v>
      </c>
      <c r="G33" s="96" t="str">
        <f ca="1">VLOOKUP('Unique Generator Objects'!A33,'Generator-Storage Assignment'!$A$2:$K$200,2,FALSE) &amp; IF(VLOOKUP('Unique Generator Objects'!A33,'Generator-Storage Assignment'!$A$2:$K$200,3,FALSE)="","",";" &amp; VLOOKUP('Unique Generator Objects'!A33,'Generator-Storage Assignment'!$A$2:$K$200,3,FALSE))&amp; IF(VLOOKUP('Unique Generator Objects'!A33,'Generator-Storage Assignment'!$A$2:$K$200,4,FALSE)="","",";" &amp; VLOOKUP('Unique Generator Objects'!A33,'Generator-Storage Assignment'!$A$2:$K$200,4,FALSE))&amp; IF(VLOOKUP('Unique Generator Objects'!A33,'Generator-Storage Assignment'!$A$2:$K$200,5,FALSE)="","",";" &amp; VLOOKUP('Unique Generator Objects'!A33,'Generator-Storage Assignment'!$A$2:$K$200,5,FALSE))&amp; IF(VLOOKUP('Unique Generator Objects'!A33,'Generator-Storage Assignment'!$A$2:$K$200,6,FALSE)="","",";" &amp; VLOOKUP('Unique Generator Objects'!A33,'Generator-Storage Assignment'!$A$2:$K$200,6,FALSE))&amp; IF(VLOOKUP('Unique Generator Objects'!A33,'Generator-Storage Assignment'!$A$2:$K$200,7,FALSE)="","",";" &amp; VLOOKUP('Unique Generator Objects'!A33,'Generator-Storage Assignment'!$A$2:$K$200,7,FALSE))&amp; IF(VLOOKUP('Unique Generator Objects'!A33,'Generator-Storage Assignment'!$A$2:$K$200,8,FALSE)="","",";" &amp; VLOOKUP('Unique Generator Objects'!A33,'Generator-Storage Assignment'!$A$2:$K$200,8,FALSE))&amp; IF(VLOOKUP('Unique Generator Objects'!A33,'Generator-Storage Assignment'!$A$2:$K$200,9,FALSE)="","",";" &amp; VLOOKUP('Unique Generator Objects'!A33,'Generator-Storage Assignment'!$A$2:$K$200,9,FALSE))</f>
        <v>Marquisades</v>
      </c>
      <c r="H33" s="96" t="str">
        <f ca="1">VLOOKUP('Unique Generator Objects'!A33,'Generator-Storage Assignment'!$A$2:$L$200,12,FALSE)</f>
        <v>Whitaker</v>
      </c>
      <c r="J33" s="96">
        <f>VLOOKUP(A33,Generators!$A:$O,14,FALSE)</f>
        <v>49.925556</v>
      </c>
      <c r="K33" s="96">
        <f>VLOOKUP(A33,Generators!$A:$O,15,FALSE)</f>
        <v>4.6133329999999999</v>
      </c>
      <c r="M33" s="97"/>
      <c r="N33" s="96" t="str">
        <f t="shared" ca="1" si="1"/>
        <v>False</v>
      </c>
    </row>
    <row r="34" spans="1:14" x14ac:dyDescent="0.35">
      <c r="A34" s="193" t="s">
        <v>2776</v>
      </c>
      <c r="B34" s="97" t="str">
        <f>VLOOKUP(A34,Generators!$A$2:$AZ$1016,MATCH('Unique Generator Objects'!$B$1,Generators!$A$1:$AZ$1,0),FALSE)</f>
        <v>hydro-ROR</v>
      </c>
      <c r="C34" s="97" t="str">
        <f t="shared" si="0"/>
        <v>Gabcikovo (Nagymaros Dams)</v>
      </c>
      <c r="D34" s="97" t="s">
        <v>2887</v>
      </c>
      <c r="E34" s="96" t="str">
        <f>VLOOKUP(A34,Generators!$A$2:$BC$122,MATCH(Generators!$I$1,Generators!$A$1:$BC$1,0),FALSE)</f>
        <v>SK</v>
      </c>
      <c r="G34" s="96" t="str">
        <f ca="1">VLOOKUP('Unique Generator Objects'!A34,'Generator-Storage Assignment'!$A$2:$K$200,2,FALSE) &amp; IF(VLOOKUP('Unique Generator Objects'!A34,'Generator-Storage Assignment'!$A$2:$K$200,3,FALSE)="","",";" &amp; VLOOKUP('Unique Generator Objects'!A34,'Generator-Storage Assignment'!$A$2:$K$200,3,FALSE))&amp; IF(VLOOKUP('Unique Generator Objects'!A34,'Generator-Storage Assignment'!$A$2:$K$200,4,FALSE)="","",";" &amp; VLOOKUP('Unique Generator Objects'!A34,'Generator-Storage Assignment'!$A$2:$K$200,4,FALSE))&amp; IF(VLOOKUP('Unique Generator Objects'!A34,'Generator-Storage Assignment'!$A$2:$K$200,5,FALSE)="","",";" &amp; VLOOKUP('Unique Generator Objects'!A34,'Generator-Storage Assignment'!$A$2:$K$200,5,FALSE))&amp; IF(VLOOKUP('Unique Generator Objects'!A34,'Generator-Storage Assignment'!$A$2:$K$200,6,FALSE)="","",";" &amp; VLOOKUP('Unique Generator Objects'!A34,'Generator-Storage Assignment'!$A$2:$K$200,6,FALSE))&amp; IF(VLOOKUP('Unique Generator Objects'!A34,'Generator-Storage Assignment'!$A$2:$K$200,7,FALSE)="","",";" &amp; VLOOKUP('Unique Generator Objects'!A34,'Generator-Storage Assignment'!$A$2:$K$200,7,FALSE))&amp; IF(VLOOKUP('Unique Generator Objects'!A34,'Generator-Storage Assignment'!$A$2:$K$200,8,FALSE)="","",";" &amp; VLOOKUP('Unique Generator Objects'!A34,'Generator-Storage Assignment'!$A$2:$K$200,8,FALSE))&amp; IF(VLOOKUP('Unique Generator Objects'!A34,'Generator-Storage Assignment'!$A$2:$K$200,9,FALSE)="","",";" &amp; VLOOKUP('Unique Generator Objects'!A34,'Generator-Storage Assignment'!$A$2:$K$200,9,FALSE))</f>
        <v>Gabcikovo</v>
      </c>
      <c r="H34" s="96" t="str">
        <f ca="1">VLOOKUP('Unique Generator Objects'!A34,'Generator-Storage Assignment'!$A$2:$L$200,12,FALSE)</f>
        <v>Gabcikovo (Nagymaros Dams)_lower</v>
      </c>
      <c r="J34" s="96">
        <f>VLOOKUP(A34,Generators!$A:$O,14,FALSE)</f>
        <v>47.880088600000001</v>
      </c>
      <c r="K34" s="96">
        <f>VLOOKUP(A34,Generators!$A:$O,15,FALSE)</f>
        <v>17.5385141</v>
      </c>
      <c r="M34" s="97"/>
      <c r="N34" s="96" t="str">
        <f t="shared" ca="1" si="1"/>
        <v>False</v>
      </c>
    </row>
    <row r="35" spans="1:14" x14ac:dyDescent="0.35">
      <c r="A35" s="191" t="s">
        <v>2479</v>
      </c>
      <c r="B35" s="97" t="str">
        <f>VLOOKUP(A35,Generators!$A$2:$AZ$1016,MATCH('Unique Generator Objects'!$B$1,Generators!$A$1:$AZ$1,0),FALSE)</f>
        <v>hydro-PHS</v>
      </c>
      <c r="C35" s="97" t="str">
        <f t="shared" si="0"/>
        <v>Zarnowiec</v>
      </c>
      <c r="D35" s="97" t="s">
        <v>2887</v>
      </c>
      <c r="E35" s="96" t="str">
        <f>VLOOKUP(A35,Generators!$A$2:$BC$122,MATCH(Generators!$I$1,Generators!$A$1:$BC$1,0),FALSE)</f>
        <v>PL</v>
      </c>
      <c r="G35" s="96" t="str">
        <f ca="1">VLOOKUP('Unique Generator Objects'!A35,'Generator-Storage Assignment'!$A$2:$K$200,2,FALSE) &amp; IF(VLOOKUP('Unique Generator Objects'!A35,'Generator-Storage Assignment'!$A$2:$K$200,3,FALSE)="","",";" &amp; VLOOKUP('Unique Generator Objects'!A35,'Generator-Storage Assignment'!$A$2:$K$200,3,FALSE))&amp; IF(VLOOKUP('Unique Generator Objects'!A35,'Generator-Storage Assignment'!$A$2:$K$200,4,FALSE)="","",";" &amp; VLOOKUP('Unique Generator Objects'!A35,'Generator-Storage Assignment'!$A$2:$K$200,4,FALSE))&amp; IF(VLOOKUP('Unique Generator Objects'!A35,'Generator-Storage Assignment'!$A$2:$K$200,5,FALSE)="","",";" &amp; VLOOKUP('Unique Generator Objects'!A35,'Generator-Storage Assignment'!$A$2:$K$200,5,FALSE))&amp; IF(VLOOKUP('Unique Generator Objects'!A35,'Generator-Storage Assignment'!$A$2:$K$200,6,FALSE)="","",";" &amp; VLOOKUP('Unique Generator Objects'!A35,'Generator-Storage Assignment'!$A$2:$K$200,6,FALSE))&amp; IF(VLOOKUP('Unique Generator Objects'!A35,'Generator-Storage Assignment'!$A$2:$K$200,7,FALSE)="","",";" &amp; VLOOKUP('Unique Generator Objects'!A35,'Generator-Storage Assignment'!$A$2:$K$200,7,FALSE))&amp; IF(VLOOKUP('Unique Generator Objects'!A35,'Generator-Storage Assignment'!$A$2:$K$200,8,FALSE)="","",";" &amp; VLOOKUP('Unique Generator Objects'!A35,'Generator-Storage Assignment'!$A$2:$K$200,8,FALSE))&amp; IF(VLOOKUP('Unique Generator Objects'!A35,'Generator-Storage Assignment'!$A$2:$K$200,9,FALSE)="","",";" &amp; VLOOKUP('Unique Generator Objects'!A35,'Generator-Storage Assignment'!$A$2:$K$200,9,FALSE))</f>
        <v>Czymanowo</v>
      </c>
      <c r="H35" s="96" t="str">
        <f ca="1">VLOOKUP('Unique Generator Objects'!A35,'Generator-Storage Assignment'!$A$2:$L$200,12,FALSE)</f>
        <v>Zarnowiec</v>
      </c>
      <c r="J35" s="96">
        <f>VLOOKUP(A35,Generators!$A:$O,14,FALSE)</f>
        <v>54.722271999999997</v>
      </c>
      <c r="K35" s="96">
        <f>VLOOKUP(A35,Generators!$A:$O,15,FALSE)</f>
        <v>18.082356000000001</v>
      </c>
      <c r="M35" s="97"/>
      <c r="N35" s="96" t="str">
        <f ca="1">IF(AND(B35="hydro-PHS",NOT(ISTEXT(H35))),"True","False")</f>
        <v>False</v>
      </c>
    </row>
    <row r="36" spans="1:14" x14ac:dyDescent="0.35">
      <c r="A36" s="191" t="s">
        <v>2102</v>
      </c>
      <c r="B36" s="97" t="str">
        <f>VLOOKUP(A36,Generators!$A$2:$AZ$1016,MATCH('Unique Generator Objects'!$B$1,Generators!$A$1:$AZ$1,0),FALSE)</f>
        <v>hydro-PHS</v>
      </c>
      <c r="C36" s="97" t="str">
        <f t="shared" si="0"/>
        <v>Saurdal</v>
      </c>
      <c r="D36" s="97" t="s">
        <v>2887</v>
      </c>
      <c r="E36" s="96" t="str">
        <f>VLOOKUP(A36,Generators!$A$2:$BC$122,MATCH(Generators!$I$1,Generators!$A$1:$BC$1,0),FALSE)</f>
        <v>NO</v>
      </c>
      <c r="G36" s="96" t="str">
        <f ca="1">VLOOKUP('Unique Generator Objects'!A36,'Generator-Storage Assignment'!$A$2:$K$200,2,FALSE) &amp; IF(VLOOKUP('Unique Generator Objects'!A36,'Generator-Storage Assignment'!$A$2:$K$200,3,FALSE)="","",";" &amp; VLOOKUP('Unique Generator Objects'!A36,'Generator-Storage Assignment'!$A$2:$K$200,3,FALSE))&amp; IF(VLOOKUP('Unique Generator Objects'!A36,'Generator-Storage Assignment'!$A$2:$K$200,4,FALSE)="","",";" &amp; VLOOKUP('Unique Generator Objects'!A36,'Generator-Storage Assignment'!$A$2:$K$200,4,FALSE))&amp; IF(VLOOKUP('Unique Generator Objects'!A36,'Generator-Storage Assignment'!$A$2:$K$200,5,FALSE)="","",";" &amp; VLOOKUP('Unique Generator Objects'!A36,'Generator-Storage Assignment'!$A$2:$K$200,5,FALSE))&amp; IF(VLOOKUP('Unique Generator Objects'!A36,'Generator-Storage Assignment'!$A$2:$K$200,6,FALSE)="","",";" &amp; VLOOKUP('Unique Generator Objects'!A36,'Generator-Storage Assignment'!$A$2:$K$200,6,FALSE))&amp; IF(VLOOKUP('Unique Generator Objects'!A36,'Generator-Storage Assignment'!$A$2:$K$200,7,FALSE)="","",";" &amp; VLOOKUP('Unique Generator Objects'!A36,'Generator-Storage Assignment'!$A$2:$K$200,7,FALSE))&amp; IF(VLOOKUP('Unique Generator Objects'!A36,'Generator-Storage Assignment'!$A$2:$K$200,8,FALSE)="","",";" &amp; VLOOKUP('Unique Generator Objects'!A36,'Generator-Storage Assignment'!$A$2:$K$200,8,FALSE))&amp; IF(VLOOKUP('Unique Generator Objects'!A36,'Generator-Storage Assignment'!$A$2:$K$200,9,FALSE)="","",";" &amp; VLOOKUP('Unique Generator Objects'!A36,'Generator-Storage Assignment'!$A$2:$K$200,9,FALSE))</f>
        <v>Lake Blasjo</v>
      </c>
      <c r="H36" s="96" t="str">
        <f ca="1">VLOOKUP('Unique Generator Objects'!A36,'Generator-Storage Assignment'!$A$2:$L$200,12,FALSE)</f>
        <v>Suldalsvatnet</v>
      </c>
      <c r="J36" s="96">
        <f>VLOOKUP(A36,Generators!$A:$O,14,FALSE)</f>
        <v>59.482770000000002</v>
      </c>
      <c r="K36" s="96">
        <f>VLOOKUP(A36,Generators!$A:$O,15,FALSE)</f>
        <v>6.67265</v>
      </c>
      <c r="M36" s="99"/>
      <c r="N36" s="96" t="str">
        <f t="shared" ca="1" si="1"/>
        <v>False</v>
      </c>
    </row>
    <row r="37" spans="1:14" x14ac:dyDescent="0.35">
      <c r="A37" s="191" t="s">
        <v>797</v>
      </c>
      <c r="B37" s="97" t="str">
        <f>VLOOKUP(A37,Generators!$A$2:$AZ$1016,MATCH('Unique Generator Objects'!$B$1,Generators!$A$1:$AZ$1,0),FALSE)</f>
        <v>hydro-PHS</v>
      </c>
      <c r="C37" s="97" t="str">
        <f t="shared" si="0"/>
        <v>Alto Lindoso Dam</v>
      </c>
      <c r="D37" s="97" t="s">
        <v>2887</v>
      </c>
      <c r="E37" s="96" t="str">
        <f>VLOOKUP(A37,Generators!$A$2:$BC$122,MATCH(Generators!$I$1,Generators!$A$1:$BC$1,0),FALSE)</f>
        <v>PT</v>
      </c>
      <c r="G37" s="96" t="str">
        <f ca="1">VLOOKUP('Unique Generator Objects'!A37,'Generator-Storage Assignment'!$A$2:$K$200,2,FALSE) &amp; IF(VLOOKUP('Unique Generator Objects'!A37,'Generator-Storage Assignment'!$A$2:$K$200,3,FALSE)="","",";" &amp; VLOOKUP('Unique Generator Objects'!A37,'Generator-Storage Assignment'!$A$2:$K$200,3,FALSE))&amp; IF(VLOOKUP('Unique Generator Objects'!A37,'Generator-Storage Assignment'!$A$2:$K$200,4,FALSE)="","",";" &amp; VLOOKUP('Unique Generator Objects'!A37,'Generator-Storage Assignment'!$A$2:$K$200,4,FALSE))&amp; IF(VLOOKUP('Unique Generator Objects'!A37,'Generator-Storage Assignment'!$A$2:$K$200,5,FALSE)="","",";" &amp; VLOOKUP('Unique Generator Objects'!A37,'Generator-Storage Assignment'!$A$2:$K$200,5,FALSE))&amp; IF(VLOOKUP('Unique Generator Objects'!A37,'Generator-Storage Assignment'!$A$2:$K$200,6,FALSE)="","",";" &amp; VLOOKUP('Unique Generator Objects'!A37,'Generator-Storage Assignment'!$A$2:$K$200,6,FALSE))&amp; IF(VLOOKUP('Unique Generator Objects'!A37,'Generator-Storage Assignment'!$A$2:$K$200,7,FALSE)="","",";" &amp; VLOOKUP('Unique Generator Objects'!A37,'Generator-Storage Assignment'!$A$2:$K$200,7,FALSE))&amp; IF(VLOOKUP('Unique Generator Objects'!A37,'Generator-Storage Assignment'!$A$2:$K$200,8,FALSE)="","",";" &amp; VLOOKUP('Unique Generator Objects'!A37,'Generator-Storage Assignment'!$A$2:$K$200,8,FALSE))&amp; IF(VLOOKUP('Unique Generator Objects'!A37,'Generator-Storage Assignment'!$A$2:$K$200,9,FALSE)="","",";" &amp; VLOOKUP('Unique Generator Objects'!A37,'Generator-Storage Assignment'!$A$2:$K$200,9,FALSE))</f>
        <v>Alto Lindoso</v>
      </c>
      <c r="H37" s="96" t="str">
        <f ca="1">VLOOKUP('Unique Generator Objects'!A37,'Generator-Storage Assignment'!$A$2:$L$200,12,FALSE)</f>
        <v>Touvedo</v>
      </c>
      <c r="J37" s="96">
        <f>VLOOKUP(A37,Generators!$A:$O,14,FALSE)</f>
        <v>41.872835000000002</v>
      </c>
      <c r="K37" s="96">
        <f>VLOOKUP(A37,Generators!$A:$O,15,FALSE)</f>
        <v>8.2040749999999996</v>
      </c>
      <c r="M37" s="97"/>
      <c r="N37" s="96" t="str">
        <f t="shared" ca="1" si="1"/>
        <v>False</v>
      </c>
    </row>
    <row r="38" spans="1:14" x14ac:dyDescent="0.35">
      <c r="A38" s="191" t="s">
        <v>2481</v>
      </c>
      <c r="B38" s="97" t="str">
        <f>VLOOKUP(A38,Generators!$A$2:$AZ$1016,MATCH('Unique Generator Objects'!$B$1,Generators!$A$1:$AZ$1,0),FALSE)</f>
        <v>hydro-PHS</v>
      </c>
      <c r="C38" s="97" t="str">
        <f t="shared" si="0"/>
        <v>La Muela I</v>
      </c>
      <c r="D38" s="97" t="s">
        <v>2887</v>
      </c>
      <c r="E38" s="96" t="str">
        <f>VLOOKUP(A38,Generators!$A$2:$BC$122,MATCH(Generators!$I$1,Generators!$A$1:$BC$1,0),FALSE)</f>
        <v>ES</v>
      </c>
      <c r="G38" s="96" t="str">
        <f ca="1">VLOOKUP('Unique Generator Objects'!A38,'Generator-Storage Assignment'!$A$2:$K$200,2,FALSE) &amp; IF(VLOOKUP('Unique Generator Objects'!A38,'Generator-Storage Assignment'!$A$2:$K$200,3,FALSE)="","",";" &amp; VLOOKUP('Unique Generator Objects'!A38,'Generator-Storage Assignment'!$A$2:$K$200,3,FALSE))&amp; IF(VLOOKUP('Unique Generator Objects'!A38,'Generator-Storage Assignment'!$A$2:$K$200,4,FALSE)="","",";" &amp; VLOOKUP('Unique Generator Objects'!A38,'Generator-Storage Assignment'!$A$2:$K$200,4,FALSE))&amp; IF(VLOOKUP('Unique Generator Objects'!A38,'Generator-Storage Assignment'!$A$2:$K$200,5,FALSE)="","",";" &amp; VLOOKUP('Unique Generator Objects'!A38,'Generator-Storage Assignment'!$A$2:$K$200,5,FALSE))&amp; IF(VLOOKUP('Unique Generator Objects'!A38,'Generator-Storage Assignment'!$A$2:$K$200,6,FALSE)="","",";" &amp; VLOOKUP('Unique Generator Objects'!A38,'Generator-Storage Assignment'!$A$2:$K$200,6,FALSE))&amp; IF(VLOOKUP('Unique Generator Objects'!A38,'Generator-Storage Assignment'!$A$2:$K$200,7,FALSE)="","",";" &amp; VLOOKUP('Unique Generator Objects'!A38,'Generator-Storage Assignment'!$A$2:$K$200,7,FALSE))&amp; IF(VLOOKUP('Unique Generator Objects'!A38,'Generator-Storage Assignment'!$A$2:$K$200,8,FALSE)="","",";" &amp; VLOOKUP('Unique Generator Objects'!A38,'Generator-Storage Assignment'!$A$2:$K$200,8,FALSE))&amp; IF(VLOOKUP('Unique Generator Objects'!A38,'Generator-Storage Assignment'!$A$2:$K$200,9,FALSE)="","",";" &amp; VLOOKUP('Unique Generator Objects'!A38,'Generator-Storage Assignment'!$A$2:$K$200,9,FALSE))</f>
        <v>Muela upper reservoir</v>
      </c>
      <c r="H38" s="96" t="str">
        <f ca="1">VLOOKUP('Unique Generator Objects'!A38,'Generator-Storage Assignment'!$A$2:$L$200,12,FALSE)</f>
        <v>Cortes de Pallas</v>
      </c>
      <c r="J38" s="96">
        <f>VLOOKUP(A38,Generators!$A:$O,14,FALSE)</f>
        <v>39.260416999999997</v>
      </c>
      <c r="K38" s="96">
        <f>VLOOKUP(A38,Generators!$A:$O,15,FALSE)</f>
        <v>-0.91958300000000004</v>
      </c>
      <c r="M38" s="99"/>
      <c r="N38" s="96" t="str">
        <f t="shared" ca="1" si="1"/>
        <v>False</v>
      </c>
    </row>
    <row r="39" spans="1:14" x14ac:dyDescent="0.35">
      <c r="A39" s="191" t="s">
        <v>2299</v>
      </c>
      <c r="B39" s="97" t="str">
        <f>VLOOKUP(A39,Generators!$A$2:$AZ$1016,MATCH('Unique Generator Objects'!$B$1,Generators!$A$1:$AZ$1,0),FALSE)</f>
        <v>hydro-PHS</v>
      </c>
      <c r="C39" s="97" t="str">
        <f t="shared" si="0"/>
        <v>Dlouhe Strane</v>
      </c>
      <c r="D39" s="97" t="s">
        <v>2887</v>
      </c>
      <c r="E39" s="96" t="str">
        <f>VLOOKUP(A39,Generators!$A$2:$BC$122,MATCH(Generators!$I$1,Generators!$A$1:$BC$1,0),FALSE)</f>
        <v>CZ</v>
      </c>
      <c r="G39" s="96" t="str">
        <f ca="1">VLOOKUP('Unique Generator Objects'!A39,'Generator-Storage Assignment'!$A$2:$K$200,2,FALSE) &amp; IF(VLOOKUP('Unique Generator Objects'!A39,'Generator-Storage Assignment'!$A$2:$K$200,3,FALSE)="","",";" &amp; VLOOKUP('Unique Generator Objects'!A39,'Generator-Storage Assignment'!$A$2:$K$200,3,FALSE))&amp; IF(VLOOKUP('Unique Generator Objects'!A39,'Generator-Storage Assignment'!$A$2:$K$200,4,FALSE)="","",";" &amp; VLOOKUP('Unique Generator Objects'!A39,'Generator-Storage Assignment'!$A$2:$K$200,4,FALSE))&amp; IF(VLOOKUP('Unique Generator Objects'!A39,'Generator-Storage Assignment'!$A$2:$K$200,5,FALSE)="","",";" &amp; VLOOKUP('Unique Generator Objects'!A39,'Generator-Storage Assignment'!$A$2:$K$200,5,FALSE))&amp; IF(VLOOKUP('Unique Generator Objects'!A39,'Generator-Storage Assignment'!$A$2:$K$200,6,FALSE)="","",";" &amp; VLOOKUP('Unique Generator Objects'!A39,'Generator-Storage Assignment'!$A$2:$K$200,6,FALSE))&amp; IF(VLOOKUP('Unique Generator Objects'!A39,'Generator-Storage Assignment'!$A$2:$K$200,7,FALSE)="","",";" &amp; VLOOKUP('Unique Generator Objects'!A39,'Generator-Storage Assignment'!$A$2:$K$200,7,FALSE))&amp; IF(VLOOKUP('Unique Generator Objects'!A39,'Generator-Storage Assignment'!$A$2:$K$200,8,FALSE)="","",";" &amp; VLOOKUP('Unique Generator Objects'!A39,'Generator-Storage Assignment'!$A$2:$K$200,8,FALSE))&amp; IF(VLOOKUP('Unique Generator Objects'!A39,'Generator-Storage Assignment'!$A$2:$K$200,9,FALSE)="","",";" &amp; VLOOKUP('Unique Generator Objects'!A39,'Generator-Storage Assignment'!$A$2:$K$200,9,FALSE))</f>
        <v>Dlouhe Strane upper</v>
      </c>
      <c r="H39" s="96" t="str">
        <f ca="1">VLOOKUP('Unique Generator Objects'!A39,'Generator-Storage Assignment'!$A$2:$L$200,12,FALSE)</f>
        <v>Dlouhe Strane lower</v>
      </c>
      <c r="J39" s="96">
        <f>VLOOKUP(A39,Generators!$A:$O,14,FALSE)</f>
        <v>50.084297999999997</v>
      </c>
      <c r="K39" s="96">
        <f>VLOOKUP(A39,Generators!$A:$O,15,FALSE)</f>
        <v>17.181028999999999</v>
      </c>
      <c r="M39" s="97"/>
      <c r="N39" s="96" t="str">
        <f t="shared" ca="1" si="1"/>
        <v>False</v>
      </c>
    </row>
    <row r="40" spans="1:14" x14ac:dyDescent="0.35">
      <c r="A40" s="191" t="s">
        <v>2312</v>
      </c>
      <c r="B40" s="97" t="str">
        <f>VLOOKUP(A40,Generators!$A$2:$AZ$1016,MATCH('Unique Generator Objects'!$B$1,Generators!$A$1:$AZ$1,0),FALSE)</f>
        <v>hydro-STO</v>
      </c>
      <c r="C40" s="97" t="str">
        <f t="shared" si="0"/>
        <v>Svartisen</v>
      </c>
      <c r="D40" s="97" t="s">
        <v>2887</v>
      </c>
      <c r="E40" s="96" t="str">
        <f>VLOOKUP(A40,Generators!$A$2:$BC$122,MATCH(Generators!$I$1,Generators!$A$1:$BC$1,0),FALSE)</f>
        <v>NO</v>
      </c>
      <c r="G40" s="96" t="str">
        <f ca="1">VLOOKUP('Unique Generator Objects'!A40,'Generator-Storage Assignment'!$A$2:$K$200,2,FALSE) &amp; IF(VLOOKUP('Unique Generator Objects'!A40,'Generator-Storage Assignment'!$A$2:$K$200,3,FALSE)="","",";" &amp; VLOOKUP('Unique Generator Objects'!A40,'Generator-Storage Assignment'!$A$2:$K$200,3,FALSE))&amp; IF(VLOOKUP('Unique Generator Objects'!A40,'Generator-Storage Assignment'!$A$2:$K$200,4,FALSE)="","",";" &amp; VLOOKUP('Unique Generator Objects'!A40,'Generator-Storage Assignment'!$A$2:$K$200,4,FALSE))&amp; IF(VLOOKUP('Unique Generator Objects'!A40,'Generator-Storage Assignment'!$A$2:$K$200,5,FALSE)="","",";" &amp; VLOOKUP('Unique Generator Objects'!A40,'Generator-Storage Assignment'!$A$2:$K$200,5,FALSE))&amp; IF(VLOOKUP('Unique Generator Objects'!A40,'Generator-Storage Assignment'!$A$2:$K$200,6,FALSE)="","",";" &amp; VLOOKUP('Unique Generator Objects'!A40,'Generator-Storage Assignment'!$A$2:$K$200,6,FALSE))&amp; IF(VLOOKUP('Unique Generator Objects'!A40,'Generator-Storage Assignment'!$A$2:$K$200,7,FALSE)="","",";" &amp; VLOOKUP('Unique Generator Objects'!A40,'Generator-Storage Assignment'!$A$2:$K$200,7,FALSE))&amp; IF(VLOOKUP('Unique Generator Objects'!A40,'Generator-Storage Assignment'!$A$2:$K$200,8,FALSE)="","",";" &amp; VLOOKUP('Unique Generator Objects'!A40,'Generator-Storage Assignment'!$A$2:$K$200,8,FALSE))&amp; IF(VLOOKUP('Unique Generator Objects'!A40,'Generator-Storage Assignment'!$A$2:$K$200,9,FALSE)="","",";" &amp; VLOOKUP('Unique Generator Objects'!A40,'Generator-Storage Assignment'!$A$2:$K$200,9,FALSE))</f>
        <v>Storglomvatnet</v>
      </c>
      <c r="H40" s="96" t="str">
        <f ca="1">VLOOKUP('Unique Generator Objects'!A40,'Generator-Storage Assignment'!$A$2:$L$200,12,FALSE)</f>
        <v>Svartisen_lower</v>
      </c>
      <c r="J40" s="96">
        <f>VLOOKUP(A40,Generators!$A:$O,14,FALSE)</f>
        <v>66.728333000000006</v>
      </c>
      <c r="K40" s="96">
        <f>VLOOKUP(A40,Generators!$A:$O,15,FALSE)</f>
        <v>13.913611</v>
      </c>
      <c r="M40" s="97"/>
      <c r="N40" s="96" t="str">
        <f t="shared" ca="1" si="1"/>
        <v>False</v>
      </c>
    </row>
    <row r="41" spans="1:14" x14ac:dyDescent="0.35">
      <c r="A41" s="191" t="s">
        <v>2317</v>
      </c>
      <c r="B41" s="97" t="str">
        <f>VLOOKUP(A41,Generators!$A$2:$AZ$1016,MATCH('Unique Generator Objects'!$B$1,Generators!$A$1:$AZ$1,0),FALSE)</f>
        <v>hydro-STO</v>
      </c>
      <c r="C41" s="97" t="str">
        <f t="shared" si="0"/>
        <v>Stornorrfors</v>
      </c>
      <c r="D41" s="97" t="s">
        <v>2887</v>
      </c>
      <c r="E41" s="96" t="str">
        <f>VLOOKUP(A41,Generators!$A$2:$BC$122,MATCH(Generators!$I$1,Generators!$A$1:$BC$1,0),FALSE)</f>
        <v>SE</v>
      </c>
      <c r="G41" s="96" t="str">
        <f ca="1">VLOOKUP('Unique Generator Objects'!A41,'Generator-Storage Assignment'!$A$2:$K$200,2,FALSE) &amp; IF(VLOOKUP('Unique Generator Objects'!A41,'Generator-Storage Assignment'!$A$2:$K$200,3,FALSE)="","",";" &amp; VLOOKUP('Unique Generator Objects'!A41,'Generator-Storage Assignment'!$A$2:$K$200,3,FALSE))&amp; IF(VLOOKUP('Unique Generator Objects'!A41,'Generator-Storage Assignment'!$A$2:$K$200,4,FALSE)="","",";" &amp; VLOOKUP('Unique Generator Objects'!A41,'Generator-Storage Assignment'!$A$2:$K$200,4,FALSE))&amp; IF(VLOOKUP('Unique Generator Objects'!A41,'Generator-Storage Assignment'!$A$2:$K$200,5,FALSE)="","",";" &amp; VLOOKUP('Unique Generator Objects'!A41,'Generator-Storage Assignment'!$A$2:$K$200,5,FALSE))&amp; IF(VLOOKUP('Unique Generator Objects'!A41,'Generator-Storage Assignment'!$A$2:$K$200,6,FALSE)="","",";" &amp; VLOOKUP('Unique Generator Objects'!A41,'Generator-Storage Assignment'!$A$2:$K$200,6,FALSE))&amp; IF(VLOOKUP('Unique Generator Objects'!A41,'Generator-Storage Assignment'!$A$2:$K$200,7,FALSE)="","",";" &amp; VLOOKUP('Unique Generator Objects'!A41,'Generator-Storage Assignment'!$A$2:$K$200,7,FALSE))&amp; IF(VLOOKUP('Unique Generator Objects'!A41,'Generator-Storage Assignment'!$A$2:$K$200,8,FALSE)="","",";" &amp; VLOOKUP('Unique Generator Objects'!A41,'Generator-Storage Assignment'!$A$2:$K$200,8,FALSE))&amp; IF(VLOOKUP('Unique Generator Objects'!A41,'Generator-Storage Assignment'!$A$2:$K$200,9,FALSE)="","",";" &amp; VLOOKUP('Unique Generator Objects'!A41,'Generator-Storage Assignment'!$A$2:$K$200,9,FALSE))</f>
        <v>Stornorrfors dam</v>
      </c>
      <c r="H41" s="96" t="str">
        <f ca="1">VLOOKUP('Unique Generator Objects'!A41,'Generator-Storage Assignment'!$A$2:$L$200,12,FALSE)</f>
        <v>Stornorrfors_lower</v>
      </c>
      <c r="J41" s="96">
        <f>VLOOKUP(A41,Generators!$A:$O,14,FALSE)</f>
        <v>63.518999999999998</v>
      </c>
      <c r="K41" s="96">
        <f>VLOOKUP(A41,Generators!$A:$O,15,FALSE)</f>
        <v>20.36</v>
      </c>
      <c r="M41" s="97"/>
      <c r="N41" s="96" t="str">
        <f t="shared" ca="1" si="1"/>
        <v>False</v>
      </c>
    </row>
    <row r="42" spans="1:14" x14ac:dyDescent="0.35">
      <c r="A42" s="191" t="s">
        <v>2778</v>
      </c>
      <c r="B42" s="97" t="str">
        <f>VLOOKUP(A42,Generators!$A$2:$AZ$1016,MATCH('Unique Generator Objects'!$B$1,Generators!$A$1:$AZ$1,0),FALSE)</f>
        <v>hydro-PHS</v>
      </c>
      <c r="C42" s="97" t="str">
        <f t="shared" si="0"/>
        <v>Limberg I II</v>
      </c>
      <c r="D42" s="97" t="s">
        <v>2887</v>
      </c>
      <c r="E42" s="96" t="str">
        <f>VLOOKUP(A42,Generators!$A$2:$BC$122,MATCH(Generators!$I$1,Generators!$A$1:$BC$1,0),FALSE)</f>
        <v>AT</v>
      </c>
      <c r="G42" s="96" t="str">
        <f ca="1">VLOOKUP('Unique Generator Objects'!A42,'Generator-Storage Assignment'!$A$2:$K$200,2,FALSE) &amp; IF(VLOOKUP('Unique Generator Objects'!A42,'Generator-Storage Assignment'!$A$2:$K$200,3,FALSE)="","",";" &amp; VLOOKUP('Unique Generator Objects'!A42,'Generator-Storage Assignment'!$A$2:$K$200,3,FALSE))&amp; IF(VLOOKUP('Unique Generator Objects'!A42,'Generator-Storage Assignment'!$A$2:$K$200,4,FALSE)="","",";" &amp; VLOOKUP('Unique Generator Objects'!A42,'Generator-Storage Assignment'!$A$2:$K$200,4,FALSE))&amp; IF(VLOOKUP('Unique Generator Objects'!A42,'Generator-Storage Assignment'!$A$2:$K$200,5,FALSE)="","",";" &amp; VLOOKUP('Unique Generator Objects'!A42,'Generator-Storage Assignment'!$A$2:$K$200,5,FALSE))&amp; IF(VLOOKUP('Unique Generator Objects'!A42,'Generator-Storage Assignment'!$A$2:$K$200,6,FALSE)="","",";" &amp; VLOOKUP('Unique Generator Objects'!A42,'Generator-Storage Assignment'!$A$2:$K$200,6,FALSE))&amp; IF(VLOOKUP('Unique Generator Objects'!A42,'Generator-Storage Assignment'!$A$2:$K$200,7,FALSE)="","",";" &amp; VLOOKUP('Unique Generator Objects'!A42,'Generator-Storage Assignment'!$A$2:$K$200,7,FALSE))&amp; IF(VLOOKUP('Unique Generator Objects'!A42,'Generator-Storage Assignment'!$A$2:$K$200,8,FALSE)="","",";" &amp; VLOOKUP('Unique Generator Objects'!A42,'Generator-Storage Assignment'!$A$2:$K$200,8,FALSE))&amp; IF(VLOOKUP('Unique Generator Objects'!A42,'Generator-Storage Assignment'!$A$2:$K$200,9,FALSE)="","",";" &amp; VLOOKUP('Unique Generator Objects'!A42,'Generator-Storage Assignment'!$A$2:$K$200,9,FALSE))</f>
        <v>Mooserboden</v>
      </c>
      <c r="H42" s="96" t="str">
        <f ca="1">VLOOKUP('Unique Generator Objects'!A42,'Generator-Storage Assignment'!$A$2:$L$200,12,FALSE)</f>
        <v>Wasserfallboden</v>
      </c>
      <c r="J42" s="96">
        <f>VLOOKUP(A42,Generators!$A:$O,14,FALSE)</f>
        <v>47.196722000000001</v>
      </c>
      <c r="K42" s="96">
        <f>VLOOKUP(A42,Generators!$A:$O,15,FALSE)</f>
        <v>12.720815999999999</v>
      </c>
      <c r="M42" s="97"/>
      <c r="N42" s="96" t="str">
        <f t="shared" ca="1" si="1"/>
        <v>False</v>
      </c>
    </row>
    <row r="43" spans="1:14" x14ac:dyDescent="0.35">
      <c r="A43" s="191" t="s">
        <v>520</v>
      </c>
      <c r="B43" s="97" t="str">
        <f>VLOOKUP(A43,Generators!$A$2:$AZ$1016,MATCH('Unique Generator Objects'!$B$1,Generators!$A$1:$AZ$1,0),FALSE)</f>
        <v>hydro-PHS</v>
      </c>
      <c r="C43" s="97" t="str">
        <f t="shared" si="0"/>
        <v>San Fiorano</v>
      </c>
      <c r="D43" s="97" t="s">
        <v>2887</v>
      </c>
      <c r="E43" s="96" t="str">
        <f>VLOOKUP(A43,Generators!$A$2:$BC$122,MATCH(Generators!$I$1,Generators!$A$1:$BC$1,0),FALSE)</f>
        <v>IT</v>
      </c>
      <c r="G43" s="96" t="str">
        <f ca="1">VLOOKUP('Unique Generator Objects'!A43,'Generator-Storage Assignment'!$A$2:$K$200,2,FALSE) &amp; IF(VLOOKUP('Unique Generator Objects'!A43,'Generator-Storage Assignment'!$A$2:$K$200,3,FALSE)="","",";" &amp; VLOOKUP('Unique Generator Objects'!A43,'Generator-Storage Assignment'!$A$2:$K$200,3,FALSE))&amp; IF(VLOOKUP('Unique Generator Objects'!A43,'Generator-Storage Assignment'!$A$2:$K$200,4,FALSE)="","",";" &amp; VLOOKUP('Unique Generator Objects'!A43,'Generator-Storage Assignment'!$A$2:$K$200,4,FALSE))&amp; IF(VLOOKUP('Unique Generator Objects'!A43,'Generator-Storage Assignment'!$A$2:$K$200,5,FALSE)="","",";" &amp; VLOOKUP('Unique Generator Objects'!A43,'Generator-Storage Assignment'!$A$2:$K$200,5,FALSE))&amp; IF(VLOOKUP('Unique Generator Objects'!A43,'Generator-Storage Assignment'!$A$2:$K$200,6,FALSE)="","",";" &amp; VLOOKUP('Unique Generator Objects'!A43,'Generator-Storage Assignment'!$A$2:$K$200,6,FALSE))&amp; IF(VLOOKUP('Unique Generator Objects'!A43,'Generator-Storage Assignment'!$A$2:$K$200,7,FALSE)="","",";" &amp; VLOOKUP('Unique Generator Objects'!A43,'Generator-Storage Assignment'!$A$2:$K$200,7,FALSE))&amp; IF(VLOOKUP('Unique Generator Objects'!A43,'Generator-Storage Assignment'!$A$2:$K$200,8,FALSE)="","",";" &amp; VLOOKUP('Unique Generator Objects'!A43,'Generator-Storage Assignment'!$A$2:$K$200,8,FALSE))&amp; IF(VLOOKUP('Unique Generator Objects'!A43,'Generator-Storage Assignment'!$A$2:$K$200,9,FALSE)="","",";" &amp; VLOOKUP('Unique Generator Objects'!A43,'Generator-Storage Assignment'!$A$2:$K$200,9,FALSE))</f>
        <v>Lago d'Arno</v>
      </c>
      <c r="H43" s="96" t="str">
        <f ca="1">VLOOKUP('Unique Generator Objects'!A43,'Generator-Storage Assignment'!$A$2:$L$200,12,FALSE)</f>
        <v>Sellero</v>
      </c>
      <c r="J43" s="96">
        <f>VLOOKUP(A43,Generators!$A:$O,14,FALSE)</f>
        <v>46.044199999999996</v>
      </c>
      <c r="K43" s="96">
        <f>VLOOKUP(A43,Generators!$A:$O,15,FALSE)</f>
        <v>10.3521</v>
      </c>
      <c r="M43" s="97"/>
      <c r="N43" s="96" t="str">
        <f t="shared" ca="1" si="1"/>
        <v>False</v>
      </c>
    </row>
    <row r="44" spans="1:14" x14ac:dyDescent="0.35">
      <c r="A44" s="191" t="s">
        <v>2327</v>
      </c>
      <c r="B44" s="97" t="str">
        <f>VLOOKUP(A44,Generators!$A$2:$AZ$1016,MATCH('Unique Generator Objects'!$B$1,Generators!$A$1:$AZ$1,0),FALSE)</f>
        <v>hydro-STO</v>
      </c>
      <c r="C44" s="97" t="str">
        <f t="shared" si="0"/>
        <v>La Bathie</v>
      </c>
      <c r="D44" s="97" t="s">
        <v>2887</v>
      </c>
      <c r="E44" s="96" t="str">
        <f>VLOOKUP(A44,Generators!$A$2:$BC$122,MATCH(Generators!$I$1,Generators!$A$1:$BC$1,0),FALSE)</f>
        <v>FR</v>
      </c>
      <c r="G44" s="96" t="str">
        <f ca="1">VLOOKUP('Unique Generator Objects'!A44,'Generator-Storage Assignment'!$A$2:$K$200,2,FALSE) &amp; IF(VLOOKUP('Unique Generator Objects'!A44,'Generator-Storage Assignment'!$A$2:$K$200,3,FALSE)="","",";" &amp; VLOOKUP('Unique Generator Objects'!A44,'Generator-Storage Assignment'!$A$2:$K$200,3,FALSE))&amp; IF(VLOOKUP('Unique Generator Objects'!A44,'Generator-Storage Assignment'!$A$2:$K$200,4,FALSE)="","",";" &amp; VLOOKUP('Unique Generator Objects'!A44,'Generator-Storage Assignment'!$A$2:$K$200,4,FALSE))&amp; IF(VLOOKUP('Unique Generator Objects'!A44,'Generator-Storage Assignment'!$A$2:$K$200,5,FALSE)="","",";" &amp; VLOOKUP('Unique Generator Objects'!A44,'Generator-Storage Assignment'!$A$2:$K$200,5,FALSE))&amp; IF(VLOOKUP('Unique Generator Objects'!A44,'Generator-Storage Assignment'!$A$2:$K$200,6,FALSE)="","",";" &amp; VLOOKUP('Unique Generator Objects'!A44,'Generator-Storage Assignment'!$A$2:$K$200,6,FALSE))&amp; IF(VLOOKUP('Unique Generator Objects'!A44,'Generator-Storage Assignment'!$A$2:$K$200,7,FALSE)="","",";" &amp; VLOOKUP('Unique Generator Objects'!A44,'Generator-Storage Assignment'!$A$2:$K$200,7,FALSE))&amp; IF(VLOOKUP('Unique Generator Objects'!A44,'Generator-Storage Assignment'!$A$2:$K$200,8,FALSE)="","",";" &amp; VLOOKUP('Unique Generator Objects'!A44,'Generator-Storage Assignment'!$A$2:$K$200,8,FALSE))&amp; IF(VLOOKUP('Unique Generator Objects'!A44,'Generator-Storage Assignment'!$A$2:$K$200,9,FALSE)="","",";" &amp; VLOOKUP('Unique Generator Objects'!A44,'Generator-Storage Assignment'!$A$2:$K$200,9,FALSE))</f>
        <v>Roselend</v>
      </c>
      <c r="H44" s="96" t="str">
        <f ca="1">VLOOKUP('Unique Generator Objects'!A44,'Generator-Storage Assignment'!$A$2:$L$200,12,FALSE)</f>
        <v>La Bathie_lower</v>
      </c>
      <c r="J44" s="96">
        <f>VLOOKUP(A44,Generators!$A:$O,14,FALSE)</f>
        <v>45.685437</v>
      </c>
      <c r="K44" s="96">
        <f>VLOOKUP(A44,Generators!$A:$O,15,FALSE)</f>
        <v>6.6224970000000001</v>
      </c>
      <c r="M44" s="97"/>
      <c r="N44" s="96" t="str">
        <f t="shared" ca="1" si="1"/>
        <v>False</v>
      </c>
    </row>
    <row r="45" spans="1:14" x14ac:dyDescent="0.35">
      <c r="A45" s="191" t="s">
        <v>2777</v>
      </c>
      <c r="B45" s="97" t="str">
        <f>VLOOKUP(A45,Generators!$A$2:$AZ$1016,MATCH('Unique Generator Objects'!$B$1,Generators!$A$1:$AZ$1,0),FALSE)</f>
        <v>hydro-PHS</v>
      </c>
      <c r="C45" s="97" t="str">
        <f t="shared" si="0"/>
        <v>Kops II</v>
      </c>
      <c r="D45" s="97" t="s">
        <v>2887</v>
      </c>
      <c r="E45" s="96" t="str">
        <f>VLOOKUP(A45,Generators!$A$2:$BC$122,MATCH(Generators!$I$1,Generators!$A$1:$BC$1,0),FALSE)</f>
        <v>AT</v>
      </c>
      <c r="G45" s="96" t="str">
        <f ca="1">VLOOKUP('Unique Generator Objects'!A45,'Generator-Storage Assignment'!$A$2:$K$200,2,FALSE) &amp; IF(VLOOKUP('Unique Generator Objects'!A45,'Generator-Storage Assignment'!$A$2:$K$200,3,FALSE)="","",";" &amp; VLOOKUP('Unique Generator Objects'!A45,'Generator-Storage Assignment'!$A$2:$K$200,3,FALSE))&amp; IF(VLOOKUP('Unique Generator Objects'!A45,'Generator-Storage Assignment'!$A$2:$K$200,4,FALSE)="","",";" &amp; VLOOKUP('Unique Generator Objects'!A45,'Generator-Storage Assignment'!$A$2:$K$200,4,FALSE))&amp; IF(VLOOKUP('Unique Generator Objects'!A45,'Generator-Storage Assignment'!$A$2:$K$200,5,FALSE)="","",";" &amp; VLOOKUP('Unique Generator Objects'!A45,'Generator-Storage Assignment'!$A$2:$K$200,5,FALSE))&amp; IF(VLOOKUP('Unique Generator Objects'!A45,'Generator-Storage Assignment'!$A$2:$K$200,6,FALSE)="","",";" &amp; VLOOKUP('Unique Generator Objects'!A45,'Generator-Storage Assignment'!$A$2:$K$200,6,FALSE))&amp; IF(VLOOKUP('Unique Generator Objects'!A45,'Generator-Storage Assignment'!$A$2:$K$200,7,FALSE)="","",";" &amp; VLOOKUP('Unique Generator Objects'!A45,'Generator-Storage Assignment'!$A$2:$K$200,7,FALSE))&amp; IF(VLOOKUP('Unique Generator Objects'!A45,'Generator-Storage Assignment'!$A$2:$K$200,8,FALSE)="","",";" &amp; VLOOKUP('Unique Generator Objects'!A45,'Generator-Storage Assignment'!$A$2:$K$200,8,FALSE))&amp; IF(VLOOKUP('Unique Generator Objects'!A45,'Generator-Storage Assignment'!$A$2:$K$200,9,FALSE)="","",";" &amp; VLOOKUP('Unique Generator Objects'!A45,'Generator-Storage Assignment'!$A$2:$K$200,9,FALSE))</f>
        <v>Kops</v>
      </c>
      <c r="H45" s="96" t="str">
        <f ca="1">VLOOKUP('Unique Generator Objects'!A45,'Generator-Storage Assignment'!$A$2:$L$200,12,FALSE)</f>
        <v>Rifa</v>
      </c>
      <c r="J45" s="96">
        <f>VLOOKUP(A45,Generators!$A:$O,14,FALSE)</f>
        <v>46.975805000000001</v>
      </c>
      <c r="K45" s="96">
        <f>VLOOKUP(A45,Generators!$A:$O,15,FALSE)</f>
        <v>10.043101999999999</v>
      </c>
      <c r="M45" s="97"/>
      <c r="N45" s="96" t="str">
        <f t="shared" ca="1" si="1"/>
        <v>False</v>
      </c>
    </row>
    <row r="46" spans="1:14" x14ac:dyDescent="0.35">
      <c r="A46" s="191" t="s">
        <v>1889</v>
      </c>
      <c r="B46" s="97" t="str">
        <f>VLOOKUP(A46,Generators!$A$2:$AZ$1016,MATCH('Unique Generator Objects'!$B$1,Generators!$A$1:$AZ$1,0),FALSE)</f>
        <v>hydro-ROR</v>
      </c>
      <c r="C46" s="97" t="str">
        <f t="shared" si="0"/>
        <v>Saucelle</v>
      </c>
      <c r="D46" s="97" t="s">
        <v>2887</v>
      </c>
      <c r="E46" s="96" t="str">
        <f>VLOOKUP(A46,Generators!$A$2:$BC$122,MATCH(Generators!$I$1,Generators!$A$1:$BC$1,0),FALSE)</f>
        <v>ES</v>
      </c>
      <c r="G46" s="96" t="str">
        <f ca="1">VLOOKUP('Unique Generator Objects'!A46,'Generator-Storage Assignment'!$A$2:$K$200,2,FALSE) &amp; IF(VLOOKUP('Unique Generator Objects'!A46,'Generator-Storage Assignment'!$A$2:$K$200,3,FALSE)="","",";" &amp; VLOOKUP('Unique Generator Objects'!A46,'Generator-Storage Assignment'!$A$2:$K$200,3,FALSE))&amp; IF(VLOOKUP('Unique Generator Objects'!A46,'Generator-Storage Assignment'!$A$2:$K$200,4,FALSE)="","",";" &amp; VLOOKUP('Unique Generator Objects'!A46,'Generator-Storage Assignment'!$A$2:$K$200,4,FALSE))&amp; IF(VLOOKUP('Unique Generator Objects'!A46,'Generator-Storage Assignment'!$A$2:$K$200,5,FALSE)="","",";" &amp; VLOOKUP('Unique Generator Objects'!A46,'Generator-Storage Assignment'!$A$2:$K$200,5,FALSE))&amp; IF(VLOOKUP('Unique Generator Objects'!A46,'Generator-Storage Assignment'!$A$2:$K$200,6,FALSE)="","",";" &amp; VLOOKUP('Unique Generator Objects'!A46,'Generator-Storage Assignment'!$A$2:$K$200,6,FALSE))&amp; IF(VLOOKUP('Unique Generator Objects'!A46,'Generator-Storage Assignment'!$A$2:$K$200,7,FALSE)="","",";" &amp; VLOOKUP('Unique Generator Objects'!A46,'Generator-Storage Assignment'!$A$2:$K$200,7,FALSE))&amp; IF(VLOOKUP('Unique Generator Objects'!A46,'Generator-Storage Assignment'!$A$2:$K$200,8,FALSE)="","",";" &amp; VLOOKUP('Unique Generator Objects'!A46,'Generator-Storage Assignment'!$A$2:$K$200,8,FALSE))&amp; IF(VLOOKUP('Unique Generator Objects'!A46,'Generator-Storage Assignment'!$A$2:$K$200,9,FALSE)="","",";" &amp; VLOOKUP('Unique Generator Objects'!A46,'Generator-Storage Assignment'!$A$2:$K$200,9,FALSE))</f>
        <v>Saucelle</v>
      </c>
      <c r="H46" s="96" t="str">
        <f ca="1">VLOOKUP('Unique Generator Objects'!A46,'Generator-Storage Assignment'!$A$2:$L$200,12,FALSE)</f>
        <v>Saucelle_lower</v>
      </c>
      <c r="J46" s="96">
        <f>VLOOKUP(A46,Generators!$A:$O,14,FALSE)</f>
        <v>41.047618999999997</v>
      </c>
      <c r="K46" s="96">
        <f>VLOOKUP(A46,Generators!$A:$O,15,FALSE)</f>
        <v>-6.8040250000000002</v>
      </c>
      <c r="M46" s="97"/>
      <c r="N46" s="96" t="str">
        <f t="shared" ca="1" si="1"/>
        <v>False</v>
      </c>
    </row>
    <row r="47" spans="1:14" x14ac:dyDescent="0.35">
      <c r="A47" s="191" t="s">
        <v>2779</v>
      </c>
      <c r="B47" s="97" t="str">
        <f>VLOOKUP(A47,Generators!$A$2:$AZ$1016,MATCH('Unique Generator Objects'!$B$1,Generators!$A$1:$AZ$1,0),FALSE)</f>
        <v>hydro-PHS</v>
      </c>
      <c r="C47" s="97" t="str">
        <f t="shared" si="0"/>
        <v>Alqueva I II</v>
      </c>
      <c r="D47" s="97" t="s">
        <v>2887</v>
      </c>
      <c r="E47" s="96" t="str">
        <f>VLOOKUP(A47,Generators!$A$2:$BC$122,MATCH(Generators!$I$1,Generators!$A$1:$BC$1,0),FALSE)</f>
        <v>PT</v>
      </c>
      <c r="G47" s="96" t="str">
        <f ca="1">VLOOKUP('Unique Generator Objects'!A47,'Generator-Storage Assignment'!$A$2:$K$200,2,FALSE) &amp; IF(VLOOKUP('Unique Generator Objects'!A47,'Generator-Storage Assignment'!$A$2:$K$200,3,FALSE)="","",";" &amp; VLOOKUP('Unique Generator Objects'!A47,'Generator-Storage Assignment'!$A$2:$K$200,3,FALSE))&amp; IF(VLOOKUP('Unique Generator Objects'!A47,'Generator-Storage Assignment'!$A$2:$K$200,4,FALSE)="","",";" &amp; VLOOKUP('Unique Generator Objects'!A47,'Generator-Storage Assignment'!$A$2:$K$200,4,FALSE))&amp; IF(VLOOKUP('Unique Generator Objects'!A47,'Generator-Storage Assignment'!$A$2:$K$200,5,FALSE)="","",";" &amp; VLOOKUP('Unique Generator Objects'!A47,'Generator-Storage Assignment'!$A$2:$K$200,5,FALSE))&amp; IF(VLOOKUP('Unique Generator Objects'!A47,'Generator-Storage Assignment'!$A$2:$K$200,6,FALSE)="","",";" &amp; VLOOKUP('Unique Generator Objects'!A47,'Generator-Storage Assignment'!$A$2:$K$200,6,FALSE))&amp; IF(VLOOKUP('Unique Generator Objects'!A47,'Generator-Storage Assignment'!$A$2:$K$200,7,FALSE)="","",";" &amp; VLOOKUP('Unique Generator Objects'!A47,'Generator-Storage Assignment'!$A$2:$K$200,7,FALSE))&amp; IF(VLOOKUP('Unique Generator Objects'!A47,'Generator-Storage Assignment'!$A$2:$K$200,8,FALSE)="","",";" &amp; VLOOKUP('Unique Generator Objects'!A47,'Generator-Storage Assignment'!$A$2:$K$200,8,FALSE))&amp; IF(VLOOKUP('Unique Generator Objects'!A47,'Generator-Storage Assignment'!$A$2:$K$200,9,FALSE)="","",";" &amp; VLOOKUP('Unique Generator Objects'!A47,'Generator-Storage Assignment'!$A$2:$K$200,9,FALSE))</f>
        <v>Alqueva</v>
      </c>
      <c r="H47" s="96" t="str">
        <f ca="1">VLOOKUP('Unique Generator Objects'!A47,'Generator-Storage Assignment'!$A$2:$L$200,12,FALSE)</f>
        <v>Pedrogao</v>
      </c>
      <c r="J47" s="96">
        <f>VLOOKUP(A47,Generators!$A:$O,14,FALSE)</f>
        <v>38.195562000000002</v>
      </c>
      <c r="K47" s="96">
        <f>VLOOKUP(A47,Generators!$A:$O,15,FALSE)</f>
        <v>-7.4977080000000003</v>
      </c>
      <c r="M47" s="97"/>
      <c r="N47" s="96" t="str">
        <f t="shared" ca="1" si="1"/>
        <v>False</v>
      </c>
    </row>
    <row r="48" spans="1:14" x14ac:dyDescent="0.35">
      <c r="A48" s="192" t="s">
        <v>843</v>
      </c>
      <c r="B48" s="97" t="str">
        <f>VLOOKUP(A48,Generators!$A$2:$AZ$1016,MATCH('Unique Generator Objects'!$B$1,Generators!$A$1:$AZ$1,0),FALSE)</f>
        <v>hydro-STO</v>
      </c>
      <c r="C48" s="97" t="str">
        <f t="shared" si="0"/>
        <v>Ciunget</v>
      </c>
      <c r="D48" s="97" t="s">
        <v>2887</v>
      </c>
      <c r="E48" s="96" t="str">
        <f>VLOOKUP(A48,Generators!$A$2:$BC$122,MATCH(Generators!$I$1,Generators!$A$1:$BC$1,0),FALSE)</f>
        <v>RO</v>
      </c>
      <c r="G48" s="96" t="str">
        <f ca="1">VLOOKUP('Unique Generator Objects'!A48,'Generator-Storage Assignment'!$A$2:$K$200,2,FALSE) &amp; IF(VLOOKUP('Unique Generator Objects'!A48,'Generator-Storage Assignment'!$A$2:$K$200,3,FALSE)="","",";" &amp; VLOOKUP('Unique Generator Objects'!A48,'Generator-Storage Assignment'!$A$2:$K$200,3,FALSE))&amp; IF(VLOOKUP('Unique Generator Objects'!A48,'Generator-Storage Assignment'!$A$2:$K$200,4,FALSE)="","",";" &amp; VLOOKUP('Unique Generator Objects'!A48,'Generator-Storage Assignment'!$A$2:$K$200,4,FALSE))&amp; IF(VLOOKUP('Unique Generator Objects'!A48,'Generator-Storage Assignment'!$A$2:$K$200,5,FALSE)="","",";" &amp; VLOOKUP('Unique Generator Objects'!A48,'Generator-Storage Assignment'!$A$2:$K$200,5,FALSE))&amp; IF(VLOOKUP('Unique Generator Objects'!A48,'Generator-Storage Assignment'!$A$2:$K$200,6,FALSE)="","",";" &amp; VLOOKUP('Unique Generator Objects'!A48,'Generator-Storage Assignment'!$A$2:$K$200,6,FALSE))&amp; IF(VLOOKUP('Unique Generator Objects'!A48,'Generator-Storage Assignment'!$A$2:$K$200,7,FALSE)="","",";" &amp; VLOOKUP('Unique Generator Objects'!A48,'Generator-Storage Assignment'!$A$2:$K$200,7,FALSE))&amp; IF(VLOOKUP('Unique Generator Objects'!A48,'Generator-Storage Assignment'!$A$2:$K$200,8,FALSE)="","",";" &amp; VLOOKUP('Unique Generator Objects'!A48,'Generator-Storage Assignment'!$A$2:$K$200,8,FALSE))&amp; IF(VLOOKUP('Unique Generator Objects'!A48,'Generator-Storage Assignment'!$A$2:$K$200,9,FALSE)="","",";" &amp; VLOOKUP('Unique Generator Objects'!A48,'Generator-Storage Assignment'!$A$2:$K$200,9,FALSE))</f>
        <v xml:space="preserve">Vidra </v>
      </c>
      <c r="H48" s="96" t="str">
        <f ca="1">VLOOKUP('Unique Generator Objects'!A48,'Generator-Storage Assignment'!$A$2:$L$200,12,FALSE)</f>
        <v>Ciunget_lower</v>
      </c>
      <c r="J48" s="96">
        <f>VLOOKUP(A48,Generators!$A:$O,14,FALSE)</f>
        <v>45.447004999999997</v>
      </c>
      <c r="K48" s="96">
        <f>VLOOKUP(A48,Generators!$A:$O,15,FALSE)</f>
        <v>23.768191000000002</v>
      </c>
      <c r="M48" s="97"/>
      <c r="N48" s="96" t="str">
        <f t="shared" ca="1" si="1"/>
        <v>False</v>
      </c>
    </row>
    <row r="49" spans="1:14" x14ac:dyDescent="0.35">
      <c r="A49" s="191" t="s">
        <v>34</v>
      </c>
      <c r="B49" s="97" t="str">
        <f>VLOOKUP(A49,Generators!$A$2:$AZ$1016,MATCH('Unique Generator Objects'!$B$1,Generators!$A$1:$AZ$1,0),FALSE)</f>
        <v>hydro-STO</v>
      </c>
      <c r="C49" s="97" t="str">
        <f t="shared" si="0"/>
        <v>Silz</v>
      </c>
      <c r="D49" s="97" t="s">
        <v>2887</v>
      </c>
      <c r="E49" s="96" t="str">
        <f>VLOOKUP(A49,Generators!$A$2:$BC$122,MATCH(Generators!$I$1,Generators!$A$1:$BC$1,0),FALSE)</f>
        <v>AT</v>
      </c>
      <c r="G49" s="96" t="str">
        <f ca="1">VLOOKUP('Unique Generator Objects'!A49,'Generator-Storage Assignment'!$A$2:$K$200,2,FALSE) &amp; IF(VLOOKUP('Unique Generator Objects'!A49,'Generator-Storage Assignment'!$A$2:$K$200,3,FALSE)="","",";" &amp; VLOOKUP('Unique Generator Objects'!A49,'Generator-Storage Assignment'!$A$2:$K$200,3,FALSE))&amp; IF(VLOOKUP('Unique Generator Objects'!A49,'Generator-Storage Assignment'!$A$2:$K$200,4,FALSE)="","",";" &amp; VLOOKUP('Unique Generator Objects'!A49,'Generator-Storage Assignment'!$A$2:$K$200,4,FALSE))&amp; IF(VLOOKUP('Unique Generator Objects'!A49,'Generator-Storage Assignment'!$A$2:$K$200,5,FALSE)="","",";" &amp; VLOOKUP('Unique Generator Objects'!A49,'Generator-Storage Assignment'!$A$2:$K$200,5,FALSE))&amp; IF(VLOOKUP('Unique Generator Objects'!A49,'Generator-Storage Assignment'!$A$2:$K$200,6,FALSE)="","",";" &amp; VLOOKUP('Unique Generator Objects'!A49,'Generator-Storage Assignment'!$A$2:$K$200,6,FALSE))&amp; IF(VLOOKUP('Unique Generator Objects'!A49,'Generator-Storage Assignment'!$A$2:$K$200,7,FALSE)="","",";" &amp; VLOOKUP('Unique Generator Objects'!A49,'Generator-Storage Assignment'!$A$2:$K$200,7,FALSE))&amp; IF(VLOOKUP('Unique Generator Objects'!A49,'Generator-Storage Assignment'!$A$2:$K$200,8,FALSE)="","",";" &amp; VLOOKUP('Unique Generator Objects'!A49,'Generator-Storage Assignment'!$A$2:$K$200,8,FALSE))&amp; IF(VLOOKUP('Unique Generator Objects'!A49,'Generator-Storage Assignment'!$A$2:$K$200,9,FALSE)="","",";" &amp; VLOOKUP('Unique Generator Objects'!A49,'Generator-Storage Assignment'!$A$2:$K$200,9,FALSE))</f>
        <v>Laengental</v>
      </c>
      <c r="H49" s="96" t="str">
        <f ca="1">VLOOKUP('Unique Generator Objects'!A49,'Generator-Storage Assignment'!$A$2:$L$200,12,FALSE)</f>
        <v>Silz_lower</v>
      </c>
      <c r="J49" s="96">
        <f>VLOOKUP(A49,Generators!$A:$O,14,FALSE)</f>
        <v>47.269798000000002</v>
      </c>
      <c r="K49" s="96">
        <f>VLOOKUP(A49,Generators!$A:$O,15,FALSE)</f>
        <v>10.967834</v>
      </c>
      <c r="M49" s="97"/>
      <c r="N49" s="96" t="str">
        <f t="shared" ca="1" si="1"/>
        <v>False</v>
      </c>
    </row>
    <row r="50" spans="1:14" x14ac:dyDescent="0.35">
      <c r="A50" s="191" t="s">
        <v>2476</v>
      </c>
      <c r="B50" s="97" t="str">
        <f>VLOOKUP(A50,Generators!$A$2:$AZ$1016,MATCH('Unique Generator Objects'!$B$1,Generators!$A$1:$AZ$1,0),FALSE)</f>
        <v>hydro-PHS</v>
      </c>
      <c r="C50" s="97" t="str">
        <f t="shared" si="0"/>
        <v>Anapo</v>
      </c>
      <c r="D50" s="97" t="s">
        <v>2887</v>
      </c>
      <c r="E50" s="96" t="str">
        <f>VLOOKUP(A50,Generators!$A$2:$BC$122,MATCH(Generators!$I$1,Generators!$A$1:$BC$1,0),FALSE)</f>
        <v>IT</v>
      </c>
      <c r="G50" s="96" t="str">
        <f ca="1">VLOOKUP('Unique Generator Objects'!A50,'Generator-Storage Assignment'!$A$2:$K$200,2,FALSE) &amp; IF(VLOOKUP('Unique Generator Objects'!A50,'Generator-Storage Assignment'!$A$2:$K$200,3,FALSE)="","",";" &amp; VLOOKUP('Unique Generator Objects'!A50,'Generator-Storage Assignment'!$A$2:$K$200,3,FALSE))&amp; IF(VLOOKUP('Unique Generator Objects'!A50,'Generator-Storage Assignment'!$A$2:$K$200,4,FALSE)="","",";" &amp; VLOOKUP('Unique Generator Objects'!A50,'Generator-Storage Assignment'!$A$2:$K$200,4,FALSE))&amp; IF(VLOOKUP('Unique Generator Objects'!A50,'Generator-Storage Assignment'!$A$2:$K$200,5,FALSE)="","",";" &amp; VLOOKUP('Unique Generator Objects'!A50,'Generator-Storage Assignment'!$A$2:$K$200,5,FALSE))&amp; IF(VLOOKUP('Unique Generator Objects'!A50,'Generator-Storage Assignment'!$A$2:$K$200,6,FALSE)="","",";" &amp; VLOOKUP('Unique Generator Objects'!A50,'Generator-Storage Assignment'!$A$2:$K$200,6,FALSE))&amp; IF(VLOOKUP('Unique Generator Objects'!A50,'Generator-Storage Assignment'!$A$2:$K$200,7,FALSE)="","",";" &amp; VLOOKUP('Unique Generator Objects'!A50,'Generator-Storage Assignment'!$A$2:$K$200,7,FALSE))&amp; IF(VLOOKUP('Unique Generator Objects'!A50,'Generator-Storage Assignment'!$A$2:$K$200,8,FALSE)="","",";" &amp; VLOOKUP('Unique Generator Objects'!A50,'Generator-Storage Assignment'!$A$2:$K$200,8,FALSE))&amp; IF(VLOOKUP('Unique Generator Objects'!A50,'Generator-Storage Assignment'!$A$2:$K$200,9,FALSE)="","",";" &amp; VLOOKUP('Unique Generator Objects'!A50,'Generator-Storage Assignment'!$A$2:$K$200,9,FALSE))</f>
        <v>Anapo upper reservoir</v>
      </c>
      <c r="H50" s="96" t="str">
        <f ca="1">VLOOKUP('Unique Generator Objects'!A50,'Generator-Storage Assignment'!$A$2:$L$200,12,FALSE)</f>
        <v>Anapo lower reservoir</v>
      </c>
      <c r="J50" s="96">
        <f>VLOOKUP(A50,Generators!$A:$O,14,FALSE)</f>
        <v>37.118299999999998</v>
      </c>
      <c r="K50" s="96">
        <f>VLOOKUP(A50,Generators!$A:$O,15,FALSE)</f>
        <v>15.1394</v>
      </c>
      <c r="M50" s="97"/>
      <c r="N50" s="96" t="str">
        <f t="shared" ca="1" si="1"/>
        <v>False</v>
      </c>
    </row>
    <row r="51" spans="1:14" x14ac:dyDescent="0.35">
      <c r="A51" s="191" t="s">
        <v>2478</v>
      </c>
      <c r="B51" s="97" t="str">
        <f>VLOOKUP(A51,Generators!$A$2:$AZ$1016,MATCH('Unique Generator Objects'!$B$1,Generators!$A$1:$AZ$1,0),FALSE)</f>
        <v>hydro-PHS</v>
      </c>
      <c r="C51" s="97" t="str">
        <f t="shared" si="0"/>
        <v>Porabka-zar</v>
      </c>
      <c r="D51" s="97" t="s">
        <v>2887</v>
      </c>
      <c r="E51" s="96" t="str">
        <f>VLOOKUP(A51,Generators!$A$2:$BC$122,MATCH(Generators!$I$1,Generators!$A$1:$BC$1,0),FALSE)</f>
        <v>PL</v>
      </c>
      <c r="G51" s="96" t="str">
        <f ca="1">VLOOKUP('Unique Generator Objects'!A51,'Generator-Storage Assignment'!$A$2:$K$200,2,FALSE) &amp; IF(VLOOKUP('Unique Generator Objects'!A51,'Generator-Storage Assignment'!$A$2:$K$200,3,FALSE)="","",";" &amp; VLOOKUP('Unique Generator Objects'!A51,'Generator-Storage Assignment'!$A$2:$K$200,3,FALSE))&amp; IF(VLOOKUP('Unique Generator Objects'!A51,'Generator-Storage Assignment'!$A$2:$K$200,4,FALSE)="","",";" &amp; VLOOKUP('Unique Generator Objects'!A51,'Generator-Storage Assignment'!$A$2:$K$200,4,FALSE))&amp; IF(VLOOKUP('Unique Generator Objects'!A51,'Generator-Storage Assignment'!$A$2:$K$200,5,FALSE)="","",";" &amp; VLOOKUP('Unique Generator Objects'!A51,'Generator-Storage Assignment'!$A$2:$K$200,5,FALSE))&amp; IF(VLOOKUP('Unique Generator Objects'!A51,'Generator-Storage Assignment'!$A$2:$K$200,6,FALSE)="","",";" &amp; VLOOKUP('Unique Generator Objects'!A51,'Generator-Storage Assignment'!$A$2:$K$200,6,FALSE))&amp; IF(VLOOKUP('Unique Generator Objects'!A51,'Generator-Storage Assignment'!$A$2:$K$200,7,FALSE)="","",";" &amp; VLOOKUP('Unique Generator Objects'!A51,'Generator-Storage Assignment'!$A$2:$K$200,7,FALSE))&amp; IF(VLOOKUP('Unique Generator Objects'!A51,'Generator-Storage Assignment'!$A$2:$K$200,8,FALSE)="","",";" &amp; VLOOKUP('Unique Generator Objects'!A51,'Generator-Storage Assignment'!$A$2:$K$200,8,FALSE))&amp; IF(VLOOKUP('Unique Generator Objects'!A51,'Generator-Storage Assignment'!$A$2:$K$200,9,FALSE)="","",";" &amp; VLOOKUP('Unique Generator Objects'!A51,'Generator-Storage Assignment'!$A$2:$K$200,9,FALSE))</f>
        <v>Zar</v>
      </c>
      <c r="H51" s="96" t="str">
        <f ca="1">VLOOKUP('Unique Generator Objects'!A51,'Generator-Storage Assignment'!$A$2:$L$200,12,FALSE)</f>
        <v>Miedzybrodzie</v>
      </c>
      <c r="J51" s="96">
        <f>VLOOKUP(A51,Generators!$A:$O,14,FALSE)</f>
        <v>49.780391000000002</v>
      </c>
      <c r="K51" s="96">
        <f>VLOOKUP(A51,Generators!$A:$O,15,FALSE)</f>
        <v>19.211573000000001</v>
      </c>
      <c r="M51" s="97"/>
      <c r="N51" s="96" t="str">
        <f t="shared" ca="1" si="1"/>
        <v>False</v>
      </c>
    </row>
    <row r="52" spans="1:14" x14ac:dyDescent="0.35">
      <c r="A52" s="191" t="s">
        <v>2780</v>
      </c>
      <c r="B52" s="97" t="str">
        <f>VLOOKUP(A52,Generators!$A$2:$AZ$1016,MATCH('Unique Generator Objects'!$B$1,Generators!$A$1:$AZ$1,0),FALSE)</f>
        <v>hydro-PHS</v>
      </c>
      <c r="C52" s="97" t="str">
        <f t="shared" si="0"/>
        <v>Rodundwerk I II</v>
      </c>
      <c r="D52" s="97" t="s">
        <v>2887</v>
      </c>
      <c r="E52" s="96" t="str">
        <f>VLOOKUP(A52,Generators!$A$2:$BC$122,MATCH(Generators!$I$1,Generators!$A$1:$BC$1,0),FALSE)</f>
        <v>AT</v>
      </c>
      <c r="G52" s="96" t="str">
        <f ca="1">VLOOKUP('Unique Generator Objects'!A52,'Generator-Storage Assignment'!$A$2:$K$200,2,FALSE) &amp; IF(VLOOKUP('Unique Generator Objects'!A52,'Generator-Storage Assignment'!$A$2:$K$200,3,FALSE)="","",";" &amp; VLOOKUP('Unique Generator Objects'!A52,'Generator-Storage Assignment'!$A$2:$K$200,3,FALSE))&amp; IF(VLOOKUP('Unique Generator Objects'!A52,'Generator-Storage Assignment'!$A$2:$K$200,4,FALSE)="","",";" &amp; VLOOKUP('Unique Generator Objects'!A52,'Generator-Storage Assignment'!$A$2:$K$200,4,FALSE))&amp; IF(VLOOKUP('Unique Generator Objects'!A52,'Generator-Storage Assignment'!$A$2:$K$200,5,FALSE)="","",";" &amp; VLOOKUP('Unique Generator Objects'!A52,'Generator-Storage Assignment'!$A$2:$K$200,5,FALSE))&amp; IF(VLOOKUP('Unique Generator Objects'!A52,'Generator-Storage Assignment'!$A$2:$K$200,6,FALSE)="","",";" &amp; VLOOKUP('Unique Generator Objects'!A52,'Generator-Storage Assignment'!$A$2:$K$200,6,FALSE))&amp; IF(VLOOKUP('Unique Generator Objects'!A52,'Generator-Storage Assignment'!$A$2:$K$200,7,FALSE)="","",";" &amp; VLOOKUP('Unique Generator Objects'!A52,'Generator-Storage Assignment'!$A$2:$K$200,7,FALSE))&amp; IF(VLOOKUP('Unique Generator Objects'!A52,'Generator-Storage Assignment'!$A$2:$K$200,8,FALSE)="","",";" &amp; VLOOKUP('Unique Generator Objects'!A52,'Generator-Storage Assignment'!$A$2:$K$200,8,FALSE))&amp; IF(VLOOKUP('Unique Generator Objects'!A52,'Generator-Storage Assignment'!$A$2:$K$200,9,FALSE)="","",";" &amp; VLOOKUP('Unique Generator Objects'!A52,'Generator-Storage Assignment'!$A$2:$K$200,9,FALSE))</f>
        <v>Latschau</v>
      </c>
      <c r="H52" s="96" t="str">
        <f ca="1">VLOOKUP('Unique Generator Objects'!A52,'Generator-Storage Assignment'!$A$2:$L$200,12,FALSE)</f>
        <v>Rodund</v>
      </c>
      <c r="J52" s="96">
        <f>VLOOKUP(A52,Generators!$A:$O,14,FALSE)</f>
        <v>47.085109000000003</v>
      </c>
      <c r="K52" s="96">
        <f>VLOOKUP(A52,Generators!$A:$O,15,FALSE)</f>
        <v>9.8812890000000007</v>
      </c>
      <c r="M52" s="97"/>
      <c r="N52" s="96" t="str">
        <f t="shared" ca="1" si="1"/>
        <v>False</v>
      </c>
    </row>
    <row r="53" spans="1:14" x14ac:dyDescent="0.35">
      <c r="A53" s="191" t="s">
        <v>2342</v>
      </c>
      <c r="B53" s="97" t="str">
        <f>VLOOKUP(A53,Generators!$A$2:$AZ$1016,MATCH('Unique Generator Objects'!$B$1,Generators!$A$1:$AZ$1,0),FALSE)</f>
        <v>hydro-ROR</v>
      </c>
      <c r="C53" s="97" t="str">
        <f t="shared" si="0"/>
        <v xml:space="preserve">Zakucac </v>
      </c>
      <c r="D53" s="97" t="s">
        <v>2887</v>
      </c>
      <c r="E53" s="96" t="str">
        <f>VLOOKUP(A53,Generators!$A$2:$BC$122,MATCH(Generators!$I$1,Generators!$A$1:$BC$1,0),FALSE)</f>
        <v>HR</v>
      </c>
      <c r="G53" s="96" t="str">
        <f ca="1">VLOOKUP('Unique Generator Objects'!A53,'Generator-Storage Assignment'!$A$2:$K$200,2,FALSE) &amp; IF(VLOOKUP('Unique Generator Objects'!A53,'Generator-Storage Assignment'!$A$2:$K$200,3,FALSE)="","",";" &amp; VLOOKUP('Unique Generator Objects'!A53,'Generator-Storage Assignment'!$A$2:$K$200,3,FALSE))&amp; IF(VLOOKUP('Unique Generator Objects'!A53,'Generator-Storage Assignment'!$A$2:$K$200,4,FALSE)="","",";" &amp; VLOOKUP('Unique Generator Objects'!A53,'Generator-Storage Assignment'!$A$2:$K$200,4,FALSE))&amp; IF(VLOOKUP('Unique Generator Objects'!A53,'Generator-Storage Assignment'!$A$2:$K$200,5,FALSE)="","",";" &amp; VLOOKUP('Unique Generator Objects'!A53,'Generator-Storage Assignment'!$A$2:$K$200,5,FALSE))&amp; IF(VLOOKUP('Unique Generator Objects'!A53,'Generator-Storage Assignment'!$A$2:$K$200,6,FALSE)="","",";" &amp; VLOOKUP('Unique Generator Objects'!A53,'Generator-Storage Assignment'!$A$2:$K$200,6,FALSE))&amp; IF(VLOOKUP('Unique Generator Objects'!A53,'Generator-Storage Assignment'!$A$2:$K$200,7,FALSE)="","",";" &amp; VLOOKUP('Unique Generator Objects'!A53,'Generator-Storage Assignment'!$A$2:$K$200,7,FALSE))&amp; IF(VLOOKUP('Unique Generator Objects'!A53,'Generator-Storage Assignment'!$A$2:$K$200,8,FALSE)="","",";" &amp; VLOOKUP('Unique Generator Objects'!A53,'Generator-Storage Assignment'!$A$2:$K$200,8,FALSE))&amp; IF(VLOOKUP('Unique Generator Objects'!A53,'Generator-Storage Assignment'!$A$2:$K$200,9,FALSE)="","",";" &amp; VLOOKUP('Unique Generator Objects'!A53,'Generator-Storage Assignment'!$A$2:$K$200,9,FALSE))</f>
        <v>Zakucac</v>
      </c>
      <c r="H53" s="96" t="str">
        <f ca="1">VLOOKUP('Unique Generator Objects'!A53,'Generator-Storage Assignment'!$A$2:$L$200,12,FALSE)</f>
        <v>Zakucac _lower</v>
      </c>
      <c r="J53" s="96">
        <f>VLOOKUP(A53,Generators!$A:$O,14,FALSE)</f>
        <v>43.458100000000002</v>
      </c>
      <c r="K53" s="96">
        <f>VLOOKUP(A53,Generators!$A:$O,15,FALSE)</f>
        <v>16.7027</v>
      </c>
      <c r="M53" s="97"/>
      <c r="N53" s="96" t="str">
        <f t="shared" ca="1" si="1"/>
        <v>False</v>
      </c>
    </row>
    <row r="54" spans="1:14" x14ac:dyDescent="0.35">
      <c r="A54" s="192" t="s">
        <v>742</v>
      </c>
      <c r="B54" s="97" t="str">
        <f>VLOOKUP(A54,Generators!$A$2:$AZ$1016,MATCH('Unique Generator Objects'!$B$1,Generators!$A$1:$AZ$1,0),FALSE)</f>
        <v>hydro-STO</v>
      </c>
      <c r="C54" s="97" t="str">
        <f t="shared" si="0"/>
        <v>Rana</v>
      </c>
      <c r="D54" s="97" t="s">
        <v>2887</v>
      </c>
      <c r="E54" s="96" t="str">
        <f>VLOOKUP(A54,Generators!$A$2:$BC$122,MATCH(Generators!$I$1,Generators!$A$1:$BC$1,0),FALSE)</f>
        <v>NO</v>
      </c>
      <c r="G54" s="96" t="str">
        <f ca="1">VLOOKUP('Unique Generator Objects'!A54,'Generator-Storage Assignment'!$A$2:$K$200,2,FALSE) &amp; IF(VLOOKUP('Unique Generator Objects'!A54,'Generator-Storage Assignment'!$A$2:$K$200,3,FALSE)="","",";" &amp; VLOOKUP('Unique Generator Objects'!A54,'Generator-Storage Assignment'!$A$2:$K$200,3,FALSE))&amp; IF(VLOOKUP('Unique Generator Objects'!A54,'Generator-Storage Assignment'!$A$2:$K$200,4,FALSE)="","",";" &amp; VLOOKUP('Unique Generator Objects'!A54,'Generator-Storage Assignment'!$A$2:$K$200,4,FALSE))&amp; IF(VLOOKUP('Unique Generator Objects'!A54,'Generator-Storage Assignment'!$A$2:$K$200,5,FALSE)="","",";" &amp; VLOOKUP('Unique Generator Objects'!A54,'Generator-Storage Assignment'!$A$2:$K$200,5,FALSE))&amp; IF(VLOOKUP('Unique Generator Objects'!A54,'Generator-Storage Assignment'!$A$2:$K$200,6,FALSE)="","",";" &amp; VLOOKUP('Unique Generator Objects'!A54,'Generator-Storage Assignment'!$A$2:$K$200,6,FALSE))&amp; IF(VLOOKUP('Unique Generator Objects'!A54,'Generator-Storage Assignment'!$A$2:$K$200,7,FALSE)="","",";" &amp; VLOOKUP('Unique Generator Objects'!A54,'Generator-Storage Assignment'!$A$2:$K$200,7,FALSE))&amp; IF(VLOOKUP('Unique Generator Objects'!A54,'Generator-Storage Assignment'!$A$2:$K$200,8,FALSE)="","",";" &amp; VLOOKUP('Unique Generator Objects'!A54,'Generator-Storage Assignment'!$A$2:$K$200,8,FALSE))&amp; IF(VLOOKUP('Unique Generator Objects'!A54,'Generator-Storage Assignment'!$A$2:$K$200,9,FALSE)="","",";" &amp; VLOOKUP('Unique Generator Objects'!A54,'Generator-Storage Assignment'!$A$2:$K$200,9,FALSE))</f>
        <v>Akersvatnet;Kallvatnet;Gresvatnet;Kjensvat</v>
      </c>
      <c r="H54" s="96" t="str">
        <f ca="1">VLOOKUP('Unique Generator Objects'!A54,'Generator-Storage Assignment'!$A$2:$L$200,12,FALSE)</f>
        <v>Rana_lower</v>
      </c>
      <c r="J54" s="96">
        <f>VLOOKUP(A54,Generators!$A:$O,14,FALSE)</f>
        <v>66.302778000000004</v>
      </c>
      <c r="K54" s="96">
        <f>VLOOKUP(A54,Generators!$A:$O,15,FALSE)</f>
        <v>14.260278</v>
      </c>
      <c r="M54" s="97"/>
      <c r="N54" s="96" t="str">
        <f t="shared" ca="1" si="1"/>
        <v>False</v>
      </c>
    </row>
    <row r="55" spans="1:14" x14ac:dyDescent="0.35">
      <c r="A55" s="191" t="s">
        <v>2781</v>
      </c>
      <c r="B55" s="97" t="str">
        <f>VLOOKUP(A55,Generators!$A$2:$AZ$1016,MATCH('Unique Generator Objects'!$B$1,Generators!$A$1:$AZ$1,0),FALSE)</f>
        <v>hydro-PHS</v>
      </c>
      <c r="C55" s="97" t="str">
        <f t="shared" si="0"/>
        <v>Waldeck II</v>
      </c>
      <c r="D55" s="97" t="s">
        <v>2887</v>
      </c>
      <c r="E55" s="96" t="str">
        <f>VLOOKUP(A55,Generators!$A$2:$BC$122,MATCH(Generators!$I$1,Generators!$A$1:$BC$1,0),FALSE)</f>
        <v>DE</v>
      </c>
      <c r="G55" s="96" t="str">
        <f ca="1">VLOOKUP('Unique Generator Objects'!A55,'Generator-Storage Assignment'!$A$2:$K$200,2,FALSE) &amp; IF(VLOOKUP('Unique Generator Objects'!A55,'Generator-Storage Assignment'!$A$2:$K$200,3,FALSE)="","",";" &amp; VLOOKUP('Unique Generator Objects'!A55,'Generator-Storage Assignment'!$A$2:$K$200,3,FALSE))&amp; IF(VLOOKUP('Unique Generator Objects'!A55,'Generator-Storage Assignment'!$A$2:$K$200,4,FALSE)="","",";" &amp; VLOOKUP('Unique Generator Objects'!A55,'Generator-Storage Assignment'!$A$2:$K$200,4,FALSE))&amp; IF(VLOOKUP('Unique Generator Objects'!A55,'Generator-Storage Assignment'!$A$2:$K$200,5,FALSE)="","",";" &amp; VLOOKUP('Unique Generator Objects'!A55,'Generator-Storage Assignment'!$A$2:$K$200,5,FALSE))&amp; IF(VLOOKUP('Unique Generator Objects'!A55,'Generator-Storage Assignment'!$A$2:$K$200,6,FALSE)="","",";" &amp; VLOOKUP('Unique Generator Objects'!A55,'Generator-Storage Assignment'!$A$2:$K$200,6,FALSE))&amp; IF(VLOOKUP('Unique Generator Objects'!A55,'Generator-Storage Assignment'!$A$2:$K$200,7,FALSE)="","",";" &amp; VLOOKUP('Unique Generator Objects'!A55,'Generator-Storage Assignment'!$A$2:$K$200,7,FALSE))&amp; IF(VLOOKUP('Unique Generator Objects'!A55,'Generator-Storage Assignment'!$A$2:$K$200,8,FALSE)="","",";" &amp; VLOOKUP('Unique Generator Objects'!A55,'Generator-Storage Assignment'!$A$2:$K$200,8,FALSE))&amp; IF(VLOOKUP('Unique Generator Objects'!A55,'Generator-Storage Assignment'!$A$2:$K$200,9,FALSE)="","",";" &amp; VLOOKUP('Unique Generator Objects'!A55,'Generator-Storage Assignment'!$A$2:$K$200,9,FALSE))</f>
        <v>Oberbecken Waldeck II</v>
      </c>
      <c r="H55" s="96" t="str">
        <f ca="1">VLOOKUP('Unique Generator Objects'!A55,'Generator-Storage Assignment'!$A$2:$L$200,12,FALSE)</f>
        <v>Affoldener See</v>
      </c>
      <c r="J55" s="96">
        <f>VLOOKUP(A55,Generators!$A:$O,14,FALSE)</f>
        <v>51.166548800000001</v>
      </c>
      <c r="K55" s="96">
        <f>VLOOKUP(A55,Generators!$A:$O,15,FALSE)</f>
        <v>9.0465868</v>
      </c>
      <c r="M55" s="97"/>
      <c r="N55" s="96" t="str">
        <f t="shared" ca="1" si="1"/>
        <v>False</v>
      </c>
    </row>
    <row r="56" spans="1:14" x14ac:dyDescent="0.35">
      <c r="A56" s="191" t="s">
        <v>1919</v>
      </c>
      <c r="B56" s="97" t="str">
        <f>VLOOKUP(A56,Generators!$A$2:$AZ$1016,MATCH('Unique Generator Objects'!$B$1,Generators!$A$1:$AZ$1,0),FALSE)</f>
        <v>hydro-ROR</v>
      </c>
      <c r="C56" s="97" t="str">
        <f t="shared" si="0"/>
        <v>Cedillo</v>
      </c>
      <c r="D56" s="97" t="s">
        <v>2887</v>
      </c>
      <c r="E56" s="96" t="str">
        <f>VLOOKUP(A56,Generators!$A$2:$BC$122,MATCH(Generators!$I$1,Generators!$A$1:$BC$1,0),FALSE)</f>
        <v>ES</v>
      </c>
      <c r="G56" s="96" t="str">
        <f ca="1">VLOOKUP('Unique Generator Objects'!A56,'Generator-Storage Assignment'!$A$2:$K$200,2,FALSE) &amp; IF(VLOOKUP('Unique Generator Objects'!A56,'Generator-Storage Assignment'!$A$2:$K$200,3,FALSE)="","",";" &amp; VLOOKUP('Unique Generator Objects'!A56,'Generator-Storage Assignment'!$A$2:$K$200,3,FALSE))&amp; IF(VLOOKUP('Unique Generator Objects'!A56,'Generator-Storage Assignment'!$A$2:$K$200,4,FALSE)="","",";" &amp; VLOOKUP('Unique Generator Objects'!A56,'Generator-Storage Assignment'!$A$2:$K$200,4,FALSE))&amp; IF(VLOOKUP('Unique Generator Objects'!A56,'Generator-Storage Assignment'!$A$2:$K$200,5,FALSE)="","",";" &amp; VLOOKUP('Unique Generator Objects'!A56,'Generator-Storage Assignment'!$A$2:$K$200,5,FALSE))&amp; IF(VLOOKUP('Unique Generator Objects'!A56,'Generator-Storage Assignment'!$A$2:$K$200,6,FALSE)="","",";" &amp; VLOOKUP('Unique Generator Objects'!A56,'Generator-Storage Assignment'!$A$2:$K$200,6,FALSE))&amp; IF(VLOOKUP('Unique Generator Objects'!A56,'Generator-Storage Assignment'!$A$2:$K$200,7,FALSE)="","",";" &amp; VLOOKUP('Unique Generator Objects'!A56,'Generator-Storage Assignment'!$A$2:$K$200,7,FALSE))&amp; IF(VLOOKUP('Unique Generator Objects'!A56,'Generator-Storage Assignment'!$A$2:$K$200,8,FALSE)="","",";" &amp; VLOOKUP('Unique Generator Objects'!A56,'Generator-Storage Assignment'!$A$2:$K$200,8,FALSE))&amp; IF(VLOOKUP('Unique Generator Objects'!A56,'Generator-Storage Assignment'!$A$2:$K$200,9,FALSE)="","",";" &amp; VLOOKUP('Unique Generator Objects'!A56,'Generator-Storage Assignment'!$A$2:$K$200,9,FALSE))</f>
        <v>Cedillo</v>
      </c>
      <c r="H56" s="96" t="str">
        <f ca="1">VLOOKUP('Unique Generator Objects'!A56,'Generator-Storage Assignment'!$A$2:$L$200,12,FALSE)</f>
        <v>Cedillo_lower</v>
      </c>
      <c r="J56" s="96">
        <f>VLOOKUP(A56,Generators!$A:$O,14,FALSE)</f>
        <v>39.665284</v>
      </c>
      <c r="K56" s="96">
        <f>VLOOKUP(A56,Generators!$A:$O,15,FALSE)</f>
        <v>-7.5402310000000003</v>
      </c>
      <c r="M56" s="97"/>
      <c r="N56" s="96" t="str">
        <f t="shared" ca="1" si="1"/>
        <v>False</v>
      </c>
    </row>
    <row r="57" spans="1:14" x14ac:dyDescent="0.35">
      <c r="A57" s="191" t="s">
        <v>968</v>
      </c>
      <c r="B57" s="97" t="str">
        <f>VLOOKUP(A57,Generators!$A$2:$AZ$1016,MATCH('Unique Generator Objects'!$B$1,Generators!$A$1:$AZ$1,0),FALSE)</f>
        <v>hydro-STO</v>
      </c>
      <c r="C57" s="97" t="str">
        <f t="shared" si="0"/>
        <v>Porjus</v>
      </c>
      <c r="D57" s="97" t="s">
        <v>2887</v>
      </c>
      <c r="E57" s="96" t="str">
        <f>VLOOKUP(A57,Generators!$A$2:$BC$122,MATCH(Generators!$I$1,Generators!$A$1:$BC$1,0),FALSE)</f>
        <v>SE</v>
      </c>
      <c r="G57" s="96" t="str">
        <f ca="1">VLOOKUP('Unique Generator Objects'!A57,'Generator-Storage Assignment'!$A$2:$K$200,2,FALSE) &amp; IF(VLOOKUP('Unique Generator Objects'!A57,'Generator-Storage Assignment'!$A$2:$K$200,3,FALSE)="","",";" &amp; VLOOKUP('Unique Generator Objects'!A57,'Generator-Storage Assignment'!$A$2:$K$200,3,FALSE))&amp; IF(VLOOKUP('Unique Generator Objects'!A57,'Generator-Storage Assignment'!$A$2:$K$200,4,FALSE)="","",";" &amp; VLOOKUP('Unique Generator Objects'!A57,'Generator-Storage Assignment'!$A$2:$K$200,4,FALSE))&amp; IF(VLOOKUP('Unique Generator Objects'!A57,'Generator-Storage Assignment'!$A$2:$K$200,5,FALSE)="","",";" &amp; VLOOKUP('Unique Generator Objects'!A57,'Generator-Storage Assignment'!$A$2:$K$200,5,FALSE))&amp; IF(VLOOKUP('Unique Generator Objects'!A57,'Generator-Storage Assignment'!$A$2:$K$200,6,FALSE)="","",";" &amp; VLOOKUP('Unique Generator Objects'!A57,'Generator-Storage Assignment'!$A$2:$K$200,6,FALSE))&amp; IF(VLOOKUP('Unique Generator Objects'!A57,'Generator-Storage Assignment'!$A$2:$K$200,7,FALSE)="","",";" &amp; VLOOKUP('Unique Generator Objects'!A57,'Generator-Storage Assignment'!$A$2:$K$200,7,FALSE))&amp; IF(VLOOKUP('Unique Generator Objects'!A57,'Generator-Storage Assignment'!$A$2:$K$200,8,FALSE)="","",";" &amp; VLOOKUP('Unique Generator Objects'!A57,'Generator-Storage Assignment'!$A$2:$K$200,8,FALSE))&amp; IF(VLOOKUP('Unique Generator Objects'!A57,'Generator-Storage Assignment'!$A$2:$K$200,9,FALSE)="","",";" &amp; VLOOKUP('Unique Generator Objects'!A57,'Generator-Storage Assignment'!$A$2:$K$200,9,FALSE))</f>
        <v>Porjus;Longefan</v>
      </c>
      <c r="H57" s="96" t="str">
        <f ca="1">VLOOKUP('Unique Generator Objects'!A57,'Generator-Storage Assignment'!$A$2:$L$200,12,FALSE)</f>
        <v>Porjus_lower</v>
      </c>
      <c r="J57" s="96">
        <f>VLOOKUP(A57,Generators!$A:$O,14,FALSE)</f>
        <v>66.954280999999995</v>
      </c>
      <c r="K57" s="96">
        <f>VLOOKUP(A57,Generators!$A:$O,15,FALSE)</f>
        <v>19.796075999999999</v>
      </c>
      <c r="M57" s="97"/>
      <c r="N57" s="96" t="str">
        <f t="shared" ca="1" si="1"/>
        <v>False</v>
      </c>
    </row>
    <row r="58" spans="1:14" x14ac:dyDescent="0.35">
      <c r="A58" s="193" t="s">
        <v>981</v>
      </c>
      <c r="B58" s="97" t="str">
        <f>VLOOKUP(A58,Generators!$A$2:$AZ$1016,MATCH('Unique Generator Objects'!$B$1,Generators!$A$1:$AZ$1,0),FALSE)</f>
        <v>hydro-STO</v>
      </c>
      <c r="C58" s="97" t="str">
        <f t="shared" si="0"/>
        <v>Messaure</v>
      </c>
      <c r="D58" s="97" t="s">
        <v>2887</v>
      </c>
      <c r="E58" s="96" t="str">
        <f>VLOOKUP(A58,Generators!$A$2:$BC$122,MATCH(Generators!$I$1,Generators!$A$1:$BC$1,0),FALSE)</f>
        <v>SE</v>
      </c>
      <c r="G58" s="96" t="str">
        <f ca="1">VLOOKUP('Unique Generator Objects'!A58,'Generator-Storage Assignment'!$A$2:$K$200,2,FALSE) &amp; IF(VLOOKUP('Unique Generator Objects'!A58,'Generator-Storage Assignment'!$A$2:$K$200,3,FALSE)="","",";" &amp; VLOOKUP('Unique Generator Objects'!A58,'Generator-Storage Assignment'!$A$2:$K$200,3,FALSE))&amp; IF(VLOOKUP('Unique Generator Objects'!A58,'Generator-Storage Assignment'!$A$2:$K$200,4,FALSE)="","",";" &amp; VLOOKUP('Unique Generator Objects'!A58,'Generator-Storage Assignment'!$A$2:$K$200,4,FALSE))&amp; IF(VLOOKUP('Unique Generator Objects'!A58,'Generator-Storage Assignment'!$A$2:$K$200,5,FALSE)="","",";" &amp; VLOOKUP('Unique Generator Objects'!A58,'Generator-Storage Assignment'!$A$2:$K$200,5,FALSE))&amp; IF(VLOOKUP('Unique Generator Objects'!A58,'Generator-Storage Assignment'!$A$2:$K$200,6,FALSE)="","",";" &amp; VLOOKUP('Unique Generator Objects'!A58,'Generator-Storage Assignment'!$A$2:$K$200,6,FALSE))&amp; IF(VLOOKUP('Unique Generator Objects'!A58,'Generator-Storage Assignment'!$A$2:$K$200,7,FALSE)="","",";" &amp; VLOOKUP('Unique Generator Objects'!A58,'Generator-Storage Assignment'!$A$2:$K$200,7,FALSE))&amp; IF(VLOOKUP('Unique Generator Objects'!A58,'Generator-Storage Assignment'!$A$2:$K$200,8,FALSE)="","",";" &amp; VLOOKUP('Unique Generator Objects'!A58,'Generator-Storage Assignment'!$A$2:$K$200,8,FALSE))&amp; IF(VLOOKUP('Unique Generator Objects'!A58,'Generator-Storage Assignment'!$A$2:$K$200,9,FALSE)="","",";" &amp; VLOOKUP('Unique Generator Objects'!A58,'Generator-Storage Assignment'!$A$2:$K$200,9,FALSE))</f>
        <v>Messaure dam</v>
      </c>
      <c r="H58" s="96" t="str">
        <f ca="1">VLOOKUP('Unique Generator Objects'!A58,'Generator-Storage Assignment'!$A$2:$L$200,12,FALSE)</f>
        <v>Messaure_lower</v>
      </c>
      <c r="J58" s="96">
        <f>VLOOKUP(A58,Generators!$A:$O,14,FALSE)</f>
        <v>66.691102000000001</v>
      </c>
      <c r="K58" s="96">
        <f>VLOOKUP(A58,Generators!$A:$O,15,FALSE)</f>
        <v>20.343575999999999</v>
      </c>
      <c r="M58" s="97"/>
      <c r="N58" s="96" t="str">
        <f ca="1">IF(AND(B58="hydro-PHS",NOT(ISTEXT(H58))),"True","False")</f>
        <v>False</v>
      </c>
    </row>
    <row r="59" spans="1:14" x14ac:dyDescent="0.35">
      <c r="A59" s="191" t="s">
        <v>2649</v>
      </c>
      <c r="B59" s="97" t="str">
        <f>VLOOKUP(A59,Generators!$A$2:$AZ$1016,MATCH('Unique Generator Objects'!$B$1,Generators!$A$1:$AZ$1,0),FALSE)</f>
        <v>hydro-PHS</v>
      </c>
      <c r="C59" s="97" t="str">
        <f t="shared" si="0"/>
        <v>Cheylas</v>
      </c>
      <c r="D59" s="97" t="s">
        <v>2887</v>
      </c>
      <c r="E59" s="96" t="str">
        <f>VLOOKUP(A59,Generators!$A$2:$BC$122,MATCH(Generators!$I$1,Generators!$A$1:$BC$1,0),FALSE)</f>
        <v>FR</v>
      </c>
      <c r="G59" s="96" t="str">
        <f ca="1">VLOOKUP('Unique Generator Objects'!A59,'Generator-Storage Assignment'!$A$2:$K$200,2,FALSE) &amp; IF(VLOOKUP('Unique Generator Objects'!A59,'Generator-Storage Assignment'!$A$2:$K$200,3,FALSE)="","",";" &amp; VLOOKUP('Unique Generator Objects'!A59,'Generator-Storage Assignment'!$A$2:$K$200,3,FALSE))&amp; IF(VLOOKUP('Unique Generator Objects'!A59,'Generator-Storage Assignment'!$A$2:$K$200,4,FALSE)="","",";" &amp; VLOOKUP('Unique Generator Objects'!A59,'Generator-Storage Assignment'!$A$2:$K$200,4,FALSE))&amp; IF(VLOOKUP('Unique Generator Objects'!A59,'Generator-Storage Assignment'!$A$2:$K$200,5,FALSE)="","",";" &amp; VLOOKUP('Unique Generator Objects'!A59,'Generator-Storage Assignment'!$A$2:$K$200,5,FALSE))&amp; IF(VLOOKUP('Unique Generator Objects'!A59,'Generator-Storage Assignment'!$A$2:$K$200,6,FALSE)="","",";" &amp; VLOOKUP('Unique Generator Objects'!A59,'Generator-Storage Assignment'!$A$2:$K$200,6,FALSE))&amp; IF(VLOOKUP('Unique Generator Objects'!A59,'Generator-Storage Assignment'!$A$2:$K$200,7,FALSE)="","",";" &amp; VLOOKUP('Unique Generator Objects'!A59,'Generator-Storage Assignment'!$A$2:$K$200,7,FALSE))&amp; IF(VLOOKUP('Unique Generator Objects'!A59,'Generator-Storage Assignment'!$A$2:$K$200,8,FALSE)="","",";" &amp; VLOOKUP('Unique Generator Objects'!A59,'Generator-Storage Assignment'!$A$2:$K$200,8,FALSE))&amp; IF(VLOOKUP('Unique Generator Objects'!A59,'Generator-Storage Assignment'!$A$2:$K$200,9,FALSE)="","",";" &amp; VLOOKUP('Unique Generator Objects'!A59,'Generator-Storage Assignment'!$A$2:$K$200,9,FALSE))</f>
        <v>Flumet</v>
      </c>
      <c r="H59" s="96" t="str">
        <f ca="1">VLOOKUP('Unique Generator Objects'!A59,'Generator-Storage Assignment'!$A$2:$L$200,12,FALSE)</f>
        <v>Cheylas</v>
      </c>
      <c r="J59" s="96">
        <f>VLOOKUP(A59,Generators!$A:$O,14,FALSE)</f>
        <v>45.384999999999998</v>
      </c>
      <c r="K59" s="96">
        <f>VLOOKUP(A59,Generators!$A:$O,15,FALSE)</f>
        <v>5.9989999999999997</v>
      </c>
      <c r="M59" s="97"/>
      <c r="N59" s="96" t="str">
        <f t="shared" ca="1" si="1"/>
        <v>False</v>
      </c>
    </row>
    <row r="60" spans="1:14" x14ac:dyDescent="0.35">
      <c r="A60" s="193" t="s">
        <v>984</v>
      </c>
      <c r="B60" s="97" t="str">
        <f>VLOOKUP(A60,Generators!$A$2:$AZ$1016,MATCH('Unique Generator Objects'!$B$1,Generators!$A$1:$AZ$1,0),FALSE)</f>
        <v>hydro-STO</v>
      </c>
      <c r="C60" s="97" t="str">
        <f t="shared" si="0"/>
        <v>Letsi</v>
      </c>
      <c r="D60" s="97" t="s">
        <v>2887</v>
      </c>
      <c r="E60" s="96" t="str">
        <f>VLOOKUP(A60,Generators!$A$2:$BC$122,MATCH(Generators!$I$1,Generators!$A$1:$BC$1,0),FALSE)</f>
        <v>SE</v>
      </c>
      <c r="G60" s="96" t="str">
        <f ca="1">VLOOKUP('Unique Generator Objects'!A60,'Generator-Storage Assignment'!$A$2:$K$200,2,FALSE) &amp; IF(VLOOKUP('Unique Generator Objects'!A60,'Generator-Storage Assignment'!$A$2:$K$200,3,FALSE)="","",";" &amp; VLOOKUP('Unique Generator Objects'!A60,'Generator-Storage Assignment'!$A$2:$K$200,3,FALSE))&amp; IF(VLOOKUP('Unique Generator Objects'!A60,'Generator-Storage Assignment'!$A$2:$K$200,4,FALSE)="","",";" &amp; VLOOKUP('Unique Generator Objects'!A60,'Generator-Storage Assignment'!$A$2:$K$200,4,FALSE))&amp; IF(VLOOKUP('Unique Generator Objects'!A60,'Generator-Storage Assignment'!$A$2:$K$200,5,FALSE)="","",";" &amp; VLOOKUP('Unique Generator Objects'!A60,'Generator-Storage Assignment'!$A$2:$K$200,5,FALSE))&amp; IF(VLOOKUP('Unique Generator Objects'!A60,'Generator-Storage Assignment'!$A$2:$K$200,6,FALSE)="","",";" &amp; VLOOKUP('Unique Generator Objects'!A60,'Generator-Storage Assignment'!$A$2:$K$200,6,FALSE))&amp; IF(VLOOKUP('Unique Generator Objects'!A60,'Generator-Storage Assignment'!$A$2:$K$200,7,FALSE)="","",";" &amp; VLOOKUP('Unique Generator Objects'!A60,'Generator-Storage Assignment'!$A$2:$K$200,7,FALSE))&amp; IF(VLOOKUP('Unique Generator Objects'!A60,'Generator-Storage Assignment'!$A$2:$K$200,8,FALSE)="","",";" &amp; VLOOKUP('Unique Generator Objects'!A60,'Generator-Storage Assignment'!$A$2:$K$200,8,FALSE))&amp; IF(VLOOKUP('Unique Generator Objects'!A60,'Generator-Storage Assignment'!$A$2:$K$200,9,FALSE)="","",";" &amp; VLOOKUP('Unique Generator Objects'!A60,'Generator-Storage Assignment'!$A$2:$K$200,9,FALSE))</f>
        <v>Letsi</v>
      </c>
      <c r="H60" s="96" t="str">
        <f ca="1">VLOOKUP('Unique Generator Objects'!A60,'Generator-Storage Assignment'!$A$2:$L$200,12,FALSE)</f>
        <v>Letsi_lower</v>
      </c>
      <c r="J60" s="96">
        <f>VLOOKUP(A60,Generators!$A:$O,14,FALSE)</f>
        <v>66.499583000000001</v>
      </c>
      <c r="K60" s="96">
        <f>VLOOKUP(A60,Generators!$A:$O,15,FALSE)</f>
        <v>20.354583000000002</v>
      </c>
      <c r="M60" s="99"/>
      <c r="N60" s="96" t="str">
        <f t="shared" ca="1" si="1"/>
        <v>False</v>
      </c>
    </row>
    <row r="61" spans="1:14" x14ac:dyDescent="0.35">
      <c r="A61" s="192" t="s">
        <v>1483</v>
      </c>
      <c r="B61" s="97" t="str">
        <f>VLOOKUP(A61,Generators!$A$2:$AZ$1016,MATCH('Unique Generator Objects'!$B$1,Generators!$A$1:$AZ$1,0),FALSE)</f>
        <v>hydro-PHS</v>
      </c>
      <c r="C61" s="97" t="str">
        <f t="shared" si="0"/>
        <v>Dalesice</v>
      </c>
      <c r="D61" s="97" t="s">
        <v>2887</v>
      </c>
      <c r="E61" s="96" t="str">
        <f>VLOOKUP(A61,Generators!$A$2:$BC$122,MATCH(Generators!$I$1,Generators!$A$1:$BC$1,0),FALSE)</f>
        <v>CZ</v>
      </c>
      <c r="G61" s="96" t="str">
        <f ca="1">VLOOKUP('Unique Generator Objects'!A61,'Generator-Storage Assignment'!$A$2:$K$200,2,FALSE) &amp; IF(VLOOKUP('Unique Generator Objects'!A61,'Generator-Storage Assignment'!$A$2:$K$200,3,FALSE)="","",";" &amp; VLOOKUP('Unique Generator Objects'!A61,'Generator-Storage Assignment'!$A$2:$K$200,3,FALSE))&amp; IF(VLOOKUP('Unique Generator Objects'!A61,'Generator-Storage Assignment'!$A$2:$K$200,4,FALSE)="","",";" &amp; VLOOKUP('Unique Generator Objects'!A61,'Generator-Storage Assignment'!$A$2:$K$200,4,FALSE))&amp; IF(VLOOKUP('Unique Generator Objects'!A61,'Generator-Storage Assignment'!$A$2:$K$200,5,FALSE)="","",";" &amp; VLOOKUP('Unique Generator Objects'!A61,'Generator-Storage Assignment'!$A$2:$K$200,5,FALSE))&amp; IF(VLOOKUP('Unique Generator Objects'!A61,'Generator-Storage Assignment'!$A$2:$K$200,6,FALSE)="","",";" &amp; VLOOKUP('Unique Generator Objects'!A61,'Generator-Storage Assignment'!$A$2:$K$200,6,FALSE))&amp; IF(VLOOKUP('Unique Generator Objects'!A61,'Generator-Storage Assignment'!$A$2:$K$200,7,FALSE)="","",";" &amp; VLOOKUP('Unique Generator Objects'!A61,'Generator-Storage Assignment'!$A$2:$K$200,7,FALSE))&amp; IF(VLOOKUP('Unique Generator Objects'!A61,'Generator-Storage Assignment'!$A$2:$K$200,8,FALSE)="","",";" &amp; VLOOKUP('Unique Generator Objects'!A61,'Generator-Storage Assignment'!$A$2:$K$200,8,FALSE))&amp; IF(VLOOKUP('Unique Generator Objects'!A61,'Generator-Storage Assignment'!$A$2:$K$200,9,FALSE)="","",";" &amp; VLOOKUP('Unique Generator Objects'!A61,'Generator-Storage Assignment'!$A$2:$K$200,9,FALSE))</f>
        <v>Dalesice</v>
      </c>
      <c r="H61" s="96" t="str">
        <f ca="1">VLOOKUP('Unique Generator Objects'!A61,'Generator-Storage Assignment'!$A$2:$L$200,12,FALSE)</f>
        <v>Mohelno</v>
      </c>
      <c r="J61" s="96">
        <f>VLOOKUP(A61,Generators!$A:$O,14,FALSE)</f>
        <v>49.124429999999997</v>
      </c>
      <c r="K61" s="96">
        <f>VLOOKUP(A61,Generators!$A:$O,15,FALSE)</f>
        <v>16.124206999999998</v>
      </c>
      <c r="M61" s="97"/>
      <c r="N61" s="96" t="str">
        <f t="shared" ca="1" si="1"/>
        <v>False</v>
      </c>
    </row>
    <row r="62" spans="1:14" x14ac:dyDescent="0.35">
      <c r="A62" s="191" t="s">
        <v>522</v>
      </c>
      <c r="B62" s="97" t="str">
        <f>VLOOKUP(A62,Generators!$A$2:$AZ$1016,MATCH('Unique Generator Objects'!$B$1,Generators!$A$1:$AZ$1,0),FALSE)</f>
        <v>hydro-PHS</v>
      </c>
      <c r="C62" s="97" t="str">
        <f t="shared" si="0"/>
        <v>San Giacomo</v>
      </c>
      <c r="D62" s="97" t="s">
        <v>2887</v>
      </c>
      <c r="E62" s="96" t="str">
        <f>VLOOKUP(A62,Generators!$A$2:$BC$122,MATCH(Generators!$I$1,Generators!$A$1:$BC$1,0),FALSE)</f>
        <v>IT</v>
      </c>
      <c r="G62" s="96" t="str">
        <f ca="1">VLOOKUP('Unique Generator Objects'!A62,'Generator-Storage Assignment'!$A$2:$K$200,2,FALSE) &amp; IF(VLOOKUP('Unique Generator Objects'!A62,'Generator-Storage Assignment'!$A$2:$K$200,3,FALSE)="","",";" &amp; VLOOKUP('Unique Generator Objects'!A62,'Generator-Storage Assignment'!$A$2:$K$200,3,FALSE))&amp; IF(VLOOKUP('Unique Generator Objects'!A62,'Generator-Storage Assignment'!$A$2:$K$200,4,FALSE)="","",";" &amp; VLOOKUP('Unique Generator Objects'!A62,'Generator-Storage Assignment'!$A$2:$K$200,4,FALSE))&amp; IF(VLOOKUP('Unique Generator Objects'!A62,'Generator-Storage Assignment'!$A$2:$K$200,5,FALSE)="","",";" &amp; VLOOKUP('Unique Generator Objects'!A62,'Generator-Storage Assignment'!$A$2:$K$200,5,FALSE))&amp; IF(VLOOKUP('Unique Generator Objects'!A62,'Generator-Storage Assignment'!$A$2:$K$200,6,FALSE)="","",";" &amp; VLOOKUP('Unique Generator Objects'!A62,'Generator-Storage Assignment'!$A$2:$K$200,6,FALSE))&amp; IF(VLOOKUP('Unique Generator Objects'!A62,'Generator-Storage Assignment'!$A$2:$K$200,7,FALSE)="","",";" &amp; VLOOKUP('Unique Generator Objects'!A62,'Generator-Storage Assignment'!$A$2:$K$200,7,FALSE))&amp; IF(VLOOKUP('Unique Generator Objects'!A62,'Generator-Storage Assignment'!$A$2:$K$200,8,FALSE)="","",";" &amp; VLOOKUP('Unique Generator Objects'!A62,'Generator-Storage Assignment'!$A$2:$K$200,8,FALSE))&amp; IF(VLOOKUP('Unique Generator Objects'!A62,'Generator-Storage Assignment'!$A$2:$K$200,9,FALSE)="","",";" &amp; VLOOKUP('Unique Generator Objects'!A62,'Generator-Storage Assignment'!$A$2:$K$200,9,FALSE))</f>
        <v>Provvidenza</v>
      </c>
      <c r="H62" s="96" t="str">
        <f ca="1">VLOOKUP('Unique Generator Objects'!A62,'Generator-Storage Assignment'!$A$2:$L$200,12,FALSE)</f>
        <v>Piaganini</v>
      </c>
      <c r="J62" s="96">
        <f>VLOOKUP(A62,Generators!$A:$O,14,FALSE)</f>
        <v>0</v>
      </c>
      <c r="K62" s="96">
        <f>VLOOKUP(A62,Generators!$A:$O,15,FALSE)</f>
        <v>0</v>
      </c>
      <c r="M62" s="97"/>
      <c r="N62" s="96" t="str">
        <f t="shared" ca="1" si="1"/>
        <v>False</v>
      </c>
    </row>
    <row r="63" spans="1:14" x14ac:dyDescent="0.35">
      <c r="A63" s="191" t="s">
        <v>2655</v>
      </c>
      <c r="B63" s="97" t="str">
        <f>VLOOKUP(A63,Generators!$A$2:$AZ$1016,MATCH('Unique Generator Objects'!$B$1,Generators!$A$1:$AZ$1,0),FALSE)</f>
        <v>hydro-PHS</v>
      </c>
      <c r="C63" s="97" t="str">
        <f t="shared" si="0"/>
        <v>Gento-Sallente</v>
      </c>
      <c r="D63" s="97" t="s">
        <v>2887</v>
      </c>
      <c r="E63" s="96" t="str">
        <f>VLOOKUP(A63,Generators!$A$2:$BC$122,MATCH(Generators!$I$1,Generators!$A$1:$BC$1,0),FALSE)</f>
        <v>ES</v>
      </c>
      <c r="G63" s="96" t="str">
        <f ca="1">VLOOKUP('Unique Generator Objects'!A63,'Generator-Storage Assignment'!$A$2:$K$200,2,FALSE) &amp; IF(VLOOKUP('Unique Generator Objects'!A63,'Generator-Storage Assignment'!$A$2:$K$200,3,FALSE)="","",";" &amp; VLOOKUP('Unique Generator Objects'!A63,'Generator-Storage Assignment'!$A$2:$K$200,3,FALSE))&amp; IF(VLOOKUP('Unique Generator Objects'!A63,'Generator-Storage Assignment'!$A$2:$K$200,4,FALSE)="","",";" &amp; VLOOKUP('Unique Generator Objects'!A63,'Generator-Storage Assignment'!$A$2:$K$200,4,FALSE))&amp; IF(VLOOKUP('Unique Generator Objects'!A63,'Generator-Storage Assignment'!$A$2:$K$200,5,FALSE)="","",";" &amp; VLOOKUP('Unique Generator Objects'!A63,'Generator-Storage Assignment'!$A$2:$K$200,5,FALSE))&amp; IF(VLOOKUP('Unique Generator Objects'!A63,'Generator-Storage Assignment'!$A$2:$K$200,6,FALSE)="","",";" &amp; VLOOKUP('Unique Generator Objects'!A63,'Generator-Storage Assignment'!$A$2:$K$200,6,FALSE))&amp; IF(VLOOKUP('Unique Generator Objects'!A63,'Generator-Storage Assignment'!$A$2:$K$200,7,FALSE)="","",";" &amp; VLOOKUP('Unique Generator Objects'!A63,'Generator-Storage Assignment'!$A$2:$K$200,7,FALSE))&amp; IF(VLOOKUP('Unique Generator Objects'!A63,'Generator-Storage Assignment'!$A$2:$K$200,8,FALSE)="","",";" &amp; VLOOKUP('Unique Generator Objects'!A63,'Generator-Storage Assignment'!$A$2:$K$200,8,FALSE))&amp; IF(VLOOKUP('Unique Generator Objects'!A63,'Generator-Storage Assignment'!$A$2:$K$200,9,FALSE)="","",";" &amp; VLOOKUP('Unique Generator Objects'!A63,'Generator-Storage Assignment'!$A$2:$K$200,9,FALSE))</f>
        <v>Gento</v>
      </c>
      <c r="H63" s="96" t="str">
        <f ca="1">VLOOKUP('Unique Generator Objects'!A63,'Generator-Storage Assignment'!$A$2:$L$200,12,FALSE)</f>
        <v>Sallente</v>
      </c>
      <c r="J63" s="96">
        <f>VLOOKUP(A63,Generators!$A:$O,14,FALSE)</f>
        <v>42.500363999999998</v>
      </c>
      <c r="K63" s="96">
        <f>VLOOKUP(A63,Generators!$A:$O,15,FALSE)</f>
        <v>0.99148899999999995</v>
      </c>
      <c r="M63" s="97"/>
      <c r="N63" s="96" t="str">
        <f t="shared" ca="1" si="1"/>
        <v>False</v>
      </c>
    </row>
    <row r="64" spans="1:14" x14ac:dyDescent="0.35">
      <c r="A64" s="191" t="s">
        <v>2390</v>
      </c>
      <c r="B64" s="97" t="str">
        <f>VLOOKUP(A64,Generators!$A$2:$AZ$1016,MATCH('Unique Generator Objects'!$B$1,Generators!$A$1:$AZ$1,0),FALSE)</f>
        <v>hydro-ROR</v>
      </c>
      <c r="C64" s="97" t="str">
        <f t="shared" si="0"/>
        <v>Picote I + II</v>
      </c>
      <c r="D64" s="97" t="s">
        <v>2887</v>
      </c>
      <c r="E64" s="96" t="str">
        <f>VLOOKUP(A64,Generators!$A$2:$BC$122,MATCH(Generators!$I$1,Generators!$A$1:$BC$1,0),FALSE)</f>
        <v>PT</v>
      </c>
      <c r="G64" s="96" t="str">
        <f ca="1">VLOOKUP('Unique Generator Objects'!A64,'Generator-Storage Assignment'!$A$2:$K$200,2,FALSE) &amp; IF(VLOOKUP('Unique Generator Objects'!A64,'Generator-Storage Assignment'!$A$2:$K$200,3,FALSE)="","",";" &amp; VLOOKUP('Unique Generator Objects'!A64,'Generator-Storage Assignment'!$A$2:$K$200,3,FALSE))&amp; IF(VLOOKUP('Unique Generator Objects'!A64,'Generator-Storage Assignment'!$A$2:$K$200,4,FALSE)="","",";" &amp; VLOOKUP('Unique Generator Objects'!A64,'Generator-Storage Assignment'!$A$2:$K$200,4,FALSE))&amp; IF(VLOOKUP('Unique Generator Objects'!A64,'Generator-Storage Assignment'!$A$2:$K$200,5,FALSE)="","",";" &amp; VLOOKUP('Unique Generator Objects'!A64,'Generator-Storage Assignment'!$A$2:$K$200,5,FALSE))&amp; IF(VLOOKUP('Unique Generator Objects'!A64,'Generator-Storage Assignment'!$A$2:$K$200,6,FALSE)="","",";" &amp; VLOOKUP('Unique Generator Objects'!A64,'Generator-Storage Assignment'!$A$2:$K$200,6,FALSE))&amp; IF(VLOOKUP('Unique Generator Objects'!A64,'Generator-Storage Assignment'!$A$2:$K$200,7,FALSE)="","",";" &amp; VLOOKUP('Unique Generator Objects'!A64,'Generator-Storage Assignment'!$A$2:$K$200,7,FALSE))&amp; IF(VLOOKUP('Unique Generator Objects'!A64,'Generator-Storage Assignment'!$A$2:$K$200,8,FALSE)="","",";" &amp; VLOOKUP('Unique Generator Objects'!A64,'Generator-Storage Assignment'!$A$2:$K$200,8,FALSE))&amp; IF(VLOOKUP('Unique Generator Objects'!A64,'Generator-Storage Assignment'!$A$2:$K$200,9,FALSE)="","",";" &amp; VLOOKUP('Unique Generator Objects'!A64,'Generator-Storage Assignment'!$A$2:$K$200,9,FALSE))</f>
        <v>Picote;Pareloup</v>
      </c>
      <c r="H64" s="96" t="str">
        <f ca="1">VLOOKUP('Unique Generator Objects'!A64,'Generator-Storage Assignment'!$A$2:$L$200,12,FALSE)</f>
        <v>Picote I + II_lower</v>
      </c>
      <c r="J64" s="96">
        <f>VLOOKUP(A64,Generators!$A:$O,14,FALSE)</f>
        <v>41.378306000000002</v>
      </c>
      <c r="K64" s="96">
        <f>VLOOKUP(A64,Generators!$A:$O,15,FALSE)</f>
        <v>-6.3515829999999998</v>
      </c>
      <c r="M64" s="97"/>
      <c r="N64" s="96" t="str">
        <f t="shared" ca="1" si="1"/>
        <v>False</v>
      </c>
    </row>
    <row r="65" spans="1:14" x14ac:dyDescent="0.35">
      <c r="A65" s="191" t="s">
        <v>2353</v>
      </c>
      <c r="B65" s="97" t="str">
        <f>VLOOKUP(A65,Generators!$A$2:$AZ$1016,MATCH('Unique Generator Objects'!$B$1,Generators!$A$1:$AZ$1,0),FALSE)</f>
        <v>hydro-PHS</v>
      </c>
      <c r="C65" s="97" t="str">
        <f t="shared" si="0"/>
        <v>Tierfehd</v>
      </c>
      <c r="D65" s="97" t="s">
        <v>2887</v>
      </c>
      <c r="E65" s="96" t="str">
        <f>VLOOKUP(A65,Generators!$A$2:$BC$122,MATCH(Generators!$I$1,Generators!$A$1:$BC$1,0),FALSE)</f>
        <v>CH</v>
      </c>
      <c r="G65" s="96" t="str">
        <f ca="1">VLOOKUP('Unique Generator Objects'!A65,'Generator-Storage Assignment'!$A$2:$K$200,2,FALSE) &amp; IF(VLOOKUP('Unique Generator Objects'!A65,'Generator-Storage Assignment'!$A$2:$K$200,3,FALSE)="","",";" &amp; VLOOKUP('Unique Generator Objects'!A65,'Generator-Storage Assignment'!$A$2:$K$200,3,FALSE))&amp; IF(VLOOKUP('Unique Generator Objects'!A65,'Generator-Storage Assignment'!$A$2:$K$200,4,FALSE)="","",";" &amp; VLOOKUP('Unique Generator Objects'!A65,'Generator-Storage Assignment'!$A$2:$K$200,4,FALSE))&amp; IF(VLOOKUP('Unique Generator Objects'!A65,'Generator-Storage Assignment'!$A$2:$K$200,5,FALSE)="","",";" &amp; VLOOKUP('Unique Generator Objects'!A65,'Generator-Storage Assignment'!$A$2:$K$200,5,FALSE))&amp; IF(VLOOKUP('Unique Generator Objects'!A65,'Generator-Storage Assignment'!$A$2:$K$200,6,FALSE)="","",";" &amp; VLOOKUP('Unique Generator Objects'!A65,'Generator-Storage Assignment'!$A$2:$K$200,6,FALSE))&amp; IF(VLOOKUP('Unique Generator Objects'!A65,'Generator-Storage Assignment'!$A$2:$K$200,7,FALSE)="","",";" &amp; VLOOKUP('Unique Generator Objects'!A65,'Generator-Storage Assignment'!$A$2:$K$200,7,FALSE))&amp; IF(VLOOKUP('Unique Generator Objects'!A65,'Generator-Storage Assignment'!$A$2:$K$200,8,FALSE)="","",";" &amp; VLOOKUP('Unique Generator Objects'!A65,'Generator-Storage Assignment'!$A$2:$K$200,8,FALSE))&amp; IF(VLOOKUP('Unique Generator Objects'!A65,'Generator-Storage Assignment'!$A$2:$K$200,9,FALSE)="","",";" &amp; VLOOKUP('Unique Generator Objects'!A65,'Generator-Storage Assignment'!$A$2:$K$200,9,FALSE))</f>
        <v>Limmern</v>
      </c>
      <c r="H65" s="96" t="str">
        <f ca="1">VLOOKUP('Unique Generator Objects'!A65,'Generator-Storage Assignment'!$A$2:$L$200,12,FALSE)</f>
        <v>Tierfehd</v>
      </c>
      <c r="J65" s="96">
        <f>VLOOKUP(A65,Generators!$A:$O,14,FALSE)</f>
        <v>46.85</v>
      </c>
      <c r="K65" s="96">
        <f>VLOOKUP(A65,Generators!$A:$O,15,FALSE)</f>
        <v>9.0008330000000001</v>
      </c>
      <c r="M65" s="97"/>
      <c r="N65" s="96" t="str">
        <f t="shared" ca="1" si="1"/>
        <v>False</v>
      </c>
    </row>
    <row r="66" spans="1:14" x14ac:dyDescent="0.35">
      <c r="A66" s="192" t="s">
        <v>2873</v>
      </c>
      <c r="B66" s="97" t="str">
        <f>VLOOKUP(A66,Generators!$A$2:$AZ$1016,MATCH('Unique Generator Objects'!$B$1,Generators!$A$1:$AZ$1,0),FALSE)</f>
        <v>hydro-PHS</v>
      </c>
      <c r="C66" s="97" t="str">
        <f t="shared" si="0"/>
        <v>Pouget</v>
      </c>
      <c r="D66" s="97" t="s">
        <v>2887</v>
      </c>
      <c r="E66" s="96" t="str">
        <f>VLOOKUP(A66,Generators!$A$2:$BC$122,MATCH(Generators!$I$1,Generators!$A$1:$BC$1,0),FALSE)</f>
        <v>FR</v>
      </c>
      <c r="G66" s="96" t="str">
        <f ca="1">VLOOKUP('Unique Generator Objects'!A66,'Generator-Storage Assignment'!$A$2:$K$200,2,FALSE) &amp; IF(VLOOKUP('Unique Generator Objects'!A66,'Generator-Storage Assignment'!$A$2:$K$200,3,FALSE)="","",";" &amp; VLOOKUP('Unique Generator Objects'!A66,'Generator-Storage Assignment'!$A$2:$K$200,3,FALSE))&amp; IF(VLOOKUP('Unique Generator Objects'!A66,'Generator-Storage Assignment'!$A$2:$K$200,4,FALSE)="","",";" &amp; VLOOKUP('Unique Generator Objects'!A66,'Generator-Storage Assignment'!$A$2:$K$200,4,FALSE))&amp; IF(VLOOKUP('Unique Generator Objects'!A66,'Generator-Storage Assignment'!$A$2:$K$200,5,FALSE)="","",";" &amp; VLOOKUP('Unique Generator Objects'!A66,'Generator-Storage Assignment'!$A$2:$K$200,5,FALSE))&amp; IF(VLOOKUP('Unique Generator Objects'!A66,'Generator-Storage Assignment'!$A$2:$K$200,6,FALSE)="","",";" &amp; VLOOKUP('Unique Generator Objects'!A66,'Generator-Storage Assignment'!$A$2:$K$200,6,FALSE))&amp; IF(VLOOKUP('Unique Generator Objects'!A66,'Generator-Storage Assignment'!$A$2:$K$200,7,FALSE)="","",";" &amp; VLOOKUP('Unique Generator Objects'!A66,'Generator-Storage Assignment'!$A$2:$K$200,7,FALSE))&amp; IF(VLOOKUP('Unique Generator Objects'!A66,'Generator-Storage Assignment'!$A$2:$K$200,8,FALSE)="","",";" &amp; VLOOKUP('Unique Generator Objects'!A66,'Generator-Storage Assignment'!$A$2:$K$200,8,FALSE))&amp; IF(VLOOKUP('Unique Generator Objects'!A66,'Generator-Storage Assignment'!$A$2:$K$200,9,FALSE)="","",";" &amp; VLOOKUP('Unique Generator Objects'!A66,'Generator-Storage Assignment'!$A$2:$K$200,9,FALSE))</f>
        <v>Villefranche-de-Panat</v>
      </c>
      <c r="H66" s="96" t="str">
        <f ca="1">VLOOKUP('Unique Generator Objects'!A66,'Generator-Storage Assignment'!$A$2:$L$200,12,FALSE)</f>
        <v>Pouget_lower</v>
      </c>
      <c r="J66" s="96">
        <f>VLOOKUP(A66,Generators!$A:$O,14,FALSE)</f>
        <v>44.059699999999999</v>
      </c>
      <c r="K66" s="96">
        <f>VLOOKUP(A66,Generators!$A:$O,15,FALSE)</f>
        <v>2.77</v>
      </c>
      <c r="M66" s="97"/>
      <c r="N66" s="96" t="str">
        <f t="shared" ca="1" si="1"/>
        <v>False</v>
      </c>
    </row>
    <row r="67" spans="1:14" x14ac:dyDescent="0.35">
      <c r="A67" s="191" t="s">
        <v>2405</v>
      </c>
      <c r="B67" s="97" t="str">
        <f>VLOOKUP(A67,Generators!$A$2:$AZ$1016,MATCH('Unique Generator Objects'!$B$1,Generators!$A$1:$AZ$1,0),FALSE)</f>
        <v>hydro-STO</v>
      </c>
      <c r="C67" s="97" t="str">
        <f t="shared" ref="C67:C106" si="2">A67</f>
        <v>Kremasta</v>
      </c>
      <c r="D67" s="97" t="s">
        <v>2887</v>
      </c>
      <c r="E67" s="96" t="str">
        <f>VLOOKUP(A67,Generators!$A$2:$BC$122,MATCH(Generators!$I$1,Generators!$A$1:$BC$1,0),FALSE)</f>
        <v>EL</v>
      </c>
      <c r="G67" s="96" t="str">
        <f ca="1">VLOOKUP('Unique Generator Objects'!A67,'Generator-Storage Assignment'!$A$2:$K$200,2,FALSE) &amp; IF(VLOOKUP('Unique Generator Objects'!A67,'Generator-Storage Assignment'!$A$2:$K$200,3,FALSE)="","",";" &amp; VLOOKUP('Unique Generator Objects'!A67,'Generator-Storage Assignment'!$A$2:$K$200,3,FALSE))&amp; IF(VLOOKUP('Unique Generator Objects'!A67,'Generator-Storage Assignment'!$A$2:$K$200,4,FALSE)="","",";" &amp; VLOOKUP('Unique Generator Objects'!A67,'Generator-Storage Assignment'!$A$2:$K$200,4,FALSE))&amp; IF(VLOOKUP('Unique Generator Objects'!A67,'Generator-Storage Assignment'!$A$2:$K$200,5,FALSE)="","",";" &amp; VLOOKUP('Unique Generator Objects'!A67,'Generator-Storage Assignment'!$A$2:$K$200,5,FALSE))&amp; IF(VLOOKUP('Unique Generator Objects'!A67,'Generator-Storage Assignment'!$A$2:$K$200,6,FALSE)="","",";" &amp; VLOOKUP('Unique Generator Objects'!A67,'Generator-Storage Assignment'!$A$2:$K$200,6,FALSE))&amp; IF(VLOOKUP('Unique Generator Objects'!A67,'Generator-Storage Assignment'!$A$2:$K$200,7,FALSE)="","",";" &amp; VLOOKUP('Unique Generator Objects'!A67,'Generator-Storage Assignment'!$A$2:$K$200,7,FALSE))&amp; IF(VLOOKUP('Unique Generator Objects'!A67,'Generator-Storage Assignment'!$A$2:$K$200,8,FALSE)="","",";" &amp; VLOOKUP('Unique Generator Objects'!A67,'Generator-Storage Assignment'!$A$2:$K$200,8,FALSE))&amp; IF(VLOOKUP('Unique Generator Objects'!A67,'Generator-Storage Assignment'!$A$2:$K$200,9,FALSE)="","",";" &amp; VLOOKUP('Unique Generator Objects'!A67,'Generator-Storage Assignment'!$A$2:$K$200,9,FALSE))</f>
        <v>Kremasta</v>
      </c>
      <c r="H67" s="96" t="str">
        <f ca="1">VLOOKUP('Unique Generator Objects'!A67,'Generator-Storage Assignment'!$A$2:$L$200,12,FALSE)</f>
        <v>Kremasta_lower</v>
      </c>
      <c r="J67" s="96">
        <f>VLOOKUP(A67,Generators!$A:$O,14,FALSE)</f>
        <v>38.883951099999997</v>
      </c>
      <c r="K67" s="96">
        <f>VLOOKUP(A67,Generators!$A:$O,15,FALSE)</f>
        <v>21.493796100000001</v>
      </c>
      <c r="M67" s="97"/>
      <c r="N67" s="96" t="str">
        <f t="shared" ref="N67:N80" ca="1" si="3">IF(AND(B67="hydro-PHS",NOT(ISTEXT(H67))),"True","False")</f>
        <v>False</v>
      </c>
    </row>
    <row r="68" spans="1:14" x14ac:dyDescent="0.35">
      <c r="A68" s="191" t="s">
        <v>701</v>
      </c>
      <c r="B68" s="97" t="str">
        <f>VLOOKUP(A68,Generators!$A$2:$AZ$1016,MATCH('Unique Generator Objects'!$B$1,Generators!$A$1:$AZ$1,0),FALSE)</f>
        <v>hydro-STO</v>
      </c>
      <c r="C68" s="97" t="str">
        <f t="shared" si="2"/>
        <v>Tokke</v>
      </c>
      <c r="D68" s="97" t="s">
        <v>2887</v>
      </c>
      <c r="E68" s="96" t="str">
        <f>VLOOKUP(A68,Generators!$A$2:$BC$122,MATCH(Generators!$I$1,Generators!$A$1:$BC$1,0),FALSE)</f>
        <v>NO</v>
      </c>
      <c r="G68" s="96" t="str">
        <f ca="1">VLOOKUP('Unique Generator Objects'!A68,'Generator-Storage Assignment'!$A$2:$K$200,2,FALSE) &amp; IF(VLOOKUP('Unique Generator Objects'!A68,'Generator-Storage Assignment'!$A$2:$K$200,3,FALSE)="","",";" &amp; VLOOKUP('Unique Generator Objects'!A68,'Generator-Storage Assignment'!$A$2:$K$200,3,FALSE))&amp; IF(VLOOKUP('Unique Generator Objects'!A68,'Generator-Storage Assignment'!$A$2:$K$200,4,FALSE)="","",";" &amp; VLOOKUP('Unique Generator Objects'!A68,'Generator-Storage Assignment'!$A$2:$K$200,4,FALSE))&amp; IF(VLOOKUP('Unique Generator Objects'!A68,'Generator-Storage Assignment'!$A$2:$K$200,5,FALSE)="","",";" &amp; VLOOKUP('Unique Generator Objects'!A68,'Generator-Storage Assignment'!$A$2:$K$200,5,FALSE))&amp; IF(VLOOKUP('Unique Generator Objects'!A68,'Generator-Storage Assignment'!$A$2:$K$200,6,FALSE)="","",";" &amp; VLOOKUP('Unique Generator Objects'!A68,'Generator-Storage Assignment'!$A$2:$K$200,6,FALSE))&amp; IF(VLOOKUP('Unique Generator Objects'!A68,'Generator-Storage Assignment'!$A$2:$K$200,7,FALSE)="","",";" &amp; VLOOKUP('Unique Generator Objects'!A68,'Generator-Storage Assignment'!$A$2:$K$200,7,FALSE))&amp; IF(VLOOKUP('Unique Generator Objects'!A68,'Generator-Storage Assignment'!$A$2:$K$200,8,FALSE)="","",";" &amp; VLOOKUP('Unique Generator Objects'!A68,'Generator-Storage Assignment'!$A$2:$K$200,8,FALSE))&amp; IF(VLOOKUP('Unique Generator Objects'!A68,'Generator-Storage Assignment'!$A$2:$K$200,9,FALSE)="","",";" &amp; VLOOKUP('Unique Generator Objects'!A68,'Generator-Storage Assignment'!$A$2:$K$200,9,FALSE))</f>
        <v>Vinjevatn</v>
      </c>
      <c r="H68" s="96" t="str">
        <f ca="1">VLOOKUP('Unique Generator Objects'!A68,'Generator-Storage Assignment'!$A$2:$L$200,12,FALSE)</f>
        <v>Bandak</v>
      </c>
      <c r="J68" s="96">
        <f>VLOOKUP(A68,Generators!$A:$O,14,FALSE)</f>
        <v>59.444355000000002</v>
      </c>
      <c r="K68" s="96">
        <f>VLOOKUP(A68,Generators!$A:$O,15,FALSE)</f>
        <v>8.038259</v>
      </c>
      <c r="M68" s="99"/>
      <c r="N68" s="96" t="str">
        <f t="shared" ca="1" si="3"/>
        <v>False</v>
      </c>
    </row>
    <row r="69" spans="1:14" x14ac:dyDescent="0.35">
      <c r="A69" s="191" t="s">
        <v>1733</v>
      </c>
      <c r="B69" s="97" t="str">
        <f>VLOOKUP(A69,Generators!$A$2:$AZ$1016,MATCH('Unique Generator Objects'!$B$1,Generators!$A$1:$AZ$1,0),FALSE)</f>
        <v>hydro-ROR</v>
      </c>
      <c r="C69" s="97" t="str">
        <f t="shared" si="2"/>
        <v>Bemposta</v>
      </c>
      <c r="D69" s="97" t="s">
        <v>2887</v>
      </c>
      <c r="E69" s="96" t="str">
        <f>VLOOKUP(A69,Generators!$A$2:$BC$122,MATCH(Generators!$I$1,Generators!$A$1:$BC$1,0),FALSE)</f>
        <v>PT</v>
      </c>
      <c r="G69" s="96" t="str">
        <f ca="1">VLOOKUP('Unique Generator Objects'!A69,'Generator-Storage Assignment'!$A$2:$K$200,2,FALSE) &amp; IF(VLOOKUP('Unique Generator Objects'!A69,'Generator-Storage Assignment'!$A$2:$K$200,3,FALSE)="","",";" &amp; VLOOKUP('Unique Generator Objects'!A69,'Generator-Storage Assignment'!$A$2:$K$200,3,FALSE))&amp; IF(VLOOKUP('Unique Generator Objects'!A69,'Generator-Storage Assignment'!$A$2:$K$200,4,FALSE)="","",";" &amp; VLOOKUP('Unique Generator Objects'!A69,'Generator-Storage Assignment'!$A$2:$K$200,4,FALSE))&amp; IF(VLOOKUP('Unique Generator Objects'!A69,'Generator-Storage Assignment'!$A$2:$K$200,5,FALSE)="","",";" &amp; VLOOKUP('Unique Generator Objects'!A69,'Generator-Storage Assignment'!$A$2:$K$200,5,FALSE))&amp; IF(VLOOKUP('Unique Generator Objects'!A69,'Generator-Storage Assignment'!$A$2:$K$200,6,FALSE)="","",";" &amp; VLOOKUP('Unique Generator Objects'!A69,'Generator-Storage Assignment'!$A$2:$K$200,6,FALSE))&amp; IF(VLOOKUP('Unique Generator Objects'!A69,'Generator-Storage Assignment'!$A$2:$K$200,7,FALSE)="","",";" &amp; VLOOKUP('Unique Generator Objects'!A69,'Generator-Storage Assignment'!$A$2:$K$200,7,FALSE))&amp; IF(VLOOKUP('Unique Generator Objects'!A69,'Generator-Storage Assignment'!$A$2:$K$200,8,FALSE)="","",";" &amp; VLOOKUP('Unique Generator Objects'!A69,'Generator-Storage Assignment'!$A$2:$K$200,8,FALSE))&amp; IF(VLOOKUP('Unique Generator Objects'!A69,'Generator-Storage Assignment'!$A$2:$K$200,9,FALSE)="","",";" &amp; VLOOKUP('Unique Generator Objects'!A69,'Generator-Storage Assignment'!$A$2:$K$200,9,FALSE))</f>
        <v>Bemposta</v>
      </c>
      <c r="H69" s="96" t="str">
        <f ca="1">VLOOKUP('Unique Generator Objects'!A69,'Generator-Storage Assignment'!$A$2:$L$200,12,FALSE)</f>
        <v>Bemposta_lower</v>
      </c>
      <c r="J69" s="96">
        <f>VLOOKUP(A69,Generators!$A:$O,14,FALSE)</f>
        <v>41.301692000000003</v>
      </c>
      <c r="K69" s="96">
        <f>VLOOKUP(A69,Generators!$A:$O,15,FALSE)</f>
        <v>-6.4697089999999999</v>
      </c>
      <c r="M69" s="97"/>
      <c r="N69" s="96" t="str">
        <f t="shared" ca="1" si="3"/>
        <v>False</v>
      </c>
    </row>
    <row r="70" spans="1:14" x14ac:dyDescent="0.35">
      <c r="A70" s="193" t="s">
        <v>493</v>
      </c>
      <c r="B70" s="97" t="str">
        <f>VLOOKUP(A70,Generators!$A$2:$AZ$1016,MATCH('Unique Generator Objects'!$B$1,Generators!$A$1:$AZ$1,0),FALSE)</f>
        <v>hydro-ROR</v>
      </c>
      <c r="C70" s="97" t="str">
        <f t="shared" si="2"/>
        <v>Grosio</v>
      </c>
      <c r="D70" s="97" t="s">
        <v>2887</v>
      </c>
      <c r="E70" s="96" t="str">
        <f>VLOOKUP(A70,Generators!$A$2:$BC$122,MATCH(Generators!$I$1,Generators!$A$1:$BC$1,0),FALSE)</f>
        <v>IT</v>
      </c>
      <c r="G70" s="96" t="str">
        <f ca="1">VLOOKUP('Unique Generator Objects'!A70,'Generator-Storage Assignment'!$A$2:$K$200,2,FALSE) &amp; IF(VLOOKUP('Unique Generator Objects'!A70,'Generator-Storage Assignment'!$A$2:$K$200,3,FALSE)="","",";" &amp; VLOOKUP('Unique Generator Objects'!A70,'Generator-Storage Assignment'!$A$2:$K$200,3,FALSE))&amp; IF(VLOOKUP('Unique Generator Objects'!A70,'Generator-Storage Assignment'!$A$2:$K$200,4,FALSE)="","",";" &amp; VLOOKUP('Unique Generator Objects'!A70,'Generator-Storage Assignment'!$A$2:$K$200,4,FALSE))&amp; IF(VLOOKUP('Unique Generator Objects'!A70,'Generator-Storage Assignment'!$A$2:$K$200,5,FALSE)="","",";" &amp; VLOOKUP('Unique Generator Objects'!A70,'Generator-Storage Assignment'!$A$2:$K$200,5,FALSE))&amp; IF(VLOOKUP('Unique Generator Objects'!A70,'Generator-Storage Assignment'!$A$2:$K$200,6,FALSE)="","",";" &amp; VLOOKUP('Unique Generator Objects'!A70,'Generator-Storage Assignment'!$A$2:$K$200,6,FALSE))&amp; IF(VLOOKUP('Unique Generator Objects'!A70,'Generator-Storage Assignment'!$A$2:$K$200,7,FALSE)="","",";" &amp; VLOOKUP('Unique Generator Objects'!A70,'Generator-Storage Assignment'!$A$2:$K$200,7,FALSE))&amp; IF(VLOOKUP('Unique Generator Objects'!A70,'Generator-Storage Assignment'!$A$2:$K$200,8,FALSE)="","",";" &amp; VLOOKUP('Unique Generator Objects'!A70,'Generator-Storage Assignment'!$A$2:$K$200,8,FALSE))&amp; IF(VLOOKUP('Unique Generator Objects'!A70,'Generator-Storage Assignment'!$A$2:$K$200,9,FALSE)="","",";" &amp; VLOOKUP('Unique Generator Objects'!A70,'Generator-Storage Assignment'!$A$2:$K$200,9,FALSE))</f>
        <v>Val Grosina</v>
      </c>
      <c r="H70" s="96" t="str">
        <f ca="1">VLOOKUP('Unique Generator Objects'!A70,'Generator-Storage Assignment'!$A$2:$L$200,12,FALSE)</f>
        <v>Grosio_lower</v>
      </c>
      <c r="J70" s="96">
        <f>VLOOKUP(A70,Generators!$A:$O,14,FALSE)</f>
        <v>46.291753</v>
      </c>
      <c r="K70" s="96">
        <f>VLOOKUP(A70,Generators!$A:$O,15,FALSE)</f>
        <v>10.266454</v>
      </c>
      <c r="M70" s="97"/>
      <c r="N70" s="96" t="str">
        <f t="shared" ca="1" si="3"/>
        <v>False</v>
      </c>
    </row>
    <row r="71" spans="1:14" x14ac:dyDescent="0.35">
      <c r="A71" s="191" t="s">
        <v>1527</v>
      </c>
      <c r="B71" s="97" t="str">
        <f>VLOOKUP(A71,Generators!$A$2:$AZ$1016,MATCH('Unique Generator Objects'!$B$1,Generators!$A$1:$AZ$1,0),FALSE)</f>
        <v>hydro-ROR</v>
      </c>
      <c r="C71" s="97" t="str">
        <f t="shared" si="2"/>
        <v>Genissiat</v>
      </c>
      <c r="D71" s="97" t="s">
        <v>2887</v>
      </c>
      <c r="E71" s="96" t="str">
        <f>VLOOKUP(A71,Generators!$A$2:$BC$122,MATCH(Generators!$I$1,Generators!$A$1:$BC$1,0),FALSE)</f>
        <v>FR</v>
      </c>
      <c r="G71" s="96" t="str">
        <f ca="1">VLOOKUP('Unique Generator Objects'!A71,'Generator-Storage Assignment'!$A$2:$K$200,2,FALSE) &amp; IF(VLOOKUP('Unique Generator Objects'!A71,'Generator-Storage Assignment'!$A$2:$K$200,3,FALSE)="","",";" &amp; VLOOKUP('Unique Generator Objects'!A71,'Generator-Storage Assignment'!$A$2:$K$200,3,FALSE))&amp; IF(VLOOKUP('Unique Generator Objects'!A71,'Generator-Storage Assignment'!$A$2:$K$200,4,FALSE)="","",";" &amp; VLOOKUP('Unique Generator Objects'!A71,'Generator-Storage Assignment'!$A$2:$K$200,4,FALSE))&amp; IF(VLOOKUP('Unique Generator Objects'!A71,'Generator-Storage Assignment'!$A$2:$K$200,5,FALSE)="","",";" &amp; VLOOKUP('Unique Generator Objects'!A71,'Generator-Storage Assignment'!$A$2:$K$200,5,FALSE))&amp; IF(VLOOKUP('Unique Generator Objects'!A71,'Generator-Storage Assignment'!$A$2:$K$200,6,FALSE)="","",";" &amp; VLOOKUP('Unique Generator Objects'!A71,'Generator-Storage Assignment'!$A$2:$K$200,6,FALSE))&amp; IF(VLOOKUP('Unique Generator Objects'!A71,'Generator-Storage Assignment'!$A$2:$K$200,7,FALSE)="","",";" &amp; VLOOKUP('Unique Generator Objects'!A71,'Generator-Storage Assignment'!$A$2:$K$200,7,FALSE))&amp; IF(VLOOKUP('Unique Generator Objects'!A71,'Generator-Storage Assignment'!$A$2:$K$200,8,FALSE)="","",";" &amp; VLOOKUP('Unique Generator Objects'!A71,'Generator-Storage Assignment'!$A$2:$K$200,8,FALSE))&amp; IF(VLOOKUP('Unique Generator Objects'!A71,'Generator-Storage Assignment'!$A$2:$K$200,9,FALSE)="","",";" &amp; VLOOKUP('Unique Generator Objects'!A71,'Generator-Storage Assignment'!$A$2:$K$200,9,FALSE))</f>
        <v>Genissiat</v>
      </c>
      <c r="H71" s="96" t="str">
        <f ca="1">VLOOKUP('Unique Generator Objects'!A71,'Generator-Storage Assignment'!$A$2:$L$200,12,FALSE)</f>
        <v>Genissiat_lower</v>
      </c>
      <c r="J71" s="96">
        <f>VLOOKUP(A71,Generators!$A:$O,14,FALSE)</f>
        <v>46.052714000000002</v>
      </c>
      <c r="K71" s="96">
        <f>VLOOKUP(A71,Generators!$A:$O,15,FALSE)</f>
        <v>5.812862</v>
      </c>
      <c r="M71" s="99"/>
      <c r="N71" s="96" t="str">
        <f t="shared" ca="1" si="3"/>
        <v>False</v>
      </c>
    </row>
    <row r="72" spans="1:14" x14ac:dyDescent="0.35">
      <c r="A72" s="194" t="s">
        <v>1695</v>
      </c>
      <c r="B72" s="97" t="str">
        <f>VLOOKUP(A72,Generators!$A$2:$AZ$1016,MATCH('Unique Generator Objects'!$B$1,Generators!$A$1:$AZ$1,0),FALSE)</f>
        <v>hydro-ROR</v>
      </c>
      <c r="C72" s="97" t="str">
        <f t="shared" si="2"/>
        <v>Riga</v>
      </c>
      <c r="D72" s="97" t="s">
        <v>2887</v>
      </c>
      <c r="E72" s="96" t="str">
        <f>VLOOKUP(A72,Generators!$A$2:$BC$122,MATCH(Generators!$I$1,Generators!$A$1:$BC$1,0),FALSE)</f>
        <v>LV</v>
      </c>
      <c r="G72" s="96" t="str">
        <f ca="1">VLOOKUP('Unique Generator Objects'!A72,'Generator-Storage Assignment'!$A$2:$K$200,2,FALSE) &amp; IF(VLOOKUP('Unique Generator Objects'!A72,'Generator-Storage Assignment'!$A$2:$K$200,3,FALSE)="","",";" &amp; VLOOKUP('Unique Generator Objects'!A72,'Generator-Storage Assignment'!$A$2:$K$200,3,FALSE))&amp; IF(VLOOKUP('Unique Generator Objects'!A72,'Generator-Storage Assignment'!$A$2:$K$200,4,FALSE)="","",";" &amp; VLOOKUP('Unique Generator Objects'!A72,'Generator-Storage Assignment'!$A$2:$K$200,4,FALSE))&amp; IF(VLOOKUP('Unique Generator Objects'!A72,'Generator-Storage Assignment'!$A$2:$K$200,5,FALSE)="","",";" &amp; VLOOKUP('Unique Generator Objects'!A72,'Generator-Storage Assignment'!$A$2:$K$200,5,FALSE))&amp; IF(VLOOKUP('Unique Generator Objects'!A72,'Generator-Storage Assignment'!$A$2:$K$200,6,FALSE)="","",";" &amp; VLOOKUP('Unique Generator Objects'!A72,'Generator-Storage Assignment'!$A$2:$K$200,6,FALSE))&amp; IF(VLOOKUP('Unique Generator Objects'!A72,'Generator-Storage Assignment'!$A$2:$K$200,7,FALSE)="","",";" &amp; VLOOKUP('Unique Generator Objects'!A72,'Generator-Storage Assignment'!$A$2:$K$200,7,FALSE))&amp; IF(VLOOKUP('Unique Generator Objects'!A72,'Generator-Storage Assignment'!$A$2:$K$200,8,FALSE)="","",";" &amp; VLOOKUP('Unique Generator Objects'!A72,'Generator-Storage Assignment'!$A$2:$K$200,8,FALSE))&amp; IF(VLOOKUP('Unique Generator Objects'!A72,'Generator-Storage Assignment'!$A$2:$K$200,9,FALSE)="","",";" &amp; VLOOKUP('Unique Generator Objects'!A72,'Generator-Storage Assignment'!$A$2:$K$200,9,FALSE))</f>
        <v>Riga</v>
      </c>
      <c r="H72" s="96" t="str">
        <f ca="1">VLOOKUP('Unique Generator Objects'!A72,'Generator-Storage Assignment'!$A$2:$L$200,12,FALSE)</f>
        <v>Daugava</v>
      </c>
      <c r="J72" s="96">
        <f>VLOOKUP(A72,Generators!$A:$O,14,FALSE)</f>
        <v>56.8513187</v>
      </c>
      <c r="K72" s="96">
        <f>VLOOKUP(A72,Generators!$A:$O,15,FALSE)</f>
        <v>24.272038899999998</v>
      </c>
      <c r="M72" s="99"/>
      <c r="N72" s="96" t="str">
        <f t="shared" ca="1" si="3"/>
        <v>False</v>
      </c>
    </row>
    <row r="73" spans="1:14" x14ac:dyDescent="0.35">
      <c r="A73" s="191" t="s">
        <v>2400</v>
      </c>
      <c r="B73" s="97" t="str">
        <f>VLOOKUP(A73,Generators!$A$2:$AZ$1016,MATCH('Unique Generator Objects'!$B$1,Generators!$A$1:$AZ$1,0),FALSE)</f>
        <v>hydro-PHS</v>
      </c>
      <c r="C73" s="97" t="str">
        <f t="shared" si="2"/>
        <v>Cruachan</v>
      </c>
      <c r="D73" s="97" t="s">
        <v>2887</v>
      </c>
      <c r="E73" s="96" t="str">
        <f>VLOOKUP(A73,Generators!$A$2:$BC$122,MATCH(Generators!$I$1,Generators!$A$1:$BC$1,0),FALSE)</f>
        <v>GB</v>
      </c>
      <c r="G73" s="96" t="str">
        <f ca="1">VLOOKUP('Unique Generator Objects'!A73,'Generator-Storage Assignment'!$A$2:$K$200,2,FALSE) &amp; IF(VLOOKUP('Unique Generator Objects'!A73,'Generator-Storage Assignment'!$A$2:$K$200,3,FALSE)="","",";" &amp; VLOOKUP('Unique Generator Objects'!A73,'Generator-Storage Assignment'!$A$2:$K$200,3,FALSE))&amp; IF(VLOOKUP('Unique Generator Objects'!A73,'Generator-Storage Assignment'!$A$2:$K$200,4,FALSE)="","",";" &amp; VLOOKUP('Unique Generator Objects'!A73,'Generator-Storage Assignment'!$A$2:$K$200,4,FALSE))&amp; IF(VLOOKUP('Unique Generator Objects'!A73,'Generator-Storage Assignment'!$A$2:$K$200,5,FALSE)="","",";" &amp; VLOOKUP('Unique Generator Objects'!A73,'Generator-Storage Assignment'!$A$2:$K$200,5,FALSE))&amp; IF(VLOOKUP('Unique Generator Objects'!A73,'Generator-Storage Assignment'!$A$2:$K$200,6,FALSE)="","",";" &amp; VLOOKUP('Unique Generator Objects'!A73,'Generator-Storage Assignment'!$A$2:$K$200,6,FALSE))&amp; IF(VLOOKUP('Unique Generator Objects'!A73,'Generator-Storage Assignment'!$A$2:$K$200,7,FALSE)="","",";" &amp; VLOOKUP('Unique Generator Objects'!A73,'Generator-Storage Assignment'!$A$2:$K$200,7,FALSE))&amp; IF(VLOOKUP('Unique Generator Objects'!A73,'Generator-Storage Assignment'!$A$2:$K$200,8,FALSE)="","",";" &amp; VLOOKUP('Unique Generator Objects'!A73,'Generator-Storage Assignment'!$A$2:$K$200,8,FALSE))&amp; IF(VLOOKUP('Unique Generator Objects'!A73,'Generator-Storage Assignment'!$A$2:$K$200,9,FALSE)="","",";" &amp; VLOOKUP('Unique Generator Objects'!A73,'Generator-Storage Assignment'!$A$2:$K$200,9,FALSE))</f>
        <v>Cruachan</v>
      </c>
      <c r="H73" s="96" t="str">
        <f ca="1">VLOOKUP('Unique Generator Objects'!A73,'Generator-Storage Assignment'!$A$2:$L$200,12,FALSE)</f>
        <v>Loch Awe</v>
      </c>
      <c r="J73" s="96">
        <f>VLOOKUP(A73,Generators!$A:$O,14,FALSE)</f>
        <v>56.406388999999997</v>
      </c>
      <c r="K73" s="96">
        <f>VLOOKUP(A73,Generators!$A:$O,15,FALSE)</f>
        <v>-5.1130560000000003</v>
      </c>
      <c r="M73" s="99"/>
      <c r="N73" s="96" t="str">
        <f t="shared" ca="1" si="3"/>
        <v>False</v>
      </c>
    </row>
    <row r="74" spans="1:14" x14ac:dyDescent="0.35">
      <c r="A74" s="191" t="s">
        <v>1104</v>
      </c>
      <c r="B74" s="97" t="str">
        <f>VLOOKUP(A74,Generators!$A$2:$AZ$1016,MATCH('Unique Generator Objects'!$B$1,Generators!$A$1:$AZ$1,0),FALSE)</f>
        <v>hydro-STO</v>
      </c>
      <c r="C74" s="97" t="str">
        <f t="shared" si="2"/>
        <v>Kaunertal</v>
      </c>
      <c r="D74" s="97" t="s">
        <v>2887</v>
      </c>
      <c r="E74" s="96" t="str">
        <f>VLOOKUP(A74,Generators!$A$2:$BC$122,MATCH(Generators!$I$1,Generators!$A$1:$BC$1,0),FALSE)</f>
        <v>AT</v>
      </c>
      <c r="G74" s="96" t="str">
        <f ca="1">VLOOKUP('Unique Generator Objects'!A74,'Generator-Storage Assignment'!$A$2:$K$200,2,FALSE) &amp; IF(VLOOKUP('Unique Generator Objects'!A74,'Generator-Storage Assignment'!$A$2:$K$200,3,FALSE)="","",";" &amp; VLOOKUP('Unique Generator Objects'!A74,'Generator-Storage Assignment'!$A$2:$K$200,3,FALSE))&amp; IF(VLOOKUP('Unique Generator Objects'!A74,'Generator-Storage Assignment'!$A$2:$K$200,4,FALSE)="","",";" &amp; VLOOKUP('Unique Generator Objects'!A74,'Generator-Storage Assignment'!$A$2:$K$200,4,FALSE))&amp; IF(VLOOKUP('Unique Generator Objects'!A74,'Generator-Storage Assignment'!$A$2:$K$200,5,FALSE)="","",";" &amp; VLOOKUP('Unique Generator Objects'!A74,'Generator-Storage Assignment'!$A$2:$K$200,5,FALSE))&amp; IF(VLOOKUP('Unique Generator Objects'!A74,'Generator-Storage Assignment'!$A$2:$K$200,6,FALSE)="","",";" &amp; VLOOKUP('Unique Generator Objects'!A74,'Generator-Storage Assignment'!$A$2:$K$200,6,FALSE))&amp; IF(VLOOKUP('Unique Generator Objects'!A74,'Generator-Storage Assignment'!$A$2:$K$200,7,FALSE)="","",";" &amp; VLOOKUP('Unique Generator Objects'!A74,'Generator-Storage Assignment'!$A$2:$K$200,7,FALSE))&amp; IF(VLOOKUP('Unique Generator Objects'!A74,'Generator-Storage Assignment'!$A$2:$K$200,8,FALSE)="","",";" &amp; VLOOKUP('Unique Generator Objects'!A74,'Generator-Storage Assignment'!$A$2:$K$200,8,FALSE))&amp; IF(VLOOKUP('Unique Generator Objects'!A74,'Generator-Storage Assignment'!$A$2:$K$200,9,FALSE)="","",";" &amp; VLOOKUP('Unique Generator Objects'!A74,'Generator-Storage Assignment'!$A$2:$K$200,9,FALSE))</f>
        <v>Gepatsch</v>
      </c>
      <c r="H74" s="96" t="str">
        <f ca="1">VLOOKUP('Unique Generator Objects'!A74,'Generator-Storage Assignment'!$A$2:$L$200,12,FALSE)</f>
        <v>Kaunertal_lower</v>
      </c>
      <c r="M74" s="97"/>
      <c r="N74" s="96" t="str">
        <f t="shared" ca="1" si="3"/>
        <v>False</v>
      </c>
    </row>
    <row r="75" spans="1:14" x14ac:dyDescent="0.35">
      <c r="A75" s="191" t="s">
        <v>2096</v>
      </c>
      <c r="B75" s="97" t="str">
        <f>VLOOKUP(A75,Generators!$A$2:$AZ$1016,MATCH('Unique Generator Objects'!$B$1,Generators!$A$1:$AZ$1,0),FALSE)</f>
        <v>hydro-STO</v>
      </c>
      <c r="C75" s="97" t="str">
        <f t="shared" si="2"/>
        <v>Nendaz</v>
      </c>
      <c r="D75" s="97" t="s">
        <v>2887</v>
      </c>
      <c r="E75" s="96" t="str">
        <f>VLOOKUP(A75,Generators!$A$2:$BC$122,MATCH(Generators!$I$1,Generators!$A$1:$BC$1,0),FALSE)</f>
        <v>CH</v>
      </c>
      <c r="G75" s="96" t="str">
        <f ca="1">VLOOKUP('Unique Generator Objects'!A75,'Generator-Storage Assignment'!$A$2:$K$200,2,FALSE) &amp; IF(VLOOKUP('Unique Generator Objects'!A75,'Generator-Storage Assignment'!$A$2:$K$200,3,FALSE)="","",";" &amp; VLOOKUP('Unique Generator Objects'!A75,'Generator-Storage Assignment'!$A$2:$K$200,3,FALSE))&amp; IF(VLOOKUP('Unique Generator Objects'!A75,'Generator-Storage Assignment'!$A$2:$K$200,4,FALSE)="","",";" &amp; VLOOKUP('Unique Generator Objects'!A75,'Generator-Storage Assignment'!$A$2:$K$200,4,FALSE))&amp; IF(VLOOKUP('Unique Generator Objects'!A75,'Generator-Storage Assignment'!$A$2:$K$200,5,FALSE)="","",";" &amp; VLOOKUP('Unique Generator Objects'!A75,'Generator-Storage Assignment'!$A$2:$K$200,5,FALSE))&amp; IF(VLOOKUP('Unique Generator Objects'!A75,'Generator-Storage Assignment'!$A$2:$K$200,6,FALSE)="","",";" &amp; VLOOKUP('Unique Generator Objects'!A75,'Generator-Storage Assignment'!$A$2:$K$200,6,FALSE))&amp; IF(VLOOKUP('Unique Generator Objects'!A75,'Generator-Storage Assignment'!$A$2:$K$200,7,FALSE)="","",";" &amp; VLOOKUP('Unique Generator Objects'!A75,'Generator-Storage Assignment'!$A$2:$K$200,7,FALSE))&amp; IF(VLOOKUP('Unique Generator Objects'!A75,'Generator-Storage Assignment'!$A$2:$K$200,8,FALSE)="","",";" &amp; VLOOKUP('Unique Generator Objects'!A75,'Generator-Storage Assignment'!$A$2:$K$200,8,FALSE))&amp; IF(VLOOKUP('Unique Generator Objects'!A75,'Generator-Storage Assignment'!$A$2:$K$200,9,FALSE)="","",";" &amp; VLOOKUP('Unique Generator Objects'!A75,'Generator-Storage Assignment'!$A$2:$K$200,9,FALSE))</f>
        <v>Grand Dixence reservoir</v>
      </c>
      <c r="H75" s="96" t="str">
        <f ca="1">VLOOKUP('Unique Generator Objects'!A75,'Generator-Storage Assignment'!$A$2:$L$200,12,FALSE)</f>
        <v>Nendaz_lower</v>
      </c>
      <c r="J75" s="96">
        <f>VLOOKUP(A75,Generators!$A$2:$BC$122,MATCH(Generators!$N$1,Generators!$A$1:$BC$1,0),FALSE)</f>
        <v>46.183329999999998</v>
      </c>
      <c r="K75" s="96">
        <f>VLOOKUP(A75,Generators!$A$2:$BC$122,MATCH(Generators!$O$1,Generators!$A$1:$BC$1,0),FALSE)</f>
        <v>7.3</v>
      </c>
      <c r="M75" s="97"/>
      <c r="N75" s="96" t="str">
        <f t="shared" ca="1" si="3"/>
        <v>False</v>
      </c>
    </row>
    <row r="76" spans="1:14" x14ac:dyDescent="0.35">
      <c r="A76" s="191" t="s">
        <v>2782</v>
      </c>
      <c r="B76" s="97" t="str">
        <f>VLOOKUP(A76,Generators!$A$2:$AZ$1016,MATCH('Unique Generator Objects'!$B$1,Generators!$A$1:$AZ$1,0),FALSE)</f>
        <v>hydro-PHS</v>
      </c>
      <c r="C76" s="97" t="str">
        <f t="shared" si="2"/>
        <v>Thisavros</v>
      </c>
      <c r="D76" s="97" t="s">
        <v>2887</v>
      </c>
      <c r="E76" s="96" t="str">
        <f>VLOOKUP(A76,Generators!$A$2:$BC$122,MATCH(Generators!$I$1,Generators!$A$1:$BC$1,0),FALSE)</f>
        <v>EL</v>
      </c>
      <c r="G76" s="96" t="str">
        <f ca="1">VLOOKUP('Unique Generator Objects'!A76,'Generator-Storage Assignment'!$A$2:$K$200,2,FALSE) &amp; IF(VLOOKUP('Unique Generator Objects'!A76,'Generator-Storage Assignment'!$A$2:$K$200,3,FALSE)="","",";" &amp; VLOOKUP('Unique Generator Objects'!A76,'Generator-Storage Assignment'!$A$2:$K$200,3,FALSE))&amp; IF(VLOOKUP('Unique Generator Objects'!A76,'Generator-Storage Assignment'!$A$2:$K$200,4,FALSE)="","",";" &amp; VLOOKUP('Unique Generator Objects'!A76,'Generator-Storage Assignment'!$A$2:$K$200,4,FALSE))&amp; IF(VLOOKUP('Unique Generator Objects'!A76,'Generator-Storage Assignment'!$A$2:$K$200,5,FALSE)="","",";" &amp; VLOOKUP('Unique Generator Objects'!A76,'Generator-Storage Assignment'!$A$2:$K$200,5,FALSE))&amp; IF(VLOOKUP('Unique Generator Objects'!A76,'Generator-Storage Assignment'!$A$2:$K$200,6,FALSE)="","",";" &amp; VLOOKUP('Unique Generator Objects'!A76,'Generator-Storage Assignment'!$A$2:$K$200,6,FALSE))&amp; IF(VLOOKUP('Unique Generator Objects'!A76,'Generator-Storage Assignment'!$A$2:$K$200,7,FALSE)="","",";" &amp; VLOOKUP('Unique Generator Objects'!A76,'Generator-Storage Assignment'!$A$2:$K$200,7,FALSE))&amp; IF(VLOOKUP('Unique Generator Objects'!A76,'Generator-Storage Assignment'!$A$2:$K$200,8,FALSE)="","",";" &amp; VLOOKUP('Unique Generator Objects'!A76,'Generator-Storage Assignment'!$A$2:$K$200,8,FALSE))&amp; IF(VLOOKUP('Unique Generator Objects'!A76,'Generator-Storage Assignment'!$A$2:$K$200,9,FALSE)="","",";" &amp; VLOOKUP('Unique Generator Objects'!A76,'Generator-Storage Assignment'!$A$2:$K$200,9,FALSE))</f>
        <v>Thissavros</v>
      </c>
      <c r="H76" s="96" t="str">
        <f ca="1">VLOOKUP('Unique Generator Objects'!A76,'Generator-Storage Assignment'!$A$2:$L$200,12,FALSE)</f>
        <v>Platanovryssi</v>
      </c>
      <c r="J76" s="96">
        <f>VLOOKUP(A76,Generators!$A$2:$BC$122,MATCH(Generators!$N$1,Generators!$A$1:$BC$1,0),FALSE)</f>
        <v>41.354444000000001</v>
      </c>
      <c r="K76" s="96">
        <f>VLOOKUP(A76,Generators!$A$2:$BC$122,MATCH(Generators!$O$1,Generators!$A$1:$BC$1,0),FALSE)</f>
        <v>24.366944</v>
      </c>
      <c r="M76" s="97"/>
      <c r="N76" s="96" t="str">
        <f t="shared" ca="1" si="3"/>
        <v>False</v>
      </c>
    </row>
    <row r="77" spans="1:14" x14ac:dyDescent="0.35">
      <c r="A77" s="191" t="s">
        <v>2662</v>
      </c>
      <c r="B77" s="97" t="str">
        <f>VLOOKUP(A77,Generators!$A$2:$AZ$1016,MATCH('Unique Generator Objects'!$B$1,Generators!$A$1:$AZ$1,0),FALSE)</f>
        <v>hydro-STO</v>
      </c>
      <c r="C77" s="97" t="str">
        <f t="shared" si="2"/>
        <v>Serre-Poncon</v>
      </c>
      <c r="D77" s="97" t="s">
        <v>2887</v>
      </c>
      <c r="E77" s="96" t="str">
        <f>VLOOKUP(A77,Generators!$A$2:$BC$122,MATCH(Generators!$I$1,Generators!$A$1:$BC$1,0),FALSE)</f>
        <v>FR</v>
      </c>
      <c r="G77" s="96" t="str">
        <f ca="1">VLOOKUP('Unique Generator Objects'!A77,'Generator-Storage Assignment'!$A$2:$K$200,2,FALSE) &amp; IF(VLOOKUP('Unique Generator Objects'!A77,'Generator-Storage Assignment'!$A$2:$K$200,3,FALSE)="","",";" &amp; VLOOKUP('Unique Generator Objects'!A77,'Generator-Storage Assignment'!$A$2:$K$200,3,FALSE))&amp; IF(VLOOKUP('Unique Generator Objects'!A77,'Generator-Storage Assignment'!$A$2:$K$200,4,FALSE)="","",";" &amp; VLOOKUP('Unique Generator Objects'!A77,'Generator-Storage Assignment'!$A$2:$K$200,4,FALSE))&amp; IF(VLOOKUP('Unique Generator Objects'!A77,'Generator-Storage Assignment'!$A$2:$K$200,5,FALSE)="","",";" &amp; VLOOKUP('Unique Generator Objects'!A77,'Generator-Storage Assignment'!$A$2:$K$200,5,FALSE))&amp; IF(VLOOKUP('Unique Generator Objects'!A77,'Generator-Storage Assignment'!$A$2:$K$200,6,FALSE)="","",";" &amp; VLOOKUP('Unique Generator Objects'!A77,'Generator-Storage Assignment'!$A$2:$K$200,6,FALSE))&amp; IF(VLOOKUP('Unique Generator Objects'!A77,'Generator-Storage Assignment'!$A$2:$K$200,7,FALSE)="","",";" &amp; VLOOKUP('Unique Generator Objects'!A77,'Generator-Storage Assignment'!$A$2:$K$200,7,FALSE))&amp; IF(VLOOKUP('Unique Generator Objects'!A77,'Generator-Storage Assignment'!$A$2:$K$200,8,FALSE)="","",";" &amp; VLOOKUP('Unique Generator Objects'!A77,'Generator-Storage Assignment'!$A$2:$K$200,8,FALSE))&amp; IF(VLOOKUP('Unique Generator Objects'!A77,'Generator-Storage Assignment'!$A$2:$K$200,9,FALSE)="","",";" &amp; VLOOKUP('Unique Generator Objects'!A77,'Generator-Storage Assignment'!$A$2:$K$200,9,FALSE))</f>
        <v>Serre-Poncon</v>
      </c>
      <c r="H77" s="96" t="str">
        <f ca="1">VLOOKUP('Unique Generator Objects'!A77,'Generator-Storage Assignment'!$A$2:$L$200,12,FALSE)</f>
        <v>Serre-Poncon_lower</v>
      </c>
      <c r="J77" s="96">
        <f>VLOOKUP(A77,Generators!$A$2:$BC$122,MATCH(Generators!$N$1,Generators!$A$1:$BC$1,0),FALSE)</f>
        <v>44.471643999999998</v>
      </c>
      <c r="K77" s="96">
        <f>VLOOKUP(A77,Generators!$A$2:$BC$122,MATCH(Generators!$O$1,Generators!$A$1:$BC$1,0),FALSE)</f>
        <v>6.2706179999999998</v>
      </c>
      <c r="M77" s="97"/>
      <c r="N77" s="96" t="str">
        <f t="shared" ca="1" si="3"/>
        <v>False</v>
      </c>
    </row>
    <row r="78" spans="1:14" x14ac:dyDescent="0.35">
      <c r="A78" s="191" t="s">
        <v>2663</v>
      </c>
      <c r="B78" s="97" t="str">
        <f>VLOOKUP(A78,Generators!$A$2:$AZ$1016,MATCH('Unique Generator Objects'!$B$1,Generators!$A$1:$AZ$1,0),FALSE)</f>
        <v>hydro-STO</v>
      </c>
      <c r="C78" s="97" t="str">
        <f t="shared" si="2"/>
        <v>Tyin</v>
      </c>
      <c r="D78" s="97" t="s">
        <v>2887</v>
      </c>
      <c r="E78" s="96" t="str">
        <f>VLOOKUP(A78,Generators!$A$2:$BC$122,MATCH(Generators!$I$1,Generators!$A$1:$BC$1,0),FALSE)</f>
        <v>NO</v>
      </c>
      <c r="G78" s="96" t="str">
        <f ca="1">VLOOKUP('Unique Generator Objects'!A78,'Generator-Storage Assignment'!$A$2:$K$200,2,FALSE) &amp; IF(VLOOKUP('Unique Generator Objects'!A78,'Generator-Storage Assignment'!$A$2:$K$200,3,FALSE)="","",";" &amp; VLOOKUP('Unique Generator Objects'!A78,'Generator-Storage Assignment'!$A$2:$K$200,3,FALSE))&amp; IF(VLOOKUP('Unique Generator Objects'!A78,'Generator-Storage Assignment'!$A$2:$K$200,4,FALSE)="","",";" &amp; VLOOKUP('Unique Generator Objects'!A78,'Generator-Storage Assignment'!$A$2:$K$200,4,FALSE))&amp; IF(VLOOKUP('Unique Generator Objects'!A78,'Generator-Storage Assignment'!$A$2:$K$200,5,FALSE)="","",";" &amp; VLOOKUP('Unique Generator Objects'!A78,'Generator-Storage Assignment'!$A$2:$K$200,5,FALSE))&amp; IF(VLOOKUP('Unique Generator Objects'!A78,'Generator-Storage Assignment'!$A$2:$K$200,6,FALSE)="","",";" &amp; VLOOKUP('Unique Generator Objects'!A78,'Generator-Storage Assignment'!$A$2:$K$200,6,FALSE))&amp; IF(VLOOKUP('Unique Generator Objects'!A78,'Generator-Storage Assignment'!$A$2:$K$200,7,FALSE)="","",";" &amp; VLOOKUP('Unique Generator Objects'!A78,'Generator-Storage Assignment'!$A$2:$K$200,7,FALSE))&amp; IF(VLOOKUP('Unique Generator Objects'!A78,'Generator-Storage Assignment'!$A$2:$K$200,8,FALSE)="","",";" &amp; VLOOKUP('Unique Generator Objects'!A78,'Generator-Storage Assignment'!$A$2:$K$200,8,FALSE))&amp; IF(VLOOKUP('Unique Generator Objects'!A78,'Generator-Storage Assignment'!$A$2:$K$200,9,FALSE)="","",";" &amp; VLOOKUP('Unique Generator Objects'!A78,'Generator-Storage Assignment'!$A$2:$K$200,9,FALSE))</f>
        <v>Tyin</v>
      </c>
      <c r="H78" s="96" t="str">
        <f ca="1">VLOOKUP('Unique Generator Objects'!A78,'Generator-Storage Assignment'!$A$2:$L$200,12,FALSE)</f>
        <v>Ardalsvatnet</v>
      </c>
      <c r="J78" s="96">
        <f>VLOOKUP(A78,Generators!$A$2:$BC$122,MATCH(Generators!$N$1,Generators!$A$1:$BC$1,0),FALSE)</f>
        <v>61.305857000000003</v>
      </c>
      <c r="K78" s="96">
        <f>VLOOKUP(A78,Generators!$A$2:$BC$122,MATCH(Generators!$O$1,Generators!$A$1:$BC$1,0),FALSE)</f>
        <v>7.7911260000000002</v>
      </c>
      <c r="M78" s="97"/>
      <c r="N78" s="96" t="str">
        <f t="shared" ca="1" si="3"/>
        <v>False</v>
      </c>
    </row>
    <row r="79" spans="1:14" x14ac:dyDescent="0.35">
      <c r="A79" s="191" t="s">
        <v>2675</v>
      </c>
      <c r="B79" s="97" t="str">
        <f>VLOOKUP(A79,Generators!$A$2:$AZ$1016,MATCH('Unique Generator Objects'!$B$1,Generators!$A$1:$AZ$1,0),FALSE)</f>
        <v>hydro-PHS</v>
      </c>
      <c r="C79" s="97" t="str">
        <f t="shared" si="2"/>
        <v>Tajo De la Encantada (El Chorro)</v>
      </c>
      <c r="D79" s="97" t="s">
        <v>2887</v>
      </c>
      <c r="E79" s="96" t="str">
        <f>VLOOKUP(A79,Generators!$A$2:$BC$122,MATCH(Generators!$I$1,Generators!$A$1:$BC$1,0),FALSE)</f>
        <v>ES</v>
      </c>
      <c r="G79" s="96" t="str">
        <f ca="1">VLOOKUP('Unique Generator Objects'!A79,'Generator-Storage Assignment'!$A$2:$K$200,2,FALSE) &amp; IF(VLOOKUP('Unique Generator Objects'!A79,'Generator-Storage Assignment'!$A$2:$K$200,3,FALSE)="","",";" &amp; VLOOKUP('Unique Generator Objects'!A79,'Generator-Storage Assignment'!$A$2:$K$200,3,FALSE))&amp; IF(VLOOKUP('Unique Generator Objects'!A79,'Generator-Storage Assignment'!$A$2:$K$200,4,FALSE)="","",";" &amp; VLOOKUP('Unique Generator Objects'!A79,'Generator-Storage Assignment'!$A$2:$K$200,4,FALSE))&amp; IF(VLOOKUP('Unique Generator Objects'!A79,'Generator-Storage Assignment'!$A$2:$K$200,5,FALSE)="","",";" &amp; VLOOKUP('Unique Generator Objects'!A79,'Generator-Storage Assignment'!$A$2:$K$200,5,FALSE))&amp; IF(VLOOKUP('Unique Generator Objects'!A79,'Generator-Storage Assignment'!$A$2:$K$200,6,FALSE)="","",";" &amp; VLOOKUP('Unique Generator Objects'!A79,'Generator-Storage Assignment'!$A$2:$K$200,6,FALSE))&amp; IF(VLOOKUP('Unique Generator Objects'!A79,'Generator-Storage Assignment'!$A$2:$K$200,7,FALSE)="","",";" &amp; VLOOKUP('Unique Generator Objects'!A79,'Generator-Storage Assignment'!$A$2:$K$200,7,FALSE))&amp; IF(VLOOKUP('Unique Generator Objects'!A79,'Generator-Storage Assignment'!$A$2:$K$200,8,FALSE)="","",";" &amp; VLOOKUP('Unique Generator Objects'!A79,'Generator-Storage Assignment'!$A$2:$K$200,8,FALSE))&amp; IF(VLOOKUP('Unique Generator Objects'!A79,'Generator-Storage Assignment'!$A$2:$K$200,9,FALSE)="","",";" &amp; VLOOKUP('Unique Generator Objects'!A79,'Generator-Storage Assignment'!$A$2:$K$200,9,FALSE))</f>
        <v>Tajo de la Encantada upper</v>
      </c>
      <c r="H79" s="96" t="str">
        <f ca="1">VLOOKUP('Unique Generator Objects'!A79,'Generator-Storage Assignment'!$A$2:$L$200,12,FALSE)</f>
        <v>Tajo de la Encantada</v>
      </c>
      <c r="J79" s="96">
        <f>VLOOKUP(A79,Generators!$A$2:$BC$122,MATCH(Generators!$N$1,Generators!$A$1:$BC$1,0),FALSE)</f>
        <v>36.908369</v>
      </c>
      <c r="K79" s="96">
        <f>VLOOKUP(A79,Generators!$A$2:$BC$122,MATCH(Generators!$O$1,Generators!$A$1:$BC$1,0),FALSE)</f>
        <v>-4.7628919999999999</v>
      </c>
      <c r="M79" s="97"/>
      <c r="N79" s="96" t="str">
        <f t="shared" ca="1" si="3"/>
        <v>False</v>
      </c>
    </row>
    <row r="80" spans="1:14" x14ac:dyDescent="0.35">
      <c r="A80" s="191" t="s">
        <v>1734</v>
      </c>
      <c r="B80" s="97" t="str">
        <f>VLOOKUP(A80,Generators!$A$2:$AZ$1016,MATCH('Unique Generator Objects'!$B$1,Generators!$A$1:$AZ$1,0),FALSE)</f>
        <v>hydro-ROR</v>
      </c>
      <c r="C80" s="97" t="str">
        <f t="shared" si="2"/>
        <v>Miranda</v>
      </c>
      <c r="D80" s="97" t="s">
        <v>2887</v>
      </c>
      <c r="E80" s="96" t="str">
        <f>VLOOKUP(A80,Generators!$A$2:$BC$122,MATCH(Generators!$I$1,Generators!$A$1:$BC$1,0),FALSE)</f>
        <v>PT</v>
      </c>
      <c r="G80" s="96" t="str">
        <f ca="1">VLOOKUP('Unique Generator Objects'!A80,'Generator-Storage Assignment'!$A$2:$K$200,2,FALSE) &amp; IF(VLOOKUP('Unique Generator Objects'!A80,'Generator-Storage Assignment'!$A$2:$K$200,3,FALSE)="","",";" &amp; VLOOKUP('Unique Generator Objects'!A80,'Generator-Storage Assignment'!$A$2:$K$200,3,FALSE))&amp; IF(VLOOKUP('Unique Generator Objects'!A80,'Generator-Storage Assignment'!$A$2:$K$200,4,FALSE)="","",";" &amp; VLOOKUP('Unique Generator Objects'!A80,'Generator-Storage Assignment'!$A$2:$K$200,4,FALSE))&amp; IF(VLOOKUP('Unique Generator Objects'!A80,'Generator-Storage Assignment'!$A$2:$K$200,5,FALSE)="","",";" &amp; VLOOKUP('Unique Generator Objects'!A80,'Generator-Storage Assignment'!$A$2:$K$200,5,FALSE))&amp; IF(VLOOKUP('Unique Generator Objects'!A80,'Generator-Storage Assignment'!$A$2:$K$200,6,FALSE)="","",";" &amp; VLOOKUP('Unique Generator Objects'!A80,'Generator-Storage Assignment'!$A$2:$K$200,6,FALSE))&amp; IF(VLOOKUP('Unique Generator Objects'!A80,'Generator-Storage Assignment'!$A$2:$K$200,7,FALSE)="","",";" &amp; VLOOKUP('Unique Generator Objects'!A80,'Generator-Storage Assignment'!$A$2:$K$200,7,FALSE))&amp; IF(VLOOKUP('Unique Generator Objects'!A80,'Generator-Storage Assignment'!$A$2:$K$200,8,FALSE)="","",";" &amp; VLOOKUP('Unique Generator Objects'!A80,'Generator-Storage Assignment'!$A$2:$K$200,8,FALSE))&amp; IF(VLOOKUP('Unique Generator Objects'!A80,'Generator-Storage Assignment'!$A$2:$K$200,9,FALSE)="","",";" &amp; VLOOKUP('Unique Generator Objects'!A80,'Generator-Storage Assignment'!$A$2:$K$200,9,FALSE))</f>
        <v>Miranda</v>
      </c>
      <c r="H80" s="96" t="str">
        <f ca="1">VLOOKUP('Unique Generator Objects'!A80,'Generator-Storage Assignment'!$A$2:$L$200,12,FALSE)</f>
        <v>Miranda_lower</v>
      </c>
      <c r="J80" s="96">
        <f>VLOOKUP(A80,Generators!$A$2:$BC$122,MATCH(Generators!$N$1,Generators!$A$1:$BC$1,0),FALSE)</f>
        <v>41.489750000000001</v>
      </c>
      <c r="K80" s="96">
        <f>VLOOKUP(A80,Generators!$A$2:$BC$122,MATCH(Generators!$O$1,Generators!$A$1:$BC$1,0),FALSE)</f>
        <v>-6.2639189999999996</v>
      </c>
      <c r="M80" s="99"/>
      <c r="N80" s="96" t="str">
        <f t="shared" ca="1" si="3"/>
        <v>False</v>
      </c>
    </row>
    <row r="81" spans="1:14" x14ac:dyDescent="0.35">
      <c r="A81" s="191" t="s">
        <v>1484</v>
      </c>
      <c r="B81" s="97" t="str">
        <f>VLOOKUP(A81,Generators!$A$2:$AZ$1016,MATCH('Unique Generator Objects'!$B$1,Generators!$A$1:$AZ$1,0),FALSE)</f>
        <v>hydro-ROR</v>
      </c>
      <c r="C81" s="97" t="str">
        <f t="shared" si="2"/>
        <v>Orlik</v>
      </c>
      <c r="D81" s="97" t="s">
        <v>2887</v>
      </c>
      <c r="E81" s="96" t="str">
        <f>VLOOKUP(A81,Generators!$A$2:$BC$122,MATCH(Generators!$I$1,Generators!$A$1:$BC$1,0),FALSE)</f>
        <v>CZ</v>
      </c>
      <c r="G81" s="96" t="str">
        <f ca="1">VLOOKUP('Unique Generator Objects'!A81,'Generator-Storage Assignment'!$A$2:$K$200,2,FALSE) &amp; IF(VLOOKUP('Unique Generator Objects'!A81,'Generator-Storage Assignment'!$A$2:$K$200,3,FALSE)="","",";" &amp; VLOOKUP('Unique Generator Objects'!A81,'Generator-Storage Assignment'!$A$2:$K$200,3,FALSE))&amp; IF(VLOOKUP('Unique Generator Objects'!A81,'Generator-Storage Assignment'!$A$2:$K$200,4,FALSE)="","",";" &amp; VLOOKUP('Unique Generator Objects'!A81,'Generator-Storage Assignment'!$A$2:$K$200,4,FALSE))&amp; IF(VLOOKUP('Unique Generator Objects'!A81,'Generator-Storage Assignment'!$A$2:$K$200,5,FALSE)="","",";" &amp; VLOOKUP('Unique Generator Objects'!A81,'Generator-Storage Assignment'!$A$2:$K$200,5,FALSE))&amp; IF(VLOOKUP('Unique Generator Objects'!A81,'Generator-Storage Assignment'!$A$2:$K$200,6,FALSE)="","",";" &amp; VLOOKUP('Unique Generator Objects'!A81,'Generator-Storage Assignment'!$A$2:$K$200,6,FALSE))&amp; IF(VLOOKUP('Unique Generator Objects'!A81,'Generator-Storage Assignment'!$A$2:$K$200,7,FALSE)="","",";" &amp; VLOOKUP('Unique Generator Objects'!A81,'Generator-Storage Assignment'!$A$2:$K$200,7,FALSE))&amp; IF(VLOOKUP('Unique Generator Objects'!A81,'Generator-Storage Assignment'!$A$2:$K$200,8,FALSE)="","",";" &amp; VLOOKUP('Unique Generator Objects'!A81,'Generator-Storage Assignment'!$A$2:$K$200,8,FALSE))&amp; IF(VLOOKUP('Unique Generator Objects'!A81,'Generator-Storage Assignment'!$A$2:$K$200,9,FALSE)="","",";" &amp; VLOOKUP('Unique Generator Objects'!A81,'Generator-Storage Assignment'!$A$2:$K$200,9,FALSE))</f>
        <v>Orlik</v>
      </c>
      <c r="H81" s="96" t="str">
        <f ca="1">VLOOKUP('Unique Generator Objects'!A81,'Generator-Storage Assignment'!$A$2:$L$200,12,FALSE)</f>
        <v>Orlik_lower</v>
      </c>
      <c r="J81" s="96">
        <f>VLOOKUP(A81,Generators!$A$2:$BC$122,MATCH(Generators!$N$1,Generators!$A$1:$BC$1,0),FALSE)</f>
        <v>49.6068444</v>
      </c>
      <c r="K81" s="96">
        <f>VLOOKUP(A81,Generators!$A$2:$BC$122,MATCH(Generators!$O$1,Generators!$A$1:$BC$1,0),FALSE)</f>
        <v>14.181225299999999</v>
      </c>
      <c r="M81" s="97"/>
      <c r="N81" s="96" t="str">
        <f ca="1">IF(AND(B81="hydro-PHS",NOT(ISTEXT(H81))),"True","False")</f>
        <v>False</v>
      </c>
    </row>
    <row r="82" spans="1:14" x14ac:dyDescent="0.35">
      <c r="A82" s="191" t="s">
        <v>1519</v>
      </c>
      <c r="B82" s="97" t="str">
        <f>VLOOKUP(A82,Generators!$A$2:$AZ$1016,MATCH('Unique Generator Objects'!$B$1,Generators!$A$1:$AZ$1,0),FALSE)</f>
        <v>hydro-STO</v>
      </c>
      <c r="C82" s="97" t="str">
        <f t="shared" si="2"/>
        <v>Monteynard</v>
      </c>
      <c r="D82" s="97" t="s">
        <v>2887</v>
      </c>
      <c r="E82" s="96" t="str">
        <f>VLOOKUP(A82,Generators!$A$2:$BC$122,MATCH(Generators!$I$1,Generators!$A$1:$BC$1,0),FALSE)</f>
        <v>FR</v>
      </c>
      <c r="G82" s="96" t="str">
        <f ca="1">VLOOKUP('Unique Generator Objects'!A82,'Generator-Storage Assignment'!$A$2:$K$200,2,FALSE) &amp; IF(VLOOKUP('Unique Generator Objects'!A82,'Generator-Storage Assignment'!$A$2:$K$200,3,FALSE)="","",";" &amp; VLOOKUP('Unique Generator Objects'!A82,'Generator-Storage Assignment'!$A$2:$K$200,3,FALSE))&amp; IF(VLOOKUP('Unique Generator Objects'!A82,'Generator-Storage Assignment'!$A$2:$K$200,4,FALSE)="","",";" &amp; VLOOKUP('Unique Generator Objects'!A82,'Generator-Storage Assignment'!$A$2:$K$200,4,FALSE))&amp; IF(VLOOKUP('Unique Generator Objects'!A82,'Generator-Storage Assignment'!$A$2:$K$200,5,FALSE)="","",";" &amp; VLOOKUP('Unique Generator Objects'!A82,'Generator-Storage Assignment'!$A$2:$K$200,5,FALSE))&amp; IF(VLOOKUP('Unique Generator Objects'!A82,'Generator-Storage Assignment'!$A$2:$K$200,6,FALSE)="","",";" &amp; VLOOKUP('Unique Generator Objects'!A82,'Generator-Storage Assignment'!$A$2:$K$200,6,FALSE))&amp; IF(VLOOKUP('Unique Generator Objects'!A82,'Generator-Storage Assignment'!$A$2:$K$200,7,FALSE)="","",";" &amp; VLOOKUP('Unique Generator Objects'!A82,'Generator-Storage Assignment'!$A$2:$K$200,7,FALSE))&amp; IF(VLOOKUP('Unique Generator Objects'!A82,'Generator-Storage Assignment'!$A$2:$K$200,8,FALSE)="","",";" &amp; VLOOKUP('Unique Generator Objects'!A82,'Generator-Storage Assignment'!$A$2:$K$200,8,FALSE))&amp; IF(VLOOKUP('Unique Generator Objects'!A82,'Generator-Storage Assignment'!$A$2:$K$200,9,FALSE)="","",";" &amp; VLOOKUP('Unique Generator Objects'!A82,'Generator-Storage Assignment'!$A$2:$K$200,9,FALSE))</f>
        <v>Monteynard</v>
      </c>
      <c r="H82" s="96" t="str">
        <f ca="1">VLOOKUP('Unique Generator Objects'!A82,'Generator-Storage Assignment'!$A$2:$L$200,12,FALSE)</f>
        <v>Monteynard_lower</v>
      </c>
      <c r="J82" s="96">
        <f>VLOOKUP(A82,Generators!$A$2:$BC$122,MATCH(Generators!$N$1,Generators!$A$1:$BC$1,0),FALSE)</f>
        <v>44.961181000000003</v>
      </c>
      <c r="K82" s="96">
        <f>VLOOKUP(A82,Generators!$A$2:$BC$122,MATCH(Generators!$O$1,Generators!$A$1:$BC$1,0),FALSE)</f>
        <v>5.6887509999999999</v>
      </c>
      <c r="M82" s="97"/>
      <c r="N82" s="96" t="str">
        <f t="shared" ref="N82:N94" ca="1" si="4">IF(AND(B82="hydro-PHS",NOT(ISTEXT(H82))),"True","False")</f>
        <v>False</v>
      </c>
    </row>
    <row r="83" spans="1:14" x14ac:dyDescent="0.35">
      <c r="A83" s="191" t="s">
        <v>2467</v>
      </c>
      <c r="B83" s="97" t="str">
        <f>VLOOKUP(A83,Generators!$A$2:$AZ$1016,MATCH('Unique Generator Objects'!$B$1,Generators!$A$1:$AZ$1,0),FALSE)</f>
        <v>hydro-PHS</v>
      </c>
      <c r="C83" s="97" t="str">
        <f t="shared" si="2"/>
        <v>Hausling</v>
      </c>
      <c r="D83" s="97" t="s">
        <v>2887</v>
      </c>
      <c r="E83" s="96" t="str">
        <f>VLOOKUP(A83,Generators!$A$2:$BC$122,MATCH(Generators!$I$1,Generators!$A$1:$BC$1,0),FALSE)</f>
        <v>AT</v>
      </c>
      <c r="G83" s="96" t="str">
        <f ca="1">VLOOKUP('Unique Generator Objects'!A83,'Generator-Storage Assignment'!$A$2:$K$200,2,FALSE) &amp; IF(VLOOKUP('Unique Generator Objects'!A83,'Generator-Storage Assignment'!$A$2:$K$200,3,FALSE)="","",";" &amp; VLOOKUP('Unique Generator Objects'!A83,'Generator-Storage Assignment'!$A$2:$K$200,3,FALSE))&amp; IF(VLOOKUP('Unique Generator Objects'!A83,'Generator-Storage Assignment'!$A$2:$K$200,4,FALSE)="","",";" &amp; VLOOKUP('Unique Generator Objects'!A83,'Generator-Storage Assignment'!$A$2:$K$200,4,FALSE))&amp; IF(VLOOKUP('Unique Generator Objects'!A83,'Generator-Storage Assignment'!$A$2:$K$200,5,FALSE)="","",";" &amp; VLOOKUP('Unique Generator Objects'!A83,'Generator-Storage Assignment'!$A$2:$K$200,5,FALSE))&amp; IF(VLOOKUP('Unique Generator Objects'!A83,'Generator-Storage Assignment'!$A$2:$K$200,6,FALSE)="","",";" &amp; VLOOKUP('Unique Generator Objects'!A83,'Generator-Storage Assignment'!$A$2:$K$200,6,FALSE))&amp; IF(VLOOKUP('Unique Generator Objects'!A83,'Generator-Storage Assignment'!$A$2:$K$200,7,FALSE)="","",";" &amp; VLOOKUP('Unique Generator Objects'!A83,'Generator-Storage Assignment'!$A$2:$K$200,7,FALSE))&amp; IF(VLOOKUP('Unique Generator Objects'!A83,'Generator-Storage Assignment'!$A$2:$K$200,8,FALSE)="","",";" &amp; VLOOKUP('Unique Generator Objects'!A83,'Generator-Storage Assignment'!$A$2:$K$200,8,FALSE))&amp; IF(VLOOKUP('Unique Generator Objects'!A83,'Generator-Storage Assignment'!$A$2:$K$200,9,FALSE)="","",";" &amp; VLOOKUP('Unique Generator Objects'!A83,'Generator-Storage Assignment'!$A$2:$K$200,9,FALSE))</f>
        <v>Zillergruendel</v>
      </c>
      <c r="H83" s="96" t="str">
        <f ca="1">VLOOKUP('Unique Generator Objects'!A83,'Generator-Storage Assignment'!$A$2:$L$200,12,FALSE)</f>
        <v>Stillup</v>
      </c>
      <c r="J83" s="96">
        <f>VLOOKUP(A83,Generators!$A$2:$BC$122,MATCH(Generators!$N$1,Generators!$A$1:$BC$1,0),FALSE)</f>
        <v>47.146110999999998</v>
      </c>
      <c r="K83" s="96">
        <f>VLOOKUP(A83,Generators!$A$2:$BC$122,MATCH(Generators!$O$1,Generators!$A$1:$BC$1,0),FALSE)</f>
        <v>11.967222</v>
      </c>
      <c r="M83" s="97"/>
      <c r="N83" s="96" t="str">
        <f t="shared" ca="1" si="4"/>
        <v>False</v>
      </c>
    </row>
    <row r="84" spans="1:14" x14ac:dyDescent="0.35">
      <c r="A84" s="191" t="s">
        <v>2718</v>
      </c>
      <c r="B84" s="97" t="str">
        <f>VLOOKUP(A84,Generators!$A$2:$AZ$1016,MATCH('Unique Generator Objects'!$B$1,Generators!$A$1:$AZ$1,0),FALSE)</f>
        <v>hydro-STO</v>
      </c>
      <c r="C84" s="97" t="str">
        <f t="shared" si="2"/>
        <v>Villarodin</v>
      </c>
      <c r="D84" s="97" t="s">
        <v>2887</v>
      </c>
      <c r="E84" s="96" t="str">
        <f>VLOOKUP(A84,Generators!$A$2:$BC$122,MATCH(Generators!$I$1,Generators!$A$1:$BC$1,0),FALSE)</f>
        <v>FR</v>
      </c>
      <c r="G84" s="96" t="str">
        <f ca="1">VLOOKUP('Unique Generator Objects'!A84,'Generator-Storage Assignment'!$A$2:$K$200,2,FALSE) &amp; IF(VLOOKUP('Unique Generator Objects'!A84,'Generator-Storage Assignment'!$A$2:$K$200,3,FALSE)="","",";" &amp; VLOOKUP('Unique Generator Objects'!A84,'Generator-Storage Assignment'!$A$2:$K$200,3,FALSE))&amp; IF(VLOOKUP('Unique Generator Objects'!A84,'Generator-Storage Assignment'!$A$2:$K$200,4,FALSE)="","",";" &amp; VLOOKUP('Unique Generator Objects'!A84,'Generator-Storage Assignment'!$A$2:$K$200,4,FALSE))&amp; IF(VLOOKUP('Unique Generator Objects'!A84,'Generator-Storage Assignment'!$A$2:$K$200,5,FALSE)="","",";" &amp; VLOOKUP('Unique Generator Objects'!A84,'Generator-Storage Assignment'!$A$2:$K$200,5,FALSE))&amp; IF(VLOOKUP('Unique Generator Objects'!A84,'Generator-Storage Assignment'!$A$2:$K$200,6,FALSE)="","",";" &amp; VLOOKUP('Unique Generator Objects'!A84,'Generator-Storage Assignment'!$A$2:$K$200,6,FALSE))&amp; IF(VLOOKUP('Unique Generator Objects'!A84,'Generator-Storage Assignment'!$A$2:$K$200,7,FALSE)="","",";" &amp; VLOOKUP('Unique Generator Objects'!A84,'Generator-Storage Assignment'!$A$2:$K$200,7,FALSE))&amp; IF(VLOOKUP('Unique Generator Objects'!A84,'Generator-Storage Assignment'!$A$2:$K$200,8,FALSE)="","",";" &amp; VLOOKUP('Unique Generator Objects'!A84,'Generator-Storage Assignment'!$A$2:$K$200,8,FALSE))&amp; IF(VLOOKUP('Unique Generator Objects'!A84,'Generator-Storage Assignment'!$A$2:$K$200,9,FALSE)="","",";" &amp; VLOOKUP('Unique Generator Objects'!A84,'Generator-Storage Assignment'!$A$2:$K$200,9,FALSE))</f>
        <v>Le Mont Cenis</v>
      </c>
      <c r="H84" s="96" t="str">
        <f ca="1">VLOOKUP('Unique Generator Objects'!A84,'Generator-Storage Assignment'!$A$2:$L$200,12,FALSE)</f>
        <v>Villarodin_lower</v>
      </c>
      <c r="M84" s="97"/>
      <c r="N84" s="96" t="str">
        <f t="shared" ca="1" si="4"/>
        <v>False</v>
      </c>
    </row>
    <row r="85" spans="1:14" x14ac:dyDescent="0.35">
      <c r="A85" s="191" t="s">
        <v>2783</v>
      </c>
      <c r="B85" s="97" t="str">
        <f>VLOOKUP(A85,Generators!$A$2:$AZ$1016,MATCH('Unique Generator Objects'!$B$1,Generators!$A$1:$AZ$1,0),FALSE)</f>
        <v>hydro-PHS</v>
      </c>
      <c r="C85" s="97" t="str">
        <f t="shared" si="2"/>
        <v>Sackingen</v>
      </c>
      <c r="D85" s="97" t="s">
        <v>2887</v>
      </c>
      <c r="E85" s="96" t="str">
        <f>VLOOKUP(A85,Generators!$A$2:$BC$122,MATCH(Generators!$I$1,Generators!$A$1:$BC$1,0),FALSE)</f>
        <v>DE</v>
      </c>
      <c r="G85" s="96" t="str">
        <f ca="1">VLOOKUP('Unique Generator Objects'!A85,'Generator-Storage Assignment'!$A$2:$K$200,2,FALSE) &amp; IF(VLOOKUP('Unique Generator Objects'!A85,'Generator-Storage Assignment'!$A$2:$K$200,3,FALSE)="","",";" &amp; VLOOKUP('Unique Generator Objects'!A85,'Generator-Storage Assignment'!$A$2:$K$200,3,FALSE))&amp; IF(VLOOKUP('Unique Generator Objects'!A85,'Generator-Storage Assignment'!$A$2:$K$200,4,FALSE)="","",";" &amp; VLOOKUP('Unique Generator Objects'!A85,'Generator-Storage Assignment'!$A$2:$K$200,4,FALSE))&amp; IF(VLOOKUP('Unique Generator Objects'!A85,'Generator-Storage Assignment'!$A$2:$K$200,5,FALSE)="","",";" &amp; VLOOKUP('Unique Generator Objects'!A85,'Generator-Storage Assignment'!$A$2:$K$200,5,FALSE))&amp; IF(VLOOKUP('Unique Generator Objects'!A85,'Generator-Storage Assignment'!$A$2:$K$200,6,FALSE)="","",";" &amp; VLOOKUP('Unique Generator Objects'!A85,'Generator-Storage Assignment'!$A$2:$K$200,6,FALSE))&amp; IF(VLOOKUP('Unique Generator Objects'!A85,'Generator-Storage Assignment'!$A$2:$K$200,7,FALSE)="","",";" &amp; VLOOKUP('Unique Generator Objects'!A85,'Generator-Storage Assignment'!$A$2:$K$200,7,FALSE))&amp; IF(VLOOKUP('Unique Generator Objects'!A85,'Generator-Storage Assignment'!$A$2:$K$200,8,FALSE)="","",";" &amp; VLOOKUP('Unique Generator Objects'!A85,'Generator-Storage Assignment'!$A$2:$K$200,8,FALSE))&amp; IF(VLOOKUP('Unique Generator Objects'!A85,'Generator-Storage Assignment'!$A$2:$K$200,9,FALSE)="","",";" &amp; VLOOKUP('Unique Generator Objects'!A85,'Generator-Storage Assignment'!$A$2:$K$200,9,FALSE))</f>
        <v>Eggbergbecken</v>
      </c>
      <c r="H85" s="96" t="str">
        <f ca="1">VLOOKUP('Unique Generator Objects'!A85,'Generator-Storage Assignment'!$A$2:$L$200,12,FALSE)</f>
        <v>Rhein</v>
      </c>
      <c r="J85" s="96">
        <f>VLOOKUP(A85,Generators!$A$2:$BC$122,MATCH(Generators!$N$1,Generators!$A$1:$BC$1,0),FALSE)</f>
        <v>47.565607</v>
      </c>
      <c r="K85" s="96">
        <f>VLOOKUP(A85,Generators!$A$2:$BC$122,MATCH(Generators!$O$1,Generators!$A$1:$BC$1,0),FALSE)</f>
        <v>7.9536300000000004</v>
      </c>
      <c r="M85" s="97"/>
      <c r="N85" s="96" t="str">
        <f t="shared" ca="1" si="4"/>
        <v>False</v>
      </c>
    </row>
    <row r="86" spans="1:14" x14ac:dyDescent="0.35">
      <c r="A86" s="191" t="s">
        <v>1053</v>
      </c>
      <c r="B86" s="97" t="str">
        <f>VLOOKUP(A86,Generators!$A$2:$AZ$1016,MATCH('Unique Generator Objects'!$B$1,Generators!$A$1:$AZ$1,0),FALSE)</f>
        <v>hydro-PHS</v>
      </c>
      <c r="C86" s="97" t="str">
        <f t="shared" si="2"/>
        <v>Ffestiniog</v>
      </c>
      <c r="D86" s="97" t="s">
        <v>2887</v>
      </c>
      <c r="E86" s="96" t="str">
        <f>VLOOKUP(A86,Generators!$A$2:$BC$122,MATCH(Generators!$I$1,Generators!$A$1:$BC$1,0),FALSE)</f>
        <v>GB</v>
      </c>
      <c r="G86" s="96" t="str">
        <f ca="1">VLOOKUP('Unique Generator Objects'!A86,'Generator-Storage Assignment'!$A$2:$K$200,2,FALSE) &amp; IF(VLOOKUP('Unique Generator Objects'!A86,'Generator-Storage Assignment'!$A$2:$K$200,3,FALSE)="","",";" &amp; VLOOKUP('Unique Generator Objects'!A86,'Generator-Storage Assignment'!$A$2:$K$200,3,FALSE))&amp; IF(VLOOKUP('Unique Generator Objects'!A86,'Generator-Storage Assignment'!$A$2:$K$200,4,FALSE)="","",";" &amp; VLOOKUP('Unique Generator Objects'!A86,'Generator-Storage Assignment'!$A$2:$K$200,4,FALSE))&amp; IF(VLOOKUP('Unique Generator Objects'!A86,'Generator-Storage Assignment'!$A$2:$K$200,5,FALSE)="","",";" &amp; VLOOKUP('Unique Generator Objects'!A86,'Generator-Storage Assignment'!$A$2:$K$200,5,FALSE))&amp; IF(VLOOKUP('Unique Generator Objects'!A86,'Generator-Storage Assignment'!$A$2:$K$200,6,FALSE)="","",";" &amp; VLOOKUP('Unique Generator Objects'!A86,'Generator-Storage Assignment'!$A$2:$K$200,6,FALSE))&amp; IF(VLOOKUP('Unique Generator Objects'!A86,'Generator-Storage Assignment'!$A$2:$K$200,7,FALSE)="","",";" &amp; VLOOKUP('Unique Generator Objects'!A86,'Generator-Storage Assignment'!$A$2:$K$200,7,FALSE))&amp; IF(VLOOKUP('Unique Generator Objects'!A86,'Generator-Storage Assignment'!$A$2:$K$200,8,FALSE)="","",";" &amp; VLOOKUP('Unique Generator Objects'!A86,'Generator-Storage Assignment'!$A$2:$K$200,8,FALSE))&amp; IF(VLOOKUP('Unique Generator Objects'!A86,'Generator-Storage Assignment'!$A$2:$K$200,9,FALSE)="","",";" &amp; VLOOKUP('Unique Generator Objects'!A86,'Generator-Storage Assignment'!$A$2:$K$200,9,FALSE))</f>
        <v>Stwlan</v>
      </c>
      <c r="H86" s="96" t="str">
        <f ca="1">VLOOKUP('Unique Generator Objects'!A86,'Generator-Storage Assignment'!$A$2:$L$200,12,FALSE)</f>
        <v>Tan-y-Grisiau</v>
      </c>
      <c r="J86" s="96">
        <f>VLOOKUP(A86,Generators!$A$2:$BC$122,MATCH(Generators!$N$1,Generators!$A$1:$BC$1,0),FALSE)</f>
        <v>52.980832999999997</v>
      </c>
      <c r="K86" s="96">
        <f>VLOOKUP(A86,Generators!$A$2:$BC$122,MATCH(Generators!$O$1,Generators!$A$1:$BC$1,0),FALSE)</f>
        <v>-3.9688889999999999</v>
      </c>
      <c r="M86" s="97"/>
      <c r="N86" s="96" t="str">
        <f t="shared" ca="1" si="4"/>
        <v>False</v>
      </c>
    </row>
    <row r="87" spans="1:14" x14ac:dyDescent="0.35">
      <c r="A87" s="191" t="s">
        <v>2477</v>
      </c>
      <c r="B87" s="97" t="str">
        <f>VLOOKUP(A87,Generators!$A$2:$AZ$1016,MATCH('Unique Generator Objects'!$B$1,Generators!$A$1:$AZ$1,0),FALSE)</f>
        <v>hydro-PHS</v>
      </c>
      <c r="C87" s="97" t="str">
        <f t="shared" si="2"/>
        <v>San Massenza I</v>
      </c>
      <c r="D87" s="97" t="s">
        <v>2887</v>
      </c>
      <c r="E87" s="96" t="str">
        <f>VLOOKUP(A87,Generators!$A$2:$BC$122,MATCH(Generators!$I$1,Generators!$A$1:$BC$1,0),FALSE)</f>
        <v>IT</v>
      </c>
      <c r="G87" s="96" t="str">
        <f ca="1">VLOOKUP('Unique Generator Objects'!A87,'Generator-Storage Assignment'!$A$2:$K$200,2,FALSE) &amp; IF(VLOOKUP('Unique Generator Objects'!A87,'Generator-Storage Assignment'!$A$2:$K$200,3,FALSE)="","",";" &amp; VLOOKUP('Unique Generator Objects'!A87,'Generator-Storage Assignment'!$A$2:$K$200,3,FALSE))&amp; IF(VLOOKUP('Unique Generator Objects'!A87,'Generator-Storage Assignment'!$A$2:$K$200,4,FALSE)="","",";" &amp; VLOOKUP('Unique Generator Objects'!A87,'Generator-Storage Assignment'!$A$2:$K$200,4,FALSE))&amp; IF(VLOOKUP('Unique Generator Objects'!A87,'Generator-Storage Assignment'!$A$2:$K$200,5,FALSE)="","",";" &amp; VLOOKUP('Unique Generator Objects'!A87,'Generator-Storage Assignment'!$A$2:$K$200,5,FALSE))&amp; IF(VLOOKUP('Unique Generator Objects'!A87,'Generator-Storage Assignment'!$A$2:$K$200,6,FALSE)="","",";" &amp; VLOOKUP('Unique Generator Objects'!A87,'Generator-Storage Assignment'!$A$2:$K$200,6,FALSE))&amp; IF(VLOOKUP('Unique Generator Objects'!A87,'Generator-Storage Assignment'!$A$2:$K$200,7,FALSE)="","",";" &amp; VLOOKUP('Unique Generator Objects'!A87,'Generator-Storage Assignment'!$A$2:$K$200,7,FALSE))&amp; IF(VLOOKUP('Unique Generator Objects'!A87,'Generator-Storage Assignment'!$A$2:$K$200,8,FALSE)="","",";" &amp; VLOOKUP('Unique Generator Objects'!A87,'Generator-Storage Assignment'!$A$2:$K$200,8,FALSE))&amp; IF(VLOOKUP('Unique Generator Objects'!A87,'Generator-Storage Assignment'!$A$2:$K$200,9,FALSE)="","",";" &amp; VLOOKUP('Unique Generator Objects'!A87,'Generator-Storage Assignment'!$A$2:$K$200,9,FALSE))</f>
        <v>Molveno</v>
      </c>
      <c r="H87" s="96" t="str">
        <f ca="1">VLOOKUP('Unique Generator Objects'!A87,'Generator-Storage Assignment'!$A$2:$L$200,12,FALSE)</f>
        <v>Lago Santa Massenza</v>
      </c>
      <c r="J87" s="96">
        <f>VLOOKUP(A87,Generators!$A$2:$BC$122,MATCH(Generators!$N$1,Generators!$A$1:$BC$1,0),FALSE)</f>
        <v>46.067701999999997</v>
      </c>
      <c r="K87" s="96">
        <f>VLOOKUP(A87,Generators!$A$2:$BC$122,MATCH(Generators!$O$1,Generators!$A$1:$BC$1,0),FALSE)</f>
        <v>10.982813999999999</v>
      </c>
      <c r="M87" s="97"/>
      <c r="N87" s="96" t="str">
        <f t="shared" ca="1" si="4"/>
        <v>False</v>
      </c>
    </row>
    <row r="88" spans="1:14" x14ac:dyDescent="0.35">
      <c r="A88" s="191" t="s">
        <v>2699</v>
      </c>
      <c r="B88" s="97" t="str">
        <f>VLOOKUP(A88,Generators!$A$2:$AZ$1016,MATCH('Unique Generator Objects'!$B$1,Generators!$A$1:$AZ$1,0),FALSE)</f>
        <v>hydro-ROR</v>
      </c>
      <c r="C88" s="97" t="str">
        <f t="shared" si="2"/>
        <v>Conzere-Mondragon (Bollene)</v>
      </c>
      <c r="D88" s="97" t="s">
        <v>2887</v>
      </c>
      <c r="E88" s="96" t="str">
        <f>VLOOKUP(A88,Generators!$A$2:$BC$122,MATCH(Generators!$I$1,Generators!$A$1:$BC$1,0),FALSE)</f>
        <v>FR</v>
      </c>
      <c r="G88" s="96" t="str">
        <f ca="1">VLOOKUP('Unique Generator Objects'!A88,'Generator-Storage Assignment'!$A$2:$K$200,2,FALSE) &amp; IF(VLOOKUP('Unique Generator Objects'!A88,'Generator-Storage Assignment'!$A$2:$K$200,3,FALSE)="","",";" &amp; VLOOKUP('Unique Generator Objects'!A88,'Generator-Storage Assignment'!$A$2:$K$200,3,FALSE))&amp; IF(VLOOKUP('Unique Generator Objects'!A88,'Generator-Storage Assignment'!$A$2:$K$200,4,FALSE)="","",";" &amp; VLOOKUP('Unique Generator Objects'!A88,'Generator-Storage Assignment'!$A$2:$K$200,4,FALSE))&amp; IF(VLOOKUP('Unique Generator Objects'!A88,'Generator-Storage Assignment'!$A$2:$K$200,5,FALSE)="","",";" &amp; VLOOKUP('Unique Generator Objects'!A88,'Generator-Storage Assignment'!$A$2:$K$200,5,FALSE))&amp; IF(VLOOKUP('Unique Generator Objects'!A88,'Generator-Storage Assignment'!$A$2:$K$200,6,FALSE)="","",";" &amp; VLOOKUP('Unique Generator Objects'!A88,'Generator-Storage Assignment'!$A$2:$K$200,6,FALSE))&amp; IF(VLOOKUP('Unique Generator Objects'!A88,'Generator-Storage Assignment'!$A$2:$K$200,7,FALSE)="","",";" &amp; VLOOKUP('Unique Generator Objects'!A88,'Generator-Storage Assignment'!$A$2:$K$200,7,FALSE))&amp; IF(VLOOKUP('Unique Generator Objects'!A88,'Generator-Storage Assignment'!$A$2:$K$200,8,FALSE)="","",";" &amp; VLOOKUP('Unique Generator Objects'!A88,'Generator-Storage Assignment'!$A$2:$K$200,8,FALSE))&amp; IF(VLOOKUP('Unique Generator Objects'!A88,'Generator-Storage Assignment'!$A$2:$K$200,9,FALSE)="","",";" &amp; VLOOKUP('Unique Generator Objects'!A88,'Generator-Storage Assignment'!$A$2:$K$200,9,FALSE))</f>
        <v>Canal Donzere-Mondragon</v>
      </c>
      <c r="H88" s="96" t="str">
        <f ca="1">VLOOKUP('Unique Generator Objects'!A88,'Generator-Storage Assignment'!$A$2:$L$200,12,FALSE)</f>
        <v>Conzere-Mondragon (Bollene)_lower</v>
      </c>
      <c r="J88" s="96">
        <f>VLOOKUP(A88,Generators!$A$2:$BC$122,MATCH(Generators!$N$1,Generators!$A$1:$BC$1,0),FALSE)</f>
        <v>44.303735000000003</v>
      </c>
      <c r="K88" s="96">
        <f>VLOOKUP(A88,Generators!$A$2:$BC$122,MATCH(Generators!$O$1,Generators!$A$1:$BC$1,0),FALSE)</f>
        <v>4.7424249999999999</v>
      </c>
      <c r="M88" s="97"/>
      <c r="N88" s="96" t="str">
        <f t="shared" ca="1" si="4"/>
        <v>False</v>
      </c>
    </row>
    <row r="89" spans="1:14" x14ac:dyDescent="0.35">
      <c r="A89" s="191" t="s">
        <v>2061</v>
      </c>
      <c r="B89" s="97" t="str">
        <f>VLOOKUP(A89,Generators!$A$2:$AZ$1016,MATCH('Unique Generator Objects'!$B$1,Generators!$A$1:$AZ$1,0),FALSE)</f>
        <v>hydro-PHS</v>
      </c>
      <c r="C89" s="97" t="str">
        <f t="shared" si="2"/>
        <v>Grimsel 2</v>
      </c>
      <c r="D89" s="97" t="s">
        <v>2887</v>
      </c>
      <c r="E89" s="96" t="str">
        <f>VLOOKUP(A89,Generators!$A$2:$BC$122,MATCH(Generators!$I$1,Generators!$A$1:$BC$1,0),FALSE)</f>
        <v>CH</v>
      </c>
      <c r="G89" s="96" t="str">
        <f ca="1">VLOOKUP('Unique Generator Objects'!A89,'Generator-Storage Assignment'!$A$2:$K$200,2,FALSE) &amp; IF(VLOOKUP('Unique Generator Objects'!A89,'Generator-Storage Assignment'!$A$2:$K$200,3,FALSE)="","",";" &amp; VLOOKUP('Unique Generator Objects'!A89,'Generator-Storage Assignment'!$A$2:$K$200,3,FALSE))&amp; IF(VLOOKUP('Unique Generator Objects'!A89,'Generator-Storage Assignment'!$A$2:$K$200,4,FALSE)="","",";" &amp; VLOOKUP('Unique Generator Objects'!A89,'Generator-Storage Assignment'!$A$2:$K$200,4,FALSE))&amp; IF(VLOOKUP('Unique Generator Objects'!A89,'Generator-Storage Assignment'!$A$2:$K$200,5,FALSE)="","",";" &amp; VLOOKUP('Unique Generator Objects'!A89,'Generator-Storage Assignment'!$A$2:$K$200,5,FALSE))&amp; IF(VLOOKUP('Unique Generator Objects'!A89,'Generator-Storage Assignment'!$A$2:$K$200,6,FALSE)="","",";" &amp; VLOOKUP('Unique Generator Objects'!A89,'Generator-Storage Assignment'!$A$2:$K$200,6,FALSE))&amp; IF(VLOOKUP('Unique Generator Objects'!A89,'Generator-Storage Assignment'!$A$2:$K$200,7,FALSE)="","",";" &amp; VLOOKUP('Unique Generator Objects'!A89,'Generator-Storage Assignment'!$A$2:$K$200,7,FALSE))&amp; IF(VLOOKUP('Unique Generator Objects'!A89,'Generator-Storage Assignment'!$A$2:$K$200,8,FALSE)="","",";" &amp; VLOOKUP('Unique Generator Objects'!A89,'Generator-Storage Assignment'!$A$2:$K$200,8,FALSE))&amp; IF(VLOOKUP('Unique Generator Objects'!A89,'Generator-Storage Assignment'!$A$2:$K$200,9,FALSE)="","",";" &amp; VLOOKUP('Unique Generator Objects'!A89,'Generator-Storage Assignment'!$A$2:$K$200,9,FALSE))</f>
        <v>Oberaar</v>
      </c>
      <c r="H89" s="96" t="str">
        <f ca="1">VLOOKUP('Unique Generator Objects'!A89,'Generator-Storage Assignment'!$A$2:$L$200,12,FALSE)</f>
        <v>Grimsel</v>
      </c>
      <c r="J89" s="96">
        <f>VLOOKUP(A89,Generators!$A$2:$BC$122,MATCH(Generators!$N$1,Generators!$A$1:$BC$1,0),FALSE)</f>
        <v>46.565359106343998</v>
      </c>
      <c r="K89" s="96">
        <f>VLOOKUP(A89,Generators!$A$2:$BC$122,MATCH(Generators!$O$1,Generators!$A$1:$BC$1,0),FALSE)</f>
        <v>8.3277561798094997</v>
      </c>
      <c r="M89" s="97"/>
      <c r="N89" s="96" t="str">
        <f t="shared" ca="1" si="4"/>
        <v>False</v>
      </c>
    </row>
    <row r="90" spans="1:14" x14ac:dyDescent="0.35">
      <c r="A90" s="191" t="s">
        <v>2724</v>
      </c>
      <c r="B90" s="97" t="str">
        <f>VLOOKUP(A90,Generators!$A$2:$AZ$1016,MATCH('Unique Generator Objects'!$B$1,Generators!$A$1:$AZ$1,0),FALSE)</f>
        <v>hydro-ROR</v>
      </c>
      <c r="C90" s="97" t="str">
        <f t="shared" si="2"/>
        <v>Bitsch (Biel)</v>
      </c>
      <c r="D90" s="97" t="s">
        <v>2887</v>
      </c>
      <c r="E90" s="96" t="str">
        <f>VLOOKUP(A90,Generators!$A$2:$BC$122,MATCH(Generators!$I$1,Generators!$A$1:$BC$1,0),FALSE)</f>
        <v>CH</v>
      </c>
      <c r="G90" s="96" t="str">
        <f ca="1">VLOOKUP('Unique Generator Objects'!A90,'Generator-Storage Assignment'!$A$2:$K$200,2,FALSE) &amp; IF(VLOOKUP('Unique Generator Objects'!A90,'Generator-Storage Assignment'!$A$2:$K$200,3,FALSE)="","",";" &amp; VLOOKUP('Unique Generator Objects'!A90,'Generator-Storage Assignment'!$A$2:$K$200,3,FALSE))&amp; IF(VLOOKUP('Unique Generator Objects'!A90,'Generator-Storage Assignment'!$A$2:$K$200,4,FALSE)="","",";" &amp; VLOOKUP('Unique Generator Objects'!A90,'Generator-Storage Assignment'!$A$2:$K$200,4,FALSE))&amp; IF(VLOOKUP('Unique Generator Objects'!A90,'Generator-Storage Assignment'!$A$2:$K$200,5,FALSE)="","",";" &amp; VLOOKUP('Unique Generator Objects'!A90,'Generator-Storage Assignment'!$A$2:$K$200,5,FALSE))&amp; IF(VLOOKUP('Unique Generator Objects'!A90,'Generator-Storage Assignment'!$A$2:$K$200,6,FALSE)="","",";" &amp; VLOOKUP('Unique Generator Objects'!A90,'Generator-Storage Assignment'!$A$2:$K$200,6,FALSE))&amp; IF(VLOOKUP('Unique Generator Objects'!A90,'Generator-Storage Assignment'!$A$2:$K$200,7,FALSE)="","",";" &amp; VLOOKUP('Unique Generator Objects'!A90,'Generator-Storage Assignment'!$A$2:$K$200,7,FALSE))&amp; IF(VLOOKUP('Unique Generator Objects'!A90,'Generator-Storage Assignment'!$A$2:$K$200,8,FALSE)="","",";" &amp; VLOOKUP('Unique Generator Objects'!A90,'Generator-Storage Assignment'!$A$2:$K$200,8,FALSE))&amp; IF(VLOOKUP('Unique Generator Objects'!A90,'Generator-Storage Assignment'!$A$2:$K$200,9,FALSE)="","",";" &amp; VLOOKUP('Unique Generator Objects'!A90,'Generator-Storage Assignment'!$A$2:$K$200,9,FALSE))</f>
        <v>Gibidum</v>
      </c>
      <c r="H90" s="96" t="str">
        <f ca="1">VLOOKUP('Unique Generator Objects'!A90,'Generator-Storage Assignment'!$A$2:$L$200,12,FALSE)</f>
        <v>Bitsch (Biel)_lower</v>
      </c>
      <c r="J90" s="96">
        <f>VLOOKUP(A90,Generators!$A$2:$BC$122,MATCH(Generators!$N$1,Generators!$A$1:$BC$1,0),FALSE)</f>
        <v>46.332099999999997</v>
      </c>
      <c r="K90" s="96">
        <f>VLOOKUP(A90,Generators!$A$2:$BC$122,MATCH(Generators!$O$1,Generators!$A$1:$BC$1,0),FALSE)</f>
        <v>8.0119600000000002</v>
      </c>
      <c r="M90" s="97"/>
      <c r="N90" s="96" t="str">
        <f t="shared" ca="1" si="4"/>
        <v>False</v>
      </c>
    </row>
    <row r="91" spans="1:14" x14ac:dyDescent="0.35">
      <c r="A91" s="192" t="s">
        <v>2422</v>
      </c>
      <c r="B91" s="97" t="str">
        <f>VLOOKUP(A91,Generators!$A$2:$AZ$1016,MATCH('Unique Generator Objects'!$B$1,Generators!$A$1:$AZ$1,0),FALSE)</f>
        <v>hydro-STO</v>
      </c>
      <c r="C91" s="97" t="str">
        <f t="shared" si="2"/>
        <v>Malgovert</v>
      </c>
      <c r="D91" s="97" t="s">
        <v>2887</v>
      </c>
      <c r="E91" s="96" t="str">
        <f>VLOOKUP(A91,Generators!$A$2:$BC$122,MATCH(Generators!$I$1,Generators!$A$1:$BC$1,0),FALSE)</f>
        <v>FR</v>
      </c>
      <c r="G91" s="96" t="str">
        <f ca="1">VLOOKUP('Unique Generator Objects'!A91,'Generator-Storage Assignment'!$A$2:$K$200,2,FALSE) &amp; IF(VLOOKUP('Unique Generator Objects'!A91,'Generator-Storage Assignment'!$A$2:$K$200,3,FALSE)="","",";" &amp; VLOOKUP('Unique Generator Objects'!A91,'Generator-Storage Assignment'!$A$2:$K$200,3,FALSE))&amp; IF(VLOOKUP('Unique Generator Objects'!A91,'Generator-Storage Assignment'!$A$2:$K$200,4,FALSE)="","",";" &amp; VLOOKUP('Unique Generator Objects'!A91,'Generator-Storage Assignment'!$A$2:$K$200,4,FALSE))&amp; IF(VLOOKUP('Unique Generator Objects'!A91,'Generator-Storage Assignment'!$A$2:$K$200,5,FALSE)="","",";" &amp; VLOOKUP('Unique Generator Objects'!A91,'Generator-Storage Assignment'!$A$2:$K$200,5,FALSE))&amp; IF(VLOOKUP('Unique Generator Objects'!A91,'Generator-Storage Assignment'!$A$2:$K$200,6,FALSE)="","",";" &amp; VLOOKUP('Unique Generator Objects'!A91,'Generator-Storage Assignment'!$A$2:$K$200,6,FALSE))&amp; IF(VLOOKUP('Unique Generator Objects'!A91,'Generator-Storage Assignment'!$A$2:$K$200,7,FALSE)="","",";" &amp; VLOOKUP('Unique Generator Objects'!A91,'Generator-Storage Assignment'!$A$2:$K$200,7,FALSE))&amp; IF(VLOOKUP('Unique Generator Objects'!A91,'Generator-Storage Assignment'!$A$2:$K$200,8,FALSE)="","",";" &amp; VLOOKUP('Unique Generator Objects'!A91,'Generator-Storage Assignment'!$A$2:$K$200,8,FALSE))&amp; IF(VLOOKUP('Unique Generator Objects'!A91,'Generator-Storage Assignment'!$A$2:$K$200,9,FALSE)="","",";" &amp; VLOOKUP('Unique Generator Objects'!A91,'Generator-Storage Assignment'!$A$2:$K$200,9,FALSE))</f>
        <v>Chevril</v>
      </c>
      <c r="H91" s="96" t="str">
        <f ca="1">VLOOKUP('Unique Generator Objects'!A91,'Generator-Storage Assignment'!$A$2:$L$200,12,FALSE)</f>
        <v>Malgovert_lower</v>
      </c>
      <c r="J91" s="96">
        <f>VLOOKUP(A91,Generators!$A$2:$BC$122,MATCH(Generators!$N$1,Generators!$A$1:$BC$1,0),FALSE)</f>
        <v>45.625267999999998</v>
      </c>
      <c r="K91" s="96">
        <f>VLOOKUP(A91,Generators!$A$2:$BC$122,MATCH(Generators!$O$1,Generators!$A$1:$BC$1,0),FALSE)</f>
        <v>6.791353</v>
      </c>
      <c r="M91" s="97"/>
      <c r="N91" s="96" t="str">
        <f t="shared" ca="1" si="4"/>
        <v>False</v>
      </c>
    </row>
    <row r="92" spans="1:14" x14ac:dyDescent="0.35">
      <c r="A92" s="191" t="s">
        <v>934</v>
      </c>
      <c r="B92" s="97" t="str">
        <f>VLOOKUP(A92,Generators!$A$2:$AZ$1016,MATCH('Unique Generator Objects'!$B$1,Generators!$A$1:$AZ$1,0),FALSE)</f>
        <v>hydro-STO</v>
      </c>
      <c r="C92" s="97" t="str">
        <f t="shared" si="2"/>
        <v>Mequinenza</v>
      </c>
      <c r="D92" s="97" t="s">
        <v>2887</v>
      </c>
      <c r="E92" s="96" t="str">
        <f>VLOOKUP(A92,Generators!$A$2:$BC$122,MATCH(Generators!$I$1,Generators!$A$1:$BC$1,0),FALSE)</f>
        <v>ES</v>
      </c>
      <c r="G92" s="96" t="str">
        <f ca="1">VLOOKUP('Unique Generator Objects'!A92,'Generator-Storage Assignment'!$A$2:$K$200,2,FALSE) &amp; IF(VLOOKUP('Unique Generator Objects'!A92,'Generator-Storage Assignment'!$A$2:$K$200,3,FALSE)="","",";" &amp; VLOOKUP('Unique Generator Objects'!A92,'Generator-Storage Assignment'!$A$2:$K$200,3,FALSE))&amp; IF(VLOOKUP('Unique Generator Objects'!A92,'Generator-Storage Assignment'!$A$2:$K$200,4,FALSE)="","",";" &amp; VLOOKUP('Unique Generator Objects'!A92,'Generator-Storage Assignment'!$A$2:$K$200,4,FALSE))&amp; IF(VLOOKUP('Unique Generator Objects'!A92,'Generator-Storage Assignment'!$A$2:$K$200,5,FALSE)="","",";" &amp; VLOOKUP('Unique Generator Objects'!A92,'Generator-Storage Assignment'!$A$2:$K$200,5,FALSE))&amp; IF(VLOOKUP('Unique Generator Objects'!A92,'Generator-Storage Assignment'!$A$2:$K$200,6,FALSE)="","",";" &amp; VLOOKUP('Unique Generator Objects'!A92,'Generator-Storage Assignment'!$A$2:$K$200,6,FALSE))&amp; IF(VLOOKUP('Unique Generator Objects'!A92,'Generator-Storage Assignment'!$A$2:$K$200,7,FALSE)="","",";" &amp; VLOOKUP('Unique Generator Objects'!A92,'Generator-Storage Assignment'!$A$2:$K$200,7,FALSE))&amp; IF(VLOOKUP('Unique Generator Objects'!A92,'Generator-Storage Assignment'!$A$2:$K$200,8,FALSE)="","",";" &amp; VLOOKUP('Unique Generator Objects'!A92,'Generator-Storage Assignment'!$A$2:$K$200,8,FALSE))&amp; IF(VLOOKUP('Unique Generator Objects'!A92,'Generator-Storage Assignment'!$A$2:$K$200,9,FALSE)="","",";" &amp; VLOOKUP('Unique Generator Objects'!A92,'Generator-Storage Assignment'!$A$2:$K$200,9,FALSE))</f>
        <v>Mequinenza</v>
      </c>
      <c r="H92" s="96" t="str">
        <f ca="1">VLOOKUP('Unique Generator Objects'!A92,'Generator-Storage Assignment'!$A$2:$L$200,12,FALSE)</f>
        <v>Mequinenza_lower</v>
      </c>
      <c r="J92" s="96">
        <f>VLOOKUP(A92,Generators!$A$2:$BC$122,MATCH(Generators!$N$1,Generators!$A$1:$BC$1,0),FALSE)</f>
        <v>41.368983</v>
      </c>
      <c r="K92" s="96">
        <f>VLOOKUP(A92,Generators!$A$2:$BC$122,MATCH(Generators!$O$1,Generators!$A$1:$BC$1,0),FALSE)</f>
        <v>0.27338099999999999</v>
      </c>
      <c r="M92" s="97"/>
      <c r="N92" s="96" t="str">
        <f t="shared" ca="1" si="4"/>
        <v>False</v>
      </c>
    </row>
    <row r="93" spans="1:14" x14ac:dyDescent="0.35">
      <c r="A93" s="191" t="s">
        <v>2121</v>
      </c>
      <c r="B93" s="97" t="e">
        <f>VLOOKUP(A93,Generators!$A$2:$AZ$1016,MATCH('Unique Generator Objects'!$B$1,Generators!$A$1:$AZ$1,0),FALSE)</f>
        <v>#N/A</v>
      </c>
      <c r="C93" s="97" t="str">
        <f t="shared" si="2"/>
        <v>Iron Gate II</v>
      </c>
      <c r="D93" s="97" t="s">
        <v>2887</v>
      </c>
      <c r="E93" s="96" t="e">
        <f>VLOOKUP(A93,Generators!$A$2:$BC$122,MATCH(Generators!$I$1,Generators!$A$1:$BC$1,0),FALSE)</f>
        <v>#N/A</v>
      </c>
      <c r="G93" s="96" t="e">
        <f ca="1">VLOOKUP('Unique Generator Objects'!A93,'Generator-Storage Assignment'!$A$2:$K$200,2,FALSE) &amp; IF(VLOOKUP('Unique Generator Objects'!A93,'Generator-Storage Assignment'!$A$2:$K$200,3,FALSE)="","",";" &amp; VLOOKUP('Unique Generator Objects'!A93,'Generator-Storage Assignment'!$A$2:$K$200,3,FALSE))&amp; IF(VLOOKUP('Unique Generator Objects'!A93,'Generator-Storage Assignment'!$A$2:$K$200,4,FALSE)="","",";" &amp; VLOOKUP('Unique Generator Objects'!A93,'Generator-Storage Assignment'!$A$2:$K$200,4,FALSE))&amp; IF(VLOOKUP('Unique Generator Objects'!A93,'Generator-Storage Assignment'!$A$2:$K$200,5,FALSE)="","",";" &amp; VLOOKUP('Unique Generator Objects'!A93,'Generator-Storage Assignment'!$A$2:$K$200,5,FALSE))&amp; IF(VLOOKUP('Unique Generator Objects'!A93,'Generator-Storage Assignment'!$A$2:$K$200,6,FALSE)="","",";" &amp; VLOOKUP('Unique Generator Objects'!A93,'Generator-Storage Assignment'!$A$2:$K$200,6,FALSE))&amp; IF(VLOOKUP('Unique Generator Objects'!A93,'Generator-Storage Assignment'!$A$2:$K$200,7,FALSE)="","",";" &amp; VLOOKUP('Unique Generator Objects'!A93,'Generator-Storage Assignment'!$A$2:$K$200,7,FALSE))&amp; IF(VLOOKUP('Unique Generator Objects'!A93,'Generator-Storage Assignment'!$A$2:$K$200,8,FALSE)="","",";" &amp; VLOOKUP('Unique Generator Objects'!A93,'Generator-Storage Assignment'!$A$2:$K$200,8,FALSE))&amp; IF(VLOOKUP('Unique Generator Objects'!A93,'Generator-Storage Assignment'!$A$2:$K$200,9,FALSE)="","",";" &amp; VLOOKUP('Unique Generator Objects'!A93,'Generator-Storage Assignment'!$A$2:$K$200,9,FALSE))</f>
        <v>#N/A</v>
      </c>
      <c r="H93" s="96" t="e">
        <f ca="1">VLOOKUP('Unique Generator Objects'!A93,'Generator-Storage Assignment'!$A$2:$L$200,12,FALSE)</f>
        <v>#N/A</v>
      </c>
      <c r="J93" s="96" t="e">
        <f>VLOOKUP(A93,Generators!$A$2:$BC$122,MATCH(Generators!$N$1,Generators!$A$1:$BC$1,0),FALSE)</f>
        <v>#N/A</v>
      </c>
      <c r="K93" s="96" t="e">
        <f>VLOOKUP(A93,Generators!$A$2:$BC$122,MATCH(Generators!$O$1,Generators!$A$1:$BC$1,0),FALSE)</f>
        <v>#N/A</v>
      </c>
      <c r="M93" s="97"/>
      <c r="N93" s="96" t="e">
        <f t="shared" ca="1" si="4"/>
        <v>#N/A</v>
      </c>
    </row>
    <row r="94" spans="1:14" x14ac:dyDescent="0.35">
      <c r="A94" s="192" t="s">
        <v>777</v>
      </c>
      <c r="B94" s="97" t="str">
        <f>VLOOKUP(A94,Generators!$A$2:$AZ$1016,MATCH('Unique Generator Objects'!$B$1,Generators!$A$1:$AZ$1,0),FALSE)</f>
        <v>hydro-STO</v>
      </c>
      <c r="C94" s="97" t="str">
        <f t="shared" si="2"/>
        <v>Vinje</v>
      </c>
      <c r="D94" s="97" t="s">
        <v>2887</v>
      </c>
      <c r="E94" s="96" t="str">
        <f>VLOOKUP(A94,Generators!$A$2:$BC$122,MATCH(Generators!$I$1,Generators!$A$1:$BC$1,0),FALSE)</f>
        <v>NO</v>
      </c>
      <c r="G94" s="96" t="str">
        <f ca="1">VLOOKUP('Unique Generator Objects'!A94,'Generator-Storage Assignment'!$A$2:$K$200,2,FALSE) &amp; IF(VLOOKUP('Unique Generator Objects'!A94,'Generator-Storage Assignment'!$A$2:$K$200,3,FALSE)="","",";" &amp; VLOOKUP('Unique Generator Objects'!A94,'Generator-Storage Assignment'!$A$2:$K$200,3,FALSE))&amp; IF(VLOOKUP('Unique Generator Objects'!A94,'Generator-Storage Assignment'!$A$2:$K$200,4,FALSE)="","",";" &amp; VLOOKUP('Unique Generator Objects'!A94,'Generator-Storage Assignment'!$A$2:$K$200,4,FALSE))&amp; IF(VLOOKUP('Unique Generator Objects'!A94,'Generator-Storage Assignment'!$A$2:$K$200,5,FALSE)="","",";" &amp; VLOOKUP('Unique Generator Objects'!A94,'Generator-Storage Assignment'!$A$2:$K$200,5,FALSE))&amp; IF(VLOOKUP('Unique Generator Objects'!A94,'Generator-Storage Assignment'!$A$2:$K$200,6,FALSE)="","",";" &amp; VLOOKUP('Unique Generator Objects'!A94,'Generator-Storage Assignment'!$A$2:$K$200,6,FALSE))&amp; IF(VLOOKUP('Unique Generator Objects'!A94,'Generator-Storage Assignment'!$A$2:$K$200,7,FALSE)="","",";" &amp; VLOOKUP('Unique Generator Objects'!A94,'Generator-Storage Assignment'!$A$2:$K$200,7,FALSE))&amp; IF(VLOOKUP('Unique Generator Objects'!A94,'Generator-Storage Assignment'!$A$2:$K$200,8,FALSE)="","",";" &amp; VLOOKUP('Unique Generator Objects'!A94,'Generator-Storage Assignment'!$A$2:$K$200,8,FALSE))&amp; IF(VLOOKUP('Unique Generator Objects'!A94,'Generator-Storage Assignment'!$A$2:$K$200,9,FALSE)="","",";" &amp; VLOOKUP('Unique Generator Objects'!A94,'Generator-Storage Assignment'!$A$2:$K$200,9,FALSE))</f>
        <v>Totak</v>
      </c>
      <c r="H94" s="96" t="str">
        <f ca="1">VLOOKUP('Unique Generator Objects'!A94,'Generator-Storage Assignment'!$A$2:$L$200,12,FALSE)</f>
        <v>Vinjevatn</v>
      </c>
      <c r="J94" s="96">
        <f>VLOOKUP(A94,Generators!$A$2:$BC$122,MATCH(Generators!$N$1,Generators!$A$1:$BC$1,0),FALSE)</f>
        <v>59.617114999999998</v>
      </c>
      <c r="K94" s="96">
        <f>VLOOKUP(A94,Generators!$A$2:$BC$122,MATCH(Generators!$O$1,Generators!$A$1:$BC$1,0),FALSE)</f>
        <v>7.8564309999999997</v>
      </c>
      <c r="M94" s="100"/>
      <c r="N94" s="96" t="str">
        <f t="shared" ca="1" si="4"/>
        <v>False</v>
      </c>
    </row>
    <row r="95" spans="1:14" x14ac:dyDescent="0.35">
      <c r="A95" s="192" t="s">
        <v>987</v>
      </c>
      <c r="B95" s="97" t="str">
        <f>VLOOKUP(A95,Generators!$A$2:$AZ$1016,MATCH('Unique Generator Objects'!$B$1,Generators!$A$1:$AZ$1,0),FALSE)</f>
        <v>hydro-STO</v>
      </c>
      <c r="C95" s="97" t="str">
        <f t="shared" si="2"/>
        <v>Kilforsen</v>
      </c>
      <c r="D95" s="97" t="s">
        <v>2887</v>
      </c>
      <c r="E95" s="96" t="str">
        <f>VLOOKUP(A95,Generators!$A$2:$BC$122,MATCH(Generators!$I$1,Generators!$A$1:$BC$1,0),FALSE)</f>
        <v>SE</v>
      </c>
      <c r="G95" s="96" t="str">
        <f ca="1">VLOOKUP('Unique Generator Objects'!A95,'Generator-Storage Assignment'!$A$2:$K$200,2,FALSE) &amp; IF(VLOOKUP('Unique Generator Objects'!A95,'Generator-Storage Assignment'!$A$2:$K$200,3,FALSE)="","",";" &amp; VLOOKUP('Unique Generator Objects'!A95,'Generator-Storage Assignment'!$A$2:$K$200,3,FALSE))&amp; IF(VLOOKUP('Unique Generator Objects'!A95,'Generator-Storage Assignment'!$A$2:$K$200,4,FALSE)="","",";" &amp; VLOOKUP('Unique Generator Objects'!A95,'Generator-Storage Assignment'!$A$2:$K$200,4,FALSE))&amp; IF(VLOOKUP('Unique Generator Objects'!A95,'Generator-Storage Assignment'!$A$2:$K$200,5,FALSE)="","",";" &amp; VLOOKUP('Unique Generator Objects'!A95,'Generator-Storage Assignment'!$A$2:$K$200,5,FALSE))&amp; IF(VLOOKUP('Unique Generator Objects'!A95,'Generator-Storage Assignment'!$A$2:$K$200,6,FALSE)="","",";" &amp; VLOOKUP('Unique Generator Objects'!A95,'Generator-Storage Assignment'!$A$2:$K$200,6,FALSE))&amp; IF(VLOOKUP('Unique Generator Objects'!A95,'Generator-Storage Assignment'!$A$2:$K$200,7,FALSE)="","",";" &amp; VLOOKUP('Unique Generator Objects'!A95,'Generator-Storage Assignment'!$A$2:$K$200,7,FALSE))&amp; IF(VLOOKUP('Unique Generator Objects'!A95,'Generator-Storage Assignment'!$A$2:$K$200,8,FALSE)="","",";" &amp; VLOOKUP('Unique Generator Objects'!A95,'Generator-Storage Assignment'!$A$2:$K$200,8,FALSE))&amp; IF(VLOOKUP('Unique Generator Objects'!A95,'Generator-Storage Assignment'!$A$2:$K$200,9,FALSE)="","",";" &amp; VLOOKUP('Unique Generator Objects'!A95,'Generator-Storage Assignment'!$A$2:$K$200,9,FALSE))</f>
        <v>Imnas</v>
      </c>
      <c r="H95" s="96" t="str">
        <f ca="1">VLOOKUP('Unique Generator Objects'!A95,'Generator-Storage Assignment'!$A$2:$L$200,12,FALSE)</f>
        <v>Angerman</v>
      </c>
      <c r="J95" s="96">
        <f>VLOOKUP(A95,Generators!$A$2:$BC$122,MATCH(Generators!$N$1,Generators!$A$1:$BC$1,0),FALSE)</f>
        <v>63.539774000000001</v>
      </c>
      <c r="K95" s="96">
        <f>VLOOKUP(A95,Generators!$A$2:$BC$122,MATCH(Generators!$O$1,Generators!$A$1:$BC$1,0),FALSE)</f>
        <v>16.761382999999999</v>
      </c>
      <c r="M95" s="97"/>
      <c r="N95" s="96" t="str">
        <f ca="1">IF(AND(B95="hydro-PHS",NOT(ISTEXT(H95))),"True","False")</f>
        <v>False</v>
      </c>
    </row>
    <row r="96" spans="1:14" x14ac:dyDescent="0.35">
      <c r="A96" s="193" t="s">
        <v>2866</v>
      </c>
      <c r="B96" s="97" t="str">
        <f>VLOOKUP(A96,Generators!$A$2:$AZ$1016,MATCH('Unique Generator Objects'!$B$1,Generators!$A$1:$AZ$1,0),FALSE)</f>
        <v>hydro-STO</v>
      </c>
      <c r="C96" s="97" t="str">
        <f t="shared" si="2"/>
        <v>Fionnay (Dixence)</v>
      </c>
      <c r="D96" s="97" t="s">
        <v>2887</v>
      </c>
      <c r="E96" s="96" t="str">
        <f>VLOOKUP(A96,Generators!$A$2:$BC$122,MATCH(Generators!$I$1,Generators!$A$1:$BC$1,0),FALSE)</f>
        <v>CH</v>
      </c>
      <c r="G96" s="96" t="str">
        <f ca="1">VLOOKUP('Unique Generator Objects'!A96,'Generator-Storage Assignment'!$A$2:$K$200,2,FALSE) &amp; IF(VLOOKUP('Unique Generator Objects'!A96,'Generator-Storage Assignment'!$A$2:$K$200,3,FALSE)="","",";" &amp; VLOOKUP('Unique Generator Objects'!A96,'Generator-Storage Assignment'!$A$2:$K$200,3,FALSE))&amp; IF(VLOOKUP('Unique Generator Objects'!A96,'Generator-Storage Assignment'!$A$2:$K$200,4,FALSE)="","",";" &amp; VLOOKUP('Unique Generator Objects'!A96,'Generator-Storage Assignment'!$A$2:$K$200,4,FALSE))&amp; IF(VLOOKUP('Unique Generator Objects'!A96,'Generator-Storage Assignment'!$A$2:$K$200,5,FALSE)="","",";" &amp; VLOOKUP('Unique Generator Objects'!A96,'Generator-Storage Assignment'!$A$2:$K$200,5,FALSE))&amp; IF(VLOOKUP('Unique Generator Objects'!A96,'Generator-Storage Assignment'!$A$2:$K$200,6,FALSE)="","",";" &amp; VLOOKUP('Unique Generator Objects'!A96,'Generator-Storage Assignment'!$A$2:$K$200,6,FALSE))&amp; IF(VLOOKUP('Unique Generator Objects'!A96,'Generator-Storage Assignment'!$A$2:$K$200,7,FALSE)="","",";" &amp; VLOOKUP('Unique Generator Objects'!A96,'Generator-Storage Assignment'!$A$2:$K$200,7,FALSE))&amp; IF(VLOOKUP('Unique Generator Objects'!A96,'Generator-Storage Assignment'!$A$2:$K$200,8,FALSE)="","",";" &amp; VLOOKUP('Unique Generator Objects'!A96,'Generator-Storage Assignment'!$A$2:$K$200,8,FALSE))&amp; IF(VLOOKUP('Unique Generator Objects'!A96,'Generator-Storage Assignment'!$A$2:$K$200,9,FALSE)="","",";" &amp; VLOOKUP('Unique Generator Objects'!A96,'Generator-Storage Assignment'!$A$2:$K$200,9,FALSE))</f>
        <v>Grand Dixence reservoir</v>
      </c>
      <c r="H96" s="96" t="str">
        <f ca="1">VLOOKUP('Unique Generator Objects'!A96,'Generator-Storage Assignment'!$A$2:$L$200,12,FALSE)</f>
        <v>Fionnay (Dixence)_lower</v>
      </c>
      <c r="J96" s="96">
        <f>VLOOKUP(A96,Generators!$A$2:$BC$122,MATCH(Generators!$N$1,Generators!$A$1:$BC$1,0),FALSE)</f>
        <v>46.033152000000001</v>
      </c>
      <c r="K96" s="96">
        <f>VLOOKUP(A96,Generators!$A$2:$BC$122,MATCH(Generators!$O$1,Generators!$A$1:$BC$1,0),FALSE)</f>
        <v>7.3079099999999997</v>
      </c>
      <c r="M96" s="97"/>
      <c r="N96" s="96" t="str">
        <f t="shared" ref="N96:N105" ca="1" si="5">IF(AND(B96="hydro-PHS",NOT(ISTEXT(H96))),"True","False")</f>
        <v>False</v>
      </c>
    </row>
    <row r="97" spans="1:14" x14ac:dyDescent="0.35">
      <c r="A97" s="191" t="s">
        <v>2278</v>
      </c>
      <c r="B97" s="97" t="str">
        <f>VLOOKUP(A97,Generators!$A$2:$AZ$1016,MATCH('Unique Generator Objects'!$B$1,Generators!$A$1:$AZ$1,0),FALSE)</f>
        <v>hydro-PHS</v>
      </c>
      <c r="C97" s="97" t="str">
        <f t="shared" si="2"/>
        <v>Kuhtai</v>
      </c>
      <c r="D97" s="97" t="s">
        <v>2887</v>
      </c>
      <c r="E97" s="96" t="str">
        <f>VLOOKUP(A97,Generators!$A$2:$BC$122,MATCH(Generators!$I$1,Generators!$A$1:$BC$1,0),FALSE)</f>
        <v>AT</v>
      </c>
      <c r="G97" s="96" t="str">
        <f ca="1">VLOOKUP('Unique Generator Objects'!A97,'Generator-Storage Assignment'!$A$2:$K$200,2,FALSE) &amp; IF(VLOOKUP('Unique Generator Objects'!A97,'Generator-Storage Assignment'!$A$2:$K$200,3,FALSE)="","",";" &amp; VLOOKUP('Unique Generator Objects'!A97,'Generator-Storage Assignment'!$A$2:$K$200,3,FALSE))&amp; IF(VLOOKUP('Unique Generator Objects'!A97,'Generator-Storage Assignment'!$A$2:$K$200,4,FALSE)="","",";" &amp; VLOOKUP('Unique Generator Objects'!A97,'Generator-Storage Assignment'!$A$2:$K$200,4,FALSE))&amp; IF(VLOOKUP('Unique Generator Objects'!A97,'Generator-Storage Assignment'!$A$2:$K$200,5,FALSE)="","",";" &amp; VLOOKUP('Unique Generator Objects'!A97,'Generator-Storage Assignment'!$A$2:$K$200,5,FALSE))&amp; IF(VLOOKUP('Unique Generator Objects'!A97,'Generator-Storage Assignment'!$A$2:$K$200,6,FALSE)="","",";" &amp; VLOOKUP('Unique Generator Objects'!A97,'Generator-Storage Assignment'!$A$2:$K$200,6,FALSE))&amp; IF(VLOOKUP('Unique Generator Objects'!A97,'Generator-Storage Assignment'!$A$2:$K$200,7,FALSE)="","",";" &amp; VLOOKUP('Unique Generator Objects'!A97,'Generator-Storage Assignment'!$A$2:$K$200,7,FALSE))&amp; IF(VLOOKUP('Unique Generator Objects'!A97,'Generator-Storage Assignment'!$A$2:$K$200,8,FALSE)="","",";" &amp; VLOOKUP('Unique Generator Objects'!A97,'Generator-Storage Assignment'!$A$2:$K$200,8,FALSE))&amp; IF(VLOOKUP('Unique Generator Objects'!A97,'Generator-Storage Assignment'!$A$2:$K$200,9,FALSE)="","",";" &amp; VLOOKUP('Unique Generator Objects'!A97,'Generator-Storage Assignment'!$A$2:$K$200,9,FALSE))</f>
        <v>Finstertal</v>
      </c>
      <c r="H97" s="96" t="str">
        <f ca="1">VLOOKUP('Unique Generator Objects'!A97,'Generator-Storage Assignment'!$A$2:$L$200,12,FALSE)</f>
        <v>Laengental</v>
      </c>
      <c r="J97" s="96">
        <f>VLOOKUP(A97,Generators!$A$2:$BC$122,MATCH(Generators!$N$1,Generators!$A$1:$BC$1,0),FALSE)</f>
        <v>47.209373999999997</v>
      </c>
      <c r="K97" s="96">
        <f>VLOOKUP(A97,Generators!$A$2:$BC$122,MATCH(Generators!$O$1,Generators!$A$1:$BC$1,0),FALSE)</f>
        <v>11.005618</v>
      </c>
      <c r="M97" s="97"/>
      <c r="N97" s="96" t="str">
        <f t="shared" ca="1" si="5"/>
        <v>False</v>
      </c>
    </row>
    <row r="98" spans="1:14" x14ac:dyDescent="0.35">
      <c r="A98" s="191" t="s">
        <v>2134</v>
      </c>
      <c r="B98" s="97" t="str">
        <f>VLOOKUP(A98,Generators!$A$2:$AZ$1016,MATCH('Unique Generator Objects'!$B$1,Generators!$A$1:$AZ$1,0),FALSE)</f>
        <v>hydro-PHS</v>
      </c>
      <c r="C98" s="97" t="str">
        <f t="shared" si="2"/>
        <v>Aurland III</v>
      </c>
      <c r="D98" s="97" t="s">
        <v>2887</v>
      </c>
      <c r="E98" s="96" t="str">
        <f>VLOOKUP(A98,Generators!$A$2:$BC$122,MATCH(Generators!$I$1,Generators!$A$1:$BC$1,0),FALSE)</f>
        <v>NO</v>
      </c>
      <c r="G98" s="96" t="str">
        <f ca="1">VLOOKUP('Unique Generator Objects'!A98,'Generator-Storage Assignment'!$A$2:$K$200,2,FALSE) &amp; IF(VLOOKUP('Unique Generator Objects'!A98,'Generator-Storage Assignment'!$A$2:$K$200,3,FALSE)="","",";" &amp; VLOOKUP('Unique Generator Objects'!A98,'Generator-Storage Assignment'!$A$2:$K$200,3,FALSE))&amp; IF(VLOOKUP('Unique Generator Objects'!A98,'Generator-Storage Assignment'!$A$2:$K$200,4,FALSE)="","",";" &amp; VLOOKUP('Unique Generator Objects'!A98,'Generator-Storage Assignment'!$A$2:$K$200,4,FALSE))&amp; IF(VLOOKUP('Unique Generator Objects'!A98,'Generator-Storage Assignment'!$A$2:$K$200,5,FALSE)="","",";" &amp; VLOOKUP('Unique Generator Objects'!A98,'Generator-Storage Assignment'!$A$2:$K$200,5,FALSE))&amp; IF(VLOOKUP('Unique Generator Objects'!A98,'Generator-Storage Assignment'!$A$2:$K$200,6,FALSE)="","",";" &amp; VLOOKUP('Unique Generator Objects'!A98,'Generator-Storage Assignment'!$A$2:$K$200,6,FALSE))&amp; IF(VLOOKUP('Unique Generator Objects'!A98,'Generator-Storage Assignment'!$A$2:$K$200,7,FALSE)="","",";" &amp; VLOOKUP('Unique Generator Objects'!A98,'Generator-Storage Assignment'!$A$2:$K$200,7,FALSE))&amp; IF(VLOOKUP('Unique Generator Objects'!A98,'Generator-Storage Assignment'!$A$2:$K$200,8,FALSE)="","",";" &amp; VLOOKUP('Unique Generator Objects'!A98,'Generator-Storage Assignment'!$A$2:$K$200,8,FALSE))&amp; IF(VLOOKUP('Unique Generator Objects'!A98,'Generator-Storage Assignment'!$A$2:$K$200,9,FALSE)="","",";" &amp; VLOOKUP('Unique Generator Objects'!A98,'Generator-Storage Assignment'!$A$2:$K$200,9,FALSE))</f>
        <v>Nyhellervatn</v>
      </c>
      <c r="H98" s="96" t="str">
        <f ca="1">VLOOKUP('Unique Generator Objects'!A98,'Generator-Storage Assignment'!$A$2:$L$200,12,FALSE)</f>
        <v>Vetlebotnvatn</v>
      </c>
      <c r="J98" s="96">
        <f>VLOOKUP(A98,Generators!$A$2:$BC$122,MATCH(Generators!$N$1,Generators!$A$1:$BC$1,0),FALSE)</f>
        <v>60.883144999999999</v>
      </c>
      <c r="K98" s="96">
        <f>VLOOKUP(A98,Generators!$A$2:$BC$122,MATCH(Generators!$O$1,Generators!$A$1:$BC$1,0),FALSE)</f>
        <v>7.2483139999999997</v>
      </c>
      <c r="M98" s="97"/>
      <c r="N98" s="96" t="str">
        <f t="shared" ca="1" si="5"/>
        <v>False</v>
      </c>
    </row>
    <row r="99" spans="1:14" x14ac:dyDescent="0.35">
      <c r="A99" s="191" t="s">
        <v>1696</v>
      </c>
      <c r="B99" s="97" t="str">
        <f>VLOOKUP(A99,Generators!$A$2:$AZ$1016,MATCH('Unique Generator Objects'!$B$1,Generators!$A$1:$AZ$1,0),FALSE)</f>
        <v>hydro-ROR</v>
      </c>
      <c r="C99" s="97" t="str">
        <f t="shared" si="2"/>
        <v>Kegums</v>
      </c>
      <c r="D99" s="97" t="s">
        <v>2887</v>
      </c>
      <c r="E99" s="96" t="str">
        <f>VLOOKUP(A99,Generators!$A$2:$BC$122,MATCH(Generators!$I$1,Generators!$A$1:$BC$1,0),FALSE)</f>
        <v>LV</v>
      </c>
      <c r="G99" s="96" t="str">
        <f ca="1">VLOOKUP('Unique Generator Objects'!A99,'Generator-Storage Assignment'!$A$2:$K$200,2,FALSE) &amp; IF(VLOOKUP('Unique Generator Objects'!A99,'Generator-Storage Assignment'!$A$2:$K$200,3,FALSE)="","",";" &amp; VLOOKUP('Unique Generator Objects'!A99,'Generator-Storage Assignment'!$A$2:$K$200,3,FALSE))&amp; IF(VLOOKUP('Unique Generator Objects'!A99,'Generator-Storage Assignment'!$A$2:$K$200,4,FALSE)="","",";" &amp; VLOOKUP('Unique Generator Objects'!A99,'Generator-Storage Assignment'!$A$2:$K$200,4,FALSE))&amp; IF(VLOOKUP('Unique Generator Objects'!A99,'Generator-Storage Assignment'!$A$2:$K$200,5,FALSE)="","",";" &amp; VLOOKUP('Unique Generator Objects'!A99,'Generator-Storage Assignment'!$A$2:$K$200,5,FALSE))&amp; IF(VLOOKUP('Unique Generator Objects'!A99,'Generator-Storage Assignment'!$A$2:$K$200,6,FALSE)="","",";" &amp; VLOOKUP('Unique Generator Objects'!A99,'Generator-Storage Assignment'!$A$2:$K$200,6,FALSE))&amp; IF(VLOOKUP('Unique Generator Objects'!A99,'Generator-Storage Assignment'!$A$2:$K$200,7,FALSE)="","",";" &amp; VLOOKUP('Unique Generator Objects'!A99,'Generator-Storage Assignment'!$A$2:$K$200,7,FALSE))&amp; IF(VLOOKUP('Unique Generator Objects'!A99,'Generator-Storage Assignment'!$A$2:$K$200,8,FALSE)="","",";" &amp; VLOOKUP('Unique Generator Objects'!A99,'Generator-Storage Assignment'!$A$2:$K$200,8,FALSE))&amp; IF(VLOOKUP('Unique Generator Objects'!A99,'Generator-Storage Assignment'!$A$2:$K$200,9,FALSE)="","",";" &amp; VLOOKUP('Unique Generator Objects'!A99,'Generator-Storage Assignment'!$A$2:$K$200,9,FALSE))</f>
        <v>Kegums;Raeterichsboden;Grimsel</v>
      </c>
      <c r="H99" s="96" t="str">
        <f ca="1">VLOOKUP('Unique Generator Objects'!A99,'Generator-Storage Assignment'!$A$2:$L$200,12,FALSE)</f>
        <v>Daugava</v>
      </c>
      <c r="J99" s="96">
        <f>VLOOKUP(A99,Generators!$A$2:$BC$122,MATCH(Generators!$N$1,Generators!$A$1:$BC$1,0),FALSE)</f>
        <v>56.740499999999997</v>
      </c>
      <c r="K99" s="96">
        <f>VLOOKUP(A99,Generators!$A$2:$BC$122,MATCH(Generators!$O$1,Generators!$A$1:$BC$1,0),FALSE)</f>
        <v>24.711300000000001</v>
      </c>
      <c r="M99" s="97"/>
      <c r="N99" s="96" t="str">
        <f t="shared" ca="1" si="5"/>
        <v>False</v>
      </c>
    </row>
    <row r="100" spans="1:14" x14ac:dyDescent="0.35">
      <c r="A100" s="191" t="s">
        <v>1936</v>
      </c>
      <c r="B100" s="97" t="str">
        <f>VLOOKUP(A100,Generators!$A$2:$AZ$1016,MATCH('Unique Generator Objects'!$B$1,Generators!$A$1:$AZ$1,0),FALSE)</f>
        <v>hydro-ROR</v>
      </c>
      <c r="C100" s="97" t="str">
        <f t="shared" si="2"/>
        <v>Ribarroja</v>
      </c>
      <c r="D100" s="97" t="s">
        <v>2887</v>
      </c>
      <c r="E100" s="96" t="str">
        <f>VLOOKUP(A100,Generators!$A$2:$BC$122,MATCH(Generators!$I$1,Generators!$A$1:$BC$1,0),FALSE)</f>
        <v>ES</v>
      </c>
      <c r="G100" s="96" t="str">
        <f ca="1">VLOOKUP('Unique Generator Objects'!A100,'Generator-Storage Assignment'!$A$2:$K$200,2,FALSE) &amp; IF(VLOOKUP('Unique Generator Objects'!A100,'Generator-Storage Assignment'!$A$2:$K$200,3,FALSE)="","",";" &amp; VLOOKUP('Unique Generator Objects'!A100,'Generator-Storage Assignment'!$A$2:$K$200,3,FALSE))&amp; IF(VLOOKUP('Unique Generator Objects'!A100,'Generator-Storage Assignment'!$A$2:$K$200,4,FALSE)="","",";" &amp; VLOOKUP('Unique Generator Objects'!A100,'Generator-Storage Assignment'!$A$2:$K$200,4,FALSE))&amp; IF(VLOOKUP('Unique Generator Objects'!A100,'Generator-Storage Assignment'!$A$2:$K$200,5,FALSE)="","",";" &amp; VLOOKUP('Unique Generator Objects'!A100,'Generator-Storage Assignment'!$A$2:$K$200,5,FALSE))&amp; IF(VLOOKUP('Unique Generator Objects'!A100,'Generator-Storage Assignment'!$A$2:$K$200,6,FALSE)="","",";" &amp; VLOOKUP('Unique Generator Objects'!A100,'Generator-Storage Assignment'!$A$2:$K$200,6,FALSE))&amp; IF(VLOOKUP('Unique Generator Objects'!A100,'Generator-Storage Assignment'!$A$2:$K$200,7,FALSE)="","",";" &amp; VLOOKUP('Unique Generator Objects'!A100,'Generator-Storage Assignment'!$A$2:$K$200,7,FALSE))&amp; IF(VLOOKUP('Unique Generator Objects'!A100,'Generator-Storage Assignment'!$A$2:$K$200,8,FALSE)="","",";" &amp; VLOOKUP('Unique Generator Objects'!A100,'Generator-Storage Assignment'!$A$2:$K$200,8,FALSE))&amp; IF(VLOOKUP('Unique Generator Objects'!A100,'Generator-Storage Assignment'!$A$2:$K$200,9,FALSE)="","",";" &amp; VLOOKUP('Unique Generator Objects'!A100,'Generator-Storage Assignment'!$A$2:$K$200,9,FALSE))</f>
        <v>Ribarroja</v>
      </c>
      <c r="H100" s="96" t="str">
        <f ca="1">VLOOKUP('Unique Generator Objects'!A100,'Generator-Storage Assignment'!$A$2:$L$200,12,FALSE)</f>
        <v>Ribarroja_lower</v>
      </c>
      <c r="J100" s="96">
        <f>VLOOKUP(A100,Generators!$A$2:$BC$122,MATCH(Generators!$N$1,Generators!$A$1:$BC$1,0),FALSE)</f>
        <v>41.242384000000001</v>
      </c>
      <c r="K100" s="96">
        <f>VLOOKUP(A100,Generators!$A$2:$BC$122,MATCH(Generators!$O$1,Generators!$A$1:$BC$1,0),FALSE)</f>
        <v>0.43075999999999998</v>
      </c>
      <c r="M100" s="97"/>
      <c r="N100" s="96" t="str">
        <f t="shared" ca="1" si="5"/>
        <v>False</v>
      </c>
    </row>
    <row r="101" spans="1:14" x14ac:dyDescent="0.35">
      <c r="A101" s="191" t="s">
        <v>2877</v>
      </c>
      <c r="B101" s="97" t="str">
        <f>VLOOKUP(A101,Generators!$A$2:$AZ$1016,MATCH('Unique Generator Objects'!$B$1,Generators!$A$1:$AZ$1,0),FALSE)</f>
        <v>hydro-STO</v>
      </c>
      <c r="C101" s="97" t="str">
        <f t="shared" si="2"/>
        <v>Innertkirchen 1</v>
      </c>
      <c r="D101" s="97" t="s">
        <v>2887</v>
      </c>
      <c r="E101" s="96" t="str">
        <f>VLOOKUP(A101,Generators!$A$2:$BC$122,MATCH(Generators!$I$1,Generators!$A$1:$BC$1,0),FALSE)</f>
        <v>CH</v>
      </c>
      <c r="G101" s="96" t="str">
        <f ca="1">VLOOKUP('Unique Generator Objects'!A101,'Generator-Storage Assignment'!$A$2:$K$200,2,FALSE) &amp; IF(VLOOKUP('Unique Generator Objects'!A101,'Generator-Storage Assignment'!$A$2:$K$200,3,FALSE)="","",";" &amp; VLOOKUP('Unique Generator Objects'!A101,'Generator-Storage Assignment'!$A$2:$K$200,3,FALSE))&amp; IF(VLOOKUP('Unique Generator Objects'!A101,'Generator-Storage Assignment'!$A$2:$K$200,4,FALSE)="","",";" &amp; VLOOKUP('Unique Generator Objects'!A101,'Generator-Storage Assignment'!$A$2:$K$200,4,FALSE))&amp; IF(VLOOKUP('Unique Generator Objects'!A101,'Generator-Storage Assignment'!$A$2:$K$200,5,FALSE)="","",";" &amp; VLOOKUP('Unique Generator Objects'!A101,'Generator-Storage Assignment'!$A$2:$K$200,5,FALSE))&amp; IF(VLOOKUP('Unique Generator Objects'!A101,'Generator-Storage Assignment'!$A$2:$K$200,6,FALSE)="","",";" &amp; VLOOKUP('Unique Generator Objects'!A101,'Generator-Storage Assignment'!$A$2:$K$200,6,FALSE))&amp; IF(VLOOKUP('Unique Generator Objects'!A101,'Generator-Storage Assignment'!$A$2:$K$200,7,FALSE)="","",";" &amp; VLOOKUP('Unique Generator Objects'!A101,'Generator-Storage Assignment'!$A$2:$K$200,7,FALSE))&amp; IF(VLOOKUP('Unique Generator Objects'!A101,'Generator-Storage Assignment'!$A$2:$K$200,8,FALSE)="","",";" &amp; VLOOKUP('Unique Generator Objects'!A101,'Generator-Storage Assignment'!$A$2:$K$200,8,FALSE))&amp; IF(VLOOKUP('Unique Generator Objects'!A101,'Generator-Storage Assignment'!$A$2:$K$200,9,FALSE)="","",";" &amp; VLOOKUP('Unique Generator Objects'!A101,'Generator-Storage Assignment'!$A$2:$K$200,9,FALSE))</f>
        <v>Gelmersee;Svartevatn;Langavatn;Katlavatn;Bergdalsvatn;Vesterdalstjern;Vetlebotnvatn</v>
      </c>
      <c r="H101" s="96" t="str">
        <f ca="1">VLOOKUP('Unique Generator Objects'!A101,'Generator-Storage Assignment'!$A$2:$L$200,12,FALSE)</f>
        <v>Innertkirchen 1_lower</v>
      </c>
      <c r="J101" s="96">
        <f>VLOOKUP(A101,Generators!$A$2:$BC$122,MATCH(Generators!$N$1,Generators!$A$1:$BC$1,0),FALSE)</f>
        <v>46.702100000000002</v>
      </c>
      <c r="K101" s="96">
        <f>VLOOKUP(A101,Generators!$A$2:$BC$122,MATCH(Generators!$O$1,Generators!$A$1:$BC$1,0),FALSE)</f>
        <v>8.2353000000000005</v>
      </c>
      <c r="M101" s="97"/>
      <c r="N101" s="96" t="str">
        <f t="shared" ca="1" si="5"/>
        <v>False</v>
      </c>
    </row>
    <row r="102" spans="1:14" x14ac:dyDescent="0.35">
      <c r="A102" s="191" t="s">
        <v>494</v>
      </c>
      <c r="B102" s="97" t="str">
        <f>VLOOKUP(A102,Generators!$A$2:$AZ$1016,MATCH('Unique Generator Objects'!$B$1,Generators!$A$1:$AZ$1,0),FALSE)</f>
        <v>hydro-STO</v>
      </c>
      <c r="C102" s="97" t="str">
        <f t="shared" si="2"/>
        <v>Premadio</v>
      </c>
      <c r="D102" s="97" t="s">
        <v>2887</v>
      </c>
      <c r="E102" s="96" t="str">
        <f>VLOOKUP(A102,Generators!$A$2:$BC$122,MATCH(Generators!$I$1,Generators!$A$1:$BC$1,0),FALSE)</f>
        <v>IT</v>
      </c>
      <c r="G102" s="96" t="str">
        <f ca="1">VLOOKUP('Unique Generator Objects'!A102,'Generator-Storage Assignment'!$A$2:$K$200,2,FALSE) &amp; IF(VLOOKUP('Unique Generator Objects'!A102,'Generator-Storage Assignment'!$A$2:$K$200,3,FALSE)="","",";" &amp; VLOOKUP('Unique Generator Objects'!A102,'Generator-Storage Assignment'!$A$2:$K$200,3,FALSE))&amp; IF(VLOOKUP('Unique Generator Objects'!A102,'Generator-Storage Assignment'!$A$2:$K$200,4,FALSE)="","",";" &amp; VLOOKUP('Unique Generator Objects'!A102,'Generator-Storage Assignment'!$A$2:$K$200,4,FALSE))&amp; IF(VLOOKUP('Unique Generator Objects'!A102,'Generator-Storage Assignment'!$A$2:$K$200,5,FALSE)="","",";" &amp; VLOOKUP('Unique Generator Objects'!A102,'Generator-Storage Assignment'!$A$2:$K$200,5,FALSE))&amp; IF(VLOOKUP('Unique Generator Objects'!A102,'Generator-Storage Assignment'!$A$2:$K$200,6,FALSE)="","",";" &amp; VLOOKUP('Unique Generator Objects'!A102,'Generator-Storage Assignment'!$A$2:$K$200,6,FALSE))&amp; IF(VLOOKUP('Unique Generator Objects'!A102,'Generator-Storage Assignment'!$A$2:$K$200,7,FALSE)="","",";" &amp; VLOOKUP('Unique Generator Objects'!A102,'Generator-Storage Assignment'!$A$2:$K$200,7,FALSE))&amp; IF(VLOOKUP('Unique Generator Objects'!A102,'Generator-Storage Assignment'!$A$2:$K$200,8,FALSE)="","",";" &amp; VLOOKUP('Unique Generator Objects'!A102,'Generator-Storage Assignment'!$A$2:$K$200,8,FALSE))&amp; IF(VLOOKUP('Unique Generator Objects'!A102,'Generator-Storage Assignment'!$A$2:$K$200,9,FALSE)="","",";" &amp; VLOOKUP('Unique Generator Objects'!A102,'Generator-Storage Assignment'!$A$2:$K$200,9,FALSE))</f>
        <v>Cancano_San Giacomo</v>
      </c>
      <c r="H102" s="96" t="str">
        <f ca="1">VLOOKUP('Unique Generator Objects'!A102,'Generator-Storage Assignment'!$A$2:$L$200,12,FALSE)</f>
        <v>Val Grosina</v>
      </c>
      <c r="J102" s="96">
        <f>VLOOKUP(A102,Generators!$A$2:$BC$122,MATCH(Generators!$N$1,Generators!$A$1:$BC$1,0),FALSE)</f>
        <v>46.485100000000003</v>
      </c>
      <c r="K102" s="96">
        <f>VLOOKUP(A102,Generators!$A$2:$BC$122,MATCH(Generators!$O$1,Generators!$A$1:$BC$1,0),FALSE)</f>
        <v>10.353351999999999</v>
      </c>
      <c r="M102" s="97"/>
      <c r="N102" s="96" t="str">
        <f t="shared" ca="1" si="5"/>
        <v>False</v>
      </c>
    </row>
    <row r="103" spans="1:14" x14ac:dyDescent="0.35">
      <c r="A103" s="191" t="s">
        <v>2876</v>
      </c>
      <c r="B103" s="97" t="str">
        <f>VLOOKUP(A103,Generators!$A$2:$AZ$1016,MATCH('Unique Generator Objects'!$B$1,Generators!$A$1:$AZ$1,0),FALSE)</f>
        <v>hydro-STO</v>
      </c>
      <c r="C103" s="97" t="str">
        <f t="shared" si="2"/>
        <v>Aurland II</v>
      </c>
      <c r="D103" s="97" t="s">
        <v>2887</v>
      </c>
      <c r="E103" s="96" t="str">
        <f>VLOOKUP(A103,Generators!$A$2:$BC$122,MATCH(Generators!$I$1,Generators!$A$1:$BC$1,0),FALSE)</f>
        <v>NO</v>
      </c>
      <c r="G103" s="96" t="str">
        <f ca="1">VLOOKUP('Unique Generator Objects'!A103,'Generator-Storage Assignment'!$A$2:$K$200,2,FALSE) &amp; IF(VLOOKUP('Unique Generator Objects'!A103,'Generator-Storage Assignment'!$A$2:$K$200,3,FALSE)="","",";" &amp; VLOOKUP('Unique Generator Objects'!A103,'Generator-Storage Assignment'!$A$2:$K$200,3,FALSE))&amp; IF(VLOOKUP('Unique Generator Objects'!A103,'Generator-Storage Assignment'!$A$2:$K$200,4,FALSE)="","",";" &amp; VLOOKUP('Unique Generator Objects'!A103,'Generator-Storage Assignment'!$A$2:$K$200,4,FALSE))&amp; IF(VLOOKUP('Unique Generator Objects'!A103,'Generator-Storage Assignment'!$A$2:$K$200,5,FALSE)="","",";" &amp; VLOOKUP('Unique Generator Objects'!A103,'Generator-Storage Assignment'!$A$2:$K$200,5,FALSE))&amp; IF(VLOOKUP('Unique Generator Objects'!A103,'Generator-Storage Assignment'!$A$2:$K$200,6,FALSE)="","",";" &amp; VLOOKUP('Unique Generator Objects'!A103,'Generator-Storage Assignment'!$A$2:$K$200,6,FALSE))&amp; IF(VLOOKUP('Unique Generator Objects'!A103,'Generator-Storage Assignment'!$A$2:$K$200,7,FALSE)="","",";" &amp; VLOOKUP('Unique Generator Objects'!A103,'Generator-Storage Assignment'!$A$2:$K$200,7,FALSE))&amp; IF(VLOOKUP('Unique Generator Objects'!A103,'Generator-Storage Assignment'!$A$2:$K$200,8,FALSE)="","",";" &amp; VLOOKUP('Unique Generator Objects'!A103,'Generator-Storage Assignment'!$A$2:$K$200,8,FALSE))&amp; IF(VLOOKUP('Unique Generator Objects'!A103,'Generator-Storage Assignment'!$A$2:$K$200,9,FALSE)="","",";" &amp; VLOOKUP('Unique Generator Objects'!A103,'Generator-Storage Assignment'!$A$2:$K$200,9,FALSE))</f>
        <v>Vargevatn</v>
      </c>
      <c r="H103" s="96" t="str">
        <f ca="1">VLOOKUP('Unique Generator Objects'!A103,'Generator-Storage Assignment'!$A$2:$L$200,12,FALSE)</f>
        <v>Viddalsvatn</v>
      </c>
      <c r="J103" s="96">
        <f>VLOOKUP(A103,Generators!$A$2:$BC$122,MATCH(Generators!$N$1,Generators!$A$1:$BC$1,0),FALSE)</f>
        <v>60.874955999999997</v>
      </c>
      <c r="K103" s="96">
        <f>VLOOKUP(A103,Generators!$A$2:$BC$122,MATCH(Generators!$O$1,Generators!$A$1:$BC$1,0),FALSE)</f>
        <v>7.3222529999999999</v>
      </c>
      <c r="M103" s="97"/>
      <c r="N103" s="96" t="str">
        <f t="shared" ca="1" si="5"/>
        <v>False</v>
      </c>
    </row>
    <row r="104" spans="1:14" x14ac:dyDescent="0.35">
      <c r="A104" s="191" t="s">
        <v>2103</v>
      </c>
      <c r="B104" s="97" t="str">
        <f>VLOOKUP(A104,Generators!$A$2:$AZ$1016,MATCH('Unique Generator Objects'!$B$1,Generators!$A$1:$AZ$1,0),FALSE)</f>
        <v>hydro-STO</v>
      </c>
      <c r="C104" s="97" t="str">
        <f t="shared" si="2"/>
        <v>Hylen</v>
      </c>
      <c r="D104" s="97" t="s">
        <v>2887</v>
      </c>
      <c r="E104" s="96" t="str">
        <f>VLOOKUP(A104,Generators!$A$2:$BC$122,MATCH(Generators!$I$1,Generators!$A$1:$BC$1,0),FALSE)</f>
        <v>NO</v>
      </c>
      <c r="G104" s="96" t="str">
        <f ca="1">VLOOKUP('Unique Generator Objects'!A104,'Generator-Storage Assignment'!$A$2:$K$200,2,FALSE) &amp; IF(VLOOKUP('Unique Generator Objects'!A104,'Generator-Storage Assignment'!$A$2:$K$200,3,FALSE)="","",";" &amp; VLOOKUP('Unique Generator Objects'!A104,'Generator-Storage Assignment'!$A$2:$K$200,3,FALSE))&amp; IF(VLOOKUP('Unique Generator Objects'!A104,'Generator-Storage Assignment'!$A$2:$K$200,4,FALSE)="","",";" &amp; VLOOKUP('Unique Generator Objects'!A104,'Generator-Storage Assignment'!$A$2:$K$200,4,FALSE))&amp; IF(VLOOKUP('Unique Generator Objects'!A104,'Generator-Storage Assignment'!$A$2:$K$200,5,FALSE)="","",";" &amp; VLOOKUP('Unique Generator Objects'!A104,'Generator-Storage Assignment'!$A$2:$K$200,5,FALSE))&amp; IF(VLOOKUP('Unique Generator Objects'!A104,'Generator-Storage Assignment'!$A$2:$K$200,6,FALSE)="","",";" &amp; VLOOKUP('Unique Generator Objects'!A104,'Generator-Storage Assignment'!$A$2:$K$200,6,FALSE))&amp; IF(VLOOKUP('Unique Generator Objects'!A104,'Generator-Storage Assignment'!$A$2:$K$200,7,FALSE)="","",";" &amp; VLOOKUP('Unique Generator Objects'!A104,'Generator-Storage Assignment'!$A$2:$K$200,7,FALSE))&amp; IF(VLOOKUP('Unique Generator Objects'!A104,'Generator-Storage Assignment'!$A$2:$K$200,8,FALSE)="","",";" &amp; VLOOKUP('Unique Generator Objects'!A104,'Generator-Storage Assignment'!$A$2:$K$200,8,FALSE))&amp; IF(VLOOKUP('Unique Generator Objects'!A104,'Generator-Storage Assignment'!$A$2:$K$200,9,FALSE)="","",";" &amp; VLOOKUP('Unique Generator Objects'!A104,'Generator-Storage Assignment'!$A$2:$K$200,9,FALSE))</f>
        <v>Suldalsvatnet</v>
      </c>
      <c r="H104" s="96" t="str">
        <f ca="1">VLOOKUP('Unique Generator Objects'!A104,'Generator-Storage Assignment'!$A$2:$L$200,12,FALSE)</f>
        <v>Hylen_lower</v>
      </c>
      <c r="J104" s="96">
        <f>VLOOKUP(A104,Generators!$A$2:$BC$122,MATCH(Generators!$N$1,Generators!$A$1:$BC$1,0),FALSE)</f>
        <v>58.616660000000003</v>
      </c>
      <c r="K104" s="96">
        <f>VLOOKUP(A104,Generators!$A$2:$BC$122,MATCH(Generators!$O$1,Generators!$A$1:$BC$1,0),FALSE)</f>
        <v>6.0833329999999997</v>
      </c>
      <c r="M104" s="97"/>
      <c r="N104" s="96" t="str">
        <f t="shared" ca="1" si="5"/>
        <v>False</v>
      </c>
    </row>
    <row r="105" spans="1:14" x14ac:dyDescent="0.35">
      <c r="A105" s="191" t="s">
        <v>524</v>
      </c>
      <c r="B105" s="97" t="str">
        <f>VLOOKUP(A105,Generators!$A$2:$AZ$1016,MATCH('Unique Generator Objects'!$B$1,Generators!$A$1:$AZ$1,0),FALSE)</f>
        <v>hydro-PHS</v>
      </c>
      <c r="C105" s="97" t="str">
        <f t="shared" si="2"/>
        <v>Provvidenza</v>
      </c>
      <c r="D105" s="97" t="s">
        <v>2887</v>
      </c>
      <c r="E105" s="96" t="str">
        <f>VLOOKUP(A105,Generators!$A$2:$BC$122,MATCH(Generators!$I$1,Generators!$A$1:$BC$1,0),FALSE)</f>
        <v>IT</v>
      </c>
      <c r="G105" s="96" t="str">
        <f ca="1">VLOOKUP('Unique Generator Objects'!A105,'Generator-Storage Assignment'!$A$2:$K$200,2,FALSE) &amp; IF(VLOOKUP('Unique Generator Objects'!A105,'Generator-Storage Assignment'!$A$2:$K$200,3,FALSE)="","",";" &amp; VLOOKUP('Unique Generator Objects'!A105,'Generator-Storage Assignment'!$A$2:$K$200,3,FALSE))&amp; IF(VLOOKUP('Unique Generator Objects'!A105,'Generator-Storage Assignment'!$A$2:$K$200,4,FALSE)="","",";" &amp; VLOOKUP('Unique Generator Objects'!A105,'Generator-Storage Assignment'!$A$2:$K$200,4,FALSE))&amp; IF(VLOOKUP('Unique Generator Objects'!A105,'Generator-Storage Assignment'!$A$2:$K$200,5,FALSE)="","",";" &amp; VLOOKUP('Unique Generator Objects'!A105,'Generator-Storage Assignment'!$A$2:$K$200,5,FALSE))&amp; IF(VLOOKUP('Unique Generator Objects'!A105,'Generator-Storage Assignment'!$A$2:$K$200,6,FALSE)="","",";" &amp; VLOOKUP('Unique Generator Objects'!A105,'Generator-Storage Assignment'!$A$2:$K$200,6,FALSE))&amp; IF(VLOOKUP('Unique Generator Objects'!A105,'Generator-Storage Assignment'!$A$2:$K$200,7,FALSE)="","",";" &amp; VLOOKUP('Unique Generator Objects'!A105,'Generator-Storage Assignment'!$A$2:$K$200,7,FALSE))&amp; IF(VLOOKUP('Unique Generator Objects'!A105,'Generator-Storage Assignment'!$A$2:$K$200,8,FALSE)="","",";" &amp; VLOOKUP('Unique Generator Objects'!A105,'Generator-Storage Assignment'!$A$2:$K$200,8,FALSE))&amp; IF(VLOOKUP('Unique Generator Objects'!A105,'Generator-Storage Assignment'!$A$2:$K$200,9,FALSE)="","",";" &amp; VLOOKUP('Unique Generator Objects'!A105,'Generator-Storage Assignment'!$A$2:$K$200,9,FALSE))</f>
        <v>Lago di Campotosto</v>
      </c>
      <c r="H105" s="96" t="str">
        <f ca="1">VLOOKUP('Unique Generator Objects'!A105,'Generator-Storage Assignment'!$A$2:$L$200,12,FALSE)</f>
        <v>Provvidenza</v>
      </c>
      <c r="J105" s="96">
        <f>VLOOKUP(A105,Generators!$A$2:$BC$122,MATCH(Generators!$N$1,Generators!$A$1:$BC$1,0),FALSE)</f>
        <v>42.511240000000001</v>
      </c>
      <c r="K105" s="96">
        <f>VLOOKUP(A105,Generators!$A$2:$BC$122,MATCH(Generators!$O$1,Generators!$A$1:$BC$1,0),FALSE)</f>
        <v>13.410589999999999</v>
      </c>
      <c r="M105" s="97"/>
      <c r="N105" s="96" t="str">
        <f t="shared" ca="1" si="5"/>
        <v>False</v>
      </c>
    </row>
    <row r="106" spans="1:14" x14ac:dyDescent="0.35">
      <c r="A106" s="191" t="s">
        <v>2149</v>
      </c>
      <c r="B106" s="97" t="str">
        <f>VLOOKUP(A106,Generators!$A$2:$AZ$1016,MATCH('Unique Generator Objects'!$B$1,Generators!$A$1:$AZ$1,0),FALSE)</f>
        <v>hydro-PHS</v>
      </c>
      <c r="C106" s="97" t="str">
        <f t="shared" si="2"/>
        <v>Rovinas Piastra</v>
      </c>
      <c r="D106" s="97" t="s">
        <v>2887</v>
      </c>
      <c r="E106" s="96" t="str">
        <f>VLOOKUP(A106,Generators!$A$2:$BC$122,MATCH(Generators!$I$1,Generators!$A$1:$BC$1,0),FALSE)</f>
        <v>IT</v>
      </c>
      <c r="G106" s="96" t="str">
        <f ca="1">VLOOKUP('Unique Generator Objects'!A106,'Generator-Storage Assignment'!$A$2:$K$200,2,FALSE) &amp; IF(VLOOKUP('Unique Generator Objects'!A106,'Generator-Storage Assignment'!$A$2:$K$200,3,FALSE)="","",";" &amp; VLOOKUP('Unique Generator Objects'!A106,'Generator-Storage Assignment'!$A$2:$K$200,3,FALSE))&amp; IF(VLOOKUP('Unique Generator Objects'!A106,'Generator-Storage Assignment'!$A$2:$K$200,4,FALSE)="","",";" &amp; VLOOKUP('Unique Generator Objects'!A106,'Generator-Storage Assignment'!$A$2:$K$200,4,FALSE))&amp; IF(VLOOKUP('Unique Generator Objects'!A106,'Generator-Storage Assignment'!$A$2:$K$200,5,FALSE)="","",";" &amp; VLOOKUP('Unique Generator Objects'!A106,'Generator-Storage Assignment'!$A$2:$K$200,5,FALSE))&amp; IF(VLOOKUP('Unique Generator Objects'!A106,'Generator-Storage Assignment'!$A$2:$K$200,6,FALSE)="","",";" &amp; VLOOKUP('Unique Generator Objects'!A106,'Generator-Storage Assignment'!$A$2:$K$200,6,FALSE))&amp; IF(VLOOKUP('Unique Generator Objects'!A106,'Generator-Storage Assignment'!$A$2:$K$200,7,FALSE)="","",";" &amp; VLOOKUP('Unique Generator Objects'!A106,'Generator-Storage Assignment'!$A$2:$K$200,7,FALSE))&amp; IF(VLOOKUP('Unique Generator Objects'!A106,'Generator-Storage Assignment'!$A$2:$K$200,8,FALSE)="","",";" &amp; VLOOKUP('Unique Generator Objects'!A106,'Generator-Storage Assignment'!$A$2:$K$200,8,FALSE))&amp; IF(VLOOKUP('Unique Generator Objects'!A106,'Generator-Storage Assignment'!$A$2:$K$200,9,FALSE)="","",";" &amp; VLOOKUP('Unique Generator Objects'!A106,'Generator-Storage Assignment'!$A$2:$K$200,9,FALSE))</f>
        <v>Lago della Rovina</v>
      </c>
      <c r="H106" s="96" t="str">
        <f ca="1">VLOOKUP('Unique Generator Objects'!A106,'Generator-Storage Assignment'!$A$2:$L$200,12,FALSE)</f>
        <v>Lago della Piastra</v>
      </c>
      <c r="J106" s="96">
        <f>VLOOKUP(A106,Generators!$A$2:$BC$122,MATCH(Generators!$N$1,Generators!$A$1:$BC$1,0),FALSE)</f>
        <v>44.224722</v>
      </c>
      <c r="K106" s="96">
        <f>VLOOKUP(A106,Generators!$A$2:$BC$122,MATCH(Generators!$O$1,Generators!$A$1:$BC$1,0),FALSE)</f>
        <v>7.3861109999999996</v>
      </c>
      <c r="M106" s="99"/>
      <c r="N106" s="96" t="str">
        <f ca="1">IF(AND(B106="hydro-PHS",NOT(ISTEXT(H106))),"True","False")</f>
        <v>False</v>
      </c>
    </row>
    <row r="107" spans="1:14" x14ac:dyDescent="0.35">
      <c r="A107" s="191" t="s">
        <v>2423</v>
      </c>
      <c r="B107" s="97" t="str">
        <f>VLOOKUP(A107,Generators!$A$2:$AZ$1016,MATCH('Unique Generator Objects'!$B$1,Generators!$A$1:$AZ$1,0),FALSE)</f>
        <v>hydro-STO</v>
      </c>
      <c r="C107" s="97" t="str">
        <f>A107</f>
        <v>Brevieres</v>
      </c>
      <c r="D107" s="97" t="s">
        <v>2887</v>
      </c>
      <c r="E107" s="96" t="str">
        <f>VLOOKUP(A107,Generators!$A$2:$BC$122,MATCH(Generators!$I$1,Generators!$A$1:$BC$1,0),FALSE)</f>
        <v>FR</v>
      </c>
      <c r="G107" s="96" t="str">
        <f ca="1">VLOOKUP('Unique Generator Objects'!A107,'Generator-Storage Assignment'!$A$2:$K$200,2,FALSE) &amp; IF(VLOOKUP('Unique Generator Objects'!A107,'Generator-Storage Assignment'!$A$2:$K$200,3,FALSE)="","",";" &amp; VLOOKUP('Unique Generator Objects'!A107,'Generator-Storage Assignment'!$A$2:$K$200,3,FALSE))&amp; IF(VLOOKUP('Unique Generator Objects'!A107,'Generator-Storage Assignment'!$A$2:$K$200,4,FALSE)="","",";" &amp; VLOOKUP('Unique Generator Objects'!A107,'Generator-Storage Assignment'!$A$2:$K$200,4,FALSE))&amp; IF(VLOOKUP('Unique Generator Objects'!A107,'Generator-Storage Assignment'!$A$2:$K$200,5,FALSE)="","",";" &amp; VLOOKUP('Unique Generator Objects'!A107,'Generator-Storage Assignment'!$A$2:$K$200,5,FALSE))&amp; IF(VLOOKUP('Unique Generator Objects'!A107,'Generator-Storage Assignment'!$A$2:$K$200,6,FALSE)="","",";" &amp; VLOOKUP('Unique Generator Objects'!A107,'Generator-Storage Assignment'!$A$2:$K$200,6,FALSE))&amp; IF(VLOOKUP('Unique Generator Objects'!A107,'Generator-Storage Assignment'!$A$2:$K$200,7,FALSE)="","",";" &amp; VLOOKUP('Unique Generator Objects'!A107,'Generator-Storage Assignment'!$A$2:$K$200,7,FALSE))&amp; IF(VLOOKUP('Unique Generator Objects'!A107,'Generator-Storage Assignment'!$A$2:$K$200,8,FALSE)="","",";" &amp; VLOOKUP('Unique Generator Objects'!A107,'Generator-Storage Assignment'!$A$2:$K$200,8,FALSE))&amp; IF(VLOOKUP('Unique Generator Objects'!A107,'Generator-Storage Assignment'!$A$2:$K$200,9,FALSE)="","",";" &amp; VLOOKUP('Unique Generator Objects'!A107,'Generator-Storage Assignment'!$A$2:$K$200,9,FALSE))</f>
        <v>Chevril</v>
      </c>
      <c r="H107" s="96" t="str">
        <f ca="1">VLOOKUP('Unique Generator Objects'!A107,'Generator-Storage Assignment'!$A$2:$L$200,12,FALSE)</f>
        <v>Brevieres_lower</v>
      </c>
      <c r="J107" s="96">
        <f>VLOOKUP(A107,Generators!$A$2:$BC$122,MATCH(Generators!$N$1,Generators!$A$1:$BC$1,0),FALSE)</f>
        <v>45.503785000000001</v>
      </c>
      <c r="K107" s="96">
        <f>VLOOKUP(A107,Generators!$A$2:$BC$122,MATCH(Generators!$O$1,Generators!$A$1:$BC$1,0),FALSE)</f>
        <v>6.9256219999999997</v>
      </c>
      <c r="M107" s="99"/>
    </row>
    <row r="108" spans="1:14" x14ac:dyDescent="0.35">
      <c r="A108" s="98"/>
      <c r="B108" s="98"/>
      <c r="C108" s="98"/>
      <c r="D108" s="98"/>
      <c r="M108" s="99"/>
    </row>
    <row r="109" spans="1:14" x14ac:dyDescent="0.35">
      <c r="A109" s="97"/>
      <c r="B109" s="97"/>
      <c r="C109" s="97"/>
      <c r="D109" s="97"/>
      <c r="M109" s="99"/>
    </row>
    <row r="110" spans="1:14" x14ac:dyDescent="0.35">
      <c r="A110" s="97"/>
      <c r="B110" s="97"/>
      <c r="C110" s="97"/>
      <c r="D110" s="97"/>
      <c r="M110" s="99"/>
    </row>
    <row r="111" spans="1:14" x14ac:dyDescent="0.35">
      <c r="A111" s="98"/>
      <c r="B111" s="98"/>
      <c r="C111" s="98"/>
      <c r="D111" s="98"/>
      <c r="M111" s="99"/>
    </row>
    <row r="112" spans="1:14" x14ac:dyDescent="0.35">
      <c r="A112" s="98"/>
      <c r="B112" s="98"/>
      <c r="C112" s="98"/>
      <c r="D112" s="98"/>
      <c r="M112" s="99"/>
    </row>
    <row r="113" spans="1:13" x14ac:dyDescent="0.35">
      <c r="A113" s="98"/>
      <c r="B113" s="98"/>
      <c r="C113" s="98"/>
      <c r="D113" s="98"/>
      <c r="M113" s="99"/>
    </row>
    <row r="114" spans="1:13" x14ac:dyDescent="0.35">
      <c r="A114" s="98"/>
      <c r="B114" s="98"/>
      <c r="C114" s="98"/>
      <c r="D114" s="98"/>
      <c r="M114" s="99"/>
    </row>
    <row r="115" spans="1:13" x14ac:dyDescent="0.35">
      <c r="A115" s="98"/>
      <c r="B115" s="98"/>
      <c r="C115" s="98"/>
      <c r="D115" s="98"/>
      <c r="M115" s="99"/>
    </row>
    <row r="116" spans="1:13" x14ac:dyDescent="0.35">
      <c r="A116" s="98"/>
      <c r="B116" s="98"/>
      <c r="C116" s="98"/>
      <c r="D116" s="98"/>
    </row>
    <row r="117" spans="1:13" x14ac:dyDescent="0.35">
      <c r="A117" s="97"/>
      <c r="B117" s="97"/>
      <c r="C117" s="97"/>
      <c r="D117" s="97"/>
    </row>
    <row r="118" spans="1:13" x14ac:dyDescent="0.35">
      <c r="A118" s="97"/>
      <c r="B118" s="97"/>
      <c r="C118" s="97"/>
      <c r="D118" s="97"/>
    </row>
    <row r="119" spans="1:13" x14ac:dyDescent="0.35">
      <c r="A119" s="97"/>
      <c r="B119" s="97"/>
      <c r="C119" s="97"/>
      <c r="D119" s="97"/>
    </row>
    <row r="120" spans="1:13" x14ac:dyDescent="0.35">
      <c r="A120" s="99"/>
      <c r="B120" s="99"/>
      <c r="C120" s="99"/>
      <c r="D120" s="99"/>
    </row>
    <row r="121" spans="1:13" x14ac:dyDescent="0.35">
      <c r="A121" s="97"/>
      <c r="B121" s="97"/>
      <c r="C121" s="97"/>
      <c r="D121" s="97"/>
    </row>
  </sheetData>
  <sortState ref="A2:H121">
    <sortCondition ref="A1"/>
  </sortState>
  <pageMargins left="0.7" right="0.7" top="0.75" bottom="0.75" header="0.3" footer="0.3"/>
  <pageSetup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3">
    <tabColor rgb="FFFFFF00"/>
  </sheetPr>
  <dimension ref="A1:H500"/>
  <sheetViews>
    <sheetView workbookViewId="0">
      <selection activeCell="A107" sqref="A107"/>
    </sheetView>
  </sheetViews>
  <sheetFormatPr defaultColWidth="8.81640625" defaultRowHeight="14.5" x14ac:dyDescent="0.35"/>
  <cols>
    <col min="1" max="1" width="31.453125" bestFit="1" customWidth="1"/>
    <col min="2" max="2" width="26.81640625" style="159" bestFit="1" customWidth="1"/>
    <col min="3" max="3" width="16.453125" style="124" bestFit="1" customWidth="1"/>
    <col min="4" max="4" width="25" style="124" bestFit="1" customWidth="1"/>
    <col min="5" max="5" width="25" style="158" bestFit="1" customWidth="1"/>
    <col min="6" max="6" width="14.81640625" style="124" bestFit="1" customWidth="1"/>
    <col min="7" max="7" width="23.453125" style="124" bestFit="1" customWidth="1"/>
    <col min="8" max="8" width="22" bestFit="1" customWidth="1"/>
  </cols>
  <sheetData>
    <row r="1" spans="1:8" s="161" customFormat="1" x14ac:dyDescent="0.35">
      <c r="A1" s="146" t="s">
        <v>2830</v>
      </c>
      <c r="B1" s="160" t="s">
        <v>2910</v>
      </c>
      <c r="C1" s="162" t="s">
        <v>2962</v>
      </c>
      <c r="D1" s="162" t="s">
        <v>2961</v>
      </c>
      <c r="E1" s="160" t="s">
        <v>2911</v>
      </c>
      <c r="F1" s="163" t="s">
        <v>2963</v>
      </c>
      <c r="G1" s="163" t="s">
        <v>2964</v>
      </c>
      <c r="H1" s="146" t="s">
        <v>2829</v>
      </c>
    </row>
    <row r="2" spans="1:8" x14ac:dyDescent="0.35">
      <c r="A2" t="str">
        <f t="array" aca="1" ref="A2:A500" ca="1">genList</f>
        <v>Grand Maison Dam</v>
      </c>
      <c r="B2" s="158">
        <f ca="1">VLOOKUP(A2,Generators!$A$2:$AZ$516,19,FALSE)</f>
        <v>8</v>
      </c>
      <c r="C2" s="124">
        <f ca="1">VLOOKUP(A2,Generators!$A$2:$AZ$516,16,FALSE)</f>
        <v>45.145277999999998</v>
      </c>
      <c r="D2" s="124">
        <f t="shared" ref="D2:D65" ca="1" si="0">ROUND(B2/C2,0)</f>
        <v>0</v>
      </c>
      <c r="E2" s="158" t="str">
        <f ca="1">IF(VLOOKUP(A2,Generators!$A$2:$AZ$516,20,FALSE)=0,"",VLOOKUP(A2,Generators!$A$2:$AZ$516,20,FALSE))</f>
        <v>4 Pelton, 8 Francis pump turbines</v>
      </c>
      <c r="F2" s="124">
        <f ca="1">IF(VLOOKUP(A2,Generators!$A$2:$AZ$516,17,FALSE)=0,"",VLOOKUP(A2,Generators!$A$2:$AZ$516,17,FALSE))</f>
        <v>6.0508329999999999</v>
      </c>
      <c r="G2" s="164" t="str">
        <f ca="1">IFERROR(E2/F2,"")</f>
        <v/>
      </c>
    </row>
    <row r="3" spans="1:8" x14ac:dyDescent="0.35">
      <c r="A3" t="str">
        <f ca="1"/>
        <v>Dinorwig</v>
      </c>
      <c r="B3" s="158">
        <f ca="1">VLOOKUP(A3,Generators!$A$2:$AZ$516,19,FALSE)</f>
        <v>6</v>
      </c>
      <c r="C3" s="124">
        <f ca="1">VLOOKUP(A3,Generators!$A$2:$AZ$516,16,FALSE)</f>
        <v>0</v>
      </c>
      <c r="D3" s="124" t="e">
        <f t="shared" ca="1" si="0"/>
        <v>#DIV/0!</v>
      </c>
      <c r="E3" s="158" t="str">
        <f ca="1">IF(VLOOKUP(A3,Generators!$A$2:$AZ$516,20,FALSE)=0,"",VLOOKUP(A3,Generators!$A$2:$AZ$516,20,FALSE))</f>
        <v>Francis</v>
      </c>
      <c r="F3" s="124" t="str">
        <f ca="1">IF(VLOOKUP(A3,Generators!$A$2:$AZ$516,17,FALSE)=0,"",VLOOKUP(A3,Generators!$A$2:$AZ$516,17,FALSE))</f>
        <v/>
      </c>
      <c r="G3" s="164" t="str">
        <f t="shared" ref="G3:G66" ca="1" si="1">IFERROR(E3/F3,"")</f>
        <v/>
      </c>
    </row>
    <row r="4" spans="1:8" x14ac:dyDescent="0.35">
      <c r="A4" t="str">
        <f ca="1"/>
        <v>Vianden</v>
      </c>
      <c r="B4" s="158">
        <f ca="1">VLOOKUP(A4,Generators!$A$2:$AZ$516,19,FALSE)</f>
        <v>11</v>
      </c>
      <c r="C4" s="124">
        <f ca="1">VLOOKUP(A4,Generators!$A$2:$AZ$516,16,FALSE)</f>
        <v>49.952221999999999</v>
      </c>
      <c r="D4" s="124">
        <f t="shared" ca="1" si="0"/>
        <v>0</v>
      </c>
      <c r="E4" s="158" t="str">
        <f ca="1">IF(VLOOKUP(A4,Generators!$A$2:$AZ$516,20,FALSE)=0,"",VLOOKUP(A4,Generators!$A$2:$AZ$516,20,FALSE))</f>
        <v>Francis</v>
      </c>
      <c r="F4" s="124">
        <f ca="1">IF(VLOOKUP(A4,Generators!$A$2:$AZ$516,17,FALSE)=0,"",VLOOKUP(A4,Generators!$A$2:$AZ$516,17,FALSE))</f>
        <v>6.1772220000000004</v>
      </c>
      <c r="G4" s="164" t="str">
        <f t="shared" ca="1" si="1"/>
        <v/>
      </c>
    </row>
    <row r="5" spans="1:8" x14ac:dyDescent="0.35">
      <c r="A5" t="str">
        <f ca="1"/>
        <v>Bieudron</v>
      </c>
      <c r="B5" s="158">
        <f ca="1">VLOOKUP(A5,Generators!$A$2:$AZ$516,19,FALSE)</f>
        <v>0</v>
      </c>
      <c r="C5" s="124">
        <f ca="1">VLOOKUP(A5,Generators!$A$2:$AZ$516,16,FALSE)</f>
        <v>46.192999999999998</v>
      </c>
      <c r="D5" s="124">
        <f t="shared" ca="1" si="0"/>
        <v>0</v>
      </c>
      <c r="E5" s="158" t="str">
        <f ca="1">IF(VLOOKUP(A5,Generators!$A$2:$AZ$516,20,FALSE)=0,"",VLOOKUP(A5,Generators!$A$2:$AZ$516,20,FALSE))</f>
        <v>Pelton</v>
      </c>
      <c r="F5" s="124">
        <f ca="1">IF(VLOOKUP(A5,Generators!$A$2:$AZ$516,17,FALSE)=0,"",VLOOKUP(A5,Generators!$A$2:$AZ$516,17,FALSE))</f>
        <v>7.2619999999999996</v>
      </c>
      <c r="G5" s="164" t="str">
        <f t="shared" ca="1" si="1"/>
        <v/>
      </c>
    </row>
    <row r="6" spans="1:8" x14ac:dyDescent="0.35">
      <c r="A6" t="str">
        <f ca="1"/>
        <v>Aldeadavila</v>
      </c>
      <c r="B6" s="158">
        <f ca="1">VLOOKUP(A6,Generators!$A$2:$AZ$516,19,FALSE)</f>
        <v>8</v>
      </c>
      <c r="C6" s="124">
        <f ca="1">VLOOKUP(A6,Generators!$A$2:$AZ$516,16,FALSE)</f>
        <v>41.210999999999999</v>
      </c>
      <c r="D6" s="124">
        <f t="shared" ca="1" si="0"/>
        <v>0</v>
      </c>
      <c r="E6" s="158" t="str">
        <f ca="1">IF(VLOOKUP(A6,Generators!$A$2:$AZ$516,20,FALSE)=0,"",VLOOKUP(A6,Generators!$A$2:$AZ$516,20,FALSE))</f>
        <v>Francis</v>
      </c>
      <c r="F6" s="124">
        <f ca="1">IF(VLOOKUP(A6,Generators!$A$2:$AZ$516,17,FALSE)=0,"",VLOOKUP(A6,Generators!$A$2:$AZ$516,17,FALSE))</f>
        <v>-6.6589999999999998</v>
      </c>
      <c r="G6" s="164" t="str">
        <f t="shared" ca="1" si="1"/>
        <v/>
      </c>
    </row>
    <row r="7" spans="1:8" x14ac:dyDescent="0.35">
      <c r="A7" t="str">
        <f ca="1"/>
        <v>Kvilldal</v>
      </c>
      <c r="B7" s="158">
        <f ca="1">VLOOKUP(A7,Generators!$A$2:$AZ$516,19,FALSE)</f>
        <v>0</v>
      </c>
      <c r="C7" s="124">
        <f ca="1">VLOOKUP(A7,Generators!$A$2:$AZ$516,16,FALSE)</f>
        <v>59.528779999999998</v>
      </c>
      <c r="D7" s="124">
        <f t="shared" ca="1" si="0"/>
        <v>0</v>
      </c>
      <c r="E7" s="158" t="str">
        <f ca="1">IF(VLOOKUP(A7,Generators!$A$2:$AZ$516,20,FALSE)=0,"",VLOOKUP(A7,Generators!$A$2:$AZ$516,20,FALSE))</f>
        <v>Francis</v>
      </c>
      <c r="F7" s="124">
        <f ca="1">IF(VLOOKUP(A7,Generators!$A$2:$AZ$516,17,FALSE)=0,"",VLOOKUP(A7,Generators!$A$2:$AZ$516,17,FALSE))</f>
        <v>6.6542000000000003</v>
      </c>
      <c r="G7" s="164" t="str">
        <f t="shared" ca="1" si="1"/>
        <v/>
      </c>
    </row>
    <row r="8" spans="1:8" x14ac:dyDescent="0.35">
      <c r="A8" t="str">
        <f ca="1"/>
        <v>Chiotas Piastra</v>
      </c>
      <c r="B8" s="158">
        <f ca="1">VLOOKUP(A8,Generators!$A$2:$AZ$516,19,FALSE)</f>
        <v>8</v>
      </c>
      <c r="C8" s="124">
        <f ca="1">VLOOKUP(A8,Generators!$A$2:$AZ$516,16,FALSE)</f>
        <v>0</v>
      </c>
      <c r="D8" s="124" t="e">
        <f t="shared" ca="1" si="0"/>
        <v>#DIV/0!</v>
      </c>
      <c r="E8" s="158" t="str">
        <f ca="1">IF(VLOOKUP(A8,Generators!$A$2:$AZ$516,20,FALSE)=0,"",VLOOKUP(A8,Generators!$A$2:$AZ$516,20,FALSE))</f>
        <v>Francis</v>
      </c>
      <c r="F8" s="124" t="str">
        <f ca="1">IF(VLOOKUP(A8,Generators!$A$2:$AZ$516,17,FALSE)=0,"",VLOOKUP(A8,Generators!$A$2:$AZ$516,17,FALSE))</f>
        <v/>
      </c>
      <c r="G8" s="164" t="str">
        <f t="shared" ca="1" si="1"/>
        <v/>
      </c>
    </row>
    <row r="9" spans="1:8" x14ac:dyDescent="0.35">
      <c r="A9" t="str">
        <f ca="1"/>
        <v>Iron Gate I</v>
      </c>
      <c r="B9" s="158">
        <f ca="1">VLOOKUP(A9,Generators!$A$2:$AZ$516,19,FALSE)</f>
        <v>0</v>
      </c>
      <c r="C9" s="124">
        <f ca="1">VLOOKUP(A9,Generators!$A$2:$AZ$516,16,FALSE)</f>
        <v>44.656999999999996</v>
      </c>
      <c r="D9" s="124">
        <f t="shared" ca="1" si="0"/>
        <v>0</v>
      </c>
      <c r="E9" s="158" t="str">
        <f ca="1">IF(VLOOKUP(A9,Generators!$A$2:$AZ$516,20,FALSE)=0,"",VLOOKUP(A9,Generators!$A$2:$AZ$516,20,FALSE))</f>
        <v/>
      </c>
      <c r="F9" s="124">
        <f ca="1">IF(VLOOKUP(A9,Generators!$A$2:$AZ$516,17,FALSE)=0,"",VLOOKUP(A9,Generators!$A$2:$AZ$516,17,FALSE))</f>
        <v>22.52</v>
      </c>
      <c r="G9" s="164" t="str">
        <f t="shared" ca="1" si="1"/>
        <v/>
      </c>
    </row>
    <row r="10" spans="1:8" x14ac:dyDescent="0.35">
      <c r="A10" t="str">
        <f ca="1"/>
        <v>Coo-Trois-Ponts</v>
      </c>
      <c r="B10" s="158">
        <f ca="1">VLOOKUP(A10,Generators!$A$2:$AZ$516,19,FALSE)</f>
        <v>6</v>
      </c>
      <c r="C10" s="124">
        <f ca="1">VLOOKUP(A10,Generators!$A$2:$AZ$516,16,FALSE)</f>
        <v>50.386713999999998</v>
      </c>
      <c r="D10" s="124">
        <f t="shared" ca="1" si="0"/>
        <v>0</v>
      </c>
      <c r="E10" s="158" t="str">
        <f ca="1">IF(VLOOKUP(A10,Generators!$A$2:$AZ$516,20,FALSE)=0,"",VLOOKUP(A10,Generators!$A$2:$AZ$516,20,FALSE))</f>
        <v>Francis</v>
      </c>
      <c r="F10" s="124">
        <f ca="1">IF(VLOOKUP(A10,Generators!$A$2:$AZ$516,17,FALSE)=0,"",VLOOKUP(A10,Generators!$A$2:$AZ$516,17,FALSE))</f>
        <v>5.8572579999999999</v>
      </c>
      <c r="G10" s="164" t="str">
        <f t="shared" ca="1" si="1"/>
        <v/>
      </c>
    </row>
    <row r="11" spans="1:8" x14ac:dyDescent="0.35">
      <c r="A11" t="str">
        <f ca="1"/>
        <v>Sima</v>
      </c>
      <c r="B11" s="158">
        <f ca="1">VLOOKUP(A11,Generators!$A$2:$AZ$516,19,FALSE)</f>
        <v>0</v>
      </c>
      <c r="C11" s="124">
        <f ca="1">VLOOKUP(A11,Generators!$A$2:$AZ$516,16,FALSE)</f>
        <v>0</v>
      </c>
      <c r="D11" s="124" t="e">
        <f t="shared" ca="1" si="0"/>
        <v>#DIV/0!</v>
      </c>
      <c r="E11" s="158" t="str">
        <f ca="1">IF(VLOOKUP(A11,Generators!$A$2:$AZ$516,20,FALSE)=0,"",VLOOKUP(A11,Generators!$A$2:$AZ$516,20,FALSE))</f>
        <v>Pelton</v>
      </c>
      <c r="F11" s="124" t="str">
        <f ca="1">IF(VLOOKUP(A11,Generators!$A$2:$AZ$516,17,FALSE)=0,"",VLOOKUP(A11,Generators!$A$2:$AZ$516,17,FALSE))</f>
        <v/>
      </c>
      <c r="G11" s="164" t="str">
        <f t="shared" ca="1" si="1"/>
        <v/>
      </c>
    </row>
    <row r="12" spans="1:8" x14ac:dyDescent="0.35">
      <c r="A12" t="str">
        <f ca="1"/>
        <v xml:space="preserve">Goldisthal  </v>
      </c>
      <c r="B12" s="158">
        <f ca="1">VLOOKUP(A12,Generators!$A$2:$AZ$516,19,FALSE)</f>
        <v>4</v>
      </c>
      <c r="C12" s="124">
        <f ca="1">VLOOKUP(A12,Generators!$A$2:$AZ$516,16,FALSE)</f>
        <v>50.508083999999997</v>
      </c>
      <c r="D12" s="124">
        <f t="shared" ca="1" si="0"/>
        <v>0</v>
      </c>
      <c r="E12" s="158" t="str">
        <f ca="1">IF(VLOOKUP(A12,Generators!$A$2:$AZ$516,20,FALSE)=0,"",VLOOKUP(A12,Generators!$A$2:$AZ$516,20,FALSE))</f>
        <v>Francis</v>
      </c>
      <c r="F12" s="124">
        <f ca="1">IF(VLOOKUP(A12,Generators!$A$2:$AZ$516,17,FALSE)=0,"",VLOOKUP(A12,Generators!$A$2:$AZ$516,17,FALSE))</f>
        <v>11.004471000000001</v>
      </c>
      <c r="G12" s="164" t="str">
        <f t="shared" ca="1" si="1"/>
        <v/>
      </c>
    </row>
    <row r="13" spans="1:8" x14ac:dyDescent="0.35">
      <c r="A13" t="str">
        <f ca="1"/>
        <v>Markersbach</v>
      </c>
      <c r="B13" s="158">
        <f ca="1">VLOOKUP(A13,Generators!$A$2:$AZ$516,19,FALSE)</f>
        <v>7</v>
      </c>
      <c r="C13" s="124">
        <f ca="1">VLOOKUP(A13,Generators!$A$2:$AZ$516,16,FALSE)</f>
        <v>50.517527000000001</v>
      </c>
      <c r="D13" s="124">
        <f t="shared" ca="1" si="0"/>
        <v>0</v>
      </c>
      <c r="E13" s="158" t="str">
        <f ca="1">IF(VLOOKUP(A13,Generators!$A$2:$AZ$516,20,FALSE)=0,"",VLOOKUP(A13,Generators!$A$2:$AZ$516,20,FALSE))</f>
        <v>6 Francis, 1 Ossberger</v>
      </c>
      <c r="F13" s="124">
        <f ca="1">IF(VLOOKUP(A13,Generators!$A$2:$AZ$516,17,FALSE)=0,"",VLOOKUP(A13,Generators!$A$2:$AZ$516,17,FALSE))</f>
        <v>12.880644</v>
      </c>
      <c r="G13" s="164" t="str">
        <f t="shared" ca="1" si="1"/>
        <v/>
      </c>
    </row>
    <row r="14" spans="1:8" x14ac:dyDescent="0.35">
      <c r="A14" t="str">
        <f ca="1"/>
        <v>Roncovalgrande (Delio)</v>
      </c>
      <c r="B14" s="158">
        <f ca="1">VLOOKUP(A14,Generators!$A$2:$AZ$516,19,FALSE)</f>
        <v>8</v>
      </c>
      <c r="C14" s="124">
        <f ca="1">VLOOKUP(A14,Generators!$A$2:$AZ$516,16,FALSE)</f>
        <v>46.069443999999997</v>
      </c>
      <c r="D14" s="124">
        <f t="shared" ca="1" si="0"/>
        <v>0</v>
      </c>
      <c r="E14" s="158" t="str">
        <f ca="1">IF(VLOOKUP(A14,Generators!$A$2:$AZ$516,20,FALSE)=0,"",VLOOKUP(A14,Generators!$A$2:$AZ$516,20,FALSE))</f>
        <v>Pelton</v>
      </c>
      <c r="F14" s="124">
        <f ca="1">IF(VLOOKUP(A14,Generators!$A$2:$AZ$516,17,FALSE)=0,"",VLOOKUP(A14,Generators!$A$2:$AZ$516,17,FALSE))</f>
        <v>8.7319440000000004</v>
      </c>
      <c r="G14" s="164" t="str">
        <f t="shared" ca="1" si="1"/>
        <v/>
      </c>
    </row>
    <row r="15" spans="1:8" x14ac:dyDescent="0.35">
      <c r="A15" t="str">
        <f ca="1"/>
        <v>Edolo</v>
      </c>
      <c r="B15" s="158">
        <f ca="1">VLOOKUP(A15,Generators!$A$2:$AZ$516,19,FALSE)</f>
        <v>8</v>
      </c>
      <c r="C15" s="124">
        <f ca="1">VLOOKUP(A15,Generators!$A$2:$AZ$516,16,FALSE)</f>
        <v>46.170833000000002</v>
      </c>
      <c r="D15" s="124">
        <f t="shared" ca="1" si="0"/>
        <v>0</v>
      </c>
      <c r="E15" s="158" t="str">
        <f ca="1">IF(VLOOKUP(A15,Generators!$A$2:$AZ$516,20,FALSE)=0,"",VLOOKUP(A15,Generators!$A$2:$AZ$516,20,FALSE))</f>
        <v>Francis</v>
      </c>
      <c r="F15" s="124">
        <f ca="1">IF(VLOOKUP(A15,Generators!$A$2:$AZ$516,17,FALSE)=0,"",VLOOKUP(A15,Generators!$A$2:$AZ$516,17,FALSE))</f>
        <v>10.347778</v>
      </c>
      <c r="G15" s="164" t="str">
        <f t="shared" ca="1" si="1"/>
        <v/>
      </c>
    </row>
    <row r="16" spans="1:8" x14ac:dyDescent="0.35">
      <c r="A16" t="str">
        <f ca="1"/>
        <v>Domenico Cimarosa (Presenzano)</v>
      </c>
      <c r="B16" s="158">
        <f ca="1">VLOOKUP(A16,Generators!$A$2:$AZ$516,19,FALSE)</f>
        <v>4</v>
      </c>
      <c r="C16" s="124">
        <f ca="1">VLOOKUP(A16,Generators!$A$2:$AZ$516,16,FALSE)</f>
        <v>41.381388999999999</v>
      </c>
      <c r="D16" s="124">
        <f t="shared" ca="1" si="0"/>
        <v>0</v>
      </c>
      <c r="E16" s="158" t="str">
        <f ca="1">IF(VLOOKUP(A16,Generators!$A$2:$AZ$516,20,FALSE)=0,"",VLOOKUP(A16,Generators!$A$2:$AZ$516,20,FALSE))</f>
        <v>Francis</v>
      </c>
      <c r="F16" s="124">
        <f ca="1">IF(VLOOKUP(A16,Generators!$A$2:$AZ$516,17,FALSE)=0,"",VLOOKUP(A16,Generators!$A$2:$AZ$516,17,FALSE))</f>
        <v>14.090278</v>
      </c>
      <c r="G16" s="164" t="str">
        <f t="shared" ca="1" si="1"/>
        <v/>
      </c>
    </row>
    <row r="17" spans="1:7" x14ac:dyDescent="0.35">
      <c r="A17" t="str">
        <f ca="1"/>
        <v>Wehr (Hornbergstufe)</v>
      </c>
      <c r="B17" s="158">
        <f ca="1">VLOOKUP(A17,Generators!$A$2:$AZ$516,19,FALSE)</f>
        <v>4</v>
      </c>
      <c r="C17" s="124">
        <f ca="1">VLOOKUP(A17,Generators!$A$2:$AZ$516,16,FALSE)</f>
        <v>47.63</v>
      </c>
      <c r="D17" s="124">
        <f t="shared" ca="1" si="0"/>
        <v>0</v>
      </c>
      <c r="E17" s="158" t="str">
        <f ca="1">IF(VLOOKUP(A17,Generators!$A$2:$AZ$516,20,FALSE)=0,"",VLOOKUP(A17,Generators!$A$2:$AZ$516,20,FALSE))</f>
        <v>Francis</v>
      </c>
      <c r="F17" s="124">
        <f ca="1">IF(VLOOKUP(A17,Generators!$A$2:$AZ$516,17,FALSE)=0,"",VLOOKUP(A17,Generators!$A$2:$AZ$516,17,FALSE))</f>
        <v>7.8890000000000002</v>
      </c>
      <c r="G17" s="164" t="str">
        <f t="shared" ca="1" si="1"/>
        <v/>
      </c>
    </row>
    <row r="18" spans="1:7" x14ac:dyDescent="0.35">
      <c r="A18" t="str">
        <f ca="1"/>
        <v>Harspranget</v>
      </c>
      <c r="B18" s="158">
        <f ca="1">VLOOKUP(A18,Generators!$A$2:$AZ$516,19,FALSE)</f>
        <v>0</v>
      </c>
      <c r="C18" s="124">
        <f ca="1">VLOOKUP(A18,Generators!$A$2:$AZ$516,16,FALSE)</f>
        <v>66.885000000000005</v>
      </c>
      <c r="D18" s="124">
        <f t="shared" ca="1" si="0"/>
        <v>0</v>
      </c>
      <c r="E18" s="158" t="str">
        <f ca="1">IF(VLOOKUP(A18,Generators!$A$2:$AZ$516,20,FALSE)=0,"",VLOOKUP(A18,Generators!$A$2:$AZ$516,20,FALSE))</f>
        <v>Francis</v>
      </c>
      <c r="F18" s="124">
        <f ca="1">IF(VLOOKUP(A18,Generators!$A$2:$AZ$516,17,FALSE)=0,"",VLOOKUP(A18,Generators!$A$2:$AZ$516,17,FALSE))</f>
        <v>19.814800000000002</v>
      </c>
      <c r="G18" s="164" t="str">
        <f t="shared" ca="1" si="1"/>
        <v/>
      </c>
    </row>
    <row r="19" spans="1:7" x14ac:dyDescent="0.35">
      <c r="A19" t="str">
        <f ca="1"/>
        <v>Tonstad (Sira-Kvina)</v>
      </c>
      <c r="B19" s="158">
        <f ca="1">VLOOKUP(A19,Generators!$A$2:$AZ$516,19,FALSE)</f>
        <v>0</v>
      </c>
      <c r="C19" s="124">
        <f ca="1">VLOOKUP(A19,Generators!$A$2:$AZ$516,16,FALSE)</f>
        <v>58.659166999999997</v>
      </c>
      <c r="D19" s="124">
        <f t="shared" ca="1" si="0"/>
        <v>0</v>
      </c>
      <c r="E19" s="158" t="str">
        <f ca="1">IF(VLOOKUP(A19,Generators!$A$2:$AZ$516,20,FALSE)=0,"",VLOOKUP(A19,Generators!$A$2:$AZ$516,20,FALSE))</f>
        <v>francis</v>
      </c>
      <c r="F19" s="124">
        <f ca="1">IF(VLOOKUP(A19,Generators!$A$2:$AZ$516,17,FALSE)=0,"",VLOOKUP(A19,Generators!$A$2:$AZ$516,17,FALSE))</f>
        <v>6.7169439999999998</v>
      </c>
      <c r="G19" s="164" t="str">
        <f t="shared" ca="1" si="1"/>
        <v/>
      </c>
    </row>
    <row r="20" spans="1:7" x14ac:dyDescent="0.35">
      <c r="A20" t="str">
        <f ca="1"/>
        <v>Oriol (Alcantara II)</v>
      </c>
      <c r="B20" s="158">
        <f ca="1">VLOOKUP(A20,Generators!$A$2:$AZ$516,19,FALSE)</f>
        <v>0</v>
      </c>
      <c r="C20" s="124">
        <f ca="1">VLOOKUP(A20,Generators!$A$2:$AZ$516,16,FALSE)</f>
        <v>0</v>
      </c>
      <c r="D20" s="124" t="e">
        <f t="shared" ca="1" si="0"/>
        <v>#DIV/0!</v>
      </c>
      <c r="E20" s="158" t="str">
        <f ca="1">IF(VLOOKUP(A20,Generators!$A$2:$AZ$516,20,FALSE)=0,"",VLOOKUP(A20,Generators!$A$2:$AZ$516,20,FALSE))</f>
        <v>Francis</v>
      </c>
      <c r="F20" s="124" t="str">
        <f ca="1">IF(VLOOKUP(A20,Generators!$A$2:$AZ$516,17,FALSE)=0,"",VLOOKUP(A20,Generators!$A$2:$AZ$516,17,FALSE))</f>
        <v/>
      </c>
      <c r="G20" s="164" t="str">
        <f t="shared" ca="1" si="1"/>
        <v/>
      </c>
    </row>
    <row r="21" spans="1:7" x14ac:dyDescent="0.35">
      <c r="A21" t="str">
        <f ca="1"/>
        <v>Montezic</v>
      </c>
      <c r="B21" s="158">
        <f ca="1">VLOOKUP(A21,Generators!$A$2:$AZ$516,19,FALSE)</f>
        <v>4</v>
      </c>
      <c r="C21" s="124">
        <f ca="1">VLOOKUP(A21,Generators!$A$2:$AZ$516,16,FALSE)</f>
        <v>44.7258</v>
      </c>
      <c r="D21" s="124">
        <f t="shared" ca="1" si="0"/>
        <v>0</v>
      </c>
      <c r="E21" s="158" t="str">
        <f ca="1">IF(VLOOKUP(A21,Generators!$A$2:$AZ$516,20,FALSE)=0,"",VLOOKUP(A21,Generators!$A$2:$AZ$516,20,FALSE))</f>
        <v>Francis</v>
      </c>
      <c r="F21" s="124">
        <f ca="1">IF(VLOOKUP(A21,Generators!$A$2:$AZ$516,17,FALSE)=0,"",VLOOKUP(A21,Generators!$A$2:$AZ$516,17,FALSE))</f>
        <v>2.6488670000000001</v>
      </c>
      <c r="G21" s="164" t="str">
        <f t="shared" ca="1" si="1"/>
        <v/>
      </c>
    </row>
    <row r="22" spans="1:7" x14ac:dyDescent="0.35">
      <c r="A22" t="str">
        <f ca="1"/>
        <v>Kruonis Pumped Storage Plant</v>
      </c>
      <c r="B22" s="158">
        <f ca="1">VLOOKUP(A22,Generators!$A$2:$AZ$516,19,FALSE)</f>
        <v>4</v>
      </c>
      <c r="C22" s="124">
        <f ca="1">VLOOKUP(A22,Generators!$A$2:$AZ$516,16,FALSE)</f>
        <v>54.799076999999997</v>
      </c>
      <c r="D22" s="124">
        <f t="shared" ca="1" si="0"/>
        <v>0</v>
      </c>
      <c r="E22" s="158" t="str">
        <f ca="1">IF(VLOOKUP(A22,Generators!$A$2:$AZ$516,20,FALSE)=0,"",VLOOKUP(A22,Generators!$A$2:$AZ$516,20,FALSE))</f>
        <v>Francis</v>
      </c>
      <c r="F22" s="124">
        <f ca="1">IF(VLOOKUP(A22,Generators!$A$2:$AZ$516,17,FALSE)=0,"",VLOOKUP(A22,Generators!$A$2:$AZ$516,17,FALSE))</f>
        <v>24.247084000000001</v>
      </c>
      <c r="G22" s="164" t="str">
        <f t="shared" ca="1" si="1"/>
        <v/>
      </c>
    </row>
    <row r="23" spans="1:7" x14ac:dyDescent="0.35">
      <c r="A23" t="str">
        <f ca="1"/>
        <v>Pļaviņas</v>
      </c>
      <c r="B23" s="158">
        <f ca="1">VLOOKUP(A23,Generators!$A$2:$AZ$516,19,FALSE)</f>
        <v>0</v>
      </c>
      <c r="C23" s="124">
        <f ca="1">VLOOKUP(A23,Generators!$A$2:$AZ$516,16,FALSE)</f>
        <v>56.576999999999998</v>
      </c>
      <c r="D23" s="124">
        <f t="shared" ca="1" si="0"/>
        <v>0</v>
      </c>
      <c r="E23" s="158" t="str">
        <f ca="1">IF(VLOOKUP(A23,Generators!$A$2:$AZ$516,20,FALSE)=0,"",VLOOKUP(A23,Generators!$A$2:$AZ$516,20,FALSE))</f>
        <v>Francis</v>
      </c>
      <c r="F23" s="124">
        <f ca="1">IF(VLOOKUP(A23,Generators!$A$2:$AZ$516,17,FALSE)=0,"",VLOOKUP(A23,Generators!$A$2:$AZ$516,17,FALSE))</f>
        <v>25.231999999999999</v>
      </c>
      <c r="G23" s="164" t="str">
        <f t="shared" ca="1" si="1"/>
        <v/>
      </c>
    </row>
    <row r="24" spans="1:7" x14ac:dyDescent="0.35">
      <c r="A24" t="str">
        <f ca="1"/>
        <v>Chaira</v>
      </c>
      <c r="B24" s="158">
        <f ca="1">VLOOKUP(A24,Generators!$A$2:$AZ$516,19,FALSE)</f>
        <v>4</v>
      </c>
      <c r="C24" s="124">
        <f ca="1">VLOOKUP(A24,Generators!$A$2:$AZ$516,16,FALSE)</f>
        <v>42.176000000000002</v>
      </c>
      <c r="D24" s="124">
        <f t="shared" ca="1" si="0"/>
        <v>0</v>
      </c>
      <c r="E24" s="158" t="str">
        <f ca="1">IF(VLOOKUP(A24,Generators!$A$2:$AZ$516,20,FALSE)=0,"",VLOOKUP(A24,Generators!$A$2:$AZ$516,20,FALSE))</f>
        <v>Francis</v>
      </c>
      <c r="F24" s="124">
        <f ca="1">IF(VLOOKUP(A24,Generators!$A$2:$AZ$516,17,FALSE)=0,"",VLOOKUP(A24,Generators!$A$2:$AZ$516,17,FALSE))</f>
        <v>23.870844999999999</v>
      </c>
      <c r="G24" s="164" t="str">
        <f t="shared" ca="1" si="1"/>
        <v/>
      </c>
    </row>
    <row r="25" spans="1:7" x14ac:dyDescent="0.35">
      <c r="A25" t="str">
        <f ca="1"/>
        <v>La Muela II</v>
      </c>
      <c r="B25" s="158">
        <f ca="1">VLOOKUP(A25,Generators!$A$2:$AZ$516,19,FALSE)</f>
        <v>4</v>
      </c>
      <c r="C25" s="124">
        <f ca="1">VLOOKUP(A25,Generators!$A$2:$AZ$516,16,FALSE)</f>
        <v>39.26</v>
      </c>
      <c r="D25" s="124">
        <f t="shared" ca="1" si="0"/>
        <v>0</v>
      </c>
      <c r="E25" s="158" t="str">
        <f ca="1">IF(VLOOKUP(A25,Generators!$A$2:$AZ$516,20,FALSE)=0,"",VLOOKUP(A25,Generators!$A$2:$AZ$516,20,FALSE))</f>
        <v>Francis</v>
      </c>
      <c r="F25" s="124">
        <f ca="1">IF(VLOOKUP(A25,Generators!$A$2:$AZ$516,17,FALSE)=0,"",VLOOKUP(A25,Generators!$A$2:$AZ$516,17,FALSE))</f>
        <v>-0.91200000000000003</v>
      </c>
      <c r="G25" s="164" t="str">
        <f t="shared" ca="1" si="1"/>
        <v/>
      </c>
    </row>
    <row r="26" spans="1:7" x14ac:dyDescent="0.35">
      <c r="A26" t="str">
        <f ca="1"/>
        <v>Aurland I</v>
      </c>
      <c r="B26" s="158">
        <f ca="1">VLOOKUP(A26,Generators!$A$2:$AZ$516,19,FALSE)</f>
        <v>0</v>
      </c>
      <c r="C26" s="124">
        <f ca="1">VLOOKUP(A26,Generators!$A$2:$AZ$516,16,FALSE)</f>
        <v>60.861060000000002</v>
      </c>
      <c r="D26" s="124">
        <f t="shared" ca="1" si="0"/>
        <v>0</v>
      </c>
      <c r="E26" s="158" t="str">
        <f ca="1">IF(VLOOKUP(A26,Generators!$A$2:$AZ$516,20,FALSE)=0,"",VLOOKUP(A26,Generators!$A$2:$AZ$516,20,FALSE))</f>
        <v>Pelton</v>
      </c>
      <c r="F26" s="124">
        <f ca="1">IF(VLOOKUP(A26,Generators!$A$2:$AZ$516,17,FALSE)=0,"",VLOOKUP(A26,Generators!$A$2:$AZ$516,17,FALSE))</f>
        <v>7.3044880000000001</v>
      </c>
      <c r="G26" s="164" t="str">
        <f t="shared" ca="1" si="1"/>
        <v/>
      </c>
    </row>
    <row r="27" spans="1:7" x14ac:dyDescent="0.35">
      <c r="A27" t="str">
        <f ca="1"/>
        <v>Almendra (Villarino)</v>
      </c>
      <c r="B27" s="158">
        <f ca="1">VLOOKUP(A27,Generators!$A$2:$AZ$516,19,FALSE)</f>
        <v>6</v>
      </c>
      <c r="C27" s="124">
        <f ca="1">VLOOKUP(A27,Generators!$A$2:$AZ$516,16,FALSE)</f>
        <v>41.270159999999997</v>
      </c>
      <c r="D27" s="124">
        <f t="shared" ca="1" si="0"/>
        <v>0</v>
      </c>
      <c r="E27" s="158" t="str">
        <f ca="1">IF(VLOOKUP(A27,Generators!$A$2:$AZ$516,20,FALSE)=0,"",VLOOKUP(A27,Generators!$A$2:$AZ$516,20,FALSE))</f>
        <v>Francis</v>
      </c>
      <c r="F27" s="124">
        <f ca="1">IF(VLOOKUP(A27,Generators!$A$2:$AZ$516,17,FALSE)=0,"",VLOOKUP(A27,Generators!$A$2:$AZ$516,17,FALSE))</f>
        <v>-6.3208000000000002</v>
      </c>
      <c r="G27" s="164" t="str">
        <f t="shared" ca="1" si="1"/>
        <v/>
      </c>
    </row>
    <row r="28" spans="1:7" x14ac:dyDescent="0.35">
      <c r="A28" t="str">
        <f ca="1"/>
        <v>Super-Bissorte</v>
      </c>
      <c r="B28" s="158">
        <f ca="1">VLOOKUP(A28,Generators!$A$2:$AZ$516,19,FALSE)</f>
        <v>4</v>
      </c>
      <c r="C28" s="124">
        <f ca="1">VLOOKUP(A28,Generators!$A$2:$AZ$516,16,FALSE)</f>
        <v>45.201999999999998</v>
      </c>
      <c r="D28" s="124">
        <f t="shared" ca="1" si="0"/>
        <v>0</v>
      </c>
      <c r="E28" s="158" t="str">
        <f ca="1">IF(VLOOKUP(A28,Generators!$A$2:$AZ$516,20,FALSE)=0,"",VLOOKUP(A28,Generators!$A$2:$AZ$516,20,FALSE))</f>
        <v>4 reversible Francis, 1 Pelton</v>
      </c>
      <c r="F28" s="124">
        <f ca="1">IF(VLOOKUP(A28,Generators!$A$2:$AZ$516,17,FALSE)=0,"",VLOOKUP(A28,Generators!$A$2:$AZ$516,17,FALSE))</f>
        <v>6.5759999999999996</v>
      </c>
      <c r="G28" s="164" t="str">
        <f t="shared" ca="1" si="1"/>
        <v/>
      </c>
    </row>
    <row r="29" spans="1:7" x14ac:dyDescent="0.35">
      <c r="A29" t="str">
        <f ca="1"/>
        <v>Cierny Vah</v>
      </c>
      <c r="B29" s="158">
        <f ca="1">VLOOKUP(A29,Generators!$A$2:$AZ$516,19,FALSE)</f>
        <v>7</v>
      </c>
      <c r="C29" s="124">
        <f ca="1">VLOOKUP(A29,Generators!$A$2:$AZ$516,16,FALSE)</f>
        <v>49.008789999999998</v>
      </c>
      <c r="D29" s="124">
        <f t="shared" ca="1" si="0"/>
        <v>0</v>
      </c>
      <c r="E29" s="158" t="str">
        <f ca="1">IF(VLOOKUP(A29,Generators!$A$2:$AZ$516,20,FALSE)=0,"",VLOOKUP(A29,Generators!$A$2:$AZ$516,20,FALSE))</f>
        <v>6 Francis, 1 Kaplan</v>
      </c>
      <c r="F29" s="124">
        <f ca="1">IF(VLOOKUP(A29,Generators!$A$2:$AZ$516,17,FALSE)=0,"",VLOOKUP(A29,Generators!$A$2:$AZ$516,17,FALSE))</f>
        <v>19.912237000000001</v>
      </c>
      <c r="G29" s="164" t="str">
        <f t="shared" ca="1" si="1"/>
        <v/>
      </c>
    </row>
    <row r="30" spans="1:7" x14ac:dyDescent="0.35">
      <c r="A30" t="str">
        <f ca="1"/>
        <v>Galgenbichl</v>
      </c>
      <c r="B30" s="158">
        <f ca="1">VLOOKUP(A30,Generators!$A$2:$AZ$516,19,FALSE)</f>
        <v>2</v>
      </c>
      <c r="C30" s="124">
        <f ca="1">VLOOKUP(A30,Generators!$A$2:$AZ$516,16,FALSE)</f>
        <v>47.079379000000003</v>
      </c>
      <c r="D30" s="124">
        <f t="shared" ca="1" si="0"/>
        <v>0</v>
      </c>
      <c r="E30" s="158" t="str">
        <f ca="1">IF(VLOOKUP(A30,Generators!$A$2:$AZ$516,20,FALSE)=0,"",VLOOKUP(A30,Generators!$A$2:$AZ$516,20,FALSE))</f>
        <v>Francis</v>
      </c>
      <c r="F30" s="124">
        <f ca="1">IF(VLOOKUP(A30,Generators!$A$2:$AZ$516,17,FALSE)=0,"",VLOOKUP(A30,Generators!$A$2:$AZ$516,17,FALSE))</f>
        <v>13.339188</v>
      </c>
      <c r="G30" s="164" t="str">
        <f t="shared" ca="1" si="1"/>
        <v/>
      </c>
    </row>
    <row r="31" spans="1:7" x14ac:dyDescent="0.35">
      <c r="A31" t="str">
        <f ca="1"/>
        <v>Rottau</v>
      </c>
      <c r="B31" s="158">
        <f ca="1">VLOOKUP(A31,Generators!$A$2:$AZ$516,19,FALSE)</f>
        <v>4</v>
      </c>
      <c r="C31" s="124">
        <f ca="1">VLOOKUP(A31,Generators!$A$2:$AZ$516,16,FALSE)</f>
        <v>46.870327000000003</v>
      </c>
      <c r="D31" s="124">
        <f t="shared" ca="1" si="0"/>
        <v>0</v>
      </c>
      <c r="E31" s="158" t="str">
        <f ca="1">IF(VLOOKUP(A31,Generators!$A$2:$AZ$516,20,FALSE)=0,"",VLOOKUP(A31,Generators!$A$2:$AZ$516,20,FALSE))</f>
        <v>Pelton</v>
      </c>
      <c r="F31" s="124">
        <f ca="1">IF(VLOOKUP(A31,Generators!$A$2:$AZ$516,17,FALSE)=0,"",VLOOKUP(A31,Generators!$A$2:$AZ$516,17,FALSE))</f>
        <v>13.329065999999999</v>
      </c>
      <c r="G31" s="164" t="str">
        <f t="shared" ca="1" si="1"/>
        <v/>
      </c>
    </row>
    <row r="32" spans="1:7" x14ac:dyDescent="0.35">
      <c r="A32" t="str">
        <f ca="1"/>
        <v xml:space="preserve">Reisseck II </v>
      </c>
      <c r="B32" s="158">
        <f ca="1">VLOOKUP(A32,Generators!$A$2:$AZ$516,19,FALSE)</f>
        <v>2</v>
      </c>
      <c r="C32" s="124">
        <f ca="1">VLOOKUP(A32,Generators!$A$2:$AZ$516,16,FALSE)</f>
        <v>46.870327000000003</v>
      </c>
      <c r="D32" s="124">
        <f t="shared" ca="1" si="0"/>
        <v>0</v>
      </c>
      <c r="E32" s="158" t="str">
        <f ca="1">IF(VLOOKUP(A32,Generators!$A$2:$AZ$516,20,FALSE)=0,"",VLOOKUP(A32,Generators!$A$2:$AZ$516,20,FALSE))</f>
        <v>Francis</v>
      </c>
      <c r="F32" s="124">
        <f ca="1">IF(VLOOKUP(A32,Generators!$A$2:$AZ$516,17,FALSE)=0,"",VLOOKUP(A32,Generators!$A$2:$AZ$516,17,FALSE))</f>
        <v>13.329065999999999</v>
      </c>
      <c r="G32" s="164" t="str">
        <f t="shared" ca="1" si="1"/>
        <v/>
      </c>
    </row>
    <row r="33" spans="1:7" x14ac:dyDescent="0.35">
      <c r="A33" t="str">
        <f ca="1"/>
        <v>Revin Pumped Storage</v>
      </c>
      <c r="B33" s="158">
        <f ca="1">VLOOKUP(A33,Generators!$A$2:$AZ$516,19,FALSE)</f>
        <v>4</v>
      </c>
      <c r="C33" s="124">
        <f ca="1">VLOOKUP(A33,Generators!$A$2:$AZ$516,16,FALSE)</f>
        <v>49.925556</v>
      </c>
      <c r="D33" s="124">
        <f t="shared" ca="1" si="0"/>
        <v>0</v>
      </c>
      <c r="E33" s="158" t="str">
        <f ca="1">IF(VLOOKUP(A33,Generators!$A$2:$AZ$516,20,FALSE)=0,"",VLOOKUP(A33,Generators!$A$2:$AZ$516,20,FALSE))</f>
        <v>Francis</v>
      </c>
      <c r="F33" s="124">
        <f ca="1">IF(VLOOKUP(A33,Generators!$A$2:$AZ$516,17,FALSE)=0,"",VLOOKUP(A33,Generators!$A$2:$AZ$516,17,FALSE))</f>
        <v>4.6133329999999999</v>
      </c>
      <c r="G33" s="164" t="str">
        <f t="shared" ca="1" si="1"/>
        <v/>
      </c>
    </row>
    <row r="34" spans="1:7" x14ac:dyDescent="0.35">
      <c r="A34" t="str">
        <f ca="1"/>
        <v>Gabcikovo (Nagymaros Dams)</v>
      </c>
      <c r="B34" s="158">
        <f ca="1">VLOOKUP(A34,Generators!$A$2:$AZ$516,19,FALSE)</f>
        <v>0</v>
      </c>
      <c r="C34" s="124">
        <f ca="1">VLOOKUP(A34,Generators!$A$2:$AZ$516,16,FALSE)</f>
        <v>47.880088600000001</v>
      </c>
      <c r="D34" s="124">
        <f t="shared" ca="1" si="0"/>
        <v>0</v>
      </c>
      <c r="E34" s="158" t="str">
        <f ca="1">IF(VLOOKUP(A34,Generators!$A$2:$AZ$516,20,FALSE)=0,"",VLOOKUP(A34,Generators!$A$2:$AZ$516,20,FALSE))</f>
        <v>Kaplan</v>
      </c>
      <c r="F34" s="124">
        <f ca="1">IF(VLOOKUP(A34,Generators!$A$2:$AZ$516,17,FALSE)=0,"",VLOOKUP(A34,Generators!$A$2:$AZ$516,17,FALSE))</f>
        <v>17.5385141</v>
      </c>
      <c r="G34" s="164" t="str">
        <f t="shared" ca="1" si="1"/>
        <v/>
      </c>
    </row>
    <row r="35" spans="1:7" x14ac:dyDescent="0.35">
      <c r="A35" t="str">
        <f ca="1"/>
        <v>Zarnowiec</v>
      </c>
      <c r="B35" s="158">
        <f ca="1">VLOOKUP(A35,Generators!$A$2:$AZ$516,19,FALSE)</f>
        <v>4</v>
      </c>
      <c r="C35" s="124">
        <f ca="1">VLOOKUP(A35,Generators!$A$2:$AZ$516,16,FALSE)</f>
        <v>54.722271999999997</v>
      </c>
      <c r="D35" s="124">
        <f t="shared" ca="1" si="0"/>
        <v>0</v>
      </c>
      <c r="E35" s="158" t="str">
        <f ca="1">IF(VLOOKUP(A35,Generators!$A$2:$AZ$516,20,FALSE)=0,"",VLOOKUP(A35,Generators!$A$2:$AZ$516,20,FALSE))</f>
        <v>Francis</v>
      </c>
      <c r="F35" s="124">
        <f ca="1">IF(VLOOKUP(A35,Generators!$A$2:$AZ$516,17,FALSE)=0,"",VLOOKUP(A35,Generators!$A$2:$AZ$516,17,FALSE))</f>
        <v>18.082356000000001</v>
      </c>
      <c r="G35" s="164" t="str">
        <f t="shared" ca="1" si="1"/>
        <v/>
      </c>
    </row>
    <row r="36" spans="1:7" x14ac:dyDescent="0.35">
      <c r="A36" t="str">
        <f ca="1"/>
        <v>Saurdal</v>
      </c>
      <c r="B36" s="158">
        <f ca="1">VLOOKUP(A36,Generators!$A$2:$AZ$516,19,FALSE)</f>
        <v>4</v>
      </c>
      <c r="C36" s="124">
        <f ca="1">VLOOKUP(A36,Generators!$A$2:$AZ$516,16,FALSE)</f>
        <v>0</v>
      </c>
      <c r="D36" s="124" t="e">
        <f t="shared" ca="1" si="0"/>
        <v>#DIV/0!</v>
      </c>
      <c r="E36" s="158" t="str">
        <f ca="1">IF(VLOOKUP(A36,Generators!$A$2:$AZ$516,20,FALSE)=0,"",VLOOKUP(A36,Generators!$A$2:$AZ$516,20,FALSE))</f>
        <v>Francis</v>
      </c>
      <c r="F36" s="124" t="str">
        <f ca="1">IF(VLOOKUP(A36,Generators!$A$2:$AZ$516,17,FALSE)=0,"",VLOOKUP(A36,Generators!$A$2:$AZ$516,17,FALSE))</f>
        <v/>
      </c>
      <c r="G36" s="164" t="str">
        <f t="shared" ca="1" si="1"/>
        <v/>
      </c>
    </row>
    <row r="37" spans="1:7" x14ac:dyDescent="0.35">
      <c r="A37" t="str">
        <f ca="1"/>
        <v>Alto Lindoso Dam</v>
      </c>
      <c r="B37" s="158">
        <f ca="1">VLOOKUP(A37,Generators!$A$2:$AZ$516,19,FALSE)</f>
        <v>2</v>
      </c>
      <c r="C37" s="124">
        <f ca="1">VLOOKUP(A37,Generators!$A$2:$AZ$516,16,FALSE)</f>
        <v>41.872835000000002</v>
      </c>
      <c r="D37" s="124">
        <f t="shared" ca="1" si="0"/>
        <v>0</v>
      </c>
      <c r="E37" s="158" t="str">
        <f ca="1">IF(VLOOKUP(A37,Generators!$A$2:$AZ$516,20,FALSE)=0,"",VLOOKUP(A37,Generators!$A$2:$AZ$516,20,FALSE))</f>
        <v>Francis</v>
      </c>
      <c r="F37" s="124">
        <f ca="1">IF(VLOOKUP(A37,Generators!$A$2:$AZ$516,17,FALSE)=0,"",VLOOKUP(A37,Generators!$A$2:$AZ$516,17,FALSE))</f>
        <v>8.2040749999999996</v>
      </c>
      <c r="G37" s="164" t="str">
        <f t="shared" ca="1" si="1"/>
        <v/>
      </c>
    </row>
    <row r="38" spans="1:7" x14ac:dyDescent="0.35">
      <c r="A38" t="str">
        <f ca="1"/>
        <v>La Muela I</v>
      </c>
      <c r="B38" s="158">
        <f ca="1">VLOOKUP(A38,Generators!$A$2:$AZ$516,19,FALSE)</f>
        <v>4</v>
      </c>
      <c r="C38" s="124">
        <f ca="1">VLOOKUP(A38,Generators!$A$2:$AZ$516,16,FALSE)</f>
        <v>39.26</v>
      </c>
      <c r="D38" s="124">
        <f t="shared" ca="1" si="0"/>
        <v>0</v>
      </c>
      <c r="E38" s="158" t="str">
        <f ca="1">IF(VLOOKUP(A38,Generators!$A$2:$AZ$516,20,FALSE)=0,"",VLOOKUP(A38,Generators!$A$2:$AZ$516,20,FALSE))</f>
        <v>Francis</v>
      </c>
      <c r="F38" s="124">
        <f ca="1">IF(VLOOKUP(A38,Generators!$A$2:$AZ$516,17,FALSE)=0,"",VLOOKUP(A38,Generators!$A$2:$AZ$516,17,FALSE))</f>
        <v>-0.91200000000000003</v>
      </c>
      <c r="G38" s="164" t="str">
        <f t="shared" ca="1" si="1"/>
        <v/>
      </c>
    </row>
    <row r="39" spans="1:7" x14ac:dyDescent="0.35">
      <c r="A39" t="str">
        <f ca="1"/>
        <v>Dlouhe Strane</v>
      </c>
      <c r="B39" s="158">
        <f ca="1">VLOOKUP(A39,Generators!$A$2:$AZ$516,19,FALSE)</f>
        <v>2</v>
      </c>
      <c r="C39" s="124">
        <f ca="1">VLOOKUP(A39,Generators!$A$2:$AZ$516,16,FALSE)</f>
        <v>50.084297999999997</v>
      </c>
      <c r="D39" s="124">
        <f t="shared" ca="1" si="0"/>
        <v>0</v>
      </c>
      <c r="E39" s="158" t="str">
        <f ca="1">IF(VLOOKUP(A39,Generators!$A$2:$AZ$516,20,FALSE)=0,"",VLOOKUP(A39,Generators!$A$2:$AZ$516,20,FALSE))</f>
        <v>Francis</v>
      </c>
      <c r="F39" s="124">
        <f ca="1">IF(VLOOKUP(A39,Generators!$A$2:$AZ$516,17,FALSE)=0,"",VLOOKUP(A39,Generators!$A$2:$AZ$516,17,FALSE))</f>
        <v>17.181028999999999</v>
      </c>
      <c r="G39" s="164" t="str">
        <f t="shared" ca="1" si="1"/>
        <v/>
      </c>
    </row>
    <row r="40" spans="1:7" x14ac:dyDescent="0.35">
      <c r="A40" t="str">
        <f ca="1"/>
        <v>Svartisen</v>
      </c>
      <c r="B40" s="158">
        <f ca="1">VLOOKUP(A40,Generators!$A$2:$AZ$516,19,FALSE)</f>
        <v>0</v>
      </c>
      <c r="C40" s="124">
        <f ca="1">VLOOKUP(A40,Generators!$A$2:$AZ$516,16,FALSE)</f>
        <v>0</v>
      </c>
      <c r="D40" s="124" t="e">
        <f t="shared" ca="1" si="0"/>
        <v>#DIV/0!</v>
      </c>
      <c r="E40" s="158" t="str">
        <f ca="1">IF(VLOOKUP(A40,Generators!$A$2:$AZ$516,20,FALSE)=0,"",VLOOKUP(A40,Generators!$A$2:$AZ$516,20,FALSE))</f>
        <v>Francis</v>
      </c>
      <c r="F40" s="124" t="str">
        <f ca="1">IF(VLOOKUP(A40,Generators!$A$2:$AZ$516,17,FALSE)=0,"",VLOOKUP(A40,Generators!$A$2:$AZ$516,17,FALSE))</f>
        <v/>
      </c>
      <c r="G40" s="164" t="str">
        <f t="shared" ca="1" si="1"/>
        <v/>
      </c>
    </row>
    <row r="41" spans="1:7" x14ac:dyDescent="0.35">
      <c r="A41" t="str">
        <f ca="1"/>
        <v>Stornorrfors</v>
      </c>
      <c r="B41" s="158">
        <f ca="1">VLOOKUP(A41,Generators!$A$2:$AZ$516,19,FALSE)</f>
        <v>0</v>
      </c>
      <c r="C41" s="124">
        <f ca="1">VLOOKUP(A41,Generators!$A$2:$AZ$516,16,FALSE)</f>
        <v>63.78</v>
      </c>
      <c r="D41" s="124">
        <f t="shared" ca="1" si="0"/>
        <v>0</v>
      </c>
      <c r="E41" s="158" t="str">
        <f ca="1">IF(VLOOKUP(A41,Generators!$A$2:$AZ$516,20,FALSE)=0,"",VLOOKUP(A41,Generators!$A$2:$AZ$516,20,FALSE))</f>
        <v>Francis</v>
      </c>
      <c r="F41" s="124">
        <f ca="1">IF(VLOOKUP(A41,Generators!$A$2:$AZ$516,17,FALSE)=0,"",VLOOKUP(A41,Generators!$A$2:$AZ$516,17,FALSE))</f>
        <v>20.302</v>
      </c>
      <c r="G41" s="164" t="str">
        <f t="shared" ca="1" si="1"/>
        <v/>
      </c>
    </row>
    <row r="42" spans="1:7" x14ac:dyDescent="0.35">
      <c r="A42" t="str">
        <f ca="1"/>
        <v>Limberg I II</v>
      </c>
      <c r="B42" s="158">
        <f ca="1">VLOOKUP(A42,Generators!$A$2:$AZ$516,19,FALSE)</f>
        <v>4</v>
      </c>
      <c r="C42" s="124">
        <f ca="1">VLOOKUP(A42,Generators!$A$2:$AZ$516,16,FALSE)</f>
        <v>0</v>
      </c>
      <c r="D42" s="124" t="e">
        <f t="shared" ca="1" si="0"/>
        <v>#DIV/0!</v>
      </c>
      <c r="E42" s="158" t="str">
        <f ca="1">IF(VLOOKUP(A42,Generators!$A$2:$AZ$516,20,FALSE)=0,"",VLOOKUP(A42,Generators!$A$2:$AZ$516,20,FALSE))</f>
        <v>Francis</v>
      </c>
      <c r="F42" s="124" t="str">
        <f ca="1">IF(VLOOKUP(A42,Generators!$A$2:$AZ$516,17,FALSE)=0,"",VLOOKUP(A42,Generators!$A$2:$AZ$516,17,FALSE))</f>
        <v/>
      </c>
      <c r="G42" s="164" t="str">
        <f t="shared" ca="1" si="1"/>
        <v/>
      </c>
    </row>
    <row r="43" spans="1:7" x14ac:dyDescent="0.35">
      <c r="A43" t="str">
        <f ca="1"/>
        <v>San Fiorano</v>
      </c>
      <c r="B43" s="158">
        <f ca="1">VLOOKUP(A43,Generators!$A$2:$AZ$516,19,FALSE)</f>
        <v>2</v>
      </c>
      <c r="C43" s="124">
        <f ca="1">VLOOKUP(A43,Generators!$A$2:$AZ$516,16,FALSE)</f>
        <v>46.044199999999996</v>
      </c>
      <c r="D43" s="124">
        <f t="shared" ca="1" si="0"/>
        <v>0</v>
      </c>
      <c r="E43" s="158" t="str">
        <f ca="1">IF(VLOOKUP(A43,Generators!$A$2:$AZ$516,20,FALSE)=0,"",VLOOKUP(A43,Generators!$A$2:$AZ$516,20,FALSE))</f>
        <v>Pelton</v>
      </c>
      <c r="F43" s="124">
        <f ca="1">IF(VLOOKUP(A43,Generators!$A$2:$AZ$516,17,FALSE)=0,"",VLOOKUP(A43,Generators!$A$2:$AZ$516,17,FALSE))</f>
        <v>10.3521</v>
      </c>
      <c r="G43" s="164" t="str">
        <f t="shared" ca="1" si="1"/>
        <v/>
      </c>
    </row>
    <row r="44" spans="1:7" x14ac:dyDescent="0.35">
      <c r="A44" t="str">
        <f ca="1"/>
        <v>La Bathie</v>
      </c>
      <c r="B44" s="158">
        <f ca="1">VLOOKUP(A44,Generators!$A$2:$AZ$516,19,FALSE)</f>
        <v>0</v>
      </c>
      <c r="C44" s="124">
        <f ca="1">VLOOKUP(A44,Generators!$A$2:$AZ$516,16,FALSE)</f>
        <v>0</v>
      </c>
      <c r="D44" s="124" t="e">
        <f t="shared" ca="1" si="0"/>
        <v>#DIV/0!</v>
      </c>
      <c r="E44" s="158" t="str">
        <f ca="1">IF(VLOOKUP(A44,Generators!$A$2:$AZ$516,20,FALSE)=0,"",VLOOKUP(A44,Generators!$A$2:$AZ$516,20,FALSE))</f>
        <v>Pelton</v>
      </c>
      <c r="F44" s="124" t="str">
        <f ca="1">IF(VLOOKUP(A44,Generators!$A$2:$AZ$516,17,FALSE)=0,"",VLOOKUP(A44,Generators!$A$2:$AZ$516,17,FALSE))</f>
        <v/>
      </c>
      <c r="G44" s="164" t="str">
        <f t="shared" ca="1" si="1"/>
        <v/>
      </c>
    </row>
    <row r="45" spans="1:7" x14ac:dyDescent="0.35">
      <c r="A45" t="str">
        <f ca="1"/>
        <v>Kops II</v>
      </c>
      <c r="B45" s="158">
        <f ca="1">VLOOKUP(A45,Generators!$A$2:$AZ$516,19,FALSE)</f>
        <v>3</v>
      </c>
      <c r="C45" s="124">
        <f ca="1">VLOOKUP(A45,Generators!$A$2:$AZ$516,16,FALSE)</f>
        <v>46.975805000000001</v>
      </c>
      <c r="D45" s="124">
        <f t="shared" ca="1" si="0"/>
        <v>0</v>
      </c>
      <c r="E45" s="158" t="str">
        <f ca="1">IF(VLOOKUP(A45,Generators!$A$2:$AZ$516,20,FALSE)=0,"",VLOOKUP(A45,Generators!$A$2:$AZ$516,20,FALSE))</f>
        <v>3 Pelton turbines + 3 pumps</v>
      </c>
      <c r="F45" s="124">
        <f ca="1">IF(VLOOKUP(A45,Generators!$A$2:$AZ$516,17,FALSE)=0,"",VLOOKUP(A45,Generators!$A$2:$AZ$516,17,FALSE))</f>
        <v>10.043101999999999</v>
      </c>
      <c r="G45" s="164" t="str">
        <f t="shared" ca="1" si="1"/>
        <v/>
      </c>
    </row>
    <row r="46" spans="1:7" x14ac:dyDescent="0.35">
      <c r="A46" t="str">
        <f ca="1"/>
        <v>Saucelle</v>
      </c>
      <c r="B46" s="158">
        <f ca="1">VLOOKUP(A46,Generators!$A$2:$AZ$516,19,FALSE)</f>
        <v>0</v>
      </c>
      <c r="C46" s="124">
        <f ca="1">VLOOKUP(A46,Generators!$A$2:$AZ$516,16,FALSE)</f>
        <v>41.047618999999997</v>
      </c>
      <c r="D46" s="124">
        <f t="shared" ca="1" si="0"/>
        <v>0</v>
      </c>
      <c r="E46" s="158" t="str">
        <f ca="1">IF(VLOOKUP(A46,Generators!$A$2:$AZ$516,20,FALSE)=0,"",VLOOKUP(A46,Generators!$A$2:$AZ$516,20,FALSE))</f>
        <v>Francis</v>
      </c>
      <c r="F46" s="124">
        <f ca="1">IF(VLOOKUP(A46,Generators!$A$2:$AZ$516,17,FALSE)=0,"",VLOOKUP(A46,Generators!$A$2:$AZ$516,17,FALSE))</f>
        <v>-6.8040250000000002</v>
      </c>
      <c r="G46" s="164" t="str">
        <f t="shared" ca="1" si="1"/>
        <v/>
      </c>
    </row>
    <row r="47" spans="1:7" x14ac:dyDescent="0.35">
      <c r="A47" t="str">
        <f ca="1"/>
        <v>Alqueva I II</v>
      </c>
      <c r="B47" s="158">
        <f ca="1">VLOOKUP(A47,Generators!$A$2:$AZ$516,19,FALSE)</f>
        <v>4</v>
      </c>
      <c r="C47" s="124">
        <f ca="1">VLOOKUP(A47,Generators!$A$2:$AZ$516,16,FALSE)</f>
        <v>38.195562000000002</v>
      </c>
      <c r="D47" s="124">
        <f t="shared" ca="1" si="0"/>
        <v>0</v>
      </c>
      <c r="E47" s="158" t="str">
        <f ca="1">IF(VLOOKUP(A47,Generators!$A$2:$AZ$516,20,FALSE)=0,"",VLOOKUP(A47,Generators!$A$2:$AZ$516,20,FALSE))</f>
        <v>Francis</v>
      </c>
      <c r="F47" s="124">
        <f ca="1">IF(VLOOKUP(A47,Generators!$A$2:$AZ$516,17,FALSE)=0,"",VLOOKUP(A47,Generators!$A$2:$AZ$516,17,FALSE))</f>
        <v>-7.4977080000000003</v>
      </c>
      <c r="G47" s="164" t="str">
        <f t="shared" ca="1" si="1"/>
        <v/>
      </c>
    </row>
    <row r="48" spans="1:7" x14ac:dyDescent="0.35">
      <c r="A48" t="str">
        <f ca="1"/>
        <v>Ciunget</v>
      </c>
      <c r="B48" s="158">
        <f ca="1">VLOOKUP(A48,Generators!$A$2:$AZ$516,19,FALSE)</f>
        <v>0</v>
      </c>
      <c r="C48" s="124">
        <f ca="1">VLOOKUP(A48,Generators!$A$2:$AZ$516,16,FALSE)</f>
        <v>45.447004999999997</v>
      </c>
      <c r="D48" s="124">
        <f t="shared" ca="1" si="0"/>
        <v>0</v>
      </c>
      <c r="E48" s="158" t="str">
        <f ca="1">IF(VLOOKUP(A48,Generators!$A$2:$AZ$516,20,FALSE)=0,"",VLOOKUP(A48,Generators!$A$2:$AZ$516,20,FALSE))</f>
        <v>Pelton</v>
      </c>
      <c r="F48" s="124">
        <f ca="1">IF(VLOOKUP(A48,Generators!$A$2:$AZ$516,17,FALSE)=0,"",VLOOKUP(A48,Generators!$A$2:$AZ$516,17,FALSE))</f>
        <v>23.768191000000002</v>
      </c>
      <c r="G48" s="164" t="str">
        <f t="shared" ca="1" si="1"/>
        <v/>
      </c>
    </row>
    <row r="49" spans="1:7" x14ac:dyDescent="0.35">
      <c r="A49" t="str">
        <f ca="1"/>
        <v>Silz</v>
      </c>
      <c r="B49" s="158">
        <f ca="1">VLOOKUP(A49,Generators!$A$2:$AZ$516,19,FALSE)</f>
        <v>0</v>
      </c>
      <c r="C49" s="124">
        <f ca="1">VLOOKUP(A49,Generators!$A$2:$AZ$516,16,FALSE)</f>
        <v>47.269798000000002</v>
      </c>
      <c r="D49" s="124">
        <f t="shared" ca="1" si="0"/>
        <v>0</v>
      </c>
      <c r="E49" s="158" t="str">
        <f ca="1">IF(VLOOKUP(A49,Generators!$A$2:$AZ$516,20,FALSE)=0,"",VLOOKUP(A49,Generators!$A$2:$AZ$516,20,FALSE))</f>
        <v>Pelton</v>
      </c>
      <c r="F49" s="124">
        <f ca="1">IF(VLOOKUP(A49,Generators!$A$2:$AZ$516,17,FALSE)=0,"",VLOOKUP(A49,Generators!$A$2:$AZ$516,17,FALSE))</f>
        <v>10.967834</v>
      </c>
      <c r="G49" s="164" t="str">
        <f t="shared" ca="1" si="1"/>
        <v/>
      </c>
    </row>
    <row r="50" spans="1:7" x14ac:dyDescent="0.35">
      <c r="A50" t="str">
        <f ca="1"/>
        <v>Anapo</v>
      </c>
      <c r="B50" s="158">
        <f ca="1">VLOOKUP(A50,Generators!$A$2:$AZ$516,19,FALSE)</f>
        <v>4</v>
      </c>
      <c r="C50" s="124">
        <f ca="1">VLOOKUP(A50,Generators!$A$2:$AZ$516,16,FALSE)</f>
        <v>37.118299999999998</v>
      </c>
      <c r="D50" s="124">
        <f t="shared" ca="1" si="0"/>
        <v>0</v>
      </c>
      <c r="E50" s="158" t="str">
        <f ca="1">IF(VLOOKUP(A50,Generators!$A$2:$AZ$516,20,FALSE)=0,"",VLOOKUP(A50,Generators!$A$2:$AZ$516,20,FALSE))</f>
        <v>?</v>
      </c>
      <c r="F50" s="124">
        <f ca="1">IF(VLOOKUP(A50,Generators!$A$2:$AZ$516,17,FALSE)=0,"",VLOOKUP(A50,Generators!$A$2:$AZ$516,17,FALSE))</f>
        <v>15.1394</v>
      </c>
      <c r="G50" s="164" t="str">
        <f t="shared" ca="1" si="1"/>
        <v/>
      </c>
    </row>
    <row r="51" spans="1:7" x14ac:dyDescent="0.35">
      <c r="A51" t="str">
        <f ca="1"/>
        <v>Porabka-zar</v>
      </c>
      <c r="B51" s="158">
        <f ca="1">VLOOKUP(A51,Generators!$A$2:$AZ$516,19,FALSE)</f>
        <v>4</v>
      </c>
      <c r="C51" s="124">
        <f ca="1">VLOOKUP(A51,Generators!$A$2:$AZ$516,16,FALSE)</f>
        <v>49.780391000000002</v>
      </c>
      <c r="D51" s="124">
        <f t="shared" ca="1" si="0"/>
        <v>0</v>
      </c>
      <c r="E51" s="158" t="str">
        <f ca="1">IF(VLOOKUP(A51,Generators!$A$2:$AZ$516,20,FALSE)=0,"",VLOOKUP(A51,Generators!$A$2:$AZ$516,20,FALSE))</f>
        <v>Francis</v>
      </c>
      <c r="F51" s="124">
        <f ca="1">IF(VLOOKUP(A51,Generators!$A$2:$AZ$516,17,FALSE)=0,"",VLOOKUP(A51,Generators!$A$2:$AZ$516,17,FALSE))</f>
        <v>19.211573000000001</v>
      </c>
      <c r="G51" s="164" t="str">
        <f t="shared" ca="1" si="1"/>
        <v/>
      </c>
    </row>
    <row r="52" spans="1:7" x14ac:dyDescent="0.35">
      <c r="A52" t="str">
        <f ca="1"/>
        <v>Rodundwerk I II</v>
      </c>
      <c r="B52" s="158">
        <f ca="1">VLOOKUP(A52,Generators!$A$2:$AZ$516,19,FALSE)</f>
        <v>5</v>
      </c>
      <c r="C52" s="124">
        <f ca="1">VLOOKUP(A52,Generators!$A$2:$AZ$516,16,FALSE)</f>
        <v>47.112000000000002</v>
      </c>
      <c r="D52" s="124">
        <f t="shared" ca="1" si="0"/>
        <v>0</v>
      </c>
      <c r="E52" s="158" t="str">
        <f ca="1">IF(VLOOKUP(A52,Generators!$A$2:$AZ$516,20,FALSE)=0,"",VLOOKUP(A52,Generators!$A$2:$AZ$516,20,FALSE))</f>
        <v>Francis</v>
      </c>
      <c r="F52" s="124">
        <f ca="1">IF(VLOOKUP(A52,Generators!$A$2:$AZ$516,17,FALSE)=0,"",VLOOKUP(A52,Generators!$A$2:$AZ$516,17,FALSE))</f>
        <v>9.8719999999999999</v>
      </c>
      <c r="G52" s="164" t="str">
        <f t="shared" ca="1" si="1"/>
        <v/>
      </c>
    </row>
    <row r="53" spans="1:7" x14ac:dyDescent="0.35">
      <c r="A53" t="str">
        <f ca="1"/>
        <v xml:space="preserve">Zakucac </v>
      </c>
      <c r="B53" s="158">
        <f ca="1">VLOOKUP(A53,Generators!$A$2:$AZ$516,19,FALSE)</f>
        <v>0</v>
      </c>
      <c r="C53" s="124">
        <f ca="1">VLOOKUP(A53,Generators!$A$2:$AZ$516,16,FALSE)</f>
        <v>43.458100000000002</v>
      </c>
      <c r="D53" s="124">
        <f t="shared" ca="1" si="0"/>
        <v>0</v>
      </c>
      <c r="E53" s="158" t="str">
        <f ca="1">IF(VLOOKUP(A53,Generators!$A$2:$AZ$516,20,FALSE)=0,"",VLOOKUP(A53,Generators!$A$2:$AZ$516,20,FALSE))</f>
        <v>Francis</v>
      </c>
      <c r="F53" s="124">
        <f ca="1">IF(VLOOKUP(A53,Generators!$A$2:$AZ$516,17,FALSE)=0,"",VLOOKUP(A53,Generators!$A$2:$AZ$516,17,FALSE))</f>
        <v>16.7027</v>
      </c>
      <c r="G53" s="164" t="str">
        <f t="shared" ca="1" si="1"/>
        <v/>
      </c>
    </row>
    <row r="54" spans="1:7" x14ac:dyDescent="0.35">
      <c r="A54" t="str">
        <f ca="1"/>
        <v>Rana</v>
      </c>
      <c r="B54" s="158">
        <f ca="1">VLOOKUP(A54,Generators!$A$2:$AZ$516,19,FALSE)</f>
        <v>0</v>
      </c>
      <c r="C54" s="124">
        <f ca="1">VLOOKUP(A54,Generators!$A$2:$AZ$516,16,FALSE)</f>
        <v>0</v>
      </c>
      <c r="D54" s="124" t="e">
        <f t="shared" ca="1" si="0"/>
        <v>#DIV/0!</v>
      </c>
      <c r="E54" s="158" t="str">
        <f ca="1">IF(VLOOKUP(A54,Generators!$A$2:$AZ$516,20,FALSE)=0,"",VLOOKUP(A54,Generators!$A$2:$AZ$516,20,FALSE))</f>
        <v>Francis</v>
      </c>
      <c r="F54" s="124" t="str">
        <f ca="1">IF(VLOOKUP(A54,Generators!$A$2:$AZ$516,17,FALSE)=0,"",VLOOKUP(A54,Generators!$A$2:$AZ$516,17,FALSE))</f>
        <v/>
      </c>
      <c r="G54" s="164" t="str">
        <f t="shared" ca="1" si="1"/>
        <v/>
      </c>
    </row>
    <row r="55" spans="1:7" x14ac:dyDescent="0.35">
      <c r="A55" t="str">
        <f ca="1"/>
        <v>Waldeck II</v>
      </c>
      <c r="B55" s="158">
        <f ca="1">VLOOKUP(A55,Generators!$A$2:$AZ$516,19,FALSE)</f>
        <v>2</v>
      </c>
      <c r="C55" s="124">
        <f ca="1">VLOOKUP(A55,Generators!$A$2:$AZ$516,16,FALSE)</f>
        <v>51.182000000000002</v>
      </c>
      <c r="D55" s="124">
        <f t="shared" ca="1" si="0"/>
        <v>0</v>
      </c>
      <c r="E55" s="158" t="str">
        <f ca="1">IF(VLOOKUP(A55,Generators!$A$2:$AZ$516,20,FALSE)=0,"",VLOOKUP(A55,Generators!$A$2:$AZ$516,20,FALSE))</f>
        <v>Francis</v>
      </c>
      <c r="F55" s="124">
        <f ca="1">IF(VLOOKUP(A55,Generators!$A$2:$AZ$516,17,FALSE)=0,"",VLOOKUP(A55,Generators!$A$2:$AZ$516,17,FALSE))</f>
        <v>9.06</v>
      </c>
      <c r="G55" s="164" t="str">
        <f t="shared" ca="1" si="1"/>
        <v/>
      </c>
    </row>
    <row r="56" spans="1:7" x14ac:dyDescent="0.35">
      <c r="A56" t="str">
        <f ca="1"/>
        <v>Cedillo</v>
      </c>
      <c r="B56" s="158">
        <f ca="1">VLOOKUP(A56,Generators!$A$2:$AZ$516,19,FALSE)</f>
        <v>0</v>
      </c>
      <c r="C56" s="124">
        <f ca="1">VLOOKUP(A56,Generators!$A$2:$AZ$516,16,FALSE)</f>
        <v>0</v>
      </c>
      <c r="D56" s="124" t="e">
        <f t="shared" ca="1" si="0"/>
        <v>#DIV/0!</v>
      </c>
      <c r="E56" s="158" t="str">
        <f ca="1">IF(VLOOKUP(A56,Generators!$A$2:$AZ$516,20,FALSE)=0,"",VLOOKUP(A56,Generators!$A$2:$AZ$516,20,FALSE))</f>
        <v/>
      </c>
      <c r="F56" s="124" t="str">
        <f ca="1">IF(VLOOKUP(A56,Generators!$A$2:$AZ$516,17,FALSE)=0,"",VLOOKUP(A56,Generators!$A$2:$AZ$516,17,FALSE))</f>
        <v/>
      </c>
      <c r="G56" s="164" t="str">
        <f t="shared" ca="1" si="1"/>
        <v/>
      </c>
    </row>
    <row r="57" spans="1:7" x14ac:dyDescent="0.35">
      <c r="A57" t="str">
        <f ca="1"/>
        <v>Porjus</v>
      </c>
      <c r="B57" s="158">
        <f ca="1">VLOOKUP(A57,Generators!$A$2:$AZ$516,19,FALSE)</f>
        <v>0</v>
      </c>
      <c r="C57" s="124">
        <f ca="1">VLOOKUP(A57,Generators!$A$2:$AZ$516,16,FALSE)</f>
        <v>66.954280999999995</v>
      </c>
      <c r="D57" s="124">
        <f t="shared" ca="1" si="0"/>
        <v>0</v>
      </c>
      <c r="E57" s="158" t="str">
        <f ca="1">IF(VLOOKUP(A57,Generators!$A$2:$AZ$516,20,FALSE)=0,"",VLOOKUP(A57,Generators!$A$2:$AZ$516,20,FALSE))</f>
        <v>Francis</v>
      </c>
      <c r="F57" s="124">
        <f ca="1">IF(VLOOKUP(A57,Generators!$A$2:$AZ$516,17,FALSE)=0,"",VLOOKUP(A57,Generators!$A$2:$AZ$516,17,FALSE))</f>
        <v>19.796075999999999</v>
      </c>
      <c r="G57" s="164" t="str">
        <f t="shared" ca="1" si="1"/>
        <v/>
      </c>
    </row>
    <row r="58" spans="1:7" x14ac:dyDescent="0.35">
      <c r="A58" t="str">
        <f ca="1"/>
        <v>Messaure</v>
      </c>
      <c r="B58" s="158">
        <f ca="1">VLOOKUP(A58,Generators!$A$2:$AZ$516,19,FALSE)</f>
        <v>0</v>
      </c>
      <c r="C58" s="124">
        <f ca="1">VLOOKUP(A58,Generators!$A$2:$AZ$516,16,FALSE)</f>
        <v>66.679000000000002</v>
      </c>
      <c r="D58" s="124">
        <f t="shared" ca="1" si="0"/>
        <v>0</v>
      </c>
      <c r="E58" s="158" t="str">
        <f ca="1">IF(VLOOKUP(A58,Generators!$A$2:$AZ$516,20,FALSE)=0,"",VLOOKUP(A58,Generators!$A$2:$AZ$516,20,FALSE))</f>
        <v>Francis</v>
      </c>
      <c r="F58" s="124">
        <f ca="1">IF(VLOOKUP(A58,Generators!$A$2:$AZ$516,17,FALSE)=0,"",VLOOKUP(A58,Generators!$A$2:$AZ$516,17,FALSE))</f>
        <v>20.323</v>
      </c>
      <c r="G58" s="164" t="str">
        <f t="shared" ca="1" si="1"/>
        <v/>
      </c>
    </row>
    <row r="59" spans="1:7" x14ac:dyDescent="0.35">
      <c r="A59" t="str">
        <f ca="1"/>
        <v>Cheylas</v>
      </c>
      <c r="B59" s="158">
        <f ca="1">VLOOKUP(A59,Generators!$A$2:$AZ$516,19,FALSE)</f>
        <v>2</v>
      </c>
      <c r="C59" s="124">
        <f ca="1">VLOOKUP(A59,Generators!$A$2:$AZ$516,16,FALSE)</f>
        <v>45.389000000000003</v>
      </c>
      <c r="D59" s="124">
        <f t="shared" ca="1" si="0"/>
        <v>0</v>
      </c>
      <c r="E59" s="158" t="str">
        <f ca="1">IF(VLOOKUP(A59,Generators!$A$2:$AZ$516,20,FALSE)=0,"",VLOOKUP(A59,Generators!$A$2:$AZ$516,20,FALSE))</f>
        <v>Francis</v>
      </c>
      <c r="F59" s="124">
        <f ca="1">IF(VLOOKUP(A59,Generators!$A$2:$AZ$516,17,FALSE)=0,"",VLOOKUP(A59,Generators!$A$2:$AZ$516,17,FALSE))</f>
        <v>5.9889999999999999</v>
      </c>
      <c r="G59" s="164" t="str">
        <f t="shared" ca="1" si="1"/>
        <v/>
      </c>
    </row>
    <row r="60" spans="1:7" x14ac:dyDescent="0.35">
      <c r="A60" t="str">
        <f ca="1"/>
        <v>Letsi</v>
      </c>
      <c r="B60" s="158">
        <f ca="1">VLOOKUP(A60,Generators!$A$2:$AZ$516,19,FALSE)</f>
        <v>0</v>
      </c>
      <c r="C60" s="124">
        <f ca="1">VLOOKUP(A60,Generators!$A$2:$AZ$516,16,FALSE)</f>
        <v>66.486999999999995</v>
      </c>
      <c r="D60" s="124">
        <f t="shared" ca="1" si="0"/>
        <v>0</v>
      </c>
      <c r="E60" s="158" t="str">
        <f ca="1">IF(VLOOKUP(A60,Generators!$A$2:$AZ$516,20,FALSE)=0,"",VLOOKUP(A60,Generators!$A$2:$AZ$516,20,FALSE))</f>
        <v>Francis</v>
      </c>
      <c r="F60" s="124">
        <f ca="1">IF(VLOOKUP(A60,Generators!$A$2:$AZ$516,17,FALSE)=0,"",VLOOKUP(A60,Generators!$A$2:$AZ$516,17,FALSE))</f>
        <v>20.36</v>
      </c>
      <c r="G60" s="164" t="str">
        <f t="shared" ca="1" si="1"/>
        <v/>
      </c>
    </row>
    <row r="61" spans="1:7" x14ac:dyDescent="0.35">
      <c r="A61" t="str">
        <f ca="1"/>
        <v>Dalesice</v>
      </c>
      <c r="B61" s="158">
        <f ca="1">VLOOKUP(A61,Generators!$A$2:$AZ$516,19,FALSE)</f>
        <v>4</v>
      </c>
      <c r="C61" s="124">
        <f ca="1">VLOOKUP(A61,Generators!$A$2:$AZ$516,16,FALSE)</f>
        <v>49.124429999999997</v>
      </c>
      <c r="D61" s="124">
        <f t="shared" ca="1" si="0"/>
        <v>0</v>
      </c>
      <c r="E61" s="158" t="str">
        <f ca="1">IF(VLOOKUP(A61,Generators!$A$2:$AZ$516,20,FALSE)=0,"",VLOOKUP(A61,Generators!$A$2:$AZ$516,20,FALSE))</f>
        <v>Francis</v>
      </c>
      <c r="F61" s="124">
        <f ca="1">IF(VLOOKUP(A61,Generators!$A$2:$AZ$516,17,FALSE)=0,"",VLOOKUP(A61,Generators!$A$2:$AZ$516,17,FALSE))</f>
        <v>16.124206999999998</v>
      </c>
      <c r="G61" s="164" t="str">
        <f t="shared" ca="1" si="1"/>
        <v/>
      </c>
    </row>
    <row r="62" spans="1:7" x14ac:dyDescent="0.35">
      <c r="A62" t="str">
        <f ca="1"/>
        <v>San Giacomo</v>
      </c>
      <c r="B62" s="158">
        <f ca="1">VLOOKUP(A62,Generators!$A$2:$AZ$516,19,FALSE)</f>
        <v>6</v>
      </c>
      <c r="C62" s="124">
        <f ca="1">VLOOKUP(A62,Generators!$A$2:$AZ$516,16,FALSE)</f>
        <v>0</v>
      </c>
      <c r="D62" s="124" t="e">
        <f t="shared" ca="1" si="0"/>
        <v>#DIV/0!</v>
      </c>
      <c r="E62" s="158" t="str">
        <f ca="1">IF(VLOOKUP(A62,Generators!$A$2:$AZ$516,20,FALSE)=0,"",VLOOKUP(A62,Generators!$A$2:$AZ$516,20,FALSE))</f>
        <v>5 Pelton, 1 Francis</v>
      </c>
      <c r="F62" s="124" t="str">
        <f ca="1">IF(VLOOKUP(A62,Generators!$A$2:$AZ$516,17,FALSE)=0,"",VLOOKUP(A62,Generators!$A$2:$AZ$516,17,FALSE))</f>
        <v/>
      </c>
      <c r="G62" s="164" t="str">
        <f t="shared" ca="1" si="1"/>
        <v/>
      </c>
    </row>
    <row r="63" spans="1:7" x14ac:dyDescent="0.35">
      <c r="A63" t="str">
        <f ca="1"/>
        <v>Gento-Sallente</v>
      </c>
      <c r="B63" s="158">
        <f ca="1">VLOOKUP(A63,Generators!$A$2:$AZ$516,19,FALSE)</f>
        <v>4</v>
      </c>
      <c r="C63" s="124">
        <f ca="1">VLOOKUP(A63,Generators!$A$2:$AZ$516,16,FALSE)</f>
        <v>0</v>
      </c>
      <c r="D63" s="124" t="e">
        <f t="shared" ca="1" si="0"/>
        <v>#DIV/0!</v>
      </c>
      <c r="E63" s="158" t="str">
        <f ca="1">IF(VLOOKUP(A63,Generators!$A$2:$AZ$516,20,FALSE)=0,"",VLOOKUP(A63,Generators!$A$2:$AZ$516,20,FALSE))</f>
        <v/>
      </c>
      <c r="F63" s="124" t="str">
        <f ca="1">IF(VLOOKUP(A63,Generators!$A$2:$AZ$516,17,FALSE)=0,"",VLOOKUP(A63,Generators!$A$2:$AZ$516,17,FALSE))</f>
        <v/>
      </c>
      <c r="G63" s="164" t="str">
        <f t="shared" ca="1" si="1"/>
        <v/>
      </c>
    </row>
    <row r="64" spans="1:7" x14ac:dyDescent="0.35">
      <c r="A64" t="str">
        <f ca="1"/>
        <v>Picote I + II</v>
      </c>
      <c r="B64" s="158">
        <f ca="1">VLOOKUP(A64,Generators!$A$2:$AZ$516,19,FALSE)</f>
        <v>0</v>
      </c>
      <c r="C64" s="124">
        <f ca="1">VLOOKUP(A64,Generators!$A$2:$AZ$516,16,FALSE)</f>
        <v>41.378306000000002</v>
      </c>
      <c r="D64" s="124">
        <f t="shared" ca="1" si="0"/>
        <v>0</v>
      </c>
      <c r="E64" s="158" t="str">
        <f ca="1">IF(VLOOKUP(A64,Generators!$A$2:$AZ$516,20,FALSE)=0,"",VLOOKUP(A64,Generators!$A$2:$AZ$516,20,FALSE))</f>
        <v>Francis</v>
      </c>
      <c r="F64" s="124">
        <f ca="1">IF(VLOOKUP(A64,Generators!$A$2:$AZ$516,17,FALSE)=0,"",VLOOKUP(A64,Generators!$A$2:$AZ$516,17,FALSE))</f>
        <v>-6.3515829999999998</v>
      </c>
      <c r="G64" s="164" t="str">
        <f t="shared" ca="1" si="1"/>
        <v/>
      </c>
    </row>
    <row r="65" spans="1:7" x14ac:dyDescent="0.35">
      <c r="A65" t="str">
        <f ca="1"/>
        <v>Tierfehd</v>
      </c>
      <c r="B65" s="158">
        <f ca="1">VLOOKUP(A65,Generators!$A$2:$AZ$516,19,FALSE)</f>
        <v>6</v>
      </c>
      <c r="C65" s="124">
        <f ca="1">VLOOKUP(A65,Generators!$A$2:$AZ$516,16,FALSE)</f>
        <v>0</v>
      </c>
      <c r="D65" s="124" t="e">
        <f t="shared" ca="1" si="0"/>
        <v>#DIV/0!</v>
      </c>
      <c r="E65" s="158" t="str">
        <f ca="1">IF(VLOOKUP(A65,Generators!$A$2:$AZ$516,20,FALSE)=0,"",VLOOKUP(A65,Generators!$A$2:$AZ$516,20,FALSE))</f>
        <v>5 Pelton 1 Francis</v>
      </c>
      <c r="F65" s="124" t="str">
        <f ca="1">IF(VLOOKUP(A65,Generators!$A$2:$AZ$516,17,FALSE)=0,"",VLOOKUP(A65,Generators!$A$2:$AZ$516,17,FALSE))</f>
        <v/>
      </c>
      <c r="G65" s="164" t="str">
        <f t="shared" ca="1" si="1"/>
        <v/>
      </c>
    </row>
    <row r="66" spans="1:7" x14ac:dyDescent="0.35">
      <c r="A66" t="str">
        <f ca="1"/>
        <v>Pouget</v>
      </c>
      <c r="B66" s="158">
        <f ca="1">VLOOKUP(A66,Generators!$A$2:$AZ$516,19,FALSE)</f>
        <v>1</v>
      </c>
      <c r="C66" s="124">
        <f ca="1">VLOOKUP(A66,Generators!$A$2:$AZ$516,16,FALSE)</f>
        <v>44.059699999999999</v>
      </c>
      <c r="D66" s="124">
        <f t="shared" ref="D66:D129" ca="1" si="2">ROUND(B66/C66,0)</f>
        <v>0</v>
      </c>
      <c r="E66" s="158" t="str">
        <f ca="1">IF(VLOOKUP(A66,Generators!$A$2:$AZ$516,20,FALSE)=0,"",VLOOKUP(A66,Generators!$A$2:$AZ$516,20,FALSE))</f>
        <v>3 Pelton, 1 Francis, 1 reversible Francis</v>
      </c>
      <c r="F66" s="124">
        <f ca="1">IF(VLOOKUP(A66,Generators!$A$2:$AZ$516,17,FALSE)=0,"",VLOOKUP(A66,Generators!$A$2:$AZ$516,17,FALSE))</f>
        <v>2.77</v>
      </c>
      <c r="G66" s="164" t="str">
        <f t="shared" ca="1" si="1"/>
        <v/>
      </c>
    </row>
    <row r="67" spans="1:7" x14ac:dyDescent="0.35">
      <c r="A67" t="str">
        <f ca="1"/>
        <v>Kremasta</v>
      </c>
      <c r="B67" s="158">
        <f ca="1">VLOOKUP(A67,Generators!$A$2:$AZ$516,19,FALSE)</f>
        <v>0</v>
      </c>
      <c r="C67" s="124">
        <f ca="1">VLOOKUP(A67,Generators!$A$2:$AZ$516,16,FALSE)</f>
        <v>38.883951099999997</v>
      </c>
      <c r="D67" s="124">
        <f t="shared" ca="1" si="2"/>
        <v>0</v>
      </c>
      <c r="E67" s="158" t="str">
        <f ca="1">IF(VLOOKUP(A67,Generators!$A$2:$AZ$516,20,FALSE)=0,"",VLOOKUP(A67,Generators!$A$2:$AZ$516,20,FALSE))</f>
        <v>Francis</v>
      </c>
      <c r="F67" s="124">
        <f ca="1">IF(VLOOKUP(A67,Generators!$A$2:$AZ$516,17,FALSE)=0,"",VLOOKUP(A67,Generators!$A$2:$AZ$516,17,FALSE))</f>
        <v>21.493796100000001</v>
      </c>
      <c r="G67" s="164" t="str">
        <f t="shared" ref="G67:G130" ca="1" si="3">IFERROR(E67/F67,"")</f>
        <v/>
      </c>
    </row>
    <row r="68" spans="1:7" x14ac:dyDescent="0.35">
      <c r="A68" t="str">
        <f ca="1"/>
        <v>Tokke</v>
      </c>
      <c r="B68" s="158">
        <f ca="1">VLOOKUP(A68,Generators!$A$2:$AZ$516,19,FALSE)</f>
        <v>0</v>
      </c>
      <c r="C68" s="124">
        <f ca="1">VLOOKUP(A68,Generators!$A$2:$AZ$516,16,FALSE)</f>
        <v>59.444355000000002</v>
      </c>
      <c r="D68" s="124">
        <f t="shared" ca="1" si="2"/>
        <v>0</v>
      </c>
      <c r="E68" s="158" t="str">
        <f ca="1">IF(VLOOKUP(A68,Generators!$A$2:$AZ$516,20,FALSE)=0,"",VLOOKUP(A68,Generators!$A$2:$AZ$516,20,FALSE))</f>
        <v>Francis</v>
      </c>
      <c r="F68" s="124">
        <f ca="1">IF(VLOOKUP(A68,Generators!$A$2:$AZ$516,17,FALSE)=0,"",VLOOKUP(A68,Generators!$A$2:$AZ$516,17,FALSE))</f>
        <v>8.038259</v>
      </c>
      <c r="G68" s="164" t="str">
        <f t="shared" ca="1" si="3"/>
        <v/>
      </c>
    </row>
    <row r="69" spans="1:7" x14ac:dyDescent="0.35">
      <c r="A69" t="str">
        <f ca="1"/>
        <v>Bemposta</v>
      </c>
      <c r="B69" s="158">
        <f ca="1">VLOOKUP(A69,Generators!$A$2:$AZ$516,19,FALSE)</f>
        <v>0</v>
      </c>
      <c r="C69" s="124">
        <f ca="1">VLOOKUP(A69,Generators!$A$2:$AZ$516,16,FALSE)</f>
        <v>41.301692000000003</v>
      </c>
      <c r="D69" s="124">
        <f t="shared" ca="1" si="2"/>
        <v>0</v>
      </c>
      <c r="E69" s="158" t="str">
        <f ca="1">IF(VLOOKUP(A69,Generators!$A$2:$AZ$516,20,FALSE)=0,"",VLOOKUP(A69,Generators!$A$2:$AZ$516,20,FALSE))</f>
        <v>Francis</v>
      </c>
      <c r="F69" s="124">
        <f ca="1">IF(VLOOKUP(A69,Generators!$A$2:$AZ$516,17,FALSE)=0,"",VLOOKUP(A69,Generators!$A$2:$AZ$516,17,FALSE))</f>
        <v>-6.4697089999999999</v>
      </c>
      <c r="G69" s="164" t="str">
        <f t="shared" ca="1" si="3"/>
        <v/>
      </c>
    </row>
    <row r="70" spans="1:7" x14ac:dyDescent="0.35">
      <c r="A70" t="str">
        <f ca="1"/>
        <v>Grosio</v>
      </c>
      <c r="B70" s="158">
        <f ca="1">VLOOKUP(A70,Generators!$A$2:$AZ$516,19,FALSE)</f>
        <v>0</v>
      </c>
      <c r="C70" s="124">
        <f ca="1">VLOOKUP(A70,Generators!$A$2:$AZ$516,16,FALSE)</f>
        <v>46.291753</v>
      </c>
      <c r="D70" s="124">
        <f t="shared" ca="1" si="2"/>
        <v>0</v>
      </c>
      <c r="E70" s="158" t="str">
        <f ca="1">IF(VLOOKUP(A70,Generators!$A$2:$AZ$516,20,FALSE)=0,"",VLOOKUP(A70,Generators!$A$2:$AZ$516,20,FALSE))</f>
        <v>Pelton</v>
      </c>
      <c r="F70" s="124">
        <f ca="1">IF(VLOOKUP(A70,Generators!$A$2:$AZ$516,17,FALSE)=0,"",VLOOKUP(A70,Generators!$A$2:$AZ$516,17,FALSE))</f>
        <v>10.266454</v>
      </c>
      <c r="G70" s="164" t="str">
        <f t="shared" ca="1" si="3"/>
        <v/>
      </c>
    </row>
    <row r="71" spans="1:7" x14ac:dyDescent="0.35">
      <c r="A71" t="str">
        <f ca="1"/>
        <v>Genissiat</v>
      </c>
      <c r="B71" s="158">
        <f ca="1">VLOOKUP(A71,Generators!$A$2:$AZ$516,19,FALSE)</f>
        <v>0</v>
      </c>
      <c r="C71" s="124">
        <f ca="1">VLOOKUP(A71,Generators!$A$2:$AZ$516,16,FALSE)</f>
        <v>46.052714000000002</v>
      </c>
      <c r="D71" s="124">
        <f t="shared" ca="1" si="2"/>
        <v>0</v>
      </c>
      <c r="E71" s="158" t="str">
        <f ca="1">IF(VLOOKUP(A71,Generators!$A$2:$AZ$516,20,FALSE)=0,"",VLOOKUP(A71,Generators!$A$2:$AZ$516,20,FALSE))</f>
        <v>Francis</v>
      </c>
      <c r="F71" s="124">
        <f ca="1">IF(VLOOKUP(A71,Generators!$A$2:$AZ$516,17,FALSE)=0,"",VLOOKUP(A71,Generators!$A$2:$AZ$516,17,FALSE))</f>
        <v>5.812862</v>
      </c>
      <c r="G71" s="164" t="str">
        <f t="shared" ca="1" si="3"/>
        <v/>
      </c>
    </row>
    <row r="72" spans="1:7" x14ac:dyDescent="0.35">
      <c r="A72" t="str">
        <f ca="1"/>
        <v>Riga</v>
      </c>
      <c r="B72" s="158">
        <f ca="1">VLOOKUP(A72,Generators!$A$2:$AZ$516,19,FALSE)</f>
        <v>0</v>
      </c>
      <c r="C72" s="124">
        <f ca="1">VLOOKUP(A72,Generators!$A$2:$AZ$516,16,FALSE)</f>
        <v>56.8513187</v>
      </c>
      <c r="D72" s="124">
        <f t="shared" ca="1" si="2"/>
        <v>0</v>
      </c>
      <c r="E72" s="158" t="str">
        <f ca="1">IF(VLOOKUP(A72,Generators!$A$2:$AZ$516,20,FALSE)=0,"",VLOOKUP(A72,Generators!$A$2:$AZ$516,20,FALSE))</f>
        <v>Kaplan</v>
      </c>
      <c r="F72" s="124">
        <f ca="1">IF(VLOOKUP(A72,Generators!$A$2:$AZ$516,17,FALSE)=0,"",VLOOKUP(A72,Generators!$A$2:$AZ$516,17,FALSE))</f>
        <v>24.272038899999998</v>
      </c>
      <c r="G72" s="164" t="str">
        <f t="shared" ca="1" si="3"/>
        <v/>
      </c>
    </row>
    <row r="73" spans="1:7" x14ac:dyDescent="0.35">
      <c r="A73" t="str">
        <f ca="1"/>
        <v>Cruachan</v>
      </c>
      <c r="B73" s="158">
        <f ca="1">VLOOKUP(A73,Generators!$A$2:$AZ$516,19,FALSE)</f>
        <v>4</v>
      </c>
      <c r="C73" s="124">
        <f ca="1">VLOOKUP(A73,Generators!$A$2:$AZ$516,16,FALSE)</f>
        <v>56.406388999999997</v>
      </c>
      <c r="D73" s="124">
        <f t="shared" ca="1" si="2"/>
        <v>0</v>
      </c>
      <c r="E73" s="158" t="str">
        <f ca="1">IF(VLOOKUP(A73,Generators!$A$2:$AZ$516,20,FALSE)=0,"",VLOOKUP(A73,Generators!$A$2:$AZ$516,20,FALSE))</f>
        <v>Francis</v>
      </c>
      <c r="F73" s="124">
        <f ca="1">IF(VLOOKUP(A73,Generators!$A$2:$AZ$516,17,FALSE)=0,"",VLOOKUP(A73,Generators!$A$2:$AZ$516,17,FALSE))</f>
        <v>-5.1130560000000003</v>
      </c>
      <c r="G73" s="164" t="str">
        <f t="shared" ca="1" si="3"/>
        <v/>
      </c>
    </row>
    <row r="74" spans="1:7" x14ac:dyDescent="0.35">
      <c r="A74" t="str">
        <f ca="1"/>
        <v>Kaunertal</v>
      </c>
      <c r="B74" s="158">
        <f ca="1">VLOOKUP(A74,Generators!$A$2:$AZ$516,19,FALSE)</f>
        <v>0</v>
      </c>
      <c r="C74" s="124">
        <f ca="1">VLOOKUP(A74,Generators!$A$2:$AZ$516,16,FALSE)</f>
        <v>47.036000000000001</v>
      </c>
      <c r="D74" s="124">
        <f t="shared" ca="1" si="2"/>
        <v>0</v>
      </c>
      <c r="E74" s="158" t="str">
        <f ca="1">IF(VLOOKUP(A74,Generators!$A$2:$AZ$516,20,FALSE)=0,"",VLOOKUP(A74,Generators!$A$2:$AZ$516,20,FALSE))</f>
        <v>Pelton</v>
      </c>
      <c r="F74" s="124">
        <f ca="1">IF(VLOOKUP(A74,Generators!$A$2:$AZ$516,17,FALSE)=0,"",VLOOKUP(A74,Generators!$A$2:$AZ$516,17,FALSE))</f>
        <v>10.707000000000001</v>
      </c>
      <c r="G74" s="164" t="str">
        <f t="shared" ca="1" si="3"/>
        <v/>
      </c>
    </row>
    <row r="75" spans="1:7" x14ac:dyDescent="0.35">
      <c r="A75" t="str">
        <f ca="1"/>
        <v>Nendaz</v>
      </c>
      <c r="B75" s="158">
        <f ca="1">VLOOKUP(A75,Generators!$A$2:$AZ$516,19,FALSE)</f>
        <v>0</v>
      </c>
      <c r="C75" s="124">
        <f ca="1">VLOOKUP(A75,Generators!$A$2:$AZ$516,16,FALSE)</f>
        <v>0</v>
      </c>
      <c r="D75" s="124" t="e">
        <f t="shared" ca="1" si="2"/>
        <v>#DIV/0!</v>
      </c>
      <c r="E75" s="158" t="str">
        <f ca="1">IF(VLOOKUP(A75,Generators!$A$2:$AZ$516,20,FALSE)=0,"",VLOOKUP(A75,Generators!$A$2:$AZ$516,20,FALSE))</f>
        <v>Pelton</v>
      </c>
      <c r="F75" s="124" t="str">
        <f ca="1">IF(VLOOKUP(A75,Generators!$A$2:$AZ$516,17,FALSE)=0,"",VLOOKUP(A75,Generators!$A$2:$AZ$516,17,FALSE))</f>
        <v/>
      </c>
      <c r="G75" s="164" t="str">
        <f t="shared" ca="1" si="3"/>
        <v/>
      </c>
    </row>
    <row r="76" spans="1:7" x14ac:dyDescent="0.35">
      <c r="A76" t="str">
        <f ca="1"/>
        <v>Thisavros</v>
      </c>
      <c r="B76" s="158">
        <f ca="1">VLOOKUP(A76,Generators!$A$2:$AZ$516,19,FALSE)</f>
        <v>3</v>
      </c>
      <c r="C76" s="124">
        <f ca="1">VLOOKUP(A76,Generators!$A$2:$AZ$516,16,FALSE)</f>
        <v>41.354444000000001</v>
      </c>
      <c r="D76" s="124">
        <f t="shared" ca="1" si="2"/>
        <v>0</v>
      </c>
      <c r="E76" s="158" t="str">
        <f ca="1">IF(VLOOKUP(A76,Generators!$A$2:$AZ$516,20,FALSE)=0,"",VLOOKUP(A76,Generators!$A$2:$AZ$516,20,FALSE))</f>
        <v>Francis</v>
      </c>
      <c r="F76" s="124">
        <f ca="1">IF(VLOOKUP(A76,Generators!$A$2:$AZ$516,17,FALSE)=0,"",VLOOKUP(A76,Generators!$A$2:$AZ$516,17,FALSE))</f>
        <v>24.366944</v>
      </c>
      <c r="G76" s="164" t="str">
        <f t="shared" ca="1" si="3"/>
        <v/>
      </c>
    </row>
    <row r="77" spans="1:7" x14ac:dyDescent="0.35">
      <c r="A77" t="str">
        <f ca="1"/>
        <v>Serre-Poncon</v>
      </c>
      <c r="B77" s="158">
        <f ca="1">VLOOKUP(A77,Generators!$A$2:$AZ$516,19,FALSE)</f>
        <v>0</v>
      </c>
      <c r="C77" s="124">
        <f ca="1">VLOOKUP(A77,Generators!$A$2:$AZ$516,16,FALSE)</f>
        <v>44.471643999999998</v>
      </c>
      <c r="D77" s="124">
        <f t="shared" ca="1" si="2"/>
        <v>0</v>
      </c>
      <c r="E77" s="158" t="str">
        <f ca="1">IF(VLOOKUP(A77,Generators!$A$2:$AZ$516,20,FALSE)=0,"",VLOOKUP(A77,Generators!$A$2:$AZ$516,20,FALSE))</f>
        <v>Francis</v>
      </c>
      <c r="F77" s="124">
        <f ca="1">IF(VLOOKUP(A77,Generators!$A$2:$AZ$516,17,FALSE)=0,"",VLOOKUP(A77,Generators!$A$2:$AZ$516,17,FALSE))</f>
        <v>6.2706179999999998</v>
      </c>
      <c r="G77" s="164" t="str">
        <f t="shared" ca="1" si="3"/>
        <v/>
      </c>
    </row>
    <row r="78" spans="1:7" x14ac:dyDescent="0.35">
      <c r="A78" t="str">
        <f ca="1"/>
        <v>Tyin</v>
      </c>
      <c r="B78" s="158">
        <f ca="1">VLOOKUP(A78,Generators!$A$2:$AZ$516,19,FALSE)</f>
        <v>0</v>
      </c>
      <c r="C78" s="124">
        <f ca="1">VLOOKUP(A78,Generators!$A$2:$AZ$516,16,FALSE)</f>
        <v>61.305857000000003</v>
      </c>
      <c r="D78" s="124">
        <f t="shared" ca="1" si="2"/>
        <v>0</v>
      </c>
      <c r="E78" s="158" t="str">
        <f ca="1">IF(VLOOKUP(A78,Generators!$A$2:$AZ$516,20,FALSE)=0,"",VLOOKUP(A78,Generators!$A$2:$AZ$516,20,FALSE))</f>
        <v>Pelton</v>
      </c>
      <c r="F78" s="124">
        <f ca="1">IF(VLOOKUP(A78,Generators!$A$2:$AZ$516,17,FALSE)=0,"",VLOOKUP(A78,Generators!$A$2:$AZ$516,17,FALSE))</f>
        <v>7.7911260000000002</v>
      </c>
      <c r="G78" s="164" t="str">
        <f t="shared" ca="1" si="3"/>
        <v/>
      </c>
    </row>
    <row r="79" spans="1:7" x14ac:dyDescent="0.35">
      <c r="A79" t="str">
        <f ca="1"/>
        <v>Tajo De la Encantada (El Chorro)</v>
      </c>
      <c r="B79" s="158">
        <f ca="1">VLOOKUP(A79,Generators!$A$2:$AZ$516,19,FALSE)</f>
        <v>4</v>
      </c>
      <c r="C79" s="124">
        <f ca="1">VLOOKUP(A79,Generators!$A$2:$AZ$516,16,FALSE)</f>
        <v>36.921999999999997</v>
      </c>
      <c r="D79" s="124">
        <f t="shared" ca="1" si="2"/>
        <v>0</v>
      </c>
      <c r="E79" s="158" t="str">
        <f ca="1">IF(VLOOKUP(A79,Generators!$A$2:$AZ$516,20,FALSE)=0,"",VLOOKUP(A79,Generators!$A$2:$AZ$516,20,FALSE))</f>
        <v>?</v>
      </c>
      <c r="F79" s="124">
        <f ca="1">IF(VLOOKUP(A79,Generators!$A$2:$AZ$516,17,FALSE)=0,"",VLOOKUP(A79,Generators!$A$2:$AZ$516,17,FALSE))</f>
        <v>-4.7770000000000001</v>
      </c>
      <c r="G79" s="164" t="str">
        <f t="shared" ca="1" si="3"/>
        <v/>
      </c>
    </row>
    <row r="80" spans="1:7" x14ac:dyDescent="0.35">
      <c r="A80" t="str">
        <f ca="1"/>
        <v>Miranda</v>
      </c>
      <c r="B80" s="158">
        <f ca="1">VLOOKUP(A80,Generators!$A$2:$AZ$516,19,FALSE)</f>
        <v>0</v>
      </c>
      <c r="C80" s="124">
        <f ca="1">VLOOKUP(A80,Generators!$A$2:$AZ$516,16,FALSE)</f>
        <v>41.489750000000001</v>
      </c>
      <c r="D80" s="124">
        <f t="shared" ca="1" si="2"/>
        <v>0</v>
      </c>
      <c r="E80" s="158" t="str">
        <f ca="1">IF(VLOOKUP(A80,Generators!$A$2:$AZ$516,20,FALSE)=0,"",VLOOKUP(A80,Generators!$A$2:$AZ$516,20,FALSE))</f>
        <v>Francis</v>
      </c>
      <c r="F80" s="124">
        <f ca="1">IF(VLOOKUP(A80,Generators!$A$2:$AZ$516,17,FALSE)=0,"",VLOOKUP(A80,Generators!$A$2:$AZ$516,17,FALSE))</f>
        <v>-6.2639189999999996</v>
      </c>
      <c r="G80" s="164" t="str">
        <f t="shared" ca="1" si="3"/>
        <v/>
      </c>
    </row>
    <row r="81" spans="1:7" x14ac:dyDescent="0.35">
      <c r="A81" t="str">
        <f ca="1"/>
        <v>Orlik</v>
      </c>
      <c r="B81" s="158">
        <f ca="1">VLOOKUP(A81,Generators!$A$2:$AZ$516,19,FALSE)</f>
        <v>0</v>
      </c>
      <c r="C81" s="124">
        <f ca="1">VLOOKUP(A81,Generators!$A$2:$AZ$516,16,FALSE)</f>
        <v>49.563000000000002</v>
      </c>
      <c r="D81" s="124">
        <f t="shared" ca="1" si="2"/>
        <v>0</v>
      </c>
      <c r="E81" s="158" t="str">
        <f ca="1">IF(VLOOKUP(A81,Generators!$A$2:$AZ$516,20,FALSE)=0,"",VLOOKUP(A81,Generators!$A$2:$AZ$516,20,FALSE))</f>
        <v>Kaplan</v>
      </c>
      <c r="F81" s="124">
        <f ca="1">IF(VLOOKUP(A81,Generators!$A$2:$AZ$516,17,FALSE)=0,"",VLOOKUP(A81,Generators!$A$2:$AZ$516,17,FALSE))</f>
        <v>14.21</v>
      </c>
      <c r="G81" s="164" t="str">
        <f t="shared" ca="1" si="3"/>
        <v/>
      </c>
    </row>
    <row r="82" spans="1:7" x14ac:dyDescent="0.35">
      <c r="A82" t="str">
        <f ca="1"/>
        <v>Monteynard</v>
      </c>
      <c r="B82" s="158">
        <f ca="1">VLOOKUP(A82,Generators!$A$2:$AZ$516,19,FALSE)</f>
        <v>0</v>
      </c>
      <c r="C82" s="124">
        <f ca="1">VLOOKUP(A82,Generators!$A$2:$AZ$516,16,FALSE)</f>
        <v>44.961181000000003</v>
      </c>
      <c r="D82" s="124">
        <f t="shared" ca="1" si="2"/>
        <v>0</v>
      </c>
      <c r="E82" s="158" t="str">
        <f ca="1">IF(VLOOKUP(A82,Generators!$A$2:$AZ$516,20,FALSE)=0,"",VLOOKUP(A82,Generators!$A$2:$AZ$516,20,FALSE))</f>
        <v>Francis</v>
      </c>
      <c r="F82" s="124">
        <f ca="1">IF(VLOOKUP(A82,Generators!$A$2:$AZ$516,17,FALSE)=0,"",VLOOKUP(A82,Generators!$A$2:$AZ$516,17,FALSE))</f>
        <v>5.6887509999999999</v>
      </c>
      <c r="G82" s="164" t="str">
        <f t="shared" ca="1" si="3"/>
        <v/>
      </c>
    </row>
    <row r="83" spans="1:7" x14ac:dyDescent="0.35">
      <c r="A83" t="str">
        <f ca="1"/>
        <v>Hausling</v>
      </c>
      <c r="B83" s="158">
        <f ca="1">VLOOKUP(A83,Generators!$A$2:$AZ$516,19,FALSE)</f>
        <v>2</v>
      </c>
      <c r="C83" s="124">
        <f ca="1">VLOOKUP(A83,Generators!$A$2:$AZ$516,16,FALSE)</f>
        <v>0</v>
      </c>
      <c r="D83" s="124" t="e">
        <f t="shared" ca="1" si="2"/>
        <v>#DIV/0!</v>
      </c>
      <c r="E83" s="158" t="str">
        <f ca="1">IF(VLOOKUP(A83,Generators!$A$2:$AZ$516,20,FALSE)=0,"",VLOOKUP(A83,Generators!$A$2:$AZ$516,20,FALSE))</f>
        <v>Francis</v>
      </c>
      <c r="F83" s="124" t="str">
        <f ca="1">IF(VLOOKUP(A83,Generators!$A$2:$AZ$516,17,FALSE)=0,"",VLOOKUP(A83,Generators!$A$2:$AZ$516,17,FALSE))</f>
        <v/>
      </c>
      <c r="G83" s="164" t="str">
        <f t="shared" ca="1" si="3"/>
        <v/>
      </c>
    </row>
    <row r="84" spans="1:7" x14ac:dyDescent="0.35">
      <c r="A84" t="str">
        <f ca="1"/>
        <v>Villarodin</v>
      </c>
      <c r="B84" s="158">
        <f ca="1">VLOOKUP(A84,Generators!$A$2:$AZ$516,19,FALSE)</f>
        <v>0</v>
      </c>
      <c r="C84" s="124">
        <f ca="1">VLOOKUP(A84,Generators!$A$2:$AZ$516,16,FALSE)</f>
        <v>45.21293</v>
      </c>
      <c r="D84" s="124">
        <f t="shared" ca="1" si="2"/>
        <v>0</v>
      </c>
      <c r="E84" s="158" t="str">
        <f ca="1">IF(VLOOKUP(A84,Generators!$A$2:$AZ$516,20,FALSE)=0,"",VLOOKUP(A84,Generators!$A$2:$AZ$516,20,FALSE))</f>
        <v>Pelton</v>
      </c>
      <c r="F84" s="124">
        <f ca="1">IF(VLOOKUP(A84,Generators!$A$2:$AZ$516,17,FALSE)=0,"",VLOOKUP(A84,Generators!$A$2:$AZ$516,17,FALSE))</f>
        <v>6.7152599999999998</v>
      </c>
      <c r="G84" s="164" t="str">
        <f t="shared" ca="1" si="3"/>
        <v/>
      </c>
    </row>
    <row r="85" spans="1:7" x14ac:dyDescent="0.35">
      <c r="A85" t="str">
        <f ca="1"/>
        <v>Sackingen</v>
      </c>
      <c r="B85" s="158">
        <f ca="1">VLOOKUP(A85,Generators!$A$2:$AZ$516,19,FALSE)</f>
        <v>4</v>
      </c>
      <c r="C85" s="124">
        <f ca="1">VLOOKUP(A85,Generators!$A$2:$AZ$516,16,FALSE)</f>
        <v>47.565607</v>
      </c>
      <c r="D85" s="124">
        <f t="shared" ca="1" si="2"/>
        <v>0</v>
      </c>
      <c r="E85" s="158" t="str">
        <f ca="1">IF(VLOOKUP(A85,Generators!$A$2:$AZ$516,20,FALSE)=0,"",VLOOKUP(A85,Generators!$A$2:$AZ$516,20,FALSE))</f>
        <v>4 Francis turbines + 4 pumps</v>
      </c>
      <c r="F85" s="124">
        <f ca="1">IF(VLOOKUP(A85,Generators!$A$2:$AZ$516,17,FALSE)=0,"",VLOOKUP(A85,Generators!$A$2:$AZ$516,17,FALSE))</f>
        <v>7.9536300000000004</v>
      </c>
      <c r="G85" s="164" t="str">
        <f t="shared" ca="1" si="3"/>
        <v/>
      </c>
    </row>
    <row r="86" spans="1:7" x14ac:dyDescent="0.35">
      <c r="A86" t="str">
        <f ca="1"/>
        <v>Ffestiniog</v>
      </c>
      <c r="B86" s="158">
        <f ca="1">VLOOKUP(A86,Generators!$A$2:$AZ$516,19,FALSE)</f>
        <v>4</v>
      </c>
      <c r="C86" s="124">
        <f ca="1">VLOOKUP(A86,Generators!$A$2:$AZ$516,16,FALSE)</f>
        <v>0</v>
      </c>
      <c r="D86" s="124" t="e">
        <f t="shared" ca="1" si="2"/>
        <v>#DIV/0!</v>
      </c>
      <c r="E86" s="158" t="str">
        <f ca="1">IF(VLOOKUP(A86,Generators!$A$2:$AZ$516,20,FALSE)=0,"",VLOOKUP(A86,Generators!$A$2:$AZ$516,20,FALSE))</f>
        <v/>
      </c>
      <c r="F86" s="124" t="str">
        <f ca="1">IF(VLOOKUP(A86,Generators!$A$2:$AZ$516,17,FALSE)=0,"",VLOOKUP(A86,Generators!$A$2:$AZ$516,17,FALSE))</f>
        <v/>
      </c>
      <c r="G86" s="164" t="str">
        <f t="shared" ca="1" si="3"/>
        <v/>
      </c>
    </row>
    <row r="87" spans="1:7" x14ac:dyDescent="0.35">
      <c r="A87" t="str">
        <f ca="1"/>
        <v>San Massenza I</v>
      </c>
      <c r="B87" s="158">
        <f ca="1">VLOOKUP(A87,Generators!$A$2:$AZ$516,19,FALSE)</f>
        <v>2</v>
      </c>
      <c r="C87" s="124">
        <f ca="1">VLOOKUP(A87,Generators!$A$2:$AZ$516,16,FALSE)</f>
        <v>46.067701999999997</v>
      </c>
      <c r="D87" s="124">
        <f t="shared" ca="1" si="2"/>
        <v>0</v>
      </c>
      <c r="E87" s="158" t="str">
        <f ca="1">IF(VLOOKUP(A87,Generators!$A$2:$AZ$516,20,FALSE)=0,"",VLOOKUP(A87,Generators!$A$2:$AZ$516,20,FALSE))</f>
        <v>15 Pelton turbines, 2 pumps</v>
      </c>
      <c r="F87" s="124">
        <f ca="1">IF(VLOOKUP(A87,Generators!$A$2:$AZ$516,17,FALSE)=0,"",VLOOKUP(A87,Generators!$A$2:$AZ$516,17,FALSE))</f>
        <v>10.982813999999999</v>
      </c>
      <c r="G87" s="164" t="str">
        <f t="shared" ca="1" si="3"/>
        <v/>
      </c>
    </row>
    <row r="88" spans="1:7" x14ac:dyDescent="0.35">
      <c r="A88" t="str">
        <f ca="1"/>
        <v>Conzere-Mondragon (Bollene)</v>
      </c>
      <c r="B88" s="158">
        <f ca="1">VLOOKUP(A88,Generators!$A$2:$AZ$516,19,FALSE)</f>
        <v>0</v>
      </c>
      <c r="C88" s="124">
        <f ca="1">VLOOKUP(A88,Generators!$A$2:$AZ$516,16,FALSE)</f>
        <v>44.303735000000003</v>
      </c>
      <c r="D88" s="124">
        <f t="shared" ca="1" si="2"/>
        <v>0</v>
      </c>
      <c r="E88" s="158" t="str">
        <f ca="1">IF(VLOOKUP(A88,Generators!$A$2:$AZ$516,20,FALSE)=0,"",VLOOKUP(A88,Generators!$A$2:$AZ$516,20,FALSE))</f>
        <v>Kaplan</v>
      </c>
      <c r="F88" s="124">
        <f ca="1">IF(VLOOKUP(A88,Generators!$A$2:$AZ$516,17,FALSE)=0,"",VLOOKUP(A88,Generators!$A$2:$AZ$516,17,FALSE))</f>
        <v>4.6509999999999998</v>
      </c>
      <c r="G88" s="164" t="str">
        <f t="shared" ca="1" si="3"/>
        <v/>
      </c>
    </row>
    <row r="89" spans="1:7" x14ac:dyDescent="0.35">
      <c r="A89" t="str">
        <f ca="1"/>
        <v>Grimsel 2</v>
      </c>
      <c r="B89" s="158">
        <f ca="1">VLOOKUP(A89,Generators!$A$2:$AZ$516,19,FALSE)</f>
        <v>4</v>
      </c>
      <c r="C89" s="124">
        <f ca="1">VLOOKUP(A89,Generators!$A$2:$AZ$516,16,FALSE)</f>
        <v>46.565359106343998</v>
      </c>
      <c r="D89" s="124">
        <f t="shared" ca="1" si="2"/>
        <v>0</v>
      </c>
      <c r="E89" s="158" t="str">
        <f ca="1">IF(VLOOKUP(A89,Generators!$A$2:$AZ$516,20,FALSE)=0,"",VLOOKUP(A89,Generators!$A$2:$AZ$516,20,FALSE))</f>
        <v>Francis</v>
      </c>
      <c r="F89" s="124">
        <f ca="1">IF(VLOOKUP(A89,Generators!$A$2:$AZ$516,17,FALSE)=0,"",VLOOKUP(A89,Generators!$A$2:$AZ$516,17,FALSE))</f>
        <v>8.3277561798094997</v>
      </c>
      <c r="G89" s="164" t="str">
        <f t="shared" ca="1" si="3"/>
        <v/>
      </c>
    </row>
    <row r="90" spans="1:7" x14ac:dyDescent="0.35">
      <c r="A90" t="str">
        <f ca="1"/>
        <v>Bitsch (Biel)</v>
      </c>
      <c r="B90" s="158">
        <f ca="1">VLOOKUP(A90,Generators!$A$2:$AZ$516,19,FALSE)</f>
        <v>0</v>
      </c>
      <c r="C90" s="124">
        <f ca="1">VLOOKUP(A90,Generators!$A$2:$AZ$516,16,FALSE)</f>
        <v>44.3</v>
      </c>
      <c r="D90" s="124">
        <f t="shared" ca="1" si="2"/>
        <v>0</v>
      </c>
      <c r="E90" s="158" t="str">
        <f ca="1">IF(VLOOKUP(A90,Generators!$A$2:$AZ$516,20,FALSE)=0,"",VLOOKUP(A90,Generators!$A$2:$AZ$516,20,FALSE))</f>
        <v>Pelton</v>
      </c>
      <c r="F90" s="124">
        <f ca="1">IF(VLOOKUP(A90,Generators!$A$2:$AZ$516,17,FALSE)=0,"",VLOOKUP(A90,Generators!$A$2:$AZ$516,17,FALSE))</f>
        <v>22.603999999999999</v>
      </c>
      <c r="G90" s="164" t="str">
        <f t="shared" ca="1" si="3"/>
        <v/>
      </c>
    </row>
    <row r="91" spans="1:7" x14ac:dyDescent="0.35">
      <c r="A91" t="str">
        <f ca="1"/>
        <v>Malgovert</v>
      </c>
      <c r="B91" s="158">
        <f ca="1">VLOOKUP(A91,Generators!$A$2:$AZ$516,19,FALSE)</f>
        <v>0</v>
      </c>
      <c r="C91" s="124">
        <f ca="1">VLOOKUP(A91,Generators!$A$2:$AZ$516,16,FALSE)</f>
        <v>45.625267999999998</v>
      </c>
      <c r="D91" s="124">
        <f t="shared" ca="1" si="2"/>
        <v>0</v>
      </c>
      <c r="E91" s="158" t="str">
        <f ca="1">IF(VLOOKUP(A91,Generators!$A$2:$AZ$516,20,FALSE)=0,"",VLOOKUP(A91,Generators!$A$2:$AZ$516,20,FALSE))</f>
        <v>Pelton</v>
      </c>
      <c r="F91" s="124">
        <f ca="1">IF(VLOOKUP(A91,Generators!$A$2:$AZ$516,17,FALSE)=0,"",VLOOKUP(A91,Generators!$A$2:$AZ$516,17,FALSE))</f>
        <v>6.791353</v>
      </c>
      <c r="G91" s="164" t="str">
        <f t="shared" ca="1" si="3"/>
        <v/>
      </c>
    </row>
    <row r="92" spans="1:7" x14ac:dyDescent="0.35">
      <c r="A92" t="str">
        <f ca="1"/>
        <v>Mequinenza</v>
      </c>
      <c r="B92" s="158">
        <f ca="1">VLOOKUP(A92,Generators!$A$2:$AZ$516,19,FALSE)</f>
        <v>0</v>
      </c>
      <c r="C92" s="124">
        <f ca="1">VLOOKUP(A92,Generators!$A$2:$AZ$516,16,FALSE)</f>
        <v>41.368983</v>
      </c>
      <c r="D92" s="124">
        <f t="shared" ca="1" si="2"/>
        <v>0</v>
      </c>
      <c r="E92" s="158" t="str">
        <f ca="1">IF(VLOOKUP(A92,Generators!$A$2:$AZ$516,20,FALSE)=0,"",VLOOKUP(A92,Generators!$A$2:$AZ$516,20,FALSE))</f>
        <v>Francis</v>
      </c>
      <c r="F92" s="124">
        <f ca="1">IF(VLOOKUP(A92,Generators!$A$2:$AZ$516,17,FALSE)=0,"",VLOOKUP(A92,Generators!$A$2:$AZ$516,17,FALSE))</f>
        <v>0.27338099999999999</v>
      </c>
      <c r="G92" s="164" t="str">
        <f t="shared" ca="1" si="3"/>
        <v/>
      </c>
    </row>
    <row r="93" spans="1:7" x14ac:dyDescent="0.35">
      <c r="A93" t="str">
        <f ca="1"/>
        <v>Iron Gate II</v>
      </c>
      <c r="B93" s="158" t="e">
        <f ca="1">VLOOKUP(A93,Generators!$A$2:$AZ$516,19,FALSE)</f>
        <v>#N/A</v>
      </c>
      <c r="C93" s="124" t="e">
        <f ca="1">VLOOKUP(A93,Generators!$A$2:$AZ$516,16,FALSE)</f>
        <v>#N/A</v>
      </c>
      <c r="D93" s="124" t="e">
        <f t="shared" ca="1" si="2"/>
        <v>#N/A</v>
      </c>
      <c r="E93" s="158" t="e">
        <f ca="1">IF(VLOOKUP(A93,Generators!$A$2:$AZ$516,20,FALSE)=0,"",VLOOKUP(A93,Generators!$A$2:$AZ$516,20,FALSE))</f>
        <v>#N/A</v>
      </c>
      <c r="F93" s="124" t="e">
        <f ca="1">IF(VLOOKUP(A93,Generators!$A$2:$AZ$516,17,FALSE)=0,"",VLOOKUP(A93,Generators!$A$2:$AZ$516,17,FALSE))</f>
        <v>#N/A</v>
      </c>
      <c r="G93" s="164" t="str">
        <f t="shared" ca="1" si="3"/>
        <v/>
      </c>
    </row>
    <row r="94" spans="1:7" x14ac:dyDescent="0.35">
      <c r="A94" t="str">
        <f ca="1"/>
        <v>Vinje</v>
      </c>
      <c r="B94" s="158">
        <f ca="1">VLOOKUP(A94,Generators!$A$2:$AZ$516,19,FALSE)</f>
        <v>0</v>
      </c>
      <c r="C94" s="124">
        <f ca="1">VLOOKUP(A94,Generators!$A$2:$AZ$516,16,FALSE)</f>
        <v>59.617114999999998</v>
      </c>
      <c r="D94" s="124">
        <f t="shared" ca="1" si="2"/>
        <v>0</v>
      </c>
      <c r="E94" s="158" t="str">
        <f ca="1">IF(VLOOKUP(A94,Generators!$A$2:$AZ$516,20,FALSE)=0,"",VLOOKUP(A94,Generators!$A$2:$AZ$516,20,FALSE))</f>
        <v>Francis</v>
      </c>
      <c r="F94" s="124">
        <f ca="1">IF(VLOOKUP(A94,Generators!$A$2:$AZ$516,17,FALSE)=0,"",VLOOKUP(A94,Generators!$A$2:$AZ$516,17,FALSE))</f>
        <v>7.8564309999999997</v>
      </c>
      <c r="G94" s="164" t="str">
        <f t="shared" ca="1" si="3"/>
        <v/>
      </c>
    </row>
    <row r="95" spans="1:7" x14ac:dyDescent="0.35">
      <c r="A95" t="str">
        <f ca="1"/>
        <v>Kilforsen</v>
      </c>
      <c r="B95" s="158">
        <f ca="1">VLOOKUP(A95,Generators!$A$2:$AZ$516,19,FALSE)</f>
        <v>0</v>
      </c>
      <c r="C95" s="124">
        <f ca="1">VLOOKUP(A95,Generators!$A$2:$AZ$516,16,FALSE)</f>
        <v>63.548000000000002</v>
      </c>
      <c r="D95" s="124">
        <f t="shared" ca="1" si="2"/>
        <v>0</v>
      </c>
      <c r="E95" s="158" t="str">
        <f ca="1">IF(VLOOKUP(A95,Generators!$A$2:$AZ$516,20,FALSE)=0,"",VLOOKUP(A95,Generators!$A$2:$AZ$516,20,FALSE))</f>
        <v>Francis</v>
      </c>
      <c r="F95" s="124">
        <f ca="1">IF(VLOOKUP(A95,Generators!$A$2:$AZ$516,17,FALSE)=0,"",VLOOKUP(A95,Generators!$A$2:$AZ$516,17,FALSE))</f>
        <v>16.643000000000001</v>
      </c>
      <c r="G95" s="164" t="str">
        <f t="shared" ca="1" si="3"/>
        <v/>
      </c>
    </row>
    <row r="96" spans="1:7" x14ac:dyDescent="0.35">
      <c r="A96" t="str">
        <f ca="1"/>
        <v>Fionnay (Dixence)</v>
      </c>
      <c r="B96" s="158">
        <f ca="1">VLOOKUP(A96,Generators!$A$2:$AZ$516,19,FALSE)</f>
        <v>0</v>
      </c>
      <c r="C96" s="124">
        <f ca="1">VLOOKUP(A96,Generators!$A$2:$AZ$516,16,FALSE)</f>
        <v>46.033152000000001</v>
      </c>
      <c r="D96" s="124">
        <f t="shared" ca="1" si="2"/>
        <v>0</v>
      </c>
      <c r="E96" s="158" t="str">
        <f ca="1">IF(VLOOKUP(A96,Generators!$A$2:$AZ$516,20,FALSE)=0,"",VLOOKUP(A96,Generators!$A$2:$AZ$516,20,FALSE))</f>
        <v>Pelton</v>
      </c>
      <c r="F96" s="124">
        <f ca="1">IF(VLOOKUP(A96,Generators!$A$2:$AZ$516,17,FALSE)=0,"",VLOOKUP(A96,Generators!$A$2:$AZ$516,17,FALSE))</f>
        <v>7.3079099999999997</v>
      </c>
      <c r="G96" s="164" t="str">
        <f t="shared" ca="1" si="3"/>
        <v/>
      </c>
    </row>
    <row r="97" spans="1:7" x14ac:dyDescent="0.35">
      <c r="A97" t="str">
        <f ca="1"/>
        <v>Kuhtai</v>
      </c>
      <c r="B97" s="158">
        <f ca="1">VLOOKUP(A97,Generators!$A$2:$AZ$516,19,FALSE)</f>
        <v>2</v>
      </c>
      <c r="C97" s="124">
        <f ca="1">VLOOKUP(A97,Generators!$A$2:$AZ$516,16,FALSE)</f>
        <v>47.209373999999997</v>
      </c>
      <c r="D97" s="124">
        <f t="shared" ca="1" si="2"/>
        <v>0</v>
      </c>
      <c r="E97" s="158" t="str">
        <f ca="1">IF(VLOOKUP(A97,Generators!$A$2:$AZ$516,20,FALSE)=0,"",VLOOKUP(A97,Generators!$A$2:$AZ$516,20,FALSE))</f>
        <v>Francis</v>
      </c>
      <c r="F97" s="124">
        <f ca="1">IF(VLOOKUP(A97,Generators!$A$2:$AZ$516,17,FALSE)=0,"",VLOOKUP(A97,Generators!$A$2:$AZ$516,17,FALSE))</f>
        <v>11.005618</v>
      </c>
      <c r="G97" s="164" t="str">
        <f t="shared" ca="1" si="3"/>
        <v/>
      </c>
    </row>
    <row r="98" spans="1:7" x14ac:dyDescent="0.35">
      <c r="A98" t="str">
        <f ca="1"/>
        <v>Aurland III</v>
      </c>
      <c r="B98" s="158">
        <f ca="1">VLOOKUP(A98,Generators!$A$2:$AZ$516,19,FALSE)</f>
        <v>2</v>
      </c>
      <c r="C98" s="124">
        <f ca="1">VLOOKUP(A98,Generators!$A$2:$AZ$516,16,FALSE)</f>
        <v>60.883144999999999</v>
      </c>
      <c r="D98" s="124">
        <f t="shared" ca="1" si="2"/>
        <v>0</v>
      </c>
      <c r="E98" s="158" t="str">
        <f ca="1">IF(VLOOKUP(A98,Generators!$A$2:$AZ$516,20,FALSE)=0,"",VLOOKUP(A98,Generators!$A$2:$AZ$516,20,FALSE))</f>
        <v>Francis</v>
      </c>
      <c r="F98" s="124">
        <f ca="1">IF(VLOOKUP(A98,Generators!$A$2:$AZ$516,17,FALSE)=0,"",VLOOKUP(A98,Generators!$A$2:$AZ$516,17,FALSE))</f>
        <v>7.2483139999999997</v>
      </c>
      <c r="G98" s="164" t="str">
        <f t="shared" ca="1" si="3"/>
        <v/>
      </c>
    </row>
    <row r="99" spans="1:7" x14ac:dyDescent="0.35">
      <c r="A99" t="str">
        <f ca="1"/>
        <v>Kegums</v>
      </c>
      <c r="B99" s="158">
        <f ca="1">VLOOKUP(A99,Generators!$A$2:$AZ$516,19,FALSE)</f>
        <v>0</v>
      </c>
      <c r="C99" s="124">
        <f ca="1">VLOOKUP(A99,Generators!$A$2:$AZ$516,16,FALSE)</f>
        <v>56.758000000000003</v>
      </c>
      <c r="D99" s="124">
        <f t="shared" ca="1" si="2"/>
        <v>0</v>
      </c>
      <c r="E99" s="158" t="str">
        <f ca="1">IF(VLOOKUP(A99,Generators!$A$2:$AZ$516,20,FALSE)=0,"",VLOOKUP(A99,Generators!$A$2:$AZ$516,20,FALSE))</f>
        <v>Kaplan</v>
      </c>
      <c r="F99" s="124">
        <f ca="1">IF(VLOOKUP(A99,Generators!$A$2:$AZ$516,17,FALSE)=0,"",VLOOKUP(A99,Generators!$A$2:$AZ$516,17,FALSE))</f>
        <v>24.711300000000001</v>
      </c>
      <c r="G99" s="164" t="str">
        <f t="shared" ca="1" si="3"/>
        <v/>
      </c>
    </row>
    <row r="100" spans="1:7" x14ac:dyDescent="0.35">
      <c r="A100" t="str">
        <f ca="1"/>
        <v>Ribarroja</v>
      </c>
      <c r="B100" s="158">
        <f ca="1">VLOOKUP(A100,Generators!$A$2:$AZ$516,19,FALSE)</f>
        <v>0</v>
      </c>
      <c r="C100" s="124">
        <f ca="1">VLOOKUP(A100,Generators!$A$2:$AZ$516,16,FALSE)</f>
        <v>41.265000000000001</v>
      </c>
      <c r="D100" s="124">
        <f t="shared" ca="1" si="2"/>
        <v>0</v>
      </c>
      <c r="E100" s="158" t="str">
        <f ca="1">IF(VLOOKUP(A100,Generators!$A$2:$AZ$516,20,FALSE)=0,"",VLOOKUP(A100,Generators!$A$2:$AZ$516,20,FALSE))</f>
        <v>Kaplan</v>
      </c>
      <c r="F100" s="124">
        <f ca="1">IF(VLOOKUP(A100,Generators!$A$2:$AZ$516,17,FALSE)=0,"",VLOOKUP(A100,Generators!$A$2:$AZ$516,17,FALSE))</f>
        <v>0.435</v>
      </c>
      <c r="G100" s="164" t="str">
        <f t="shared" ca="1" si="3"/>
        <v/>
      </c>
    </row>
    <row r="101" spans="1:7" x14ac:dyDescent="0.35">
      <c r="A101" t="str">
        <f ca="1"/>
        <v>Innertkirchen 1</v>
      </c>
      <c r="B101" s="158">
        <f ca="1">VLOOKUP(A101,Generators!$A$2:$AZ$516,19,FALSE)</f>
        <v>0</v>
      </c>
      <c r="C101" s="124">
        <f ca="1">VLOOKUP(A101,Generators!$A$2:$AZ$516,16,FALSE)</f>
        <v>46.702100000000002</v>
      </c>
      <c r="D101" s="124">
        <f t="shared" ca="1" si="2"/>
        <v>0</v>
      </c>
      <c r="E101" s="158" t="str">
        <f ca="1">IF(VLOOKUP(A101,Generators!$A$2:$AZ$516,20,FALSE)=0,"",VLOOKUP(A101,Generators!$A$2:$AZ$516,20,FALSE))</f>
        <v>Pelton</v>
      </c>
      <c r="F101" s="124">
        <f ca="1">IF(VLOOKUP(A101,Generators!$A$2:$AZ$516,17,FALSE)=0,"",VLOOKUP(A101,Generators!$A$2:$AZ$516,17,FALSE))</f>
        <v>8.2353000000000005</v>
      </c>
      <c r="G101" s="164" t="str">
        <f t="shared" ca="1" si="3"/>
        <v/>
      </c>
    </row>
    <row r="102" spans="1:7" x14ac:dyDescent="0.35">
      <c r="A102" t="str">
        <f ca="1"/>
        <v>Premadio</v>
      </c>
      <c r="B102" s="158">
        <f ca="1">VLOOKUP(A102,Generators!$A$2:$AZ$516,19,FALSE)</f>
        <v>0</v>
      </c>
      <c r="C102" s="124">
        <f ca="1">VLOOKUP(A102,Generators!$A$2:$AZ$516,16,FALSE)</f>
        <v>46.485100000000003</v>
      </c>
      <c r="D102" s="124">
        <f t="shared" ca="1" si="2"/>
        <v>0</v>
      </c>
      <c r="E102" s="158" t="str">
        <f ca="1">IF(VLOOKUP(A102,Generators!$A$2:$AZ$516,20,FALSE)=0,"",VLOOKUP(A102,Generators!$A$2:$AZ$516,20,FALSE))</f>
        <v>Pelton</v>
      </c>
      <c r="F102" s="124">
        <f ca="1">IF(VLOOKUP(A102,Generators!$A$2:$AZ$516,17,FALSE)=0,"",VLOOKUP(A102,Generators!$A$2:$AZ$516,17,FALSE))</f>
        <v>10.353351999999999</v>
      </c>
      <c r="G102" s="164" t="str">
        <f t="shared" ca="1" si="3"/>
        <v/>
      </c>
    </row>
    <row r="103" spans="1:7" x14ac:dyDescent="0.35">
      <c r="A103" t="str">
        <f ca="1"/>
        <v>Aurland II</v>
      </c>
      <c r="B103" s="158">
        <f ca="1">VLOOKUP(A103,Generators!$A$2:$AZ$516,19,FALSE)</f>
        <v>0</v>
      </c>
      <c r="C103" s="124">
        <f ca="1">VLOOKUP(A103,Generators!$A$2:$AZ$516,16,FALSE)</f>
        <v>60.874955999999997</v>
      </c>
      <c r="D103" s="124">
        <f t="shared" ca="1" si="2"/>
        <v>0</v>
      </c>
      <c r="E103" s="158" t="str">
        <f ca="1">IF(VLOOKUP(A103,Generators!$A$2:$AZ$516,20,FALSE)=0,"",VLOOKUP(A103,Generators!$A$2:$AZ$516,20,FALSE))</f>
        <v>?</v>
      </c>
      <c r="F103" s="124">
        <f ca="1">IF(VLOOKUP(A103,Generators!$A$2:$AZ$516,17,FALSE)=0,"",VLOOKUP(A103,Generators!$A$2:$AZ$516,17,FALSE))</f>
        <v>7.3222529999999999</v>
      </c>
      <c r="G103" s="164" t="str">
        <f t="shared" ca="1" si="3"/>
        <v/>
      </c>
    </row>
    <row r="104" spans="1:7" x14ac:dyDescent="0.35">
      <c r="A104" t="str">
        <f ca="1"/>
        <v>Hylen</v>
      </c>
      <c r="B104" s="158">
        <f ca="1">VLOOKUP(A104,Generators!$A$2:$AZ$516,19,FALSE)</f>
        <v>0</v>
      </c>
      <c r="C104" s="124">
        <f ca="1">VLOOKUP(A104,Generators!$A$2:$AZ$516,16,FALSE)</f>
        <v>58.616660000000003</v>
      </c>
      <c r="D104" s="124">
        <f t="shared" ca="1" si="2"/>
        <v>0</v>
      </c>
      <c r="E104" s="158" t="str">
        <f ca="1">IF(VLOOKUP(A104,Generators!$A$2:$AZ$516,20,FALSE)=0,"",VLOOKUP(A104,Generators!$A$2:$AZ$516,20,FALSE))</f>
        <v>Francis</v>
      </c>
      <c r="F104" s="124">
        <f ca="1">IF(VLOOKUP(A104,Generators!$A$2:$AZ$516,17,FALSE)=0,"",VLOOKUP(A104,Generators!$A$2:$AZ$516,17,FALSE))</f>
        <v>6.1050000000000004</v>
      </c>
      <c r="G104" s="164" t="str">
        <f t="shared" ca="1" si="3"/>
        <v/>
      </c>
    </row>
    <row r="105" spans="1:7" x14ac:dyDescent="0.35">
      <c r="A105" t="str">
        <f ca="1"/>
        <v>Provvidenza</v>
      </c>
      <c r="B105" s="158">
        <f ca="1">VLOOKUP(A105,Generators!$A$2:$AZ$516,19,FALSE)</f>
        <v>3</v>
      </c>
      <c r="C105" s="124">
        <f ca="1">VLOOKUP(A105,Generators!$A$2:$AZ$516,16,FALSE)</f>
        <v>42.511240000000001</v>
      </c>
      <c r="D105" s="124">
        <f t="shared" ca="1" si="2"/>
        <v>0</v>
      </c>
      <c r="E105" s="158" t="str">
        <f ca="1">IF(VLOOKUP(A105,Generators!$A$2:$AZ$516,20,FALSE)=0,"",VLOOKUP(A105,Generators!$A$2:$AZ$516,20,FALSE))</f>
        <v>Francis</v>
      </c>
      <c r="F105" s="124">
        <f ca="1">IF(VLOOKUP(A105,Generators!$A$2:$AZ$516,17,FALSE)=0,"",VLOOKUP(A105,Generators!$A$2:$AZ$516,17,FALSE))</f>
        <v>13.410589999999999</v>
      </c>
      <c r="G105" s="164" t="str">
        <f t="shared" ca="1" si="3"/>
        <v/>
      </c>
    </row>
    <row r="106" spans="1:7" x14ac:dyDescent="0.35">
      <c r="A106" t="str">
        <f ca="1"/>
        <v>Rovinas Piastra</v>
      </c>
      <c r="B106" s="158">
        <f ca="1">VLOOKUP(A106,Generators!$A$2:$AZ$516,19,FALSE)</f>
        <v>1</v>
      </c>
      <c r="C106" s="124">
        <f ca="1">VLOOKUP(A106,Generators!$A$2:$AZ$516,16,FALSE)</f>
        <v>0</v>
      </c>
      <c r="D106" s="124" t="e">
        <f t="shared" ca="1" si="2"/>
        <v>#DIV/0!</v>
      </c>
      <c r="E106" s="158" t="str">
        <f ca="1">IF(VLOOKUP(A106,Generators!$A$2:$AZ$516,20,FALSE)=0,"",VLOOKUP(A106,Generators!$A$2:$AZ$516,20,FALSE))</f>
        <v>Francis</v>
      </c>
      <c r="F106" s="124" t="str">
        <f ca="1">IF(VLOOKUP(A106,Generators!$A$2:$AZ$516,17,FALSE)=0,"",VLOOKUP(A106,Generators!$A$2:$AZ$516,17,FALSE))</f>
        <v/>
      </c>
      <c r="G106" s="164" t="str">
        <f t="shared" ca="1" si="3"/>
        <v/>
      </c>
    </row>
    <row r="107" spans="1:7" x14ac:dyDescent="0.35">
      <c r="A107" t="str">
        <f ca="1"/>
        <v>Brevieres</v>
      </c>
      <c r="B107" s="158">
        <f ca="1">VLOOKUP(A107,Generators!$A$2:$AZ$516,19,FALSE)</f>
        <v>0</v>
      </c>
      <c r="C107" s="124">
        <f ca="1">VLOOKUP(A107,Generators!$A$2:$AZ$516,16,FALSE)</f>
        <v>0</v>
      </c>
      <c r="D107" s="124" t="e">
        <f t="shared" ca="1" si="2"/>
        <v>#DIV/0!</v>
      </c>
      <c r="E107" s="158" t="str">
        <f ca="1">IF(VLOOKUP(A107,Generators!$A$2:$AZ$516,20,FALSE)=0,"",VLOOKUP(A107,Generators!$A$2:$AZ$516,20,FALSE))</f>
        <v>Francis</v>
      </c>
      <c r="F107" s="124" t="str">
        <f ca="1">IF(VLOOKUP(A107,Generators!$A$2:$AZ$516,17,FALSE)=0,"",VLOOKUP(A107,Generators!$A$2:$AZ$516,17,FALSE))</f>
        <v/>
      </c>
      <c r="G107" s="164" t="str">
        <f ca="1">IFERROR(E107/F107,"")</f>
        <v/>
      </c>
    </row>
    <row r="108" spans="1:7" x14ac:dyDescent="0.35">
      <c r="A108" t="e">
        <f ca="1"/>
        <v>#N/A</v>
      </c>
      <c r="B108" s="158" t="e">
        <f ca="1">VLOOKUP(A108,Generators!$A$2:$AZ$516,19,FALSE)</f>
        <v>#N/A</v>
      </c>
      <c r="C108" s="124" t="e">
        <f ca="1">VLOOKUP(A108,Generators!$A$2:$AZ$516,16,FALSE)</f>
        <v>#N/A</v>
      </c>
      <c r="D108" s="124" t="e">
        <f t="shared" ca="1" si="2"/>
        <v>#N/A</v>
      </c>
      <c r="E108" s="158" t="e">
        <f ca="1">IF(VLOOKUP(A108,Generators!$A$2:$AZ$516,20,FALSE)=0,"",VLOOKUP(A108,Generators!$A$2:$AZ$516,20,FALSE))</f>
        <v>#N/A</v>
      </c>
      <c r="F108" s="124" t="e">
        <f ca="1">IF(VLOOKUP(A108,Generators!$A$2:$AZ$516,17,FALSE)=0,"",VLOOKUP(A108,Generators!$A$2:$AZ$516,17,FALSE))</f>
        <v>#N/A</v>
      </c>
      <c r="G108" s="164" t="str">
        <f t="shared" ca="1" si="3"/>
        <v/>
      </c>
    </row>
    <row r="109" spans="1:7" x14ac:dyDescent="0.35">
      <c r="A109" t="e">
        <f ca="1"/>
        <v>#N/A</v>
      </c>
      <c r="B109" s="158" t="e">
        <f ca="1">VLOOKUP(A109,Generators!$A$2:$AZ$516,19,FALSE)</f>
        <v>#N/A</v>
      </c>
      <c r="C109" s="124" t="e">
        <f ca="1">VLOOKUP(A109,Generators!$A$2:$AZ$516,16,FALSE)</f>
        <v>#N/A</v>
      </c>
      <c r="D109" s="124" t="e">
        <f t="shared" ca="1" si="2"/>
        <v>#N/A</v>
      </c>
      <c r="E109" s="158" t="e">
        <f ca="1">IF(VLOOKUP(A109,Generators!$A$2:$AZ$516,20,FALSE)=0,"",VLOOKUP(A109,Generators!$A$2:$AZ$516,20,FALSE))</f>
        <v>#N/A</v>
      </c>
      <c r="F109" s="124" t="e">
        <f ca="1">IF(VLOOKUP(A109,Generators!$A$2:$AZ$516,17,FALSE)=0,"",VLOOKUP(A109,Generators!$A$2:$AZ$516,17,FALSE))</f>
        <v>#N/A</v>
      </c>
      <c r="G109" s="164" t="str">
        <f t="shared" ca="1" si="3"/>
        <v/>
      </c>
    </row>
    <row r="110" spans="1:7" x14ac:dyDescent="0.35">
      <c r="A110" t="e">
        <f ca="1"/>
        <v>#N/A</v>
      </c>
      <c r="B110" s="158" t="e">
        <f ca="1">VLOOKUP(A110,Generators!$A$2:$AZ$516,19,FALSE)</f>
        <v>#N/A</v>
      </c>
      <c r="C110" s="124" t="e">
        <f ca="1">VLOOKUP(A110,Generators!$A$2:$AZ$516,16,FALSE)</f>
        <v>#N/A</v>
      </c>
      <c r="D110" s="124" t="e">
        <f t="shared" ca="1" si="2"/>
        <v>#N/A</v>
      </c>
      <c r="E110" s="158" t="e">
        <f ca="1">IF(VLOOKUP(A110,Generators!$A$2:$AZ$516,20,FALSE)=0,"",VLOOKUP(A110,Generators!$A$2:$AZ$516,20,FALSE))</f>
        <v>#N/A</v>
      </c>
      <c r="F110" s="124" t="e">
        <f ca="1">IF(VLOOKUP(A110,Generators!$A$2:$AZ$516,17,FALSE)=0,"",VLOOKUP(A110,Generators!$A$2:$AZ$516,17,FALSE))</f>
        <v>#N/A</v>
      </c>
      <c r="G110" s="164" t="str">
        <f t="shared" ca="1" si="3"/>
        <v/>
      </c>
    </row>
    <row r="111" spans="1:7" x14ac:dyDescent="0.35">
      <c r="A111" t="e">
        <f ca="1"/>
        <v>#N/A</v>
      </c>
      <c r="B111" s="158" t="e">
        <f ca="1">VLOOKUP(A111,Generators!$A$2:$AZ$516,19,FALSE)</f>
        <v>#N/A</v>
      </c>
      <c r="C111" s="124" t="e">
        <f ca="1">VLOOKUP(A111,Generators!$A$2:$AZ$516,16,FALSE)</f>
        <v>#N/A</v>
      </c>
      <c r="D111" s="124" t="e">
        <f t="shared" ca="1" si="2"/>
        <v>#N/A</v>
      </c>
      <c r="E111" s="158" t="e">
        <f ca="1">IF(VLOOKUP(A111,Generators!$A$2:$AZ$516,20,FALSE)=0,"",VLOOKUP(A111,Generators!$A$2:$AZ$516,20,FALSE))</f>
        <v>#N/A</v>
      </c>
      <c r="F111" s="124" t="e">
        <f ca="1">IF(VLOOKUP(A111,Generators!$A$2:$AZ$516,17,FALSE)=0,"",VLOOKUP(A111,Generators!$A$2:$AZ$516,17,FALSE))</f>
        <v>#N/A</v>
      </c>
      <c r="G111" s="164" t="str">
        <f t="shared" ca="1" si="3"/>
        <v/>
      </c>
    </row>
    <row r="112" spans="1:7" x14ac:dyDescent="0.35">
      <c r="A112" t="e">
        <f ca="1"/>
        <v>#N/A</v>
      </c>
      <c r="B112" s="158" t="e">
        <f ca="1">VLOOKUP(A112,Generators!$A$2:$AZ$516,19,FALSE)</f>
        <v>#N/A</v>
      </c>
      <c r="C112" s="124" t="e">
        <f ca="1">VLOOKUP(A112,Generators!$A$2:$AZ$516,16,FALSE)</f>
        <v>#N/A</v>
      </c>
      <c r="D112" s="124" t="e">
        <f t="shared" ca="1" si="2"/>
        <v>#N/A</v>
      </c>
      <c r="E112" s="158" t="e">
        <f ca="1">IF(VLOOKUP(A112,Generators!$A$2:$AZ$516,20,FALSE)=0,"",VLOOKUP(A112,Generators!$A$2:$AZ$516,20,FALSE))</f>
        <v>#N/A</v>
      </c>
      <c r="F112" s="124" t="e">
        <f ca="1">IF(VLOOKUP(A112,Generators!$A$2:$AZ$516,17,FALSE)=0,"",VLOOKUP(A112,Generators!$A$2:$AZ$516,17,FALSE))</f>
        <v>#N/A</v>
      </c>
      <c r="G112" s="164" t="str">
        <f t="shared" ca="1" si="3"/>
        <v/>
      </c>
    </row>
    <row r="113" spans="1:7" x14ac:dyDescent="0.35">
      <c r="A113" t="e">
        <f ca="1"/>
        <v>#N/A</v>
      </c>
      <c r="B113" s="158" t="e">
        <f ca="1">VLOOKUP(A113,Generators!$A$2:$AZ$516,19,FALSE)</f>
        <v>#N/A</v>
      </c>
      <c r="C113" s="124" t="e">
        <f ca="1">VLOOKUP(A113,Generators!$A$2:$AZ$516,16,FALSE)</f>
        <v>#N/A</v>
      </c>
      <c r="D113" s="124" t="e">
        <f t="shared" ca="1" si="2"/>
        <v>#N/A</v>
      </c>
      <c r="E113" s="158" t="e">
        <f ca="1">IF(VLOOKUP(A113,Generators!$A$2:$AZ$516,20,FALSE)=0,"",VLOOKUP(A113,Generators!$A$2:$AZ$516,20,FALSE))</f>
        <v>#N/A</v>
      </c>
      <c r="F113" s="124" t="e">
        <f ca="1">IF(VLOOKUP(A113,Generators!$A$2:$AZ$516,17,FALSE)=0,"",VLOOKUP(A113,Generators!$A$2:$AZ$516,17,FALSE))</f>
        <v>#N/A</v>
      </c>
      <c r="G113" s="164" t="str">
        <f t="shared" ca="1" si="3"/>
        <v/>
      </c>
    </row>
    <row r="114" spans="1:7" x14ac:dyDescent="0.35">
      <c r="A114" t="e">
        <f ca="1"/>
        <v>#N/A</v>
      </c>
      <c r="B114" s="158" t="e">
        <f ca="1">VLOOKUP(A114,Generators!$A$2:$AZ$516,19,FALSE)</f>
        <v>#N/A</v>
      </c>
      <c r="C114" s="124" t="e">
        <f ca="1">VLOOKUP(A114,Generators!$A$2:$AZ$516,16,FALSE)</f>
        <v>#N/A</v>
      </c>
      <c r="D114" s="124" t="e">
        <f t="shared" ca="1" si="2"/>
        <v>#N/A</v>
      </c>
      <c r="E114" s="158" t="e">
        <f ca="1">IF(VLOOKUP(A114,Generators!$A$2:$AZ$516,20,FALSE)=0,"",VLOOKUP(A114,Generators!$A$2:$AZ$516,20,FALSE))</f>
        <v>#N/A</v>
      </c>
      <c r="F114" s="124" t="e">
        <f ca="1">IF(VLOOKUP(A114,Generators!$A$2:$AZ$516,17,FALSE)=0,"",VLOOKUP(A114,Generators!$A$2:$AZ$516,17,FALSE))</f>
        <v>#N/A</v>
      </c>
      <c r="G114" s="164" t="str">
        <f t="shared" ca="1" si="3"/>
        <v/>
      </c>
    </row>
    <row r="115" spans="1:7" x14ac:dyDescent="0.35">
      <c r="A115" t="e">
        <f ca="1"/>
        <v>#N/A</v>
      </c>
      <c r="B115" s="158" t="e">
        <f ca="1">VLOOKUP(A115,Generators!$A$2:$AZ$516,19,FALSE)</f>
        <v>#N/A</v>
      </c>
      <c r="C115" s="124" t="e">
        <f ca="1">VLOOKUP(A115,Generators!$A$2:$AZ$516,16,FALSE)</f>
        <v>#N/A</v>
      </c>
      <c r="D115" s="124" t="e">
        <f t="shared" ca="1" si="2"/>
        <v>#N/A</v>
      </c>
      <c r="E115" s="158" t="e">
        <f ca="1">IF(VLOOKUP(A115,Generators!$A$2:$AZ$516,20,FALSE)=0,"",VLOOKUP(A115,Generators!$A$2:$AZ$516,20,FALSE))</f>
        <v>#N/A</v>
      </c>
      <c r="F115" s="124" t="e">
        <f ca="1">IF(VLOOKUP(A115,Generators!$A$2:$AZ$516,17,FALSE)=0,"",VLOOKUP(A115,Generators!$A$2:$AZ$516,17,FALSE))</f>
        <v>#N/A</v>
      </c>
      <c r="G115" s="164" t="str">
        <f t="shared" ca="1" si="3"/>
        <v/>
      </c>
    </row>
    <row r="116" spans="1:7" x14ac:dyDescent="0.35">
      <c r="A116" t="e">
        <f ca="1"/>
        <v>#N/A</v>
      </c>
      <c r="B116" s="158" t="e">
        <f ca="1">VLOOKUP(A116,Generators!$A$2:$AZ$516,19,FALSE)</f>
        <v>#N/A</v>
      </c>
      <c r="C116" s="124" t="e">
        <f ca="1">VLOOKUP(A116,Generators!$A$2:$AZ$516,16,FALSE)</f>
        <v>#N/A</v>
      </c>
      <c r="D116" s="124" t="e">
        <f t="shared" ca="1" si="2"/>
        <v>#N/A</v>
      </c>
      <c r="E116" s="158" t="e">
        <f ca="1">IF(VLOOKUP(A116,Generators!$A$2:$AZ$516,20,FALSE)=0,"",VLOOKUP(A116,Generators!$A$2:$AZ$516,20,FALSE))</f>
        <v>#N/A</v>
      </c>
      <c r="F116" s="124" t="e">
        <f ca="1">IF(VLOOKUP(A116,Generators!$A$2:$AZ$516,17,FALSE)=0,"",VLOOKUP(A116,Generators!$A$2:$AZ$516,17,FALSE))</f>
        <v>#N/A</v>
      </c>
      <c r="G116" s="164" t="str">
        <f t="shared" ca="1" si="3"/>
        <v/>
      </c>
    </row>
    <row r="117" spans="1:7" x14ac:dyDescent="0.35">
      <c r="A117" t="e">
        <f ca="1"/>
        <v>#N/A</v>
      </c>
      <c r="B117" s="158" t="e">
        <f ca="1">VLOOKUP(A117,Generators!$A$2:$AZ$516,19,FALSE)</f>
        <v>#N/A</v>
      </c>
      <c r="C117" s="124" t="e">
        <f ca="1">VLOOKUP(A117,Generators!$A$2:$AZ$516,16,FALSE)</f>
        <v>#N/A</v>
      </c>
      <c r="D117" s="124" t="e">
        <f t="shared" ca="1" si="2"/>
        <v>#N/A</v>
      </c>
      <c r="E117" s="158" t="e">
        <f ca="1">IF(VLOOKUP(A117,Generators!$A$2:$AZ$516,20,FALSE)=0,"",VLOOKUP(A117,Generators!$A$2:$AZ$516,20,FALSE))</f>
        <v>#N/A</v>
      </c>
      <c r="F117" s="124" t="e">
        <f ca="1">IF(VLOOKUP(A117,Generators!$A$2:$AZ$516,17,FALSE)=0,"",VLOOKUP(A117,Generators!$A$2:$AZ$516,17,FALSE))</f>
        <v>#N/A</v>
      </c>
      <c r="G117" s="164" t="str">
        <f t="shared" ca="1" si="3"/>
        <v/>
      </c>
    </row>
    <row r="118" spans="1:7" x14ac:dyDescent="0.35">
      <c r="A118" t="e">
        <f ca="1"/>
        <v>#N/A</v>
      </c>
      <c r="B118" s="158" t="e">
        <f ca="1">VLOOKUP(A118,Generators!$A$2:$AZ$516,19,FALSE)</f>
        <v>#N/A</v>
      </c>
      <c r="C118" s="124" t="e">
        <f ca="1">VLOOKUP(A118,Generators!$A$2:$AZ$516,16,FALSE)</f>
        <v>#N/A</v>
      </c>
      <c r="D118" s="124" t="e">
        <f t="shared" ca="1" si="2"/>
        <v>#N/A</v>
      </c>
      <c r="E118" s="158" t="e">
        <f ca="1">IF(VLOOKUP(A118,Generators!$A$2:$AZ$516,20,FALSE)=0,"",VLOOKUP(A118,Generators!$A$2:$AZ$516,20,FALSE))</f>
        <v>#N/A</v>
      </c>
      <c r="F118" s="124" t="e">
        <f ca="1">IF(VLOOKUP(A118,Generators!$A$2:$AZ$516,17,FALSE)=0,"",VLOOKUP(A118,Generators!$A$2:$AZ$516,17,FALSE))</f>
        <v>#N/A</v>
      </c>
      <c r="G118" s="164" t="str">
        <f t="shared" ca="1" si="3"/>
        <v/>
      </c>
    </row>
    <row r="119" spans="1:7" x14ac:dyDescent="0.35">
      <c r="A119" t="e">
        <f ca="1"/>
        <v>#N/A</v>
      </c>
      <c r="B119" s="158" t="e">
        <f ca="1">VLOOKUP(A119,Generators!$A$2:$AZ$516,19,FALSE)</f>
        <v>#N/A</v>
      </c>
      <c r="C119" s="124" t="e">
        <f ca="1">VLOOKUP(A119,Generators!$A$2:$AZ$516,16,FALSE)</f>
        <v>#N/A</v>
      </c>
      <c r="D119" s="124" t="e">
        <f t="shared" ca="1" si="2"/>
        <v>#N/A</v>
      </c>
      <c r="E119" s="158" t="e">
        <f ca="1">IF(VLOOKUP(A119,Generators!$A$2:$AZ$516,20,FALSE)=0,"",VLOOKUP(A119,Generators!$A$2:$AZ$516,20,FALSE))</f>
        <v>#N/A</v>
      </c>
      <c r="F119" s="124" t="e">
        <f ca="1">IF(VLOOKUP(A119,Generators!$A$2:$AZ$516,17,FALSE)=0,"",VLOOKUP(A119,Generators!$A$2:$AZ$516,17,FALSE))</f>
        <v>#N/A</v>
      </c>
      <c r="G119" s="164" t="str">
        <f t="shared" ca="1" si="3"/>
        <v/>
      </c>
    </row>
    <row r="120" spans="1:7" x14ac:dyDescent="0.35">
      <c r="A120" t="e">
        <f ca="1"/>
        <v>#N/A</v>
      </c>
      <c r="B120" s="158" t="e">
        <f ca="1">VLOOKUP(A120,Generators!$A$2:$AZ$516,19,FALSE)</f>
        <v>#N/A</v>
      </c>
      <c r="C120" s="124" t="e">
        <f ca="1">VLOOKUP(A120,Generators!$A$2:$AZ$516,16,FALSE)</f>
        <v>#N/A</v>
      </c>
      <c r="D120" s="124" t="e">
        <f t="shared" ca="1" si="2"/>
        <v>#N/A</v>
      </c>
      <c r="E120" s="158" t="e">
        <f ca="1">IF(VLOOKUP(A120,Generators!$A$2:$AZ$516,20,FALSE)=0,"",VLOOKUP(A120,Generators!$A$2:$AZ$516,20,FALSE))</f>
        <v>#N/A</v>
      </c>
      <c r="F120" s="124" t="e">
        <f ca="1">IF(VLOOKUP(A120,Generators!$A$2:$AZ$516,17,FALSE)=0,"",VLOOKUP(A120,Generators!$A$2:$AZ$516,17,FALSE))</f>
        <v>#N/A</v>
      </c>
      <c r="G120" s="164" t="str">
        <f t="shared" ca="1" si="3"/>
        <v/>
      </c>
    </row>
    <row r="121" spans="1:7" x14ac:dyDescent="0.35">
      <c r="A121" t="e">
        <f ca="1"/>
        <v>#N/A</v>
      </c>
      <c r="B121" s="158" t="e">
        <f ca="1">VLOOKUP(A121,Generators!$A$2:$AZ$516,19,FALSE)</f>
        <v>#N/A</v>
      </c>
      <c r="C121" s="124" t="e">
        <f ca="1">VLOOKUP(A121,Generators!$A$2:$AZ$516,16,FALSE)</f>
        <v>#N/A</v>
      </c>
      <c r="D121" s="124" t="e">
        <f t="shared" ca="1" si="2"/>
        <v>#N/A</v>
      </c>
      <c r="E121" s="158" t="e">
        <f ca="1">IF(VLOOKUP(A121,Generators!$A$2:$AZ$516,20,FALSE)=0,"",VLOOKUP(A121,Generators!$A$2:$AZ$516,20,FALSE))</f>
        <v>#N/A</v>
      </c>
      <c r="F121" s="124" t="e">
        <f ca="1">IF(VLOOKUP(A121,Generators!$A$2:$AZ$516,17,FALSE)=0,"",VLOOKUP(A121,Generators!$A$2:$AZ$516,17,FALSE))</f>
        <v>#N/A</v>
      </c>
      <c r="G121" s="164" t="str">
        <f t="shared" ca="1" si="3"/>
        <v/>
      </c>
    </row>
    <row r="122" spans="1:7" x14ac:dyDescent="0.35">
      <c r="A122" t="e">
        <f ca="1"/>
        <v>#N/A</v>
      </c>
      <c r="B122" s="158" t="e">
        <f ca="1">VLOOKUP(A122,Generators!$A$2:$AZ$516,19,FALSE)</f>
        <v>#N/A</v>
      </c>
      <c r="C122" s="124" t="e">
        <f ca="1">VLOOKUP(A122,Generators!$A$2:$AZ$516,16,FALSE)</f>
        <v>#N/A</v>
      </c>
      <c r="D122" s="124" t="e">
        <f t="shared" ca="1" si="2"/>
        <v>#N/A</v>
      </c>
      <c r="E122" s="158" t="e">
        <f ca="1">IF(VLOOKUP(A122,Generators!$A$2:$AZ$516,20,FALSE)=0,"",VLOOKUP(A122,Generators!$A$2:$AZ$516,20,FALSE))</f>
        <v>#N/A</v>
      </c>
      <c r="F122" s="124" t="e">
        <f ca="1">IF(VLOOKUP(A122,Generators!$A$2:$AZ$516,17,FALSE)=0,"",VLOOKUP(A122,Generators!$A$2:$AZ$516,17,FALSE))</f>
        <v>#N/A</v>
      </c>
      <c r="G122" s="164" t="str">
        <f t="shared" ca="1" si="3"/>
        <v/>
      </c>
    </row>
    <row r="123" spans="1:7" x14ac:dyDescent="0.35">
      <c r="A123" t="e">
        <f ca="1"/>
        <v>#N/A</v>
      </c>
      <c r="B123" s="158" t="e">
        <f ca="1">VLOOKUP(A123,Generators!$A$2:$AZ$516,19,FALSE)</f>
        <v>#N/A</v>
      </c>
      <c r="C123" s="124" t="e">
        <f ca="1">VLOOKUP(A123,Generators!$A$2:$AZ$516,16,FALSE)</f>
        <v>#N/A</v>
      </c>
      <c r="D123" s="124" t="e">
        <f t="shared" ca="1" si="2"/>
        <v>#N/A</v>
      </c>
      <c r="E123" s="158" t="e">
        <f ca="1">IF(VLOOKUP(A123,Generators!$A$2:$AZ$516,20,FALSE)=0,"",VLOOKUP(A123,Generators!$A$2:$AZ$516,20,FALSE))</f>
        <v>#N/A</v>
      </c>
      <c r="F123" s="124" t="e">
        <f ca="1">IF(VLOOKUP(A123,Generators!$A$2:$AZ$516,17,FALSE)=0,"",VLOOKUP(A123,Generators!$A$2:$AZ$516,17,FALSE))</f>
        <v>#N/A</v>
      </c>
      <c r="G123" s="164" t="str">
        <f t="shared" ca="1" si="3"/>
        <v/>
      </c>
    </row>
    <row r="124" spans="1:7" x14ac:dyDescent="0.35">
      <c r="A124" t="e">
        <f ca="1"/>
        <v>#N/A</v>
      </c>
      <c r="B124" s="158" t="e">
        <f ca="1">VLOOKUP(A124,Generators!$A$2:$AZ$516,19,FALSE)</f>
        <v>#N/A</v>
      </c>
      <c r="C124" s="124" t="e">
        <f ca="1">VLOOKUP(A124,Generators!$A$2:$AZ$516,16,FALSE)</f>
        <v>#N/A</v>
      </c>
      <c r="D124" s="124" t="e">
        <f t="shared" ca="1" si="2"/>
        <v>#N/A</v>
      </c>
      <c r="E124" s="158" t="e">
        <f ca="1">IF(VLOOKUP(A124,Generators!$A$2:$AZ$516,20,FALSE)=0,"",VLOOKUP(A124,Generators!$A$2:$AZ$516,20,FALSE))</f>
        <v>#N/A</v>
      </c>
      <c r="F124" s="124" t="e">
        <f ca="1">IF(VLOOKUP(A124,Generators!$A$2:$AZ$516,17,FALSE)=0,"",VLOOKUP(A124,Generators!$A$2:$AZ$516,17,FALSE))</f>
        <v>#N/A</v>
      </c>
      <c r="G124" s="164" t="str">
        <f t="shared" ca="1" si="3"/>
        <v/>
      </c>
    </row>
    <row r="125" spans="1:7" x14ac:dyDescent="0.35">
      <c r="A125" t="e">
        <f ca="1"/>
        <v>#N/A</v>
      </c>
      <c r="B125" s="158" t="e">
        <f ca="1">VLOOKUP(A125,Generators!$A$2:$AZ$516,19,FALSE)</f>
        <v>#N/A</v>
      </c>
      <c r="C125" s="124" t="e">
        <f ca="1">VLOOKUP(A125,Generators!$A$2:$AZ$516,16,FALSE)</f>
        <v>#N/A</v>
      </c>
      <c r="D125" s="124" t="e">
        <f t="shared" ca="1" si="2"/>
        <v>#N/A</v>
      </c>
      <c r="E125" s="158" t="e">
        <f ca="1">IF(VLOOKUP(A125,Generators!$A$2:$AZ$516,20,FALSE)=0,"",VLOOKUP(A125,Generators!$A$2:$AZ$516,20,FALSE))</f>
        <v>#N/A</v>
      </c>
      <c r="F125" s="124" t="e">
        <f ca="1">IF(VLOOKUP(A125,Generators!$A$2:$AZ$516,17,FALSE)=0,"",VLOOKUP(A125,Generators!$A$2:$AZ$516,17,FALSE))</f>
        <v>#N/A</v>
      </c>
      <c r="G125" s="164" t="str">
        <f t="shared" ca="1" si="3"/>
        <v/>
      </c>
    </row>
    <row r="126" spans="1:7" x14ac:dyDescent="0.35">
      <c r="A126" t="e">
        <f ca="1"/>
        <v>#N/A</v>
      </c>
      <c r="B126" s="158" t="e">
        <f ca="1">VLOOKUP(A126,Generators!$A$2:$AZ$516,19,FALSE)</f>
        <v>#N/A</v>
      </c>
      <c r="C126" s="124" t="e">
        <f ca="1">VLOOKUP(A126,Generators!$A$2:$AZ$516,16,FALSE)</f>
        <v>#N/A</v>
      </c>
      <c r="D126" s="124" t="e">
        <f t="shared" ca="1" si="2"/>
        <v>#N/A</v>
      </c>
      <c r="E126" s="158" t="e">
        <f ca="1">IF(VLOOKUP(A126,Generators!$A$2:$AZ$516,20,FALSE)=0,"",VLOOKUP(A126,Generators!$A$2:$AZ$516,20,FALSE))</f>
        <v>#N/A</v>
      </c>
      <c r="F126" s="124" t="e">
        <f ca="1">IF(VLOOKUP(A126,Generators!$A$2:$AZ$516,17,FALSE)=0,"",VLOOKUP(A126,Generators!$A$2:$AZ$516,17,FALSE))</f>
        <v>#N/A</v>
      </c>
      <c r="G126" s="164" t="str">
        <f t="shared" ca="1" si="3"/>
        <v/>
      </c>
    </row>
    <row r="127" spans="1:7" x14ac:dyDescent="0.35">
      <c r="A127" t="e">
        <f ca="1"/>
        <v>#N/A</v>
      </c>
      <c r="B127" s="158" t="e">
        <f ca="1">VLOOKUP(A127,Generators!$A$2:$AZ$516,19,FALSE)</f>
        <v>#N/A</v>
      </c>
      <c r="C127" s="124" t="e">
        <f ca="1">VLOOKUP(A127,Generators!$A$2:$AZ$516,16,FALSE)</f>
        <v>#N/A</v>
      </c>
      <c r="D127" s="124" t="e">
        <f t="shared" ca="1" si="2"/>
        <v>#N/A</v>
      </c>
      <c r="E127" s="158" t="e">
        <f ca="1">IF(VLOOKUP(A127,Generators!$A$2:$AZ$516,20,FALSE)=0,"",VLOOKUP(A127,Generators!$A$2:$AZ$516,20,FALSE))</f>
        <v>#N/A</v>
      </c>
      <c r="F127" s="124" t="e">
        <f ca="1">IF(VLOOKUP(A127,Generators!$A$2:$AZ$516,17,FALSE)=0,"",VLOOKUP(A127,Generators!$A$2:$AZ$516,17,FALSE))</f>
        <v>#N/A</v>
      </c>
      <c r="G127" s="164" t="str">
        <f t="shared" ca="1" si="3"/>
        <v/>
      </c>
    </row>
    <row r="128" spans="1:7" x14ac:dyDescent="0.35">
      <c r="A128" t="e">
        <f ca="1"/>
        <v>#N/A</v>
      </c>
      <c r="B128" s="158" t="e">
        <f ca="1">VLOOKUP(A128,Generators!$A$2:$AZ$516,19,FALSE)</f>
        <v>#N/A</v>
      </c>
      <c r="C128" s="124" t="e">
        <f ca="1">VLOOKUP(A128,Generators!$A$2:$AZ$516,16,FALSE)</f>
        <v>#N/A</v>
      </c>
      <c r="D128" s="124" t="e">
        <f t="shared" ca="1" si="2"/>
        <v>#N/A</v>
      </c>
      <c r="E128" s="158" t="e">
        <f ca="1">IF(VLOOKUP(A128,Generators!$A$2:$AZ$516,20,FALSE)=0,"",VLOOKUP(A128,Generators!$A$2:$AZ$516,20,FALSE))</f>
        <v>#N/A</v>
      </c>
      <c r="F128" s="124" t="e">
        <f ca="1">IF(VLOOKUP(A128,Generators!$A$2:$AZ$516,17,FALSE)=0,"",VLOOKUP(A128,Generators!$A$2:$AZ$516,17,FALSE))</f>
        <v>#N/A</v>
      </c>
      <c r="G128" s="164" t="str">
        <f t="shared" ca="1" si="3"/>
        <v/>
      </c>
    </row>
    <row r="129" spans="1:7" x14ac:dyDescent="0.35">
      <c r="A129" t="e">
        <f ca="1"/>
        <v>#N/A</v>
      </c>
      <c r="B129" s="158" t="e">
        <f ca="1">VLOOKUP(A129,Generators!$A$2:$AZ$516,19,FALSE)</f>
        <v>#N/A</v>
      </c>
      <c r="C129" s="124" t="e">
        <f ca="1">VLOOKUP(A129,Generators!$A$2:$AZ$516,16,FALSE)</f>
        <v>#N/A</v>
      </c>
      <c r="D129" s="124" t="e">
        <f t="shared" ca="1" si="2"/>
        <v>#N/A</v>
      </c>
      <c r="E129" s="158" t="e">
        <f ca="1">IF(VLOOKUP(A129,Generators!$A$2:$AZ$516,20,FALSE)=0,"",VLOOKUP(A129,Generators!$A$2:$AZ$516,20,FALSE))</f>
        <v>#N/A</v>
      </c>
      <c r="F129" s="124" t="e">
        <f ca="1">IF(VLOOKUP(A129,Generators!$A$2:$AZ$516,17,FALSE)=0,"",VLOOKUP(A129,Generators!$A$2:$AZ$516,17,FALSE))</f>
        <v>#N/A</v>
      </c>
      <c r="G129" s="164" t="str">
        <f t="shared" ca="1" si="3"/>
        <v/>
      </c>
    </row>
    <row r="130" spans="1:7" x14ac:dyDescent="0.35">
      <c r="A130" t="e">
        <f ca="1"/>
        <v>#N/A</v>
      </c>
      <c r="B130" s="158" t="e">
        <f ca="1">VLOOKUP(A130,Generators!$A$2:$AZ$516,19,FALSE)</f>
        <v>#N/A</v>
      </c>
      <c r="C130" s="124" t="e">
        <f ca="1">VLOOKUP(A130,Generators!$A$2:$AZ$516,16,FALSE)</f>
        <v>#N/A</v>
      </c>
      <c r="D130" s="124" t="e">
        <f t="shared" ref="D130:D193" ca="1" si="4">ROUND(B130/C130,0)</f>
        <v>#N/A</v>
      </c>
      <c r="E130" s="158" t="e">
        <f ca="1">IF(VLOOKUP(A130,Generators!$A$2:$AZ$516,20,FALSE)=0,"",VLOOKUP(A130,Generators!$A$2:$AZ$516,20,FALSE))</f>
        <v>#N/A</v>
      </c>
      <c r="F130" s="124" t="e">
        <f ca="1">IF(VLOOKUP(A130,Generators!$A$2:$AZ$516,17,FALSE)=0,"",VLOOKUP(A130,Generators!$A$2:$AZ$516,17,FALSE))</f>
        <v>#N/A</v>
      </c>
      <c r="G130" s="164" t="str">
        <f t="shared" ca="1" si="3"/>
        <v/>
      </c>
    </row>
    <row r="131" spans="1:7" x14ac:dyDescent="0.35">
      <c r="A131" t="e">
        <f ca="1"/>
        <v>#N/A</v>
      </c>
      <c r="B131" s="158" t="e">
        <f ca="1">VLOOKUP(A131,Generators!$A$2:$AZ$516,19,FALSE)</f>
        <v>#N/A</v>
      </c>
      <c r="C131" s="124" t="e">
        <f ca="1">VLOOKUP(A131,Generators!$A$2:$AZ$516,16,FALSE)</f>
        <v>#N/A</v>
      </c>
      <c r="D131" s="124" t="e">
        <f t="shared" ca="1" si="4"/>
        <v>#N/A</v>
      </c>
      <c r="E131" s="158" t="e">
        <f ca="1">IF(VLOOKUP(A131,Generators!$A$2:$AZ$516,20,FALSE)=0,"",VLOOKUP(A131,Generators!$A$2:$AZ$516,20,FALSE))</f>
        <v>#N/A</v>
      </c>
      <c r="F131" s="124" t="e">
        <f ca="1">IF(VLOOKUP(A131,Generators!$A$2:$AZ$516,17,FALSE)=0,"",VLOOKUP(A131,Generators!$A$2:$AZ$516,17,FALSE))</f>
        <v>#N/A</v>
      </c>
      <c r="G131" s="164" t="str">
        <f t="shared" ref="G131:G194" ca="1" si="5">IFERROR(E131/F131,"")</f>
        <v/>
      </c>
    </row>
    <row r="132" spans="1:7" x14ac:dyDescent="0.35">
      <c r="A132" t="e">
        <f ca="1"/>
        <v>#N/A</v>
      </c>
      <c r="B132" s="158" t="e">
        <f ca="1">VLOOKUP(A132,Generators!$A$2:$AZ$516,19,FALSE)</f>
        <v>#N/A</v>
      </c>
      <c r="C132" s="124" t="e">
        <f ca="1">VLOOKUP(A132,Generators!$A$2:$AZ$516,16,FALSE)</f>
        <v>#N/A</v>
      </c>
      <c r="D132" s="124" t="e">
        <f t="shared" ca="1" si="4"/>
        <v>#N/A</v>
      </c>
      <c r="E132" s="158" t="e">
        <f ca="1">IF(VLOOKUP(A132,Generators!$A$2:$AZ$516,20,FALSE)=0,"",VLOOKUP(A132,Generators!$A$2:$AZ$516,20,FALSE))</f>
        <v>#N/A</v>
      </c>
      <c r="F132" s="124" t="e">
        <f ca="1">IF(VLOOKUP(A132,Generators!$A$2:$AZ$516,17,FALSE)=0,"",VLOOKUP(A132,Generators!$A$2:$AZ$516,17,FALSE))</f>
        <v>#N/A</v>
      </c>
      <c r="G132" s="164" t="str">
        <f t="shared" ca="1" si="5"/>
        <v/>
      </c>
    </row>
    <row r="133" spans="1:7" x14ac:dyDescent="0.35">
      <c r="A133" t="e">
        <f ca="1"/>
        <v>#N/A</v>
      </c>
      <c r="B133" s="158" t="e">
        <f ca="1">VLOOKUP(A133,Generators!$A$2:$AZ$516,19,FALSE)</f>
        <v>#N/A</v>
      </c>
      <c r="C133" s="124" t="e">
        <f ca="1">VLOOKUP(A133,Generators!$A$2:$AZ$516,16,FALSE)</f>
        <v>#N/A</v>
      </c>
      <c r="D133" s="124" t="e">
        <f t="shared" ca="1" si="4"/>
        <v>#N/A</v>
      </c>
      <c r="E133" s="158" t="e">
        <f ca="1">IF(VLOOKUP(A133,Generators!$A$2:$AZ$516,20,FALSE)=0,"",VLOOKUP(A133,Generators!$A$2:$AZ$516,20,FALSE))</f>
        <v>#N/A</v>
      </c>
      <c r="F133" s="124" t="e">
        <f ca="1">IF(VLOOKUP(A133,Generators!$A$2:$AZ$516,17,FALSE)=0,"",VLOOKUP(A133,Generators!$A$2:$AZ$516,17,FALSE))</f>
        <v>#N/A</v>
      </c>
      <c r="G133" s="164" t="str">
        <f t="shared" ca="1" si="5"/>
        <v/>
      </c>
    </row>
    <row r="134" spans="1:7" x14ac:dyDescent="0.35">
      <c r="A134" t="e">
        <f ca="1"/>
        <v>#N/A</v>
      </c>
      <c r="B134" s="158" t="e">
        <f ca="1">VLOOKUP(A134,Generators!$A$2:$AZ$516,19,FALSE)</f>
        <v>#N/A</v>
      </c>
      <c r="C134" s="124" t="e">
        <f ca="1">VLOOKUP(A134,Generators!$A$2:$AZ$516,16,FALSE)</f>
        <v>#N/A</v>
      </c>
      <c r="D134" s="124" t="e">
        <f t="shared" ca="1" si="4"/>
        <v>#N/A</v>
      </c>
      <c r="E134" s="158" t="e">
        <f ca="1">IF(VLOOKUP(A134,Generators!$A$2:$AZ$516,20,FALSE)=0,"",VLOOKUP(A134,Generators!$A$2:$AZ$516,20,FALSE))</f>
        <v>#N/A</v>
      </c>
      <c r="F134" s="124" t="e">
        <f ca="1">IF(VLOOKUP(A134,Generators!$A$2:$AZ$516,17,FALSE)=0,"",VLOOKUP(A134,Generators!$A$2:$AZ$516,17,FALSE))</f>
        <v>#N/A</v>
      </c>
      <c r="G134" s="164" t="str">
        <f t="shared" ca="1" si="5"/>
        <v/>
      </c>
    </row>
    <row r="135" spans="1:7" x14ac:dyDescent="0.35">
      <c r="A135" t="e">
        <f ca="1"/>
        <v>#N/A</v>
      </c>
      <c r="B135" s="158" t="e">
        <f ca="1">VLOOKUP(A135,Generators!$A$2:$AZ$516,19,FALSE)</f>
        <v>#N/A</v>
      </c>
      <c r="C135" s="124" t="e">
        <f ca="1">VLOOKUP(A135,Generators!$A$2:$AZ$516,16,FALSE)</f>
        <v>#N/A</v>
      </c>
      <c r="D135" s="124" t="e">
        <f t="shared" ca="1" si="4"/>
        <v>#N/A</v>
      </c>
      <c r="E135" s="158" t="e">
        <f ca="1">IF(VLOOKUP(A135,Generators!$A$2:$AZ$516,20,FALSE)=0,"",VLOOKUP(A135,Generators!$A$2:$AZ$516,20,FALSE))</f>
        <v>#N/A</v>
      </c>
      <c r="F135" s="124" t="e">
        <f ca="1">IF(VLOOKUP(A135,Generators!$A$2:$AZ$516,17,FALSE)=0,"",VLOOKUP(A135,Generators!$A$2:$AZ$516,17,FALSE))</f>
        <v>#N/A</v>
      </c>
      <c r="G135" s="164" t="str">
        <f t="shared" ca="1" si="5"/>
        <v/>
      </c>
    </row>
    <row r="136" spans="1:7" x14ac:dyDescent="0.35">
      <c r="A136" t="e">
        <f ca="1"/>
        <v>#N/A</v>
      </c>
      <c r="B136" s="158" t="e">
        <f ca="1">VLOOKUP(A136,Generators!$A$2:$AZ$516,19,FALSE)</f>
        <v>#N/A</v>
      </c>
      <c r="C136" s="124" t="e">
        <f ca="1">VLOOKUP(A136,Generators!$A$2:$AZ$516,16,FALSE)</f>
        <v>#N/A</v>
      </c>
      <c r="D136" s="124" t="e">
        <f t="shared" ca="1" si="4"/>
        <v>#N/A</v>
      </c>
      <c r="E136" s="158" t="e">
        <f ca="1">IF(VLOOKUP(A136,Generators!$A$2:$AZ$516,20,FALSE)=0,"",VLOOKUP(A136,Generators!$A$2:$AZ$516,20,FALSE))</f>
        <v>#N/A</v>
      </c>
      <c r="F136" s="124" t="e">
        <f ca="1">IF(VLOOKUP(A136,Generators!$A$2:$AZ$516,17,FALSE)=0,"",VLOOKUP(A136,Generators!$A$2:$AZ$516,17,FALSE))</f>
        <v>#N/A</v>
      </c>
      <c r="G136" s="164" t="str">
        <f t="shared" ca="1" si="5"/>
        <v/>
      </c>
    </row>
    <row r="137" spans="1:7" x14ac:dyDescent="0.35">
      <c r="A137" t="e">
        <f ca="1"/>
        <v>#N/A</v>
      </c>
      <c r="B137" s="158" t="e">
        <f ca="1">VLOOKUP(A137,Generators!$A$2:$AZ$516,19,FALSE)</f>
        <v>#N/A</v>
      </c>
      <c r="C137" s="124" t="e">
        <f ca="1">VLOOKUP(A137,Generators!$A$2:$AZ$516,16,FALSE)</f>
        <v>#N/A</v>
      </c>
      <c r="D137" s="124" t="e">
        <f t="shared" ca="1" si="4"/>
        <v>#N/A</v>
      </c>
      <c r="E137" s="158" t="e">
        <f ca="1">IF(VLOOKUP(A137,Generators!$A$2:$AZ$516,20,FALSE)=0,"",VLOOKUP(A137,Generators!$A$2:$AZ$516,20,FALSE))</f>
        <v>#N/A</v>
      </c>
      <c r="F137" s="124" t="e">
        <f ca="1">IF(VLOOKUP(A137,Generators!$A$2:$AZ$516,17,FALSE)=0,"",VLOOKUP(A137,Generators!$A$2:$AZ$516,17,FALSE))</f>
        <v>#N/A</v>
      </c>
      <c r="G137" s="164" t="str">
        <f t="shared" ca="1" si="5"/>
        <v/>
      </c>
    </row>
    <row r="138" spans="1:7" x14ac:dyDescent="0.35">
      <c r="A138" t="e">
        <f ca="1"/>
        <v>#N/A</v>
      </c>
      <c r="B138" s="158" t="e">
        <f ca="1">VLOOKUP(A138,Generators!$A$2:$AZ$516,19,FALSE)</f>
        <v>#N/A</v>
      </c>
      <c r="C138" s="124" t="e">
        <f ca="1">VLOOKUP(A138,Generators!$A$2:$AZ$516,16,FALSE)</f>
        <v>#N/A</v>
      </c>
      <c r="D138" s="124" t="e">
        <f t="shared" ca="1" si="4"/>
        <v>#N/A</v>
      </c>
      <c r="E138" s="158" t="e">
        <f ca="1">IF(VLOOKUP(A138,Generators!$A$2:$AZ$516,20,FALSE)=0,"",VLOOKUP(A138,Generators!$A$2:$AZ$516,20,FALSE))</f>
        <v>#N/A</v>
      </c>
      <c r="F138" s="124" t="e">
        <f ca="1">IF(VLOOKUP(A138,Generators!$A$2:$AZ$516,17,FALSE)=0,"",VLOOKUP(A138,Generators!$A$2:$AZ$516,17,FALSE))</f>
        <v>#N/A</v>
      </c>
      <c r="G138" s="164" t="str">
        <f t="shared" ca="1" si="5"/>
        <v/>
      </c>
    </row>
    <row r="139" spans="1:7" x14ac:dyDescent="0.35">
      <c r="A139" t="e">
        <f ca="1"/>
        <v>#N/A</v>
      </c>
      <c r="B139" s="158" t="e">
        <f ca="1">VLOOKUP(A139,Generators!$A$2:$AZ$516,19,FALSE)</f>
        <v>#N/A</v>
      </c>
      <c r="C139" s="124" t="e">
        <f ca="1">VLOOKUP(A139,Generators!$A$2:$AZ$516,16,FALSE)</f>
        <v>#N/A</v>
      </c>
      <c r="D139" s="124" t="e">
        <f t="shared" ca="1" si="4"/>
        <v>#N/A</v>
      </c>
      <c r="E139" s="158" t="e">
        <f ca="1">IF(VLOOKUP(A139,Generators!$A$2:$AZ$516,20,FALSE)=0,"",VLOOKUP(A139,Generators!$A$2:$AZ$516,20,FALSE))</f>
        <v>#N/A</v>
      </c>
      <c r="F139" s="124" t="e">
        <f ca="1">IF(VLOOKUP(A139,Generators!$A$2:$AZ$516,17,FALSE)=0,"",VLOOKUP(A139,Generators!$A$2:$AZ$516,17,FALSE))</f>
        <v>#N/A</v>
      </c>
      <c r="G139" s="164" t="str">
        <f t="shared" ca="1" si="5"/>
        <v/>
      </c>
    </row>
    <row r="140" spans="1:7" x14ac:dyDescent="0.35">
      <c r="A140" t="e">
        <f ca="1"/>
        <v>#N/A</v>
      </c>
      <c r="B140" s="158" t="e">
        <f ca="1">VLOOKUP(A140,Generators!$A$2:$AZ$516,19,FALSE)</f>
        <v>#N/A</v>
      </c>
      <c r="C140" s="124" t="e">
        <f ca="1">VLOOKUP(A140,Generators!$A$2:$AZ$516,16,FALSE)</f>
        <v>#N/A</v>
      </c>
      <c r="D140" s="124" t="e">
        <f t="shared" ca="1" si="4"/>
        <v>#N/A</v>
      </c>
      <c r="E140" s="158" t="e">
        <f ca="1">IF(VLOOKUP(A140,Generators!$A$2:$AZ$516,20,FALSE)=0,"",VLOOKUP(A140,Generators!$A$2:$AZ$516,20,FALSE))</f>
        <v>#N/A</v>
      </c>
      <c r="F140" s="124" t="e">
        <f ca="1">IF(VLOOKUP(A140,Generators!$A$2:$AZ$516,17,FALSE)=0,"",VLOOKUP(A140,Generators!$A$2:$AZ$516,17,FALSE))</f>
        <v>#N/A</v>
      </c>
      <c r="G140" s="164" t="str">
        <f t="shared" ca="1" si="5"/>
        <v/>
      </c>
    </row>
    <row r="141" spans="1:7" x14ac:dyDescent="0.35">
      <c r="A141" t="e">
        <f ca="1"/>
        <v>#N/A</v>
      </c>
      <c r="B141" s="158" t="e">
        <f ca="1">VLOOKUP(A141,Generators!$A$2:$AZ$516,19,FALSE)</f>
        <v>#N/A</v>
      </c>
      <c r="C141" s="124" t="e">
        <f ca="1">VLOOKUP(A141,Generators!$A$2:$AZ$516,16,FALSE)</f>
        <v>#N/A</v>
      </c>
      <c r="D141" s="124" t="e">
        <f t="shared" ca="1" si="4"/>
        <v>#N/A</v>
      </c>
      <c r="E141" s="158" t="e">
        <f ca="1">IF(VLOOKUP(A141,Generators!$A$2:$AZ$516,20,FALSE)=0,"",VLOOKUP(A141,Generators!$A$2:$AZ$516,20,FALSE))</f>
        <v>#N/A</v>
      </c>
      <c r="F141" s="124" t="e">
        <f ca="1">IF(VLOOKUP(A141,Generators!$A$2:$AZ$516,17,FALSE)=0,"",VLOOKUP(A141,Generators!$A$2:$AZ$516,17,FALSE))</f>
        <v>#N/A</v>
      </c>
      <c r="G141" s="164" t="str">
        <f t="shared" ca="1" si="5"/>
        <v/>
      </c>
    </row>
    <row r="142" spans="1:7" x14ac:dyDescent="0.35">
      <c r="A142" t="e">
        <f ca="1"/>
        <v>#N/A</v>
      </c>
      <c r="B142" s="158" t="e">
        <f ca="1">VLOOKUP(A142,Generators!$A$2:$AZ$516,19,FALSE)</f>
        <v>#N/A</v>
      </c>
      <c r="C142" s="124" t="e">
        <f ca="1">VLOOKUP(A142,Generators!$A$2:$AZ$516,16,FALSE)</f>
        <v>#N/A</v>
      </c>
      <c r="D142" s="124" t="e">
        <f t="shared" ca="1" si="4"/>
        <v>#N/A</v>
      </c>
      <c r="E142" s="158" t="e">
        <f ca="1">IF(VLOOKUP(A142,Generators!$A$2:$AZ$516,20,FALSE)=0,"",VLOOKUP(A142,Generators!$A$2:$AZ$516,20,FALSE))</f>
        <v>#N/A</v>
      </c>
      <c r="F142" s="124" t="e">
        <f ca="1">IF(VLOOKUP(A142,Generators!$A$2:$AZ$516,17,FALSE)=0,"",VLOOKUP(A142,Generators!$A$2:$AZ$516,17,FALSE))</f>
        <v>#N/A</v>
      </c>
      <c r="G142" s="164" t="str">
        <f t="shared" ca="1" si="5"/>
        <v/>
      </c>
    </row>
    <row r="143" spans="1:7" x14ac:dyDescent="0.35">
      <c r="A143" t="e">
        <f ca="1"/>
        <v>#N/A</v>
      </c>
      <c r="B143" s="158" t="e">
        <f ca="1">VLOOKUP(A143,Generators!$A$2:$AZ$516,19,FALSE)</f>
        <v>#N/A</v>
      </c>
      <c r="C143" s="124" t="e">
        <f ca="1">VLOOKUP(A143,Generators!$A$2:$AZ$516,16,FALSE)</f>
        <v>#N/A</v>
      </c>
      <c r="D143" s="124" t="e">
        <f t="shared" ca="1" si="4"/>
        <v>#N/A</v>
      </c>
      <c r="E143" s="158" t="e">
        <f ca="1">IF(VLOOKUP(A143,Generators!$A$2:$AZ$516,20,FALSE)=0,"",VLOOKUP(A143,Generators!$A$2:$AZ$516,20,FALSE))</f>
        <v>#N/A</v>
      </c>
      <c r="F143" s="124" t="e">
        <f ca="1">IF(VLOOKUP(A143,Generators!$A$2:$AZ$516,17,FALSE)=0,"",VLOOKUP(A143,Generators!$A$2:$AZ$516,17,FALSE))</f>
        <v>#N/A</v>
      </c>
      <c r="G143" s="164" t="str">
        <f t="shared" ca="1" si="5"/>
        <v/>
      </c>
    </row>
    <row r="144" spans="1:7" x14ac:dyDescent="0.35">
      <c r="A144" t="e">
        <f ca="1"/>
        <v>#N/A</v>
      </c>
      <c r="B144" s="158" t="e">
        <f ca="1">VLOOKUP(A144,Generators!$A$2:$AZ$516,19,FALSE)</f>
        <v>#N/A</v>
      </c>
      <c r="C144" s="124" t="e">
        <f ca="1">VLOOKUP(A144,Generators!$A$2:$AZ$516,16,FALSE)</f>
        <v>#N/A</v>
      </c>
      <c r="D144" s="124" t="e">
        <f t="shared" ca="1" si="4"/>
        <v>#N/A</v>
      </c>
      <c r="E144" s="158" t="e">
        <f ca="1">IF(VLOOKUP(A144,Generators!$A$2:$AZ$516,20,FALSE)=0,"",VLOOKUP(A144,Generators!$A$2:$AZ$516,20,FALSE))</f>
        <v>#N/A</v>
      </c>
      <c r="F144" s="124" t="e">
        <f ca="1">IF(VLOOKUP(A144,Generators!$A$2:$AZ$516,17,FALSE)=0,"",VLOOKUP(A144,Generators!$A$2:$AZ$516,17,FALSE))</f>
        <v>#N/A</v>
      </c>
      <c r="G144" s="164" t="str">
        <f t="shared" ca="1" si="5"/>
        <v/>
      </c>
    </row>
    <row r="145" spans="1:7" x14ac:dyDescent="0.35">
      <c r="A145" t="e">
        <f ca="1"/>
        <v>#N/A</v>
      </c>
      <c r="B145" s="158" t="e">
        <f ca="1">VLOOKUP(A145,Generators!$A$2:$AZ$516,19,FALSE)</f>
        <v>#N/A</v>
      </c>
      <c r="C145" s="124" t="e">
        <f ca="1">VLOOKUP(A145,Generators!$A$2:$AZ$516,16,FALSE)</f>
        <v>#N/A</v>
      </c>
      <c r="D145" s="124" t="e">
        <f t="shared" ca="1" si="4"/>
        <v>#N/A</v>
      </c>
      <c r="E145" s="158" t="e">
        <f ca="1">IF(VLOOKUP(A145,Generators!$A$2:$AZ$516,20,FALSE)=0,"",VLOOKUP(A145,Generators!$A$2:$AZ$516,20,FALSE))</f>
        <v>#N/A</v>
      </c>
      <c r="F145" s="124" t="e">
        <f ca="1">IF(VLOOKUP(A145,Generators!$A$2:$AZ$516,17,FALSE)=0,"",VLOOKUP(A145,Generators!$A$2:$AZ$516,17,FALSE))</f>
        <v>#N/A</v>
      </c>
      <c r="G145" s="164" t="str">
        <f t="shared" ca="1" si="5"/>
        <v/>
      </c>
    </row>
    <row r="146" spans="1:7" x14ac:dyDescent="0.35">
      <c r="A146" t="e">
        <f ca="1"/>
        <v>#N/A</v>
      </c>
      <c r="B146" s="158" t="e">
        <f ca="1">VLOOKUP(A146,Generators!$A$2:$AZ$516,19,FALSE)</f>
        <v>#N/A</v>
      </c>
      <c r="C146" s="124" t="e">
        <f ca="1">VLOOKUP(A146,Generators!$A$2:$AZ$516,16,FALSE)</f>
        <v>#N/A</v>
      </c>
      <c r="D146" s="124" t="e">
        <f t="shared" ca="1" si="4"/>
        <v>#N/A</v>
      </c>
      <c r="E146" s="158" t="e">
        <f ca="1">IF(VLOOKUP(A146,Generators!$A$2:$AZ$516,20,FALSE)=0,"",VLOOKUP(A146,Generators!$A$2:$AZ$516,20,FALSE))</f>
        <v>#N/A</v>
      </c>
      <c r="F146" s="124" t="e">
        <f ca="1">IF(VLOOKUP(A146,Generators!$A$2:$AZ$516,17,FALSE)=0,"",VLOOKUP(A146,Generators!$A$2:$AZ$516,17,FALSE))</f>
        <v>#N/A</v>
      </c>
      <c r="G146" s="164" t="str">
        <f t="shared" ca="1" si="5"/>
        <v/>
      </c>
    </row>
    <row r="147" spans="1:7" x14ac:dyDescent="0.35">
      <c r="A147" t="e">
        <f ca="1"/>
        <v>#N/A</v>
      </c>
      <c r="B147" s="158" t="e">
        <f ca="1">VLOOKUP(A147,Generators!$A$2:$AZ$516,19,FALSE)</f>
        <v>#N/A</v>
      </c>
      <c r="C147" s="124" t="e">
        <f ca="1">VLOOKUP(A147,Generators!$A$2:$AZ$516,16,FALSE)</f>
        <v>#N/A</v>
      </c>
      <c r="D147" s="124" t="e">
        <f t="shared" ca="1" si="4"/>
        <v>#N/A</v>
      </c>
      <c r="E147" s="158" t="e">
        <f ca="1">IF(VLOOKUP(A147,Generators!$A$2:$AZ$516,20,FALSE)=0,"",VLOOKUP(A147,Generators!$A$2:$AZ$516,20,FALSE))</f>
        <v>#N/A</v>
      </c>
      <c r="F147" s="124" t="e">
        <f ca="1">IF(VLOOKUP(A147,Generators!$A$2:$AZ$516,17,FALSE)=0,"",VLOOKUP(A147,Generators!$A$2:$AZ$516,17,FALSE))</f>
        <v>#N/A</v>
      </c>
      <c r="G147" s="164" t="str">
        <f t="shared" ca="1" si="5"/>
        <v/>
      </c>
    </row>
    <row r="148" spans="1:7" x14ac:dyDescent="0.35">
      <c r="A148" t="e">
        <f ca="1"/>
        <v>#N/A</v>
      </c>
      <c r="B148" s="158" t="e">
        <f ca="1">VLOOKUP(A148,Generators!$A$2:$AZ$516,19,FALSE)</f>
        <v>#N/A</v>
      </c>
      <c r="C148" s="124" t="e">
        <f ca="1">VLOOKUP(A148,Generators!$A$2:$AZ$516,16,FALSE)</f>
        <v>#N/A</v>
      </c>
      <c r="D148" s="124" t="e">
        <f t="shared" ca="1" si="4"/>
        <v>#N/A</v>
      </c>
      <c r="E148" s="158" t="e">
        <f ca="1">IF(VLOOKUP(A148,Generators!$A$2:$AZ$516,20,FALSE)=0,"",VLOOKUP(A148,Generators!$A$2:$AZ$516,20,FALSE))</f>
        <v>#N/A</v>
      </c>
      <c r="F148" s="124" t="e">
        <f ca="1">IF(VLOOKUP(A148,Generators!$A$2:$AZ$516,17,FALSE)=0,"",VLOOKUP(A148,Generators!$A$2:$AZ$516,17,FALSE))</f>
        <v>#N/A</v>
      </c>
      <c r="G148" s="164" t="str">
        <f t="shared" ca="1" si="5"/>
        <v/>
      </c>
    </row>
    <row r="149" spans="1:7" x14ac:dyDescent="0.35">
      <c r="A149" t="e">
        <f ca="1"/>
        <v>#N/A</v>
      </c>
      <c r="B149" s="158" t="e">
        <f ca="1">VLOOKUP(A149,Generators!$A$2:$AZ$516,19,FALSE)</f>
        <v>#N/A</v>
      </c>
      <c r="C149" s="124" t="e">
        <f ca="1">VLOOKUP(A149,Generators!$A$2:$AZ$516,16,FALSE)</f>
        <v>#N/A</v>
      </c>
      <c r="D149" s="124" t="e">
        <f t="shared" ca="1" si="4"/>
        <v>#N/A</v>
      </c>
      <c r="E149" s="158" t="e">
        <f ca="1">IF(VLOOKUP(A149,Generators!$A$2:$AZ$516,20,FALSE)=0,"",VLOOKUP(A149,Generators!$A$2:$AZ$516,20,FALSE))</f>
        <v>#N/A</v>
      </c>
      <c r="F149" s="124" t="e">
        <f ca="1">IF(VLOOKUP(A149,Generators!$A$2:$AZ$516,17,FALSE)=0,"",VLOOKUP(A149,Generators!$A$2:$AZ$516,17,FALSE))</f>
        <v>#N/A</v>
      </c>
      <c r="G149" s="164" t="str">
        <f t="shared" ca="1" si="5"/>
        <v/>
      </c>
    </row>
    <row r="150" spans="1:7" x14ac:dyDescent="0.35">
      <c r="A150" t="e">
        <f ca="1"/>
        <v>#N/A</v>
      </c>
      <c r="B150" s="158" t="e">
        <f ca="1">VLOOKUP(A150,Generators!$A$2:$AZ$516,19,FALSE)</f>
        <v>#N/A</v>
      </c>
      <c r="C150" s="124" t="e">
        <f ca="1">VLOOKUP(A150,Generators!$A$2:$AZ$516,16,FALSE)</f>
        <v>#N/A</v>
      </c>
      <c r="D150" s="124" t="e">
        <f t="shared" ca="1" si="4"/>
        <v>#N/A</v>
      </c>
      <c r="E150" s="158" t="e">
        <f ca="1">IF(VLOOKUP(A150,Generators!$A$2:$AZ$516,20,FALSE)=0,"",VLOOKUP(A150,Generators!$A$2:$AZ$516,20,FALSE))</f>
        <v>#N/A</v>
      </c>
      <c r="F150" s="124" t="e">
        <f ca="1">IF(VLOOKUP(A150,Generators!$A$2:$AZ$516,17,FALSE)=0,"",VLOOKUP(A150,Generators!$A$2:$AZ$516,17,FALSE))</f>
        <v>#N/A</v>
      </c>
      <c r="G150" s="164" t="str">
        <f t="shared" ca="1" si="5"/>
        <v/>
      </c>
    </row>
    <row r="151" spans="1:7" x14ac:dyDescent="0.35">
      <c r="A151" t="e">
        <f ca="1"/>
        <v>#N/A</v>
      </c>
      <c r="B151" s="158" t="e">
        <f ca="1">VLOOKUP(A151,Generators!$A$2:$AZ$516,19,FALSE)</f>
        <v>#N/A</v>
      </c>
      <c r="C151" s="124" t="e">
        <f ca="1">VLOOKUP(A151,Generators!$A$2:$AZ$516,16,FALSE)</f>
        <v>#N/A</v>
      </c>
      <c r="D151" s="124" t="e">
        <f t="shared" ca="1" si="4"/>
        <v>#N/A</v>
      </c>
      <c r="E151" s="158" t="e">
        <f ca="1">IF(VLOOKUP(A151,Generators!$A$2:$AZ$516,20,FALSE)=0,"",VLOOKUP(A151,Generators!$A$2:$AZ$516,20,FALSE))</f>
        <v>#N/A</v>
      </c>
      <c r="F151" s="124" t="e">
        <f ca="1">IF(VLOOKUP(A151,Generators!$A$2:$AZ$516,17,FALSE)=0,"",VLOOKUP(A151,Generators!$A$2:$AZ$516,17,FALSE))</f>
        <v>#N/A</v>
      </c>
      <c r="G151" s="164" t="str">
        <f t="shared" ca="1" si="5"/>
        <v/>
      </c>
    </row>
    <row r="152" spans="1:7" x14ac:dyDescent="0.35">
      <c r="A152" t="e">
        <f ca="1"/>
        <v>#N/A</v>
      </c>
      <c r="B152" s="158" t="e">
        <f ca="1">VLOOKUP(A152,Generators!$A$2:$AZ$516,19,FALSE)</f>
        <v>#N/A</v>
      </c>
      <c r="C152" s="124" t="e">
        <f ca="1">VLOOKUP(A152,Generators!$A$2:$AZ$516,16,FALSE)</f>
        <v>#N/A</v>
      </c>
      <c r="D152" s="124" t="e">
        <f t="shared" ca="1" si="4"/>
        <v>#N/A</v>
      </c>
      <c r="E152" s="158" t="e">
        <f ca="1">IF(VLOOKUP(A152,Generators!$A$2:$AZ$516,20,FALSE)=0,"",VLOOKUP(A152,Generators!$A$2:$AZ$516,20,FALSE))</f>
        <v>#N/A</v>
      </c>
      <c r="F152" s="124" t="e">
        <f ca="1">IF(VLOOKUP(A152,Generators!$A$2:$AZ$516,17,FALSE)=0,"",VLOOKUP(A152,Generators!$A$2:$AZ$516,17,FALSE))</f>
        <v>#N/A</v>
      </c>
      <c r="G152" s="164" t="str">
        <f t="shared" ca="1" si="5"/>
        <v/>
      </c>
    </row>
    <row r="153" spans="1:7" x14ac:dyDescent="0.35">
      <c r="A153" t="e">
        <f ca="1"/>
        <v>#N/A</v>
      </c>
      <c r="B153" s="158" t="e">
        <f ca="1">VLOOKUP(A153,Generators!$A$2:$AZ$516,19,FALSE)</f>
        <v>#N/A</v>
      </c>
      <c r="C153" s="124" t="e">
        <f ca="1">VLOOKUP(A153,Generators!$A$2:$AZ$516,16,FALSE)</f>
        <v>#N/A</v>
      </c>
      <c r="D153" s="124" t="e">
        <f t="shared" ca="1" si="4"/>
        <v>#N/A</v>
      </c>
      <c r="E153" s="158" t="e">
        <f ca="1">IF(VLOOKUP(A153,Generators!$A$2:$AZ$516,20,FALSE)=0,"",VLOOKUP(A153,Generators!$A$2:$AZ$516,20,FALSE))</f>
        <v>#N/A</v>
      </c>
      <c r="F153" s="124" t="e">
        <f ca="1">IF(VLOOKUP(A153,Generators!$A$2:$AZ$516,17,FALSE)=0,"",VLOOKUP(A153,Generators!$A$2:$AZ$516,17,FALSE))</f>
        <v>#N/A</v>
      </c>
      <c r="G153" s="164" t="str">
        <f t="shared" ca="1" si="5"/>
        <v/>
      </c>
    </row>
    <row r="154" spans="1:7" x14ac:dyDescent="0.35">
      <c r="A154" t="e">
        <f ca="1"/>
        <v>#N/A</v>
      </c>
      <c r="B154" s="158" t="e">
        <f ca="1">VLOOKUP(A154,Generators!$A$2:$AZ$516,19,FALSE)</f>
        <v>#N/A</v>
      </c>
      <c r="C154" s="124" t="e">
        <f ca="1">VLOOKUP(A154,Generators!$A$2:$AZ$516,16,FALSE)</f>
        <v>#N/A</v>
      </c>
      <c r="D154" s="124" t="e">
        <f t="shared" ca="1" si="4"/>
        <v>#N/A</v>
      </c>
      <c r="E154" s="158" t="e">
        <f ca="1">IF(VLOOKUP(A154,Generators!$A$2:$AZ$516,20,FALSE)=0,"",VLOOKUP(A154,Generators!$A$2:$AZ$516,20,FALSE))</f>
        <v>#N/A</v>
      </c>
      <c r="F154" s="124" t="e">
        <f ca="1">IF(VLOOKUP(A154,Generators!$A$2:$AZ$516,17,FALSE)=0,"",VLOOKUP(A154,Generators!$A$2:$AZ$516,17,FALSE))</f>
        <v>#N/A</v>
      </c>
      <c r="G154" s="164" t="str">
        <f t="shared" ca="1" si="5"/>
        <v/>
      </c>
    </row>
    <row r="155" spans="1:7" x14ac:dyDescent="0.35">
      <c r="A155" t="e">
        <f ca="1"/>
        <v>#N/A</v>
      </c>
      <c r="B155" s="158" t="e">
        <f ca="1">VLOOKUP(A155,Generators!$A$2:$AZ$516,19,FALSE)</f>
        <v>#N/A</v>
      </c>
      <c r="C155" s="124" t="e">
        <f ca="1">VLOOKUP(A155,Generators!$A$2:$AZ$516,16,FALSE)</f>
        <v>#N/A</v>
      </c>
      <c r="D155" s="124" t="e">
        <f t="shared" ca="1" si="4"/>
        <v>#N/A</v>
      </c>
      <c r="E155" s="158" t="e">
        <f ca="1">IF(VLOOKUP(A155,Generators!$A$2:$AZ$516,20,FALSE)=0,"",VLOOKUP(A155,Generators!$A$2:$AZ$516,20,FALSE))</f>
        <v>#N/A</v>
      </c>
      <c r="F155" s="124" t="e">
        <f ca="1">IF(VLOOKUP(A155,Generators!$A$2:$AZ$516,17,FALSE)=0,"",VLOOKUP(A155,Generators!$A$2:$AZ$516,17,FALSE))</f>
        <v>#N/A</v>
      </c>
      <c r="G155" s="164" t="str">
        <f t="shared" ca="1" si="5"/>
        <v/>
      </c>
    </row>
    <row r="156" spans="1:7" x14ac:dyDescent="0.35">
      <c r="A156" t="e">
        <f ca="1"/>
        <v>#N/A</v>
      </c>
      <c r="B156" s="158" t="e">
        <f ca="1">VLOOKUP(A156,Generators!$A$2:$AZ$516,19,FALSE)</f>
        <v>#N/A</v>
      </c>
      <c r="C156" s="124" t="e">
        <f ca="1">VLOOKUP(A156,Generators!$A$2:$AZ$516,16,FALSE)</f>
        <v>#N/A</v>
      </c>
      <c r="D156" s="124" t="e">
        <f t="shared" ca="1" si="4"/>
        <v>#N/A</v>
      </c>
      <c r="E156" s="158" t="e">
        <f ca="1">IF(VLOOKUP(A156,Generators!$A$2:$AZ$516,20,FALSE)=0,"",VLOOKUP(A156,Generators!$A$2:$AZ$516,20,FALSE))</f>
        <v>#N/A</v>
      </c>
      <c r="F156" s="124" t="e">
        <f ca="1">IF(VLOOKUP(A156,Generators!$A$2:$AZ$516,17,FALSE)=0,"",VLOOKUP(A156,Generators!$A$2:$AZ$516,17,FALSE))</f>
        <v>#N/A</v>
      </c>
      <c r="G156" s="164" t="str">
        <f t="shared" ca="1" si="5"/>
        <v/>
      </c>
    </row>
    <row r="157" spans="1:7" x14ac:dyDescent="0.35">
      <c r="A157" t="e">
        <f ca="1"/>
        <v>#N/A</v>
      </c>
      <c r="B157" s="158" t="e">
        <f ca="1">VLOOKUP(A157,Generators!$A$2:$AZ$516,19,FALSE)</f>
        <v>#N/A</v>
      </c>
      <c r="C157" s="124" t="e">
        <f ca="1">VLOOKUP(A157,Generators!$A$2:$AZ$516,16,FALSE)</f>
        <v>#N/A</v>
      </c>
      <c r="D157" s="124" t="e">
        <f t="shared" ca="1" si="4"/>
        <v>#N/A</v>
      </c>
      <c r="E157" s="158" t="e">
        <f ca="1">IF(VLOOKUP(A157,Generators!$A$2:$AZ$516,20,FALSE)=0,"",VLOOKUP(A157,Generators!$A$2:$AZ$516,20,FALSE))</f>
        <v>#N/A</v>
      </c>
      <c r="F157" s="124" t="e">
        <f ca="1">IF(VLOOKUP(A157,Generators!$A$2:$AZ$516,17,FALSE)=0,"",VLOOKUP(A157,Generators!$A$2:$AZ$516,17,FALSE))</f>
        <v>#N/A</v>
      </c>
      <c r="G157" s="164" t="str">
        <f t="shared" ca="1" si="5"/>
        <v/>
      </c>
    </row>
    <row r="158" spans="1:7" x14ac:dyDescent="0.35">
      <c r="A158" t="e">
        <f ca="1"/>
        <v>#N/A</v>
      </c>
      <c r="B158" s="158" t="e">
        <f ca="1">VLOOKUP(A158,Generators!$A$2:$AZ$516,19,FALSE)</f>
        <v>#N/A</v>
      </c>
      <c r="C158" s="124" t="e">
        <f ca="1">VLOOKUP(A158,Generators!$A$2:$AZ$516,16,FALSE)</f>
        <v>#N/A</v>
      </c>
      <c r="D158" s="124" t="e">
        <f t="shared" ca="1" si="4"/>
        <v>#N/A</v>
      </c>
      <c r="E158" s="158" t="e">
        <f ca="1">IF(VLOOKUP(A158,Generators!$A$2:$AZ$516,20,FALSE)=0,"",VLOOKUP(A158,Generators!$A$2:$AZ$516,20,FALSE))</f>
        <v>#N/A</v>
      </c>
      <c r="F158" s="124" t="e">
        <f ca="1">IF(VLOOKUP(A158,Generators!$A$2:$AZ$516,17,FALSE)=0,"",VLOOKUP(A158,Generators!$A$2:$AZ$516,17,FALSE))</f>
        <v>#N/A</v>
      </c>
      <c r="G158" s="164" t="str">
        <f t="shared" ca="1" si="5"/>
        <v/>
      </c>
    </row>
    <row r="159" spans="1:7" x14ac:dyDescent="0.35">
      <c r="A159" t="e">
        <f ca="1"/>
        <v>#N/A</v>
      </c>
      <c r="B159" s="158" t="e">
        <f ca="1">VLOOKUP(A159,Generators!$A$2:$AZ$516,19,FALSE)</f>
        <v>#N/A</v>
      </c>
      <c r="C159" s="124" t="e">
        <f ca="1">VLOOKUP(A159,Generators!$A$2:$AZ$516,16,FALSE)</f>
        <v>#N/A</v>
      </c>
      <c r="D159" s="124" t="e">
        <f t="shared" ca="1" si="4"/>
        <v>#N/A</v>
      </c>
      <c r="E159" s="158" t="e">
        <f ca="1">IF(VLOOKUP(A159,Generators!$A$2:$AZ$516,20,FALSE)=0,"",VLOOKUP(A159,Generators!$A$2:$AZ$516,20,FALSE))</f>
        <v>#N/A</v>
      </c>
      <c r="F159" s="124" t="e">
        <f ca="1">IF(VLOOKUP(A159,Generators!$A$2:$AZ$516,17,FALSE)=0,"",VLOOKUP(A159,Generators!$A$2:$AZ$516,17,FALSE))</f>
        <v>#N/A</v>
      </c>
      <c r="G159" s="164" t="str">
        <f t="shared" ca="1" si="5"/>
        <v/>
      </c>
    </row>
    <row r="160" spans="1:7" x14ac:dyDescent="0.35">
      <c r="A160" t="e">
        <f ca="1"/>
        <v>#N/A</v>
      </c>
      <c r="B160" s="158" t="e">
        <f ca="1">VLOOKUP(A160,Generators!$A$2:$AZ$516,19,FALSE)</f>
        <v>#N/A</v>
      </c>
      <c r="C160" s="124" t="e">
        <f ca="1">VLOOKUP(A160,Generators!$A$2:$AZ$516,16,FALSE)</f>
        <v>#N/A</v>
      </c>
      <c r="D160" s="124" t="e">
        <f t="shared" ca="1" si="4"/>
        <v>#N/A</v>
      </c>
      <c r="E160" s="158" t="e">
        <f ca="1">IF(VLOOKUP(A160,Generators!$A$2:$AZ$516,20,FALSE)=0,"",VLOOKUP(A160,Generators!$A$2:$AZ$516,20,FALSE))</f>
        <v>#N/A</v>
      </c>
      <c r="F160" s="124" t="e">
        <f ca="1">IF(VLOOKUP(A160,Generators!$A$2:$AZ$516,17,FALSE)=0,"",VLOOKUP(A160,Generators!$A$2:$AZ$516,17,FALSE))</f>
        <v>#N/A</v>
      </c>
      <c r="G160" s="164" t="str">
        <f t="shared" ca="1" si="5"/>
        <v/>
      </c>
    </row>
    <row r="161" spans="1:7" x14ac:dyDescent="0.35">
      <c r="A161" t="e">
        <f ca="1"/>
        <v>#N/A</v>
      </c>
      <c r="B161" s="158" t="e">
        <f ca="1">VLOOKUP(A161,Generators!$A$2:$AZ$516,19,FALSE)</f>
        <v>#N/A</v>
      </c>
      <c r="C161" s="124" t="e">
        <f ca="1">VLOOKUP(A161,Generators!$A$2:$AZ$516,16,FALSE)</f>
        <v>#N/A</v>
      </c>
      <c r="D161" s="124" t="e">
        <f t="shared" ca="1" si="4"/>
        <v>#N/A</v>
      </c>
      <c r="E161" s="158" t="e">
        <f ca="1">IF(VLOOKUP(A161,Generators!$A$2:$AZ$516,20,FALSE)=0,"",VLOOKUP(A161,Generators!$A$2:$AZ$516,20,FALSE))</f>
        <v>#N/A</v>
      </c>
      <c r="F161" s="124" t="e">
        <f ca="1">IF(VLOOKUP(A161,Generators!$A$2:$AZ$516,17,FALSE)=0,"",VLOOKUP(A161,Generators!$A$2:$AZ$516,17,FALSE))</f>
        <v>#N/A</v>
      </c>
      <c r="G161" s="164" t="str">
        <f t="shared" ca="1" si="5"/>
        <v/>
      </c>
    </row>
    <row r="162" spans="1:7" x14ac:dyDescent="0.35">
      <c r="A162" t="e">
        <f ca="1"/>
        <v>#N/A</v>
      </c>
      <c r="B162" s="158" t="e">
        <f ca="1">VLOOKUP(A162,Generators!$A$2:$AZ$516,19,FALSE)</f>
        <v>#N/A</v>
      </c>
      <c r="C162" s="124" t="e">
        <f ca="1">VLOOKUP(A162,Generators!$A$2:$AZ$516,16,FALSE)</f>
        <v>#N/A</v>
      </c>
      <c r="D162" s="124" t="e">
        <f t="shared" ca="1" si="4"/>
        <v>#N/A</v>
      </c>
      <c r="E162" s="158" t="e">
        <f ca="1">IF(VLOOKUP(A162,Generators!$A$2:$AZ$516,20,FALSE)=0,"",VLOOKUP(A162,Generators!$A$2:$AZ$516,20,FALSE))</f>
        <v>#N/A</v>
      </c>
      <c r="F162" s="124" t="e">
        <f ca="1">IF(VLOOKUP(A162,Generators!$A$2:$AZ$516,17,FALSE)=0,"",VLOOKUP(A162,Generators!$A$2:$AZ$516,17,FALSE))</f>
        <v>#N/A</v>
      </c>
      <c r="G162" s="164" t="str">
        <f t="shared" ca="1" si="5"/>
        <v/>
      </c>
    </row>
    <row r="163" spans="1:7" x14ac:dyDescent="0.35">
      <c r="A163" t="e">
        <f ca="1"/>
        <v>#N/A</v>
      </c>
      <c r="B163" s="158" t="e">
        <f ca="1">VLOOKUP(A163,Generators!$A$2:$AZ$516,19,FALSE)</f>
        <v>#N/A</v>
      </c>
      <c r="C163" s="124" t="e">
        <f ca="1">VLOOKUP(A163,Generators!$A$2:$AZ$516,16,FALSE)</f>
        <v>#N/A</v>
      </c>
      <c r="D163" s="124" t="e">
        <f t="shared" ca="1" si="4"/>
        <v>#N/A</v>
      </c>
      <c r="E163" s="158" t="e">
        <f ca="1">IF(VLOOKUP(A163,Generators!$A$2:$AZ$516,20,FALSE)=0,"",VLOOKUP(A163,Generators!$A$2:$AZ$516,20,FALSE))</f>
        <v>#N/A</v>
      </c>
      <c r="F163" s="124" t="e">
        <f ca="1">IF(VLOOKUP(A163,Generators!$A$2:$AZ$516,17,FALSE)=0,"",VLOOKUP(A163,Generators!$A$2:$AZ$516,17,FALSE))</f>
        <v>#N/A</v>
      </c>
      <c r="G163" s="164" t="str">
        <f t="shared" ca="1" si="5"/>
        <v/>
      </c>
    </row>
    <row r="164" spans="1:7" x14ac:dyDescent="0.35">
      <c r="A164" t="e">
        <f ca="1"/>
        <v>#N/A</v>
      </c>
      <c r="B164" s="158" t="e">
        <f ca="1">VLOOKUP(A164,Generators!$A$2:$AZ$516,19,FALSE)</f>
        <v>#N/A</v>
      </c>
      <c r="C164" s="124" t="e">
        <f ca="1">VLOOKUP(A164,Generators!$A$2:$AZ$516,16,FALSE)</f>
        <v>#N/A</v>
      </c>
      <c r="D164" s="124" t="e">
        <f t="shared" ca="1" si="4"/>
        <v>#N/A</v>
      </c>
      <c r="E164" s="158" t="e">
        <f ca="1">IF(VLOOKUP(A164,Generators!$A$2:$AZ$516,20,FALSE)=0,"",VLOOKUP(A164,Generators!$A$2:$AZ$516,20,FALSE))</f>
        <v>#N/A</v>
      </c>
      <c r="F164" s="124" t="e">
        <f ca="1">IF(VLOOKUP(A164,Generators!$A$2:$AZ$516,17,FALSE)=0,"",VLOOKUP(A164,Generators!$A$2:$AZ$516,17,FALSE))</f>
        <v>#N/A</v>
      </c>
      <c r="G164" s="164" t="str">
        <f t="shared" ca="1" si="5"/>
        <v/>
      </c>
    </row>
    <row r="165" spans="1:7" x14ac:dyDescent="0.35">
      <c r="A165" t="e">
        <f ca="1"/>
        <v>#N/A</v>
      </c>
      <c r="B165" s="158" t="e">
        <f ca="1">VLOOKUP(A165,Generators!$A$2:$AZ$516,19,FALSE)</f>
        <v>#N/A</v>
      </c>
      <c r="C165" s="124" t="e">
        <f ca="1">VLOOKUP(A165,Generators!$A$2:$AZ$516,16,FALSE)</f>
        <v>#N/A</v>
      </c>
      <c r="D165" s="124" t="e">
        <f t="shared" ca="1" si="4"/>
        <v>#N/A</v>
      </c>
      <c r="E165" s="158" t="e">
        <f ca="1">IF(VLOOKUP(A165,Generators!$A$2:$AZ$516,20,FALSE)=0,"",VLOOKUP(A165,Generators!$A$2:$AZ$516,20,FALSE))</f>
        <v>#N/A</v>
      </c>
      <c r="F165" s="124" t="e">
        <f ca="1">IF(VLOOKUP(A165,Generators!$A$2:$AZ$516,17,FALSE)=0,"",VLOOKUP(A165,Generators!$A$2:$AZ$516,17,FALSE))</f>
        <v>#N/A</v>
      </c>
      <c r="G165" s="164" t="str">
        <f t="shared" ca="1" si="5"/>
        <v/>
      </c>
    </row>
    <row r="166" spans="1:7" x14ac:dyDescent="0.35">
      <c r="A166" t="e">
        <f ca="1"/>
        <v>#N/A</v>
      </c>
      <c r="B166" s="158" t="e">
        <f ca="1">VLOOKUP(A166,Generators!$A$2:$AZ$516,19,FALSE)</f>
        <v>#N/A</v>
      </c>
      <c r="C166" s="124" t="e">
        <f ca="1">VLOOKUP(A166,Generators!$A$2:$AZ$516,16,FALSE)</f>
        <v>#N/A</v>
      </c>
      <c r="D166" s="124" t="e">
        <f t="shared" ca="1" si="4"/>
        <v>#N/A</v>
      </c>
      <c r="E166" s="158" t="e">
        <f ca="1">IF(VLOOKUP(A166,Generators!$A$2:$AZ$516,20,FALSE)=0,"",VLOOKUP(A166,Generators!$A$2:$AZ$516,20,FALSE))</f>
        <v>#N/A</v>
      </c>
      <c r="F166" s="124" t="e">
        <f ca="1">IF(VLOOKUP(A166,Generators!$A$2:$AZ$516,17,FALSE)=0,"",VLOOKUP(A166,Generators!$A$2:$AZ$516,17,FALSE))</f>
        <v>#N/A</v>
      </c>
      <c r="G166" s="164" t="str">
        <f t="shared" ca="1" si="5"/>
        <v/>
      </c>
    </row>
    <row r="167" spans="1:7" x14ac:dyDescent="0.35">
      <c r="A167" t="e">
        <f ca="1"/>
        <v>#N/A</v>
      </c>
      <c r="B167" s="158" t="e">
        <f ca="1">VLOOKUP(A167,Generators!$A$2:$AZ$516,19,FALSE)</f>
        <v>#N/A</v>
      </c>
      <c r="C167" s="124" t="e">
        <f ca="1">VLOOKUP(A167,Generators!$A$2:$AZ$516,16,FALSE)</f>
        <v>#N/A</v>
      </c>
      <c r="D167" s="124" t="e">
        <f t="shared" ca="1" si="4"/>
        <v>#N/A</v>
      </c>
      <c r="E167" s="158" t="e">
        <f ca="1">IF(VLOOKUP(A167,Generators!$A$2:$AZ$516,20,FALSE)=0,"",VLOOKUP(A167,Generators!$A$2:$AZ$516,20,FALSE))</f>
        <v>#N/A</v>
      </c>
      <c r="F167" s="124" t="e">
        <f ca="1">IF(VLOOKUP(A167,Generators!$A$2:$AZ$516,17,FALSE)=0,"",VLOOKUP(A167,Generators!$A$2:$AZ$516,17,FALSE))</f>
        <v>#N/A</v>
      </c>
      <c r="G167" s="164" t="str">
        <f t="shared" ca="1" si="5"/>
        <v/>
      </c>
    </row>
    <row r="168" spans="1:7" x14ac:dyDescent="0.35">
      <c r="A168" t="e">
        <f ca="1"/>
        <v>#N/A</v>
      </c>
      <c r="B168" s="158" t="e">
        <f ca="1">VLOOKUP(A168,Generators!$A$2:$AZ$516,19,FALSE)</f>
        <v>#N/A</v>
      </c>
      <c r="C168" s="124" t="e">
        <f ca="1">VLOOKUP(A168,Generators!$A$2:$AZ$516,16,FALSE)</f>
        <v>#N/A</v>
      </c>
      <c r="D168" s="124" t="e">
        <f t="shared" ca="1" si="4"/>
        <v>#N/A</v>
      </c>
      <c r="E168" s="158" t="e">
        <f ca="1">IF(VLOOKUP(A168,Generators!$A$2:$AZ$516,20,FALSE)=0,"",VLOOKUP(A168,Generators!$A$2:$AZ$516,20,FALSE))</f>
        <v>#N/A</v>
      </c>
      <c r="F168" s="124" t="e">
        <f ca="1">IF(VLOOKUP(A168,Generators!$A$2:$AZ$516,17,FALSE)=0,"",VLOOKUP(A168,Generators!$A$2:$AZ$516,17,FALSE))</f>
        <v>#N/A</v>
      </c>
      <c r="G168" s="164" t="str">
        <f t="shared" ca="1" si="5"/>
        <v/>
      </c>
    </row>
    <row r="169" spans="1:7" x14ac:dyDescent="0.35">
      <c r="A169" t="e">
        <f ca="1"/>
        <v>#N/A</v>
      </c>
      <c r="B169" s="158" t="e">
        <f ca="1">VLOOKUP(A169,Generators!$A$2:$AZ$516,19,FALSE)</f>
        <v>#N/A</v>
      </c>
      <c r="C169" s="124" t="e">
        <f ca="1">VLOOKUP(A169,Generators!$A$2:$AZ$516,16,FALSE)</f>
        <v>#N/A</v>
      </c>
      <c r="D169" s="124" t="e">
        <f t="shared" ca="1" si="4"/>
        <v>#N/A</v>
      </c>
      <c r="E169" s="158" t="e">
        <f ca="1">IF(VLOOKUP(A169,Generators!$A$2:$AZ$516,20,FALSE)=0,"",VLOOKUP(A169,Generators!$A$2:$AZ$516,20,FALSE))</f>
        <v>#N/A</v>
      </c>
      <c r="F169" s="124" t="e">
        <f ca="1">IF(VLOOKUP(A169,Generators!$A$2:$AZ$516,17,FALSE)=0,"",VLOOKUP(A169,Generators!$A$2:$AZ$516,17,FALSE))</f>
        <v>#N/A</v>
      </c>
      <c r="G169" s="164" t="str">
        <f t="shared" ca="1" si="5"/>
        <v/>
      </c>
    </row>
    <row r="170" spans="1:7" x14ac:dyDescent="0.35">
      <c r="A170" t="e">
        <f ca="1"/>
        <v>#N/A</v>
      </c>
      <c r="B170" s="158" t="e">
        <f ca="1">VLOOKUP(A170,Generators!$A$2:$AZ$516,19,FALSE)</f>
        <v>#N/A</v>
      </c>
      <c r="C170" s="124" t="e">
        <f ca="1">VLOOKUP(A170,Generators!$A$2:$AZ$516,16,FALSE)</f>
        <v>#N/A</v>
      </c>
      <c r="D170" s="124" t="e">
        <f t="shared" ca="1" si="4"/>
        <v>#N/A</v>
      </c>
      <c r="E170" s="158" t="e">
        <f ca="1">IF(VLOOKUP(A170,Generators!$A$2:$AZ$516,20,FALSE)=0,"",VLOOKUP(A170,Generators!$A$2:$AZ$516,20,FALSE))</f>
        <v>#N/A</v>
      </c>
      <c r="F170" s="124" t="e">
        <f ca="1">IF(VLOOKUP(A170,Generators!$A$2:$AZ$516,17,FALSE)=0,"",VLOOKUP(A170,Generators!$A$2:$AZ$516,17,FALSE))</f>
        <v>#N/A</v>
      </c>
      <c r="G170" s="164" t="str">
        <f t="shared" ca="1" si="5"/>
        <v/>
      </c>
    </row>
    <row r="171" spans="1:7" x14ac:dyDescent="0.35">
      <c r="A171" t="e">
        <f ca="1"/>
        <v>#N/A</v>
      </c>
      <c r="B171" s="158" t="e">
        <f ca="1">VLOOKUP(A171,Generators!$A$2:$AZ$516,19,FALSE)</f>
        <v>#N/A</v>
      </c>
      <c r="C171" s="124" t="e">
        <f ca="1">VLOOKUP(A171,Generators!$A$2:$AZ$516,16,FALSE)</f>
        <v>#N/A</v>
      </c>
      <c r="D171" s="124" t="e">
        <f t="shared" ca="1" si="4"/>
        <v>#N/A</v>
      </c>
      <c r="E171" s="158" t="e">
        <f ca="1">IF(VLOOKUP(A171,Generators!$A$2:$AZ$516,20,FALSE)=0,"",VLOOKUP(A171,Generators!$A$2:$AZ$516,20,FALSE))</f>
        <v>#N/A</v>
      </c>
      <c r="F171" s="124" t="e">
        <f ca="1">IF(VLOOKUP(A171,Generators!$A$2:$AZ$516,17,FALSE)=0,"",VLOOKUP(A171,Generators!$A$2:$AZ$516,17,FALSE))</f>
        <v>#N/A</v>
      </c>
      <c r="G171" s="164" t="str">
        <f t="shared" ca="1" si="5"/>
        <v/>
      </c>
    </row>
    <row r="172" spans="1:7" x14ac:dyDescent="0.35">
      <c r="A172" t="e">
        <f ca="1"/>
        <v>#N/A</v>
      </c>
      <c r="B172" s="158" t="e">
        <f ca="1">VLOOKUP(A172,Generators!$A$2:$AZ$516,19,FALSE)</f>
        <v>#N/A</v>
      </c>
      <c r="C172" s="124" t="e">
        <f ca="1">VLOOKUP(A172,Generators!$A$2:$AZ$516,16,FALSE)</f>
        <v>#N/A</v>
      </c>
      <c r="D172" s="124" t="e">
        <f t="shared" ca="1" si="4"/>
        <v>#N/A</v>
      </c>
      <c r="E172" s="158" t="e">
        <f ca="1">IF(VLOOKUP(A172,Generators!$A$2:$AZ$516,20,FALSE)=0,"",VLOOKUP(A172,Generators!$A$2:$AZ$516,20,FALSE))</f>
        <v>#N/A</v>
      </c>
      <c r="F172" s="124" t="e">
        <f ca="1">IF(VLOOKUP(A172,Generators!$A$2:$AZ$516,17,FALSE)=0,"",VLOOKUP(A172,Generators!$A$2:$AZ$516,17,FALSE))</f>
        <v>#N/A</v>
      </c>
      <c r="G172" s="164" t="str">
        <f t="shared" ca="1" si="5"/>
        <v/>
      </c>
    </row>
    <row r="173" spans="1:7" x14ac:dyDescent="0.35">
      <c r="A173" t="e">
        <f ca="1"/>
        <v>#N/A</v>
      </c>
      <c r="B173" s="158" t="e">
        <f ca="1">VLOOKUP(A173,Generators!$A$2:$AZ$516,19,FALSE)</f>
        <v>#N/A</v>
      </c>
      <c r="C173" s="124" t="e">
        <f ca="1">VLOOKUP(A173,Generators!$A$2:$AZ$516,16,FALSE)</f>
        <v>#N/A</v>
      </c>
      <c r="D173" s="124" t="e">
        <f t="shared" ca="1" si="4"/>
        <v>#N/A</v>
      </c>
      <c r="E173" s="158" t="e">
        <f ca="1">IF(VLOOKUP(A173,Generators!$A$2:$AZ$516,20,FALSE)=0,"",VLOOKUP(A173,Generators!$A$2:$AZ$516,20,FALSE))</f>
        <v>#N/A</v>
      </c>
      <c r="F173" s="124" t="e">
        <f ca="1">IF(VLOOKUP(A173,Generators!$A$2:$AZ$516,17,FALSE)=0,"",VLOOKUP(A173,Generators!$A$2:$AZ$516,17,FALSE))</f>
        <v>#N/A</v>
      </c>
      <c r="G173" s="164" t="str">
        <f t="shared" ca="1" si="5"/>
        <v/>
      </c>
    </row>
    <row r="174" spans="1:7" x14ac:dyDescent="0.35">
      <c r="A174" t="e">
        <f ca="1"/>
        <v>#N/A</v>
      </c>
      <c r="B174" s="158" t="e">
        <f ca="1">VLOOKUP(A174,Generators!$A$2:$AZ$516,19,FALSE)</f>
        <v>#N/A</v>
      </c>
      <c r="C174" s="124" t="e">
        <f ca="1">VLOOKUP(A174,Generators!$A$2:$AZ$516,16,FALSE)</f>
        <v>#N/A</v>
      </c>
      <c r="D174" s="124" t="e">
        <f t="shared" ca="1" si="4"/>
        <v>#N/A</v>
      </c>
      <c r="E174" s="158" t="e">
        <f ca="1">IF(VLOOKUP(A174,Generators!$A$2:$AZ$516,20,FALSE)=0,"",VLOOKUP(A174,Generators!$A$2:$AZ$516,20,FALSE))</f>
        <v>#N/A</v>
      </c>
      <c r="F174" s="124" t="e">
        <f ca="1">IF(VLOOKUP(A174,Generators!$A$2:$AZ$516,17,FALSE)=0,"",VLOOKUP(A174,Generators!$A$2:$AZ$516,17,FALSE))</f>
        <v>#N/A</v>
      </c>
      <c r="G174" s="164" t="str">
        <f t="shared" ca="1" si="5"/>
        <v/>
      </c>
    </row>
    <row r="175" spans="1:7" x14ac:dyDescent="0.35">
      <c r="A175" t="e">
        <f ca="1"/>
        <v>#N/A</v>
      </c>
      <c r="B175" s="158" t="e">
        <f ca="1">VLOOKUP(A175,Generators!$A$2:$AZ$516,19,FALSE)</f>
        <v>#N/A</v>
      </c>
      <c r="C175" s="124" t="e">
        <f ca="1">VLOOKUP(A175,Generators!$A$2:$AZ$516,16,FALSE)</f>
        <v>#N/A</v>
      </c>
      <c r="D175" s="124" t="e">
        <f t="shared" ca="1" si="4"/>
        <v>#N/A</v>
      </c>
      <c r="E175" s="158" t="e">
        <f ca="1">IF(VLOOKUP(A175,Generators!$A$2:$AZ$516,20,FALSE)=0,"",VLOOKUP(A175,Generators!$A$2:$AZ$516,20,FALSE))</f>
        <v>#N/A</v>
      </c>
      <c r="F175" s="124" t="e">
        <f ca="1">IF(VLOOKUP(A175,Generators!$A$2:$AZ$516,17,FALSE)=0,"",VLOOKUP(A175,Generators!$A$2:$AZ$516,17,FALSE))</f>
        <v>#N/A</v>
      </c>
      <c r="G175" s="164" t="str">
        <f t="shared" ca="1" si="5"/>
        <v/>
      </c>
    </row>
    <row r="176" spans="1:7" x14ac:dyDescent="0.35">
      <c r="A176" t="e">
        <f ca="1"/>
        <v>#N/A</v>
      </c>
      <c r="B176" s="158" t="e">
        <f ca="1">VLOOKUP(A176,Generators!$A$2:$AZ$516,19,FALSE)</f>
        <v>#N/A</v>
      </c>
      <c r="C176" s="124" t="e">
        <f ca="1">VLOOKUP(A176,Generators!$A$2:$AZ$516,16,FALSE)</f>
        <v>#N/A</v>
      </c>
      <c r="D176" s="124" t="e">
        <f t="shared" ca="1" si="4"/>
        <v>#N/A</v>
      </c>
      <c r="E176" s="158" t="e">
        <f ca="1">IF(VLOOKUP(A176,Generators!$A$2:$AZ$516,20,FALSE)=0,"",VLOOKUP(A176,Generators!$A$2:$AZ$516,20,FALSE))</f>
        <v>#N/A</v>
      </c>
      <c r="F176" s="124" t="e">
        <f ca="1">IF(VLOOKUP(A176,Generators!$A$2:$AZ$516,17,FALSE)=0,"",VLOOKUP(A176,Generators!$A$2:$AZ$516,17,FALSE))</f>
        <v>#N/A</v>
      </c>
      <c r="G176" s="164" t="str">
        <f t="shared" ca="1" si="5"/>
        <v/>
      </c>
    </row>
    <row r="177" spans="1:7" x14ac:dyDescent="0.35">
      <c r="A177" t="e">
        <f ca="1"/>
        <v>#N/A</v>
      </c>
      <c r="B177" s="158" t="e">
        <f ca="1">VLOOKUP(A177,Generators!$A$2:$AZ$516,19,FALSE)</f>
        <v>#N/A</v>
      </c>
      <c r="C177" s="124" t="e">
        <f ca="1">VLOOKUP(A177,Generators!$A$2:$AZ$516,16,FALSE)</f>
        <v>#N/A</v>
      </c>
      <c r="D177" s="124" t="e">
        <f t="shared" ca="1" si="4"/>
        <v>#N/A</v>
      </c>
      <c r="E177" s="158" t="e">
        <f ca="1">IF(VLOOKUP(A177,Generators!$A$2:$AZ$516,20,FALSE)=0,"",VLOOKUP(A177,Generators!$A$2:$AZ$516,20,FALSE))</f>
        <v>#N/A</v>
      </c>
      <c r="F177" s="124" t="e">
        <f ca="1">IF(VLOOKUP(A177,Generators!$A$2:$AZ$516,17,FALSE)=0,"",VLOOKUP(A177,Generators!$A$2:$AZ$516,17,FALSE))</f>
        <v>#N/A</v>
      </c>
      <c r="G177" s="164" t="str">
        <f t="shared" ca="1" si="5"/>
        <v/>
      </c>
    </row>
    <row r="178" spans="1:7" x14ac:dyDescent="0.35">
      <c r="A178" t="e">
        <f ca="1"/>
        <v>#N/A</v>
      </c>
      <c r="B178" s="158" t="e">
        <f ca="1">VLOOKUP(A178,Generators!$A$2:$AZ$516,19,FALSE)</f>
        <v>#N/A</v>
      </c>
      <c r="C178" s="124" t="e">
        <f ca="1">VLOOKUP(A178,Generators!$A$2:$AZ$516,16,FALSE)</f>
        <v>#N/A</v>
      </c>
      <c r="D178" s="124" t="e">
        <f t="shared" ca="1" si="4"/>
        <v>#N/A</v>
      </c>
      <c r="E178" s="158" t="e">
        <f ca="1">IF(VLOOKUP(A178,Generators!$A$2:$AZ$516,20,FALSE)=0,"",VLOOKUP(A178,Generators!$A$2:$AZ$516,20,FALSE))</f>
        <v>#N/A</v>
      </c>
      <c r="F178" s="124" t="e">
        <f ca="1">IF(VLOOKUP(A178,Generators!$A$2:$AZ$516,17,FALSE)=0,"",VLOOKUP(A178,Generators!$A$2:$AZ$516,17,FALSE))</f>
        <v>#N/A</v>
      </c>
      <c r="G178" s="164" t="str">
        <f t="shared" ca="1" si="5"/>
        <v/>
      </c>
    </row>
    <row r="179" spans="1:7" x14ac:dyDescent="0.35">
      <c r="A179" t="e">
        <f ca="1"/>
        <v>#N/A</v>
      </c>
      <c r="B179" s="158" t="e">
        <f ca="1">VLOOKUP(A179,Generators!$A$2:$AZ$516,19,FALSE)</f>
        <v>#N/A</v>
      </c>
      <c r="C179" s="124" t="e">
        <f ca="1">VLOOKUP(A179,Generators!$A$2:$AZ$516,16,FALSE)</f>
        <v>#N/A</v>
      </c>
      <c r="D179" s="124" t="e">
        <f t="shared" ca="1" si="4"/>
        <v>#N/A</v>
      </c>
      <c r="E179" s="158" t="e">
        <f ca="1">IF(VLOOKUP(A179,Generators!$A$2:$AZ$516,20,FALSE)=0,"",VLOOKUP(A179,Generators!$A$2:$AZ$516,20,FALSE))</f>
        <v>#N/A</v>
      </c>
      <c r="F179" s="124" t="e">
        <f ca="1">IF(VLOOKUP(A179,Generators!$A$2:$AZ$516,17,FALSE)=0,"",VLOOKUP(A179,Generators!$A$2:$AZ$516,17,FALSE))</f>
        <v>#N/A</v>
      </c>
      <c r="G179" s="164" t="str">
        <f t="shared" ca="1" si="5"/>
        <v/>
      </c>
    </row>
    <row r="180" spans="1:7" x14ac:dyDescent="0.35">
      <c r="A180" t="e">
        <f ca="1"/>
        <v>#N/A</v>
      </c>
      <c r="B180" s="158" t="e">
        <f ca="1">VLOOKUP(A180,Generators!$A$2:$AZ$516,19,FALSE)</f>
        <v>#N/A</v>
      </c>
      <c r="C180" s="124" t="e">
        <f ca="1">VLOOKUP(A180,Generators!$A$2:$AZ$516,16,FALSE)</f>
        <v>#N/A</v>
      </c>
      <c r="D180" s="124" t="e">
        <f t="shared" ca="1" si="4"/>
        <v>#N/A</v>
      </c>
      <c r="E180" s="158" t="e">
        <f ca="1">IF(VLOOKUP(A180,Generators!$A$2:$AZ$516,20,FALSE)=0,"",VLOOKUP(A180,Generators!$A$2:$AZ$516,20,FALSE))</f>
        <v>#N/A</v>
      </c>
      <c r="F180" s="124" t="e">
        <f ca="1">IF(VLOOKUP(A180,Generators!$A$2:$AZ$516,17,FALSE)=0,"",VLOOKUP(A180,Generators!$A$2:$AZ$516,17,FALSE))</f>
        <v>#N/A</v>
      </c>
      <c r="G180" s="164" t="str">
        <f t="shared" ca="1" si="5"/>
        <v/>
      </c>
    </row>
    <row r="181" spans="1:7" x14ac:dyDescent="0.35">
      <c r="A181" t="e">
        <f ca="1"/>
        <v>#N/A</v>
      </c>
      <c r="B181" s="158" t="e">
        <f ca="1">VLOOKUP(A181,Generators!$A$2:$AZ$516,19,FALSE)</f>
        <v>#N/A</v>
      </c>
      <c r="C181" s="124" t="e">
        <f ca="1">VLOOKUP(A181,Generators!$A$2:$AZ$516,16,FALSE)</f>
        <v>#N/A</v>
      </c>
      <c r="D181" s="124" t="e">
        <f t="shared" ca="1" si="4"/>
        <v>#N/A</v>
      </c>
      <c r="E181" s="158" t="e">
        <f ca="1">IF(VLOOKUP(A181,Generators!$A$2:$AZ$516,20,FALSE)=0,"",VLOOKUP(A181,Generators!$A$2:$AZ$516,20,FALSE))</f>
        <v>#N/A</v>
      </c>
      <c r="F181" s="124" t="e">
        <f ca="1">IF(VLOOKUP(A181,Generators!$A$2:$AZ$516,17,FALSE)=0,"",VLOOKUP(A181,Generators!$A$2:$AZ$516,17,FALSE))</f>
        <v>#N/A</v>
      </c>
      <c r="G181" s="164" t="str">
        <f t="shared" ca="1" si="5"/>
        <v/>
      </c>
    </row>
    <row r="182" spans="1:7" x14ac:dyDescent="0.35">
      <c r="A182" t="e">
        <f ca="1"/>
        <v>#N/A</v>
      </c>
      <c r="B182" s="158" t="e">
        <f ca="1">VLOOKUP(A182,Generators!$A$2:$AZ$516,19,FALSE)</f>
        <v>#N/A</v>
      </c>
      <c r="C182" s="124" t="e">
        <f ca="1">VLOOKUP(A182,Generators!$A$2:$AZ$516,16,FALSE)</f>
        <v>#N/A</v>
      </c>
      <c r="D182" s="124" t="e">
        <f t="shared" ca="1" si="4"/>
        <v>#N/A</v>
      </c>
      <c r="E182" s="158" t="e">
        <f ca="1">IF(VLOOKUP(A182,Generators!$A$2:$AZ$516,20,FALSE)=0,"",VLOOKUP(A182,Generators!$A$2:$AZ$516,20,FALSE))</f>
        <v>#N/A</v>
      </c>
      <c r="F182" s="124" t="e">
        <f ca="1">IF(VLOOKUP(A182,Generators!$A$2:$AZ$516,17,FALSE)=0,"",VLOOKUP(A182,Generators!$A$2:$AZ$516,17,FALSE))</f>
        <v>#N/A</v>
      </c>
      <c r="G182" s="164" t="str">
        <f t="shared" ca="1" si="5"/>
        <v/>
      </c>
    </row>
    <row r="183" spans="1:7" x14ac:dyDescent="0.35">
      <c r="A183" t="e">
        <f ca="1"/>
        <v>#N/A</v>
      </c>
      <c r="B183" s="158" t="e">
        <f ca="1">VLOOKUP(A183,Generators!$A$2:$AZ$516,19,FALSE)</f>
        <v>#N/A</v>
      </c>
      <c r="C183" s="124" t="e">
        <f ca="1">VLOOKUP(A183,Generators!$A$2:$AZ$516,16,FALSE)</f>
        <v>#N/A</v>
      </c>
      <c r="D183" s="124" t="e">
        <f t="shared" ca="1" si="4"/>
        <v>#N/A</v>
      </c>
      <c r="E183" s="158" t="e">
        <f ca="1">IF(VLOOKUP(A183,Generators!$A$2:$AZ$516,20,FALSE)=0,"",VLOOKUP(A183,Generators!$A$2:$AZ$516,20,FALSE))</f>
        <v>#N/A</v>
      </c>
      <c r="F183" s="124" t="e">
        <f ca="1">IF(VLOOKUP(A183,Generators!$A$2:$AZ$516,17,FALSE)=0,"",VLOOKUP(A183,Generators!$A$2:$AZ$516,17,FALSE))</f>
        <v>#N/A</v>
      </c>
      <c r="G183" s="164" t="str">
        <f t="shared" ca="1" si="5"/>
        <v/>
      </c>
    </row>
    <row r="184" spans="1:7" x14ac:dyDescent="0.35">
      <c r="A184" t="e">
        <f ca="1"/>
        <v>#N/A</v>
      </c>
      <c r="B184" s="158" t="e">
        <f ca="1">VLOOKUP(A184,Generators!$A$2:$AZ$516,19,FALSE)</f>
        <v>#N/A</v>
      </c>
      <c r="C184" s="124" t="e">
        <f ca="1">VLOOKUP(A184,Generators!$A$2:$AZ$516,16,FALSE)</f>
        <v>#N/A</v>
      </c>
      <c r="D184" s="124" t="e">
        <f t="shared" ca="1" si="4"/>
        <v>#N/A</v>
      </c>
      <c r="E184" s="158" t="e">
        <f ca="1">IF(VLOOKUP(A184,Generators!$A$2:$AZ$516,20,FALSE)=0,"",VLOOKUP(A184,Generators!$A$2:$AZ$516,20,FALSE))</f>
        <v>#N/A</v>
      </c>
      <c r="F184" s="124" t="e">
        <f ca="1">IF(VLOOKUP(A184,Generators!$A$2:$AZ$516,17,FALSE)=0,"",VLOOKUP(A184,Generators!$A$2:$AZ$516,17,FALSE))</f>
        <v>#N/A</v>
      </c>
      <c r="G184" s="164" t="str">
        <f t="shared" ca="1" si="5"/>
        <v/>
      </c>
    </row>
    <row r="185" spans="1:7" x14ac:dyDescent="0.35">
      <c r="A185" t="e">
        <f ca="1"/>
        <v>#N/A</v>
      </c>
      <c r="B185" s="158" t="e">
        <f ca="1">VLOOKUP(A185,Generators!$A$2:$AZ$516,19,FALSE)</f>
        <v>#N/A</v>
      </c>
      <c r="C185" s="124" t="e">
        <f ca="1">VLOOKUP(A185,Generators!$A$2:$AZ$516,16,FALSE)</f>
        <v>#N/A</v>
      </c>
      <c r="D185" s="124" t="e">
        <f t="shared" ca="1" si="4"/>
        <v>#N/A</v>
      </c>
      <c r="E185" s="158" t="e">
        <f ca="1">IF(VLOOKUP(A185,Generators!$A$2:$AZ$516,20,FALSE)=0,"",VLOOKUP(A185,Generators!$A$2:$AZ$516,20,FALSE))</f>
        <v>#N/A</v>
      </c>
      <c r="F185" s="124" t="e">
        <f ca="1">IF(VLOOKUP(A185,Generators!$A$2:$AZ$516,17,FALSE)=0,"",VLOOKUP(A185,Generators!$A$2:$AZ$516,17,FALSE))</f>
        <v>#N/A</v>
      </c>
      <c r="G185" s="164" t="str">
        <f t="shared" ca="1" si="5"/>
        <v/>
      </c>
    </row>
    <row r="186" spans="1:7" x14ac:dyDescent="0.35">
      <c r="A186" t="e">
        <f ca="1"/>
        <v>#N/A</v>
      </c>
      <c r="B186" s="158" t="e">
        <f ca="1">VLOOKUP(A186,Generators!$A$2:$AZ$516,19,FALSE)</f>
        <v>#N/A</v>
      </c>
      <c r="C186" s="124" t="e">
        <f ca="1">VLOOKUP(A186,Generators!$A$2:$AZ$516,16,FALSE)</f>
        <v>#N/A</v>
      </c>
      <c r="D186" s="124" t="e">
        <f t="shared" ca="1" si="4"/>
        <v>#N/A</v>
      </c>
      <c r="E186" s="158" t="e">
        <f ca="1">IF(VLOOKUP(A186,Generators!$A$2:$AZ$516,20,FALSE)=0,"",VLOOKUP(A186,Generators!$A$2:$AZ$516,20,FALSE))</f>
        <v>#N/A</v>
      </c>
      <c r="F186" s="124" t="e">
        <f ca="1">IF(VLOOKUP(A186,Generators!$A$2:$AZ$516,17,FALSE)=0,"",VLOOKUP(A186,Generators!$A$2:$AZ$516,17,FALSE))</f>
        <v>#N/A</v>
      </c>
      <c r="G186" s="164" t="str">
        <f t="shared" ca="1" si="5"/>
        <v/>
      </c>
    </row>
    <row r="187" spans="1:7" x14ac:dyDescent="0.35">
      <c r="A187" t="e">
        <f ca="1"/>
        <v>#N/A</v>
      </c>
      <c r="B187" s="158" t="e">
        <f ca="1">VLOOKUP(A187,Generators!$A$2:$AZ$516,19,FALSE)</f>
        <v>#N/A</v>
      </c>
      <c r="C187" s="124" t="e">
        <f ca="1">VLOOKUP(A187,Generators!$A$2:$AZ$516,16,FALSE)</f>
        <v>#N/A</v>
      </c>
      <c r="D187" s="124" t="e">
        <f t="shared" ca="1" si="4"/>
        <v>#N/A</v>
      </c>
      <c r="E187" s="158" t="e">
        <f ca="1">IF(VLOOKUP(A187,Generators!$A$2:$AZ$516,20,FALSE)=0,"",VLOOKUP(A187,Generators!$A$2:$AZ$516,20,FALSE))</f>
        <v>#N/A</v>
      </c>
      <c r="F187" s="124" t="e">
        <f ca="1">IF(VLOOKUP(A187,Generators!$A$2:$AZ$516,17,FALSE)=0,"",VLOOKUP(A187,Generators!$A$2:$AZ$516,17,FALSE))</f>
        <v>#N/A</v>
      </c>
      <c r="G187" s="164" t="str">
        <f t="shared" ca="1" si="5"/>
        <v/>
      </c>
    </row>
    <row r="188" spans="1:7" x14ac:dyDescent="0.35">
      <c r="A188" t="e">
        <f ca="1"/>
        <v>#N/A</v>
      </c>
      <c r="B188" s="158" t="e">
        <f ca="1">VLOOKUP(A188,Generators!$A$2:$AZ$516,19,FALSE)</f>
        <v>#N/A</v>
      </c>
      <c r="C188" s="124" t="e">
        <f ca="1">VLOOKUP(A188,Generators!$A$2:$AZ$516,16,FALSE)</f>
        <v>#N/A</v>
      </c>
      <c r="D188" s="124" t="e">
        <f t="shared" ca="1" si="4"/>
        <v>#N/A</v>
      </c>
      <c r="E188" s="158" t="e">
        <f ca="1">IF(VLOOKUP(A188,Generators!$A$2:$AZ$516,20,FALSE)=0,"",VLOOKUP(A188,Generators!$A$2:$AZ$516,20,FALSE))</f>
        <v>#N/A</v>
      </c>
      <c r="F188" s="124" t="e">
        <f ca="1">IF(VLOOKUP(A188,Generators!$A$2:$AZ$516,17,FALSE)=0,"",VLOOKUP(A188,Generators!$A$2:$AZ$516,17,FALSE))</f>
        <v>#N/A</v>
      </c>
      <c r="G188" s="164" t="str">
        <f t="shared" ca="1" si="5"/>
        <v/>
      </c>
    </row>
    <row r="189" spans="1:7" x14ac:dyDescent="0.35">
      <c r="A189" t="e">
        <f ca="1"/>
        <v>#N/A</v>
      </c>
      <c r="B189" s="158" t="e">
        <f ca="1">VLOOKUP(A189,Generators!$A$2:$AZ$516,19,FALSE)</f>
        <v>#N/A</v>
      </c>
      <c r="C189" s="124" t="e">
        <f ca="1">VLOOKUP(A189,Generators!$A$2:$AZ$516,16,FALSE)</f>
        <v>#N/A</v>
      </c>
      <c r="D189" s="124" t="e">
        <f t="shared" ca="1" si="4"/>
        <v>#N/A</v>
      </c>
      <c r="E189" s="158" t="e">
        <f ca="1">IF(VLOOKUP(A189,Generators!$A$2:$AZ$516,20,FALSE)=0,"",VLOOKUP(A189,Generators!$A$2:$AZ$516,20,FALSE))</f>
        <v>#N/A</v>
      </c>
      <c r="F189" s="124" t="e">
        <f ca="1">IF(VLOOKUP(A189,Generators!$A$2:$AZ$516,17,FALSE)=0,"",VLOOKUP(A189,Generators!$A$2:$AZ$516,17,FALSE))</f>
        <v>#N/A</v>
      </c>
      <c r="G189" s="164" t="str">
        <f t="shared" ca="1" si="5"/>
        <v/>
      </c>
    </row>
    <row r="190" spans="1:7" x14ac:dyDescent="0.35">
      <c r="A190" t="e">
        <f ca="1"/>
        <v>#N/A</v>
      </c>
      <c r="B190" s="158" t="e">
        <f ca="1">VLOOKUP(A190,Generators!$A$2:$AZ$516,19,FALSE)</f>
        <v>#N/A</v>
      </c>
      <c r="C190" s="124" t="e">
        <f ca="1">VLOOKUP(A190,Generators!$A$2:$AZ$516,16,FALSE)</f>
        <v>#N/A</v>
      </c>
      <c r="D190" s="124" t="e">
        <f t="shared" ca="1" si="4"/>
        <v>#N/A</v>
      </c>
      <c r="E190" s="158" t="e">
        <f ca="1">IF(VLOOKUP(A190,Generators!$A$2:$AZ$516,20,FALSE)=0,"",VLOOKUP(A190,Generators!$A$2:$AZ$516,20,FALSE))</f>
        <v>#N/A</v>
      </c>
      <c r="F190" s="124" t="e">
        <f ca="1">IF(VLOOKUP(A190,Generators!$A$2:$AZ$516,17,FALSE)=0,"",VLOOKUP(A190,Generators!$A$2:$AZ$516,17,FALSE))</f>
        <v>#N/A</v>
      </c>
      <c r="G190" s="164" t="str">
        <f t="shared" ca="1" si="5"/>
        <v/>
      </c>
    </row>
    <row r="191" spans="1:7" x14ac:dyDescent="0.35">
      <c r="A191" t="e">
        <f ca="1"/>
        <v>#N/A</v>
      </c>
      <c r="B191" s="158" t="e">
        <f ca="1">VLOOKUP(A191,Generators!$A$2:$AZ$516,19,FALSE)</f>
        <v>#N/A</v>
      </c>
      <c r="C191" s="124" t="e">
        <f ca="1">VLOOKUP(A191,Generators!$A$2:$AZ$516,16,FALSE)</f>
        <v>#N/A</v>
      </c>
      <c r="D191" s="124" t="e">
        <f t="shared" ca="1" si="4"/>
        <v>#N/A</v>
      </c>
      <c r="E191" s="158" t="e">
        <f ca="1">IF(VLOOKUP(A191,Generators!$A$2:$AZ$516,20,FALSE)=0,"",VLOOKUP(A191,Generators!$A$2:$AZ$516,20,FALSE))</f>
        <v>#N/A</v>
      </c>
      <c r="F191" s="124" t="e">
        <f ca="1">IF(VLOOKUP(A191,Generators!$A$2:$AZ$516,17,FALSE)=0,"",VLOOKUP(A191,Generators!$A$2:$AZ$516,17,FALSE))</f>
        <v>#N/A</v>
      </c>
      <c r="G191" s="164" t="str">
        <f t="shared" ca="1" si="5"/>
        <v/>
      </c>
    </row>
    <row r="192" spans="1:7" x14ac:dyDescent="0.35">
      <c r="A192" t="e">
        <f ca="1"/>
        <v>#N/A</v>
      </c>
      <c r="B192" s="158" t="e">
        <f ca="1">VLOOKUP(A192,Generators!$A$2:$AZ$516,19,FALSE)</f>
        <v>#N/A</v>
      </c>
      <c r="C192" s="124" t="e">
        <f ca="1">VLOOKUP(A192,Generators!$A$2:$AZ$516,16,FALSE)</f>
        <v>#N/A</v>
      </c>
      <c r="D192" s="124" t="e">
        <f t="shared" ca="1" si="4"/>
        <v>#N/A</v>
      </c>
      <c r="E192" s="158" t="e">
        <f ca="1">IF(VLOOKUP(A192,Generators!$A$2:$AZ$516,20,FALSE)=0,"",VLOOKUP(A192,Generators!$A$2:$AZ$516,20,FALSE))</f>
        <v>#N/A</v>
      </c>
      <c r="F192" s="124" t="e">
        <f ca="1">IF(VLOOKUP(A192,Generators!$A$2:$AZ$516,17,FALSE)=0,"",VLOOKUP(A192,Generators!$A$2:$AZ$516,17,FALSE))</f>
        <v>#N/A</v>
      </c>
      <c r="G192" s="164" t="str">
        <f t="shared" ca="1" si="5"/>
        <v/>
      </c>
    </row>
    <row r="193" spans="1:7" x14ac:dyDescent="0.35">
      <c r="A193" t="e">
        <f ca="1"/>
        <v>#N/A</v>
      </c>
      <c r="B193" s="158" t="e">
        <f ca="1">VLOOKUP(A193,Generators!$A$2:$AZ$516,19,FALSE)</f>
        <v>#N/A</v>
      </c>
      <c r="C193" s="124" t="e">
        <f ca="1">VLOOKUP(A193,Generators!$A$2:$AZ$516,16,FALSE)</f>
        <v>#N/A</v>
      </c>
      <c r="D193" s="124" t="e">
        <f t="shared" ca="1" si="4"/>
        <v>#N/A</v>
      </c>
      <c r="E193" s="158" t="e">
        <f ca="1">IF(VLOOKUP(A193,Generators!$A$2:$AZ$516,20,FALSE)=0,"",VLOOKUP(A193,Generators!$A$2:$AZ$516,20,FALSE))</f>
        <v>#N/A</v>
      </c>
      <c r="F193" s="124" t="e">
        <f ca="1">IF(VLOOKUP(A193,Generators!$A$2:$AZ$516,17,FALSE)=0,"",VLOOKUP(A193,Generators!$A$2:$AZ$516,17,FALSE))</f>
        <v>#N/A</v>
      </c>
      <c r="G193" s="164" t="str">
        <f t="shared" ca="1" si="5"/>
        <v/>
      </c>
    </row>
    <row r="194" spans="1:7" x14ac:dyDescent="0.35">
      <c r="A194" t="e">
        <f ca="1"/>
        <v>#N/A</v>
      </c>
      <c r="B194" s="158" t="e">
        <f ca="1">VLOOKUP(A194,Generators!$A$2:$AZ$516,19,FALSE)</f>
        <v>#N/A</v>
      </c>
      <c r="C194" s="124" t="e">
        <f ca="1">VLOOKUP(A194,Generators!$A$2:$AZ$516,16,FALSE)</f>
        <v>#N/A</v>
      </c>
      <c r="D194" s="124" t="e">
        <f t="shared" ref="D194:D257" ca="1" si="6">ROUND(B194/C194,0)</f>
        <v>#N/A</v>
      </c>
      <c r="E194" s="158" t="e">
        <f ca="1">IF(VLOOKUP(A194,Generators!$A$2:$AZ$516,20,FALSE)=0,"",VLOOKUP(A194,Generators!$A$2:$AZ$516,20,FALSE))</f>
        <v>#N/A</v>
      </c>
      <c r="F194" s="124" t="e">
        <f ca="1">IF(VLOOKUP(A194,Generators!$A$2:$AZ$516,17,FALSE)=0,"",VLOOKUP(A194,Generators!$A$2:$AZ$516,17,FALSE))</f>
        <v>#N/A</v>
      </c>
      <c r="G194" s="164" t="str">
        <f t="shared" ca="1" si="5"/>
        <v/>
      </c>
    </row>
    <row r="195" spans="1:7" x14ac:dyDescent="0.35">
      <c r="A195" t="e">
        <f ca="1"/>
        <v>#N/A</v>
      </c>
      <c r="B195" s="158" t="e">
        <f ca="1">VLOOKUP(A195,Generators!$A$2:$AZ$516,19,FALSE)</f>
        <v>#N/A</v>
      </c>
      <c r="C195" s="124" t="e">
        <f ca="1">VLOOKUP(A195,Generators!$A$2:$AZ$516,16,FALSE)</f>
        <v>#N/A</v>
      </c>
      <c r="D195" s="124" t="e">
        <f t="shared" ca="1" si="6"/>
        <v>#N/A</v>
      </c>
      <c r="E195" s="158" t="e">
        <f ca="1">IF(VLOOKUP(A195,Generators!$A$2:$AZ$516,20,FALSE)=0,"",VLOOKUP(A195,Generators!$A$2:$AZ$516,20,FALSE))</f>
        <v>#N/A</v>
      </c>
      <c r="F195" s="124" t="e">
        <f ca="1">IF(VLOOKUP(A195,Generators!$A$2:$AZ$516,17,FALSE)=0,"",VLOOKUP(A195,Generators!$A$2:$AZ$516,17,FALSE))</f>
        <v>#N/A</v>
      </c>
      <c r="G195" s="164" t="str">
        <f t="shared" ref="G195:G258" ca="1" si="7">IFERROR(E195/F195,"")</f>
        <v/>
      </c>
    </row>
    <row r="196" spans="1:7" x14ac:dyDescent="0.35">
      <c r="A196" t="e">
        <f ca="1"/>
        <v>#N/A</v>
      </c>
      <c r="B196" s="158" t="e">
        <f ca="1">VLOOKUP(A196,Generators!$A$2:$AZ$516,19,FALSE)</f>
        <v>#N/A</v>
      </c>
      <c r="C196" s="124" t="e">
        <f ca="1">VLOOKUP(A196,Generators!$A$2:$AZ$516,16,FALSE)</f>
        <v>#N/A</v>
      </c>
      <c r="D196" s="124" t="e">
        <f t="shared" ca="1" si="6"/>
        <v>#N/A</v>
      </c>
      <c r="E196" s="158" t="e">
        <f ca="1">IF(VLOOKUP(A196,Generators!$A$2:$AZ$516,20,FALSE)=0,"",VLOOKUP(A196,Generators!$A$2:$AZ$516,20,FALSE))</f>
        <v>#N/A</v>
      </c>
      <c r="F196" s="124" t="e">
        <f ca="1">IF(VLOOKUP(A196,Generators!$A$2:$AZ$516,17,FALSE)=0,"",VLOOKUP(A196,Generators!$A$2:$AZ$516,17,FALSE))</f>
        <v>#N/A</v>
      </c>
      <c r="G196" s="164" t="str">
        <f t="shared" ca="1" si="7"/>
        <v/>
      </c>
    </row>
    <row r="197" spans="1:7" x14ac:dyDescent="0.35">
      <c r="A197" t="e">
        <f ca="1"/>
        <v>#N/A</v>
      </c>
      <c r="B197" s="158" t="e">
        <f ca="1">VLOOKUP(A197,Generators!$A$2:$AZ$516,19,FALSE)</f>
        <v>#N/A</v>
      </c>
      <c r="C197" s="124" t="e">
        <f ca="1">VLOOKUP(A197,Generators!$A$2:$AZ$516,16,FALSE)</f>
        <v>#N/A</v>
      </c>
      <c r="D197" s="124" t="e">
        <f t="shared" ca="1" si="6"/>
        <v>#N/A</v>
      </c>
      <c r="E197" s="158" t="e">
        <f ca="1">IF(VLOOKUP(A197,Generators!$A$2:$AZ$516,20,FALSE)=0,"",VLOOKUP(A197,Generators!$A$2:$AZ$516,20,FALSE))</f>
        <v>#N/A</v>
      </c>
      <c r="F197" s="124" t="e">
        <f ca="1">IF(VLOOKUP(A197,Generators!$A$2:$AZ$516,17,FALSE)=0,"",VLOOKUP(A197,Generators!$A$2:$AZ$516,17,FALSE))</f>
        <v>#N/A</v>
      </c>
      <c r="G197" s="164" t="str">
        <f t="shared" ca="1" si="7"/>
        <v/>
      </c>
    </row>
    <row r="198" spans="1:7" x14ac:dyDescent="0.35">
      <c r="A198" t="e">
        <f ca="1"/>
        <v>#N/A</v>
      </c>
      <c r="B198" s="158" t="e">
        <f ca="1">VLOOKUP(A198,Generators!$A$2:$AZ$516,19,FALSE)</f>
        <v>#N/A</v>
      </c>
      <c r="C198" s="124" t="e">
        <f ca="1">VLOOKUP(A198,Generators!$A$2:$AZ$516,16,FALSE)</f>
        <v>#N/A</v>
      </c>
      <c r="D198" s="124" t="e">
        <f t="shared" ca="1" si="6"/>
        <v>#N/A</v>
      </c>
      <c r="E198" s="158" t="e">
        <f ca="1">IF(VLOOKUP(A198,Generators!$A$2:$AZ$516,20,FALSE)=0,"",VLOOKUP(A198,Generators!$A$2:$AZ$516,20,FALSE))</f>
        <v>#N/A</v>
      </c>
      <c r="F198" s="124" t="e">
        <f ca="1">IF(VLOOKUP(A198,Generators!$A$2:$AZ$516,17,FALSE)=0,"",VLOOKUP(A198,Generators!$A$2:$AZ$516,17,FALSE))</f>
        <v>#N/A</v>
      </c>
      <c r="G198" s="164" t="str">
        <f t="shared" ca="1" si="7"/>
        <v/>
      </c>
    </row>
    <row r="199" spans="1:7" x14ac:dyDescent="0.35">
      <c r="A199" t="e">
        <f ca="1"/>
        <v>#N/A</v>
      </c>
      <c r="B199" s="158" t="e">
        <f ca="1">VLOOKUP(A199,Generators!$A$2:$AZ$516,19,FALSE)</f>
        <v>#N/A</v>
      </c>
      <c r="C199" s="124" t="e">
        <f ca="1">VLOOKUP(A199,Generators!$A$2:$AZ$516,16,FALSE)</f>
        <v>#N/A</v>
      </c>
      <c r="D199" s="124" t="e">
        <f t="shared" ca="1" si="6"/>
        <v>#N/A</v>
      </c>
      <c r="E199" s="158" t="e">
        <f ca="1">IF(VLOOKUP(A199,Generators!$A$2:$AZ$516,20,FALSE)=0,"",VLOOKUP(A199,Generators!$A$2:$AZ$516,20,FALSE))</f>
        <v>#N/A</v>
      </c>
      <c r="F199" s="124" t="e">
        <f ca="1">IF(VLOOKUP(A199,Generators!$A$2:$AZ$516,17,FALSE)=0,"",VLOOKUP(A199,Generators!$A$2:$AZ$516,17,FALSE))</f>
        <v>#N/A</v>
      </c>
      <c r="G199" s="164" t="str">
        <f t="shared" ca="1" si="7"/>
        <v/>
      </c>
    </row>
    <row r="200" spans="1:7" x14ac:dyDescent="0.35">
      <c r="A200" t="e">
        <f ca="1"/>
        <v>#N/A</v>
      </c>
      <c r="B200" s="158" t="e">
        <f ca="1">VLOOKUP(A200,Generators!$A$2:$AZ$516,19,FALSE)</f>
        <v>#N/A</v>
      </c>
      <c r="C200" s="124" t="e">
        <f ca="1">VLOOKUP(A200,Generators!$A$2:$AZ$516,16,FALSE)</f>
        <v>#N/A</v>
      </c>
      <c r="D200" s="124" t="e">
        <f t="shared" ca="1" si="6"/>
        <v>#N/A</v>
      </c>
      <c r="E200" s="158" t="e">
        <f ca="1">IF(VLOOKUP(A200,Generators!$A$2:$AZ$516,20,FALSE)=0,"",VLOOKUP(A200,Generators!$A$2:$AZ$516,20,FALSE))</f>
        <v>#N/A</v>
      </c>
      <c r="F200" s="124" t="e">
        <f ca="1">IF(VLOOKUP(A200,Generators!$A$2:$AZ$516,17,FALSE)=0,"",VLOOKUP(A200,Generators!$A$2:$AZ$516,17,FALSE))</f>
        <v>#N/A</v>
      </c>
      <c r="G200" s="164" t="str">
        <f t="shared" ca="1" si="7"/>
        <v/>
      </c>
    </row>
    <row r="201" spans="1:7" x14ac:dyDescent="0.35">
      <c r="A201" t="e">
        <f ca="1"/>
        <v>#N/A</v>
      </c>
      <c r="B201" s="158" t="e">
        <f ca="1">VLOOKUP(A201,Generators!$A$2:$AZ$516,19,FALSE)</f>
        <v>#N/A</v>
      </c>
      <c r="C201" s="124" t="e">
        <f ca="1">VLOOKUP(A201,Generators!$A$2:$AZ$516,16,FALSE)</f>
        <v>#N/A</v>
      </c>
      <c r="D201" s="124" t="e">
        <f t="shared" ca="1" si="6"/>
        <v>#N/A</v>
      </c>
      <c r="E201" s="158" t="e">
        <f ca="1">IF(VLOOKUP(A201,Generators!$A$2:$AZ$516,20,FALSE)=0,"",VLOOKUP(A201,Generators!$A$2:$AZ$516,20,FALSE))</f>
        <v>#N/A</v>
      </c>
      <c r="F201" s="124" t="e">
        <f ca="1">IF(VLOOKUP(A201,Generators!$A$2:$AZ$516,17,FALSE)=0,"",VLOOKUP(A201,Generators!$A$2:$AZ$516,17,FALSE))</f>
        <v>#N/A</v>
      </c>
      <c r="G201" s="164" t="str">
        <f t="shared" ca="1" si="7"/>
        <v/>
      </c>
    </row>
    <row r="202" spans="1:7" x14ac:dyDescent="0.35">
      <c r="A202" t="e">
        <f ca="1"/>
        <v>#N/A</v>
      </c>
      <c r="B202" s="158" t="e">
        <f ca="1">VLOOKUP(A202,Generators!$A$2:$AZ$516,19,FALSE)</f>
        <v>#N/A</v>
      </c>
      <c r="C202" s="124" t="e">
        <f ca="1">VLOOKUP(A202,Generators!$A$2:$AZ$516,16,FALSE)</f>
        <v>#N/A</v>
      </c>
      <c r="D202" s="124" t="e">
        <f t="shared" ca="1" si="6"/>
        <v>#N/A</v>
      </c>
      <c r="E202" s="158" t="e">
        <f ca="1">IF(VLOOKUP(A202,Generators!$A$2:$AZ$516,20,FALSE)=0,"",VLOOKUP(A202,Generators!$A$2:$AZ$516,20,FALSE))</f>
        <v>#N/A</v>
      </c>
      <c r="F202" s="124" t="e">
        <f ca="1">IF(VLOOKUP(A202,Generators!$A$2:$AZ$516,17,FALSE)=0,"",VLOOKUP(A202,Generators!$A$2:$AZ$516,17,FALSE))</f>
        <v>#N/A</v>
      </c>
      <c r="G202" s="164" t="str">
        <f t="shared" ca="1" si="7"/>
        <v/>
      </c>
    </row>
    <row r="203" spans="1:7" x14ac:dyDescent="0.35">
      <c r="A203" t="e">
        <f ca="1"/>
        <v>#N/A</v>
      </c>
      <c r="B203" s="158" t="e">
        <f ca="1">VLOOKUP(A203,Generators!$A$2:$AZ$516,19,FALSE)</f>
        <v>#N/A</v>
      </c>
      <c r="C203" s="124" t="e">
        <f ca="1">VLOOKUP(A203,Generators!$A$2:$AZ$516,16,FALSE)</f>
        <v>#N/A</v>
      </c>
      <c r="D203" s="124" t="e">
        <f t="shared" ca="1" si="6"/>
        <v>#N/A</v>
      </c>
      <c r="E203" s="158" t="e">
        <f ca="1">IF(VLOOKUP(A203,Generators!$A$2:$AZ$516,20,FALSE)=0,"",VLOOKUP(A203,Generators!$A$2:$AZ$516,20,FALSE))</f>
        <v>#N/A</v>
      </c>
      <c r="F203" s="124" t="e">
        <f ca="1">IF(VLOOKUP(A203,Generators!$A$2:$AZ$516,17,FALSE)=0,"",VLOOKUP(A203,Generators!$A$2:$AZ$516,17,FALSE))</f>
        <v>#N/A</v>
      </c>
      <c r="G203" s="164" t="str">
        <f t="shared" ca="1" si="7"/>
        <v/>
      </c>
    </row>
    <row r="204" spans="1:7" x14ac:dyDescent="0.35">
      <c r="A204" t="e">
        <f ca="1"/>
        <v>#N/A</v>
      </c>
      <c r="B204" s="158" t="e">
        <f ca="1">VLOOKUP(A204,Generators!$A$2:$AZ$516,19,FALSE)</f>
        <v>#N/A</v>
      </c>
      <c r="C204" s="124" t="e">
        <f ca="1">VLOOKUP(A204,Generators!$A$2:$AZ$516,16,FALSE)</f>
        <v>#N/A</v>
      </c>
      <c r="D204" s="124" t="e">
        <f t="shared" ca="1" si="6"/>
        <v>#N/A</v>
      </c>
      <c r="E204" s="158" t="e">
        <f ca="1">IF(VLOOKUP(A204,Generators!$A$2:$AZ$516,20,FALSE)=0,"",VLOOKUP(A204,Generators!$A$2:$AZ$516,20,FALSE))</f>
        <v>#N/A</v>
      </c>
      <c r="F204" s="124" t="e">
        <f ca="1">IF(VLOOKUP(A204,Generators!$A$2:$AZ$516,17,FALSE)=0,"",VLOOKUP(A204,Generators!$A$2:$AZ$516,17,FALSE))</f>
        <v>#N/A</v>
      </c>
      <c r="G204" s="164" t="str">
        <f t="shared" ca="1" si="7"/>
        <v/>
      </c>
    </row>
    <row r="205" spans="1:7" x14ac:dyDescent="0.35">
      <c r="A205" t="e">
        <f ca="1"/>
        <v>#N/A</v>
      </c>
      <c r="B205" s="158" t="e">
        <f ca="1">VLOOKUP(A205,Generators!$A$2:$AZ$516,19,FALSE)</f>
        <v>#N/A</v>
      </c>
      <c r="C205" s="124" t="e">
        <f ca="1">VLOOKUP(A205,Generators!$A$2:$AZ$516,16,FALSE)</f>
        <v>#N/A</v>
      </c>
      <c r="D205" s="124" t="e">
        <f t="shared" ca="1" si="6"/>
        <v>#N/A</v>
      </c>
      <c r="E205" s="158" t="e">
        <f ca="1">IF(VLOOKUP(A205,Generators!$A$2:$AZ$516,20,FALSE)=0,"",VLOOKUP(A205,Generators!$A$2:$AZ$516,20,FALSE))</f>
        <v>#N/A</v>
      </c>
      <c r="F205" s="124" t="e">
        <f ca="1">IF(VLOOKUP(A205,Generators!$A$2:$AZ$516,17,FALSE)=0,"",VLOOKUP(A205,Generators!$A$2:$AZ$516,17,FALSE))</f>
        <v>#N/A</v>
      </c>
      <c r="G205" s="164" t="str">
        <f t="shared" ca="1" si="7"/>
        <v/>
      </c>
    </row>
    <row r="206" spans="1:7" x14ac:dyDescent="0.35">
      <c r="A206" t="e">
        <f ca="1"/>
        <v>#N/A</v>
      </c>
      <c r="B206" s="158" t="e">
        <f ca="1">VLOOKUP(A206,Generators!$A$2:$AZ$516,19,FALSE)</f>
        <v>#N/A</v>
      </c>
      <c r="C206" s="124" t="e">
        <f ca="1">VLOOKUP(A206,Generators!$A$2:$AZ$516,16,FALSE)</f>
        <v>#N/A</v>
      </c>
      <c r="D206" s="124" t="e">
        <f t="shared" ca="1" si="6"/>
        <v>#N/A</v>
      </c>
      <c r="E206" s="158" t="e">
        <f ca="1">IF(VLOOKUP(A206,Generators!$A$2:$AZ$516,20,FALSE)=0,"",VLOOKUP(A206,Generators!$A$2:$AZ$516,20,FALSE))</f>
        <v>#N/A</v>
      </c>
      <c r="F206" s="124" t="e">
        <f ca="1">IF(VLOOKUP(A206,Generators!$A$2:$AZ$516,17,FALSE)=0,"",VLOOKUP(A206,Generators!$A$2:$AZ$516,17,FALSE))</f>
        <v>#N/A</v>
      </c>
      <c r="G206" s="164" t="str">
        <f t="shared" ca="1" si="7"/>
        <v/>
      </c>
    </row>
    <row r="207" spans="1:7" x14ac:dyDescent="0.35">
      <c r="A207" t="e">
        <f ca="1"/>
        <v>#N/A</v>
      </c>
      <c r="B207" s="158" t="e">
        <f ca="1">VLOOKUP(A207,Generators!$A$2:$AZ$516,19,FALSE)</f>
        <v>#N/A</v>
      </c>
      <c r="C207" s="124" t="e">
        <f ca="1">VLOOKUP(A207,Generators!$A$2:$AZ$516,16,FALSE)</f>
        <v>#N/A</v>
      </c>
      <c r="D207" s="124" t="e">
        <f t="shared" ca="1" si="6"/>
        <v>#N/A</v>
      </c>
      <c r="E207" s="158" t="e">
        <f ca="1">IF(VLOOKUP(A207,Generators!$A$2:$AZ$516,20,FALSE)=0,"",VLOOKUP(A207,Generators!$A$2:$AZ$516,20,FALSE))</f>
        <v>#N/A</v>
      </c>
      <c r="F207" s="124" t="e">
        <f ca="1">IF(VLOOKUP(A207,Generators!$A$2:$AZ$516,17,FALSE)=0,"",VLOOKUP(A207,Generators!$A$2:$AZ$516,17,FALSE))</f>
        <v>#N/A</v>
      </c>
      <c r="G207" s="164" t="str">
        <f t="shared" ca="1" si="7"/>
        <v/>
      </c>
    </row>
    <row r="208" spans="1:7" x14ac:dyDescent="0.35">
      <c r="A208" t="e">
        <f ca="1"/>
        <v>#N/A</v>
      </c>
      <c r="B208" s="158" t="e">
        <f ca="1">VLOOKUP(A208,Generators!$A$2:$AZ$516,19,FALSE)</f>
        <v>#N/A</v>
      </c>
      <c r="C208" s="124" t="e">
        <f ca="1">VLOOKUP(A208,Generators!$A$2:$AZ$516,16,FALSE)</f>
        <v>#N/A</v>
      </c>
      <c r="D208" s="124" t="e">
        <f t="shared" ca="1" si="6"/>
        <v>#N/A</v>
      </c>
      <c r="E208" s="158" t="e">
        <f ca="1">IF(VLOOKUP(A208,Generators!$A$2:$AZ$516,20,FALSE)=0,"",VLOOKUP(A208,Generators!$A$2:$AZ$516,20,FALSE))</f>
        <v>#N/A</v>
      </c>
      <c r="F208" s="124" t="e">
        <f ca="1">IF(VLOOKUP(A208,Generators!$A$2:$AZ$516,17,FALSE)=0,"",VLOOKUP(A208,Generators!$A$2:$AZ$516,17,FALSE))</f>
        <v>#N/A</v>
      </c>
      <c r="G208" s="164" t="str">
        <f t="shared" ca="1" si="7"/>
        <v/>
      </c>
    </row>
    <row r="209" spans="1:7" x14ac:dyDescent="0.35">
      <c r="A209" t="e">
        <f ca="1"/>
        <v>#N/A</v>
      </c>
      <c r="B209" s="158" t="e">
        <f ca="1">VLOOKUP(A209,Generators!$A$2:$AZ$516,19,FALSE)</f>
        <v>#N/A</v>
      </c>
      <c r="C209" s="124" t="e">
        <f ca="1">VLOOKUP(A209,Generators!$A$2:$AZ$516,16,FALSE)</f>
        <v>#N/A</v>
      </c>
      <c r="D209" s="124" t="e">
        <f t="shared" ca="1" si="6"/>
        <v>#N/A</v>
      </c>
      <c r="E209" s="158" t="e">
        <f ca="1">IF(VLOOKUP(A209,Generators!$A$2:$AZ$516,20,FALSE)=0,"",VLOOKUP(A209,Generators!$A$2:$AZ$516,20,FALSE))</f>
        <v>#N/A</v>
      </c>
      <c r="F209" s="124" t="e">
        <f ca="1">IF(VLOOKUP(A209,Generators!$A$2:$AZ$516,17,FALSE)=0,"",VLOOKUP(A209,Generators!$A$2:$AZ$516,17,FALSE))</f>
        <v>#N/A</v>
      </c>
      <c r="G209" s="164" t="str">
        <f t="shared" ca="1" si="7"/>
        <v/>
      </c>
    </row>
    <row r="210" spans="1:7" x14ac:dyDescent="0.35">
      <c r="A210" t="e">
        <f ca="1"/>
        <v>#N/A</v>
      </c>
      <c r="B210" s="158" t="e">
        <f ca="1">VLOOKUP(A210,Generators!$A$2:$AZ$516,19,FALSE)</f>
        <v>#N/A</v>
      </c>
      <c r="C210" s="124" t="e">
        <f ca="1">VLOOKUP(A210,Generators!$A$2:$AZ$516,16,FALSE)</f>
        <v>#N/A</v>
      </c>
      <c r="D210" s="124" t="e">
        <f t="shared" ca="1" si="6"/>
        <v>#N/A</v>
      </c>
      <c r="E210" s="158" t="e">
        <f ca="1">IF(VLOOKUP(A210,Generators!$A$2:$AZ$516,20,FALSE)=0,"",VLOOKUP(A210,Generators!$A$2:$AZ$516,20,FALSE))</f>
        <v>#N/A</v>
      </c>
      <c r="F210" s="124" t="e">
        <f ca="1">IF(VLOOKUP(A210,Generators!$A$2:$AZ$516,17,FALSE)=0,"",VLOOKUP(A210,Generators!$A$2:$AZ$516,17,FALSE))</f>
        <v>#N/A</v>
      </c>
      <c r="G210" s="164" t="str">
        <f t="shared" ca="1" si="7"/>
        <v/>
      </c>
    </row>
    <row r="211" spans="1:7" x14ac:dyDescent="0.35">
      <c r="A211" t="e">
        <f ca="1"/>
        <v>#N/A</v>
      </c>
      <c r="B211" s="158" t="e">
        <f ca="1">VLOOKUP(A211,Generators!$A$2:$AZ$516,19,FALSE)</f>
        <v>#N/A</v>
      </c>
      <c r="C211" s="124" t="e">
        <f ca="1">VLOOKUP(A211,Generators!$A$2:$AZ$516,16,FALSE)</f>
        <v>#N/A</v>
      </c>
      <c r="D211" s="124" t="e">
        <f t="shared" ca="1" si="6"/>
        <v>#N/A</v>
      </c>
      <c r="E211" s="158" t="e">
        <f ca="1">IF(VLOOKUP(A211,Generators!$A$2:$AZ$516,20,FALSE)=0,"",VLOOKUP(A211,Generators!$A$2:$AZ$516,20,FALSE))</f>
        <v>#N/A</v>
      </c>
      <c r="F211" s="124" t="e">
        <f ca="1">IF(VLOOKUP(A211,Generators!$A$2:$AZ$516,17,FALSE)=0,"",VLOOKUP(A211,Generators!$A$2:$AZ$516,17,FALSE))</f>
        <v>#N/A</v>
      </c>
      <c r="G211" s="164" t="str">
        <f t="shared" ca="1" si="7"/>
        <v/>
      </c>
    </row>
    <row r="212" spans="1:7" x14ac:dyDescent="0.35">
      <c r="A212" t="e">
        <f ca="1"/>
        <v>#N/A</v>
      </c>
      <c r="B212" s="158" t="e">
        <f ca="1">VLOOKUP(A212,Generators!$A$2:$AZ$516,19,FALSE)</f>
        <v>#N/A</v>
      </c>
      <c r="C212" s="124" t="e">
        <f ca="1">VLOOKUP(A212,Generators!$A$2:$AZ$516,16,FALSE)</f>
        <v>#N/A</v>
      </c>
      <c r="D212" s="124" t="e">
        <f t="shared" ca="1" si="6"/>
        <v>#N/A</v>
      </c>
      <c r="E212" s="158" t="e">
        <f ca="1">IF(VLOOKUP(A212,Generators!$A$2:$AZ$516,20,FALSE)=0,"",VLOOKUP(A212,Generators!$A$2:$AZ$516,20,FALSE))</f>
        <v>#N/A</v>
      </c>
      <c r="F212" s="124" t="e">
        <f ca="1">IF(VLOOKUP(A212,Generators!$A$2:$AZ$516,17,FALSE)=0,"",VLOOKUP(A212,Generators!$A$2:$AZ$516,17,FALSE))</f>
        <v>#N/A</v>
      </c>
      <c r="G212" s="164" t="str">
        <f t="shared" ca="1" si="7"/>
        <v/>
      </c>
    </row>
    <row r="213" spans="1:7" x14ac:dyDescent="0.35">
      <c r="A213" t="e">
        <f ca="1"/>
        <v>#N/A</v>
      </c>
      <c r="B213" s="158" t="e">
        <f ca="1">VLOOKUP(A213,Generators!$A$2:$AZ$516,19,FALSE)</f>
        <v>#N/A</v>
      </c>
      <c r="C213" s="124" t="e">
        <f ca="1">VLOOKUP(A213,Generators!$A$2:$AZ$516,16,FALSE)</f>
        <v>#N/A</v>
      </c>
      <c r="D213" s="124" t="e">
        <f t="shared" ca="1" si="6"/>
        <v>#N/A</v>
      </c>
      <c r="E213" s="158" t="e">
        <f ca="1">IF(VLOOKUP(A213,Generators!$A$2:$AZ$516,20,FALSE)=0,"",VLOOKUP(A213,Generators!$A$2:$AZ$516,20,FALSE))</f>
        <v>#N/A</v>
      </c>
      <c r="F213" s="124" t="e">
        <f ca="1">IF(VLOOKUP(A213,Generators!$A$2:$AZ$516,17,FALSE)=0,"",VLOOKUP(A213,Generators!$A$2:$AZ$516,17,FALSE))</f>
        <v>#N/A</v>
      </c>
      <c r="G213" s="164" t="str">
        <f t="shared" ca="1" si="7"/>
        <v/>
      </c>
    </row>
    <row r="214" spans="1:7" x14ac:dyDescent="0.35">
      <c r="A214" t="e">
        <f ca="1"/>
        <v>#N/A</v>
      </c>
      <c r="B214" s="158" t="e">
        <f ca="1">VLOOKUP(A214,Generators!$A$2:$AZ$516,19,FALSE)</f>
        <v>#N/A</v>
      </c>
      <c r="C214" s="124" t="e">
        <f ca="1">VLOOKUP(A214,Generators!$A$2:$AZ$516,16,FALSE)</f>
        <v>#N/A</v>
      </c>
      <c r="D214" s="124" t="e">
        <f t="shared" ca="1" si="6"/>
        <v>#N/A</v>
      </c>
      <c r="E214" s="158" t="e">
        <f ca="1">IF(VLOOKUP(A214,Generators!$A$2:$AZ$516,20,FALSE)=0,"",VLOOKUP(A214,Generators!$A$2:$AZ$516,20,FALSE))</f>
        <v>#N/A</v>
      </c>
      <c r="F214" s="124" t="e">
        <f ca="1">IF(VLOOKUP(A214,Generators!$A$2:$AZ$516,17,FALSE)=0,"",VLOOKUP(A214,Generators!$A$2:$AZ$516,17,FALSE))</f>
        <v>#N/A</v>
      </c>
      <c r="G214" s="164" t="str">
        <f t="shared" ca="1" si="7"/>
        <v/>
      </c>
    </row>
    <row r="215" spans="1:7" x14ac:dyDescent="0.35">
      <c r="A215" t="e">
        <f ca="1"/>
        <v>#N/A</v>
      </c>
      <c r="B215" s="158" t="e">
        <f ca="1">VLOOKUP(A215,Generators!$A$2:$AZ$516,19,FALSE)</f>
        <v>#N/A</v>
      </c>
      <c r="C215" s="124" t="e">
        <f ca="1">VLOOKUP(A215,Generators!$A$2:$AZ$516,16,FALSE)</f>
        <v>#N/A</v>
      </c>
      <c r="D215" s="124" t="e">
        <f t="shared" ca="1" si="6"/>
        <v>#N/A</v>
      </c>
      <c r="E215" s="158" t="e">
        <f ca="1">IF(VLOOKUP(A215,Generators!$A$2:$AZ$516,20,FALSE)=0,"",VLOOKUP(A215,Generators!$A$2:$AZ$516,20,FALSE))</f>
        <v>#N/A</v>
      </c>
      <c r="F215" s="124" t="e">
        <f ca="1">IF(VLOOKUP(A215,Generators!$A$2:$AZ$516,17,FALSE)=0,"",VLOOKUP(A215,Generators!$A$2:$AZ$516,17,FALSE))</f>
        <v>#N/A</v>
      </c>
      <c r="G215" s="164" t="str">
        <f t="shared" ca="1" si="7"/>
        <v/>
      </c>
    </row>
    <row r="216" spans="1:7" x14ac:dyDescent="0.35">
      <c r="A216" t="e">
        <f ca="1"/>
        <v>#N/A</v>
      </c>
      <c r="B216" s="158" t="e">
        <f ca="1">VLOOKUP(A216,Generators!$A$2:$AZ$516,19,FALSE)</f>
        <v>#N/A</v>
      </c>
      <c r="C216" s="124" t="e">
        <f ca="1">VLOOKUP(A216,Generators!$A$2:$AZ$516,16,FALSE)</f>
        <v>#N/A</v>
      </c>
      <c r="D216" s="124" t="e">
        <f t="shared" ca="1" si="6"/>
        <v>#N/A</v>
      </c>
      <c r="E216" s="158" t="e">
        <f ca="1">IF(VLOOKUP(A216,Generators!$A$2:$AZ$516,20,FALSE)=0,"",VLOOKUP(A216,Generators!$A$2:$AZ$516,20,FALSE))</f>
        <v>#N/A</v>
      </c>
      <c r="F216" s="124" t="e">
        <f ca="1">IF(VLOOKUP(A216,Generators!$A$2:$AZ$516,17,FALSE)=0,"",VLOOKUP(A216,Generators!$A$2:$AZ$516,17,FALSE))</f>
        <v>#N/A</v>
      </c>
      <c r="G216" s="164" t="str">
        <f t="shared" ca="1" si="7"/>
        <v/>
      </c>
    </row>
    <row r="217" spans="1:7" x14ac:dyDescent="0.35">
      <c r="A217" t="e">
        <f ca="1"/>
        <v>#N/A</v>
      </c>
      <c r="B217" s="158" t="e">
        <f ca="1">VLOOKUP(A217,Generators!$A$2:$AZ$516,19,FALSE)</f>
        <v>#N/A</v>
      </c>
      <c r="C217" s="124" t="e">
        <f ca="1">VLOOKUP(A217,Generators!$A$2:$AZ$516,16,FALSE)</f>
        <v>#N/A</v>
      </c>
      <c r="D217" s="124" t="e">
        <f t="shared" ca="1" si="6"/>
        <v>#N/A</v>
      </c>
      <c r="E217" s="158" t="e">
        <f ca="1">IF(VLOOKUP(A217,Generators!$A$2:$AZ$516,20,FALSE)=0,"",VLOOKUP(A217,Generators!$A$2:$AZ$516,20,FALSE))</f>
        <v>#N/A</v>
      </c>
      <c r="F217" s="124" t="e">
        <f ca="1">IF(VLOOKUP(A217,Generators!$A$2:$AZ$516,17,FALSE)=0,"",VLOOKUP(A217,Generators!$A$2:$AZ$516,17,FALSE))</f>
        <v>#N/A</v>
      </c>
      <c r="G217" s="164" t="str">
        <f t="shared" ca="1" si="7"/>
        <v/>
      </c>
    </row>
    <row r="218" spans="1:7" x14ac:dyDescent="0.35">
      <c r="A218" t="e">
        <f ca="1"/>
        <v>#N/A</v>
      </c>
      <c r="B218" s="158" t="e">
        <f ca="1">VLOOKUP(A218,Generators!$A$2:$AZ$516,19,FALSE)</f>
        <v>#N/A</v>
      </c>
      <c r="C218" s="124" t="e">
        <f ca="1">VLOOKUP(A218,Generators!$A$2:$AZ$516,16,FALSE)</f>
        <v>#N/A</v>
      </c>
      <c r="D218" s="124" t="e">
        <f t="shared" ca="1" si="6"/>
        <v>#N/A</v>
      </c>
      <c r="E218" s="158" t="e">
        <f ca="1">IF(VLOOKUP(A218,Generators!$A$2:$AZ$516,20,FALSE)=0,"",VLOOKUP(A218,Generators!$A$2:$AZ$516,20,FALSE))</f>
        <v>#N/A</v>
      </c>
      <c r="F218" s="124" t="e">
        <f ca="1">IF(VLOOKUP(A218,Generators!$A$2:$AZ$516,17,FALSE)=0,"",VLOOKUP(A218,Generators!$A$2:$AZ$516,17,FALSE))</f>
        <v>#N/A</v>
      </c>
      <c r="G218" s="164" t="str">
        <f t="shared" ca="1" si="7"/>
        <v/>
      </c>
    </row>
    <row r="219" spans="1:7" x14ac:dyDescent="0.35">
      <c r="A219" t="e">
        <f ca="1"/>
        <v>#N/A</v>
      </c>
      <c r="B219" s="158" t="e">
        <f ca="1">VLOOKUP(A219,Generators!$A$2:$AZ$516,19,FALSE)</f>
        <v>#N/A</v>
      </c>
      <c r="C219" s="124" t="e">
        <f ca="1">VLOOKUP(A219,Generators!$A$2:$AZ$516,16,FALSE)</f>
        <v>#N/A</v>
      </c>
      <c r="D219" s="124" t="e">
        <f t="shared" ca="1" si="6"/>
        <v>#N/A</v>
      </c>
      <c r="E219" s="158" t="e">
        <f ca="1">IF(VLOOKUP(A219,Generators!$A$2:$AZ$516,20,FALSE)=0,"",VLOOKUP(A219,Generators!$A$2:$AZ$516,20,FALSE))</f>
        <v>#N/A</v>
      </c>
      <c r="F219" s="124" t="e">
        <f ca="1">IF(VLOOKUP(A219,Generators!$A$2:$AZ$516,17,FALSE)=0,"",VLOOKUP(A219,Generators!$A$2:$AZ$516,17,FALSE))</f>
        <v>#N/A</v>
      </c>
      <c r="G219" s="164" t="str">
        <f t="shared" ca="1" si="7"/>
        <v/>
      </c>
    </row>
    <row r="220" spans="1:7" x14ac:dyDescent="0.35">
      <c r="A220" t="e">
        <f ca="1"/>
        <v>#N/A</v>
      </c>
      <c r="B220" s="158" t="e">
        <f ca="1">VLOOKUP(A220,Generators!$A$2:$AZ$516,19,FALSE)</f>
        <v>#N/A</v>
      </c>
      <c r="C220" s="124" t="e">
        <f ca="1">VLOOKUP(A220,Generators!$A$2:$AZ$516,16,FALSE)</f>
        <v>#N/A</v>
      </c>
      <c r="D220" s="124" t="e">
        <f t="shared" ca="1" si="6"/>
        <v>#N/A</v>
      </c>
      <c r="E220" s="158" t="e">
        <f ca="1">IF(VLOOKUP(A220,Generators!$A$2:$AZ$516,20,FALSE)=0,"",VLOOKUP(A220,Generators!$A$2:$AZ$516,20,FALSE))</f>
        <v>#N/A</v>
      </c>
      <c r="F220" s="124" t="e">
        <f ca="1">IF(VLOOKUP(A220,Generators!$A$2:$AZ$516,17,FALSE)=0,"",VLOOKUP(A220,Generators!$A$2:$AZ$516,17,FALSE))</f>
        <v>#N/A</v>
      </c>
      <c r="G220" s="164" t="str">
        <f t="shared" ca="1" si="7"/>
        <v/>
      </c>
    </row>
    <row r="221" spans="1:7" x14ac:dyDescent="0.35">
      <c r="A221" t="e">
        <f ca="1"/>
        <v>#N/A</v>
      </c>
      <c r="B221" s="158" t="e">
        <f ca="1">VLOOKUP(A221,Generators!$A$2:$AZ$516,19,FALSE)</f>
        <v>#N/A</v>
      </c>
      <c r="C221" s="124" t="e">
        <f ca="1">VLOOKUP(A221,Generators!$A$2:$AZ$516,16,FALSE)</f>
        <v>#N/A</v>
      </c>
      <c r="D221" s="124" t="e">
        <f t="shared" ca="1" si="6"/>
        <v>#N/A</v>
      </c>
      <c r="E221" s="158" t="e">
        <f ca="1">IF(VLOOKUP(A221,Generators!$A$2:$AZ$516,20,FALSE)=0,"",VLOOKUP(A221,Generators!$A$2:$AZ$516,20,FALSE))</f>
        <v>#N/A</v>
      </c>
      <c r="F221" s="124" t="e">
        <f ca="1">IF(VLOOKUP(A221,Generators!$A$2:$AZ$516,17,FALSE)=0,"",VLOOKUP(A221,Generators!$A$2:$AZ$516,17,FALSE))</f>
        <v>#N/A</v>
      </c>
      <c r="G221" s="164" t="str">
        <f t="shared" ca="1" si="7"/>
        <v/>
      </c>
    </row>
    <row r="222" spans="1:7" x14ac:dyDescent="0.35">
      <c r="A222" t="e">
        <f ca="1"/>
        <v>#N/A</v>
      </c>
      <c r="B222" s="158" t="e">
        <f ca="1">VLOOKUP(A222,Generators!$A$2:$AZ$516,19,FALSE)</f>
        <v>#N/A</v>
      </c>
      <c r="C222" s="124" t="e">
        <f ca="1">VLOOKUP(A222,Generators!$A$2:$AZ$516,16,FALSE)</f>
        <v>#N/A</v>
      </c>
      <c r="D222" s="124" t="e">
        <f t="shared" ca="1" si="6"/>
        <v>#N/A</v>
      </c>
      <c r="E222" s="158" t="e">
        <f ca="1">IF(VLOOKUP(A222,Generators!$A$2:$AZ$516,20,FALSE)=0,"",VLOOKUP(A222,Generators!$A$2:$AZ$516,20,FALSE))</f>
        <v>#N/A</v>
      </c>
      <c r="F222" s="124" t="e">
        <f ca="1">IF(VLOOKUP(A222,Generators!$A$2:$AZ$516,17,FALSE)=0,"",VLOOKUP(A222,Generators!$A$2:$AZ$516,17,FALSE))</f>
        <v>#N/A</v>
      </c>
      <c r="G222" s="164" t="str">
        <f t="shared" ca="1" si="7"/>
        <v/>
      </c>
    </row>
    <row r="223" spans="1:7" x14ac:dyDescent="0.35">
      <c r="A223" t="e">
        <f ca="1"/>
        <v>#N/A</v>
      </c>
      <c r="B223" s="158" t="e">
        <f ca="1">VLOOKUP(A223,Generators!$A$2:$AZ$516,19,FALSE)</f>
        <v>#N/A</v>
      </c>
      <c r="C223" s="124" t="e">
        <f ca="1">VLOOKUP(A223,Generators!$A$2:$AZ$516,16,FALSE)</f>
        <v>#N/A</v>
      </c>
      <c r="D223" s="124" t="e">
        <f t="shared" ca="1" si="6"/>
        <v>#N/A</v>
      </c>
      <c r="E223" s="158" t="e">
        <f ca="1">IF(VLOOKUP(A223,Generators!$A$2:$AZ$516,20,FALSE)=0,"",VLOOKUP(A223,Generators!$A$2:$AZ$516,20,FALSE))</f>
        <v>#N/A</v>
      </c>
      <c r="F223" s="124" t="e">
        <f ca="1">IF(VLOOKUP(A223,Generators!$A$2:$AZ$516,17,FALSE)=0,"",VLOOKUP(A223,Generators!$A$2:$AZ$516,17,FALSE))</f>
        <v>#N/A</v>
      </c>
      <c r="G223" s="164" t="str">
        <f t="shared" ca="1" si="7"/>
        <v/>
      </c>
    </row>
    <row r="224" spans="1:7" x14ac:dyDescent="0.35">
      <c r="A224" t="e">
        <f ca="1"/>
        <v>#N/A</v>
      </c>
      <c r="B224" s="158" t="e">
        <f ca="1">VLOOKUP(A224,Generators!$A$2:$AZ$516,19,FALSE)</f>
        <v>#N/A</v>
      </c>
      <c r="C224" s="124" t="e">
        <f ca="1">VLOOKUP(A224,Generators!$A$2:$AZ$516,16,FALSE)</f>
        <v>#N/A</v>
      </c>
      <c r="D224" s="124" t="e">
        <f t="shared" ca="1" si="6"/>
        <v>#N/A</v>
      </c>
      <c r="E224" s="158" t="e">
        <f ca="1">IF(VLOOKUP(A224,Generators!$A$2:$AZ$516,20,FALSE)=0,"",VLOOKUP(A224,Generators!$A$2:$AZ$516,20,FALSE))</f>
        <v>#N/A</v>
      </c>
      <c r="F224" s="124" t="e">
        <f ca="1">IF(VLOOKUP(A224,Generators!$A$2:$AZ$516,17,FALSE)=0,"",VLOOKUP(A224,Generators!$A$2:$AZ$516,17,FALSE))</f>
        <v>#N/A</v>
      </c>
      <c r="G224" s="164" t="str">
        <f t="shared" ca="1" si="7"/>
        <v/>
      </c>
    </row>
    <row r="225" spans="1:7" x14ac:dyDescent="0.35">
      <c r="A225" t="e">
        <f ca="1"/>
        <v>#N/A</v>
      </c>
      <c r="B225" s="158" t="e">
        <f ca="1">VLOOKUP(A225,Generators!$A$2:$AZ$516,19,FALSE)</f>
        <v>#N/A</v>
      </c>
      <c r="C225" s="124" t="e">
        <f ca="1">VLOOKUP(A225,Generators!$A$2:$AZ$516,16,FALSE)</f>
        <v>#N/A</v>
      </c>
      <c r="D225" s="124" t="e">
        <f t="shared" ca="1" si="6"/>
        <v>#N/A</v>
      </c>
      <c r="E225" s="158" t="e">
        <f ca="1">IF(VLOOKUP(A225,Generators!$A$2:$AZ$516,20,FALSE)=0,"",VLOOKUP(A225,Generators!$A$2:$AZ$516,20,FALSE))</f>
        <v>#N/A</v>
      </c>
      <c r="F225" s="124" t="e">
        <f ca="1">IF(VLOOKUP(A225,Generators!$A$2:$AZ$516,17,FALSE)=0,"",VLOOKUP(A225,Generators!$A$2:$AZ$516,17,FALSE))</f>
        <v>#N/A</v>
      </c>
      <c r="G225" s="164" t="str">
        <f t="shared" ca="1" si="7"/>
        <v/>
      </c>
    </row>
    <row r="226" spans="1:7" x14ac:dyDescent="0.35">
      <c r="A226" t="e">
        <f ca="1"/>
        <v>#N/A</v>
      </c>
      <c r="B226" s="158" t="e">
        <f ca="1">VLOOKUP(A226,Generators!$A$2:$AZ$516,19,FALSE)</f>
        <v>#N/A</v>
      </c>
      <c r="C226" s="124" t="e">
        <f ca="1">VLOOKUP(A226,Generators!$A$2:$AZ$516,16,FALSE)</f>
        <v>#N/A</v>
      </c>
      <c r="D226" s="124" t="e">
        <f t="shared" ca="1" si="6"/>
        <v>#N/A</v>
      </c>
      <c r="E226" s="158" t="e">
        <f ca="1">IF(VLOOKUP(A226,Generators!$A$2:$AZ$516,20,FALSE)=0,"",VLOOKUP(A226,Generators!$A$2:$AZ$516,20,FALSE))</f>
        <v>#N/A</v>
      </c>
      <c r="F226" s="124" t="e">
        <f ca="1">IF(VLOOKUP(A226,Generators!$A$2:$AZ$516,17,FALSE)=0,"",VLOOKUP(A226,Generators!$A$2:$AZ$516,17,FALSE))</f>
        <v>#N/A</v>
      </c>
      <c r="G226" s="164" t="str">
        <f t="shared" ca="1" si="7"/>
        <v/>
      </c>
    </row>
    <row r="227" spans="1:7" x14ac:dyDescent="0.35">
      <c r="A227" t="e">
        <f ca="1"/>
        <v>#N/A</v>
      </c>
      <c r="B227" s="158" t="e">
        <f ca="1">VLOOKUP(A227,Generators!$A$2:$AZ$516,19,FALSE)</f>
        <v>#N/A</v>
      </c>
      <c r="C227" s="124" t="e">
        <f ca="1">VLOOKUP(A227,Generators!$A$2:$AZ$516,16,FALSE)</f>
        <v>#N/A</v>
      </c>
      <c r="D227" s="124" t="e">
        <f t="shared" ca="1" si="6"/>
        <v>#N/A</v>
      </c>
      <c r="E227" s="158" t="e">
        <f ca="1">IF(VLOOKUP(A227,Generators!$A$2:$AZ$516,20,FALSE)=0,"",VLOOKUP(A227,Generators!$A$2:$AZ$516,20,FALSE))</f>
        <v>#N/A</v>
      </c>
      <c r="F227" s="124" t="e">
        <f ca="1">IF(VLOOKUP(A227,Generators!$A$2:$AZ$516,17,FALSE)=0,"",VLOOKUP(A227,Generators!$A$2:$AZ$516,17,FALSE))</f>
        <v>#N/A</v>
      </c>
      <c r="G227" s="164" t="str">
        <f t="shared" ca="1" si="7"/>
        <v/>
      </c>
    </row>
    <row r="228" spans="1:7" x14ac:dyDescent="0.35">
      <c r="A228" t="e">
        <f ca="1"/>
        <v>#N/A</v>
      </c>
      <c r="B228" s="158" t="e">
        <f ca="1">VLOOKUP(A228,Generators!$A$2:$AZ$516,19,FALSE)</f>
        <v>#N/A</v>
      </c>
      <c r="C228" s="124" t="e">
        <f ca="1">VLOOKUP(A228,Generators!$A$2:$AZ$516,16,FALSE)</f>
        <v>#N/A</v>
      </c>
      <c r="D228" s="124" t="e">
        <f t="shared" ca="1" si="6"/>
        <v>#N/A</v>
      </c>
      <c r="E228" s="158" t="e">
        <f ca="1">IF(VLOOKUP(A228,Generators!$A$2:$AZ$516,20,FALSE)=0,"",VLOOKUP(A228,Generators!$A$2:$AZ$516,20,FALSE))</f>
        <v>#N/A</v>
      </c>
      <c r="F228" s="124" t="e">
        <f ca="1">IF(VLOOKUP(A228,Generators!$A$2:$AZ$516,17,FALSE)=0,"",VLOOKUP(A228,Generators!$A$2:$AZ$516,17,FALSE))</f>
        <v>#N/A</v>
      </c>
      <c r="G228" s="164" t="str">
        <f t="shared" ca="1" si="7"/>
        <v/>
      </c>
    </row>
    <row r="229" spans="1:7" x14ac:dyDescent="0.35">
      <c r="A229" t="e">
        <f ca="1"/>
        <v>#N/A</v>
      </c>
      <c r="B229" s="158" t="e">
        <f ca="1">VLOOKUP(A229,Generators!$A$2:$AZ$516,19,FALSE)</f>
        <v>#N/A</v>
      </c>
      <c r="C229" s="124" t="e">
        <f ca="1">VLOOKUP(A229,Generators!$A$2:$AZ$516,16,FALSE)</f>
        <v>#N/A</v>
      </c>
      <c r="D229" s="124" t="e">
        <f t="shared" ca="1" si="6"/>
        <v>#N/A</v>
      </c>
      <c r="E229" s="158" t="e">
        <f ca="1">IF(VLOOKUP(A229,Generators!$A$2:$AZ$516,20,FALSE)=0,"",VLOOKUP(A229,Generators!$A$2:$AZ$516,20,FALSE))</f>
        <v>#N/A</v>
      </c>
      <c r="F229" s="124" t="e">
        <f ca="1">IF(VLOOKUP(A229,Generators!$A$2:$AZ$516,17,FALSE)=0,"",VLOOKUP(A229,Generators!$A$2:$AZ$516,17,FALSE))</f>
        <v>#N/A</v>
      </c>
      <c r="G229" s="164" t="str">
        <f t="shared" ca="1" si="7"/>
        <v/>
      </c>
    </row>
    <row r="230" spans="1:7" x14ac:dyDescent="0.35">
      <c r="A230" t="e">
        <f ca="1"/>
        <v>#N/A</v>
      </c>
      <c r="B230" s="158" t="e">
        <f ca="1">VLOOKUP(A230,Generators!$A$2:$AZ$516,19,FALSE)</f>
        <v>#N/A</v>
      </c>
      <c r="C230" s="124" t="e">
        <f ca="1">VLOOKUP(A230,Generators!$A$2:$AZ$516,16,FALSE)</f>
        <v>#N/A</v>
      </c>
      <c r="D230" s="124" t="e">
        <f t="shared" ca="1" si="6"/>
        <v>#N/A</v>
      </c>
      <c r="E230" s="158" t="e">
        <f ca="1">IF(VLOOKUP(A230,Generators!$A$2:$AZ$516,20,FALSE)=0,"",VLOOKUP(A230,Generators!$A$2:$AZ$516,20,FALSE))</f>
        <v>#N/A</v>
      </c>
      <c r="F230" s="124" t="e">
        <f ca="1">IF(VLOOKUP(A230,Generators!$A$2:$AZ$516,17,FALSE)=0,"",VLOOKUP(A230,Generators!$A$2:$AZ$516,17,FALSE))</f>
        <v>#N/A</v>
      </c>
      <c r="G230" s="164" t="str">
        <f t="shared" ca="1" si="7"/>
        <v/>
      </c>
    </row>
    <row r="231" spans="1:7" x14ac:dyDescent="0.35">
      <c r="A231" t="e">
        <f ca="1"/>
        <v>#N/A</v>
      </c>
      <c r="B231" s="158" t="e">
        <f ca="1">VLOOKUP(A231,Generators!$A$2:$AZ$516,19,FALSE)</f>
        <v>#N/A</v>
      </c>
      <c r="C231" s="124" t="e">
        <f ca="1">VLOOKUP(A231,Generators!$A$2:$AZ$516,16,FALSE)</f>
        <v>#N/A</v>
      </c>
      <c r="D231" s="124" t="e">
        <f t="shared" ca="1" si="6"/>
        <v>#N/A</v>
      </c>
      <c r="E231" s="158" t="e">
        <f ca="1">IF(VLOOKUP(A231,Generators!$A$2:$AZ$516,20,FALSE)=0,"",VLOOKUP(A231,Generators!$A$2:$AZ$516,20,FALSE))</f>
        <v>#N/A</v>
      </c>
      <c r="F231" s="124" t="e">
        <f ca="1">IF(VLOOKUP(A231,Generators!$A$2:$AZ$516,17,FALSE)=0,"",VLOOKUP(A231,Generators!$A$2:$AZ$516,17,FALSE))</f>
        <v>#N/A</v>
      </c>
      <c r="G231" s="164" t="str">
        <f t="shared" ca="1" si="7"/>
        <v/>
      </c>
    </row>
    <row r="232" spans="1:7" x14ac:dyDescent="0.35">
      <c r="A232" t="e">
        <f ca="1"/>
        <v>#N/A</v>
      </c>
      <c r="B232" s="158" t="e">
        <f ca="1">VLOOKUP(A232,Generators!$A$2:$AZ$516,19,FALSE)</f>
        <v>#N/A</v>
      </c>
      <c r="C232" s="124" t="e">
        <f ca="1">VLOOKUP(A232,Generators!$A$2:$AZ$516,16,FALSE)</f>
        <v>#N/A</v>
      </c>
      <c r="D232" s="124" t="e">
        <f t="shared" ca="1" si="6"/>
        <v>#N/A</v>
      </c>
      <c r="E232" s="158" t="e">
        <f ca="1">IF(VLOOKUP(A232,Generators!$A$2:$AZ$516,20,FALSE)=0,"",VLOOKUP(A232,Generators!$A$2:$AZ$516,20,FALSE))</f>
        <v>#N/A</v>
      </c>
      <c r="F232" s="124" t="e">
        <f ca="1">IF(VLOOKUP(A232,Generators!$A$2:$AZ$516,17,FALSE)=0,"",VLOOKUP(A232,Generators!$A$2:$AZ$516,17,FALSE))</f>
        <v>#N/A</v>
      </c>
      <c r="G232" s="164" t="str">
        <f t="shared" ca="1" si="7"/>
        <v/>
      </c>
    </row>
    <row r="233" spans="1:7" x14ac:dyDescent="0.35">
      <c r="A233" t="e">
        <f ca="1"/>
        <v>#N/A</v>
      </c>
      <c r="B233" s="158" t="e">
        <f ca="1">VLOOKUP(A233,Generators!$A$2:$AZ$516,19,FALSE)</f>
        <v>#N/A</v>
      </c>
      <c r="C233" s="124" t="e">
        <f ca="1">VLOOKUP(A233,Generators!$A$2:$AZ$516,16,FALSE)</f>
        <v>#N/A</v>
      </c>
      <c r="D233" s="124" t="e">
        <f t="shared" ca="1" si="6"/>
        <v>#N/A</v>
      </c>
      <c r="E233" s="158" t="e">
        <f ca="1">IF(VLOOKUP(A233,Generators!$A$2:$AZ$516,20,FALSE)=0,"",VLOOKUP(A233,Generators!$A$2:$AZ$516,20,FALSE))</f>
        <v>#N/A</v>
      </c>
      <c r="F233" s="124" t="e">
        <f ca="1">IF(VLOOKUP(A233,Generators!$A$2:$AZ$516,17,FALSE)=0,"",VLOOKUP(A233,Generators!$A$2:$AZ$516,17,FALSE))</f>
        <v>#N/A</v>
      </c>
      <c r="G233" s="164" t="str">
        <f t="shared" ca="1" si="7"/>
        <v/>
      </c>
    </row>
    <row r="234" spans="1:7" x14ac:dyDescent="0.35">
      <c r="A234" t="e">
        <f ca="1"/>
        <v>#N/A</v>
      </c>
      <c r="B234" s="158" t="e">
        <f ca="1">VLOOKUP(A234,Generators!$A$2:$AZ$516,19,FALSE)</f>
        <v>#N/A</v>
      </c>
      <c r="C234" s="124" t="e">
        <f ca="1">VLOOKUP(A234,Generators!$A$2:$AZ$516,16,FALSE)</f>
        <v>#N/A</v>
      </c>
      <c r="D234" s="124" t="e">
        <f t="shared" ca="1" si="6"/>
        <v>#N/A</v>
      </c>
      <c r="E234" s="158" t="e">
        <f ca="1">IF(VLOOKUP(A234,Generators!$A$2:$AZ$516,20,FALSE)=0,"",VLOOKUP(A234,Generators!$A$2:$AZ$516,20,FALSE))</f>
        <v>#N/A</v>
      </c>
      <c r="F234" s="124" t="e">
        <f ca="1">IF(VLOOKUP(A234,Generators!$A$2:$AZ$516,17,FALSE)=0,"",VLOOKUP(A234,Generators!$A$2:$AZ$516,17,FALSE))</f>
        <v>#N/A</v>
      </c>
      <c r="G234" s="164" t="str">
        <f t="shared" ca="1" si="7"/>
        <v/>
      </c>
    </row>
    <row r="235" spans="1:7" x14ac:dyDescent="0.35">
      <c r="A235" t="e">
        <f ca="1"/>
        <v>#N/A</v>
      </c>
      <c r="B235" s="158" t="e">
        <f ca="1">VLOOKUP(A235,Generators!$A$2:$AZ$516,19,FALSE)</f>
        <v>#N/A</v>
      </c>
      <c r="C235" s="124" t="e">
        <f ca="1">VLOOKUP(A235,Generators!$A$2:$AZ$516,16,FALSE)</f>
        <v>#N/A</v>
      </c>
      <c r="D235" s="124" t="e">
        <f t="shared" ca="1" si="6"/>
        <v>#N/A</v>
      </c>
      <c r="E235" s="158" t="e">
        <f ca="1">IF(VLOOKUP(A235,Generators!$A$2:$AZ$516,20,FALSE)=0,"",VLOOKUP(A235,Generators!$A$2:$AZ$516,20,FALSE))</f>
        <v>#N/A</v>
      </c>
      <c r="F235" s="124" t="e">
        <f ca="1">IF(VLOOKUP(A235,Generators!$A$2:$AZ$516,17,FALSE)=0,"",VLOOKUP(A235,Generators!$A$2:$AZ$516,17,FALSE))</f>
        <v>#N/A</v>
      </c>
      <c r="G235" s="164" t="str">
        <f t="shared" ca="1" si="7"/>
        <v/>
      </c>
    </row>
    <row r="236" spans="1:7" x14ac:dyDescent="0.35">
      <c r="A236" t="e">
        <f ca="1"/>
        <v>#N/A</v>
      </c>
      <c r="B236" s="158" t="e">
        <f ca="1">VLOOKUP(A236,Generators!$A$2:$AZ$516,19,FALSE)</f>
        <v>#N/A</v>
      </c>
      <c r="C236" s="124" t="e">
        <f ca="1">VLOOKUP(A236,Generators!$A$2:$AZ$516,16,FALSE)</f>
        <v>#N/A</v>
      </c>
      <c r="D236" s="124" t="e">
        <f t="shared" ca="1" si="6"/>
        <v>#N/A</v>
      </c>
      <c r="E236" s="158" t="e">
        <f ca="1">IF(VLOOKUP(A236,Generators!$A$2:$AZ$516,20,FALSE)=0,"",VLOOKUP(A236,Generators!$A$2:$AZ$516,20,FALSE))</f>
        <v>#N/A</v>
      </c>
      <c r="F236" s="124" t="e">
        <f ca="1">IF(VLOOKUP(A236,Generators!$A$2:$AZ$516,17,FALSE)=0,"",VLOOKUP(A236,Generators!$A$2:$AZ$516,17,FALSE))</f>
        <v>#N/A</v>
      </c>
      <c r="G236" s="164" t="str">
        <f t="shared" ca="1" si="7"/>
        <v/>
      </c>
    </row>
    <row r="237" spans="1:7" x14ac:dyDescent="0.35">
      <c r="A237" t="e">
        <f ca="1"/>
        <v>#N/A</v>
      </c>
      <c r="B237" s="158" t="e">
        <f ca="1">VLOOKUP(A237,Generators!$A$2:$AZ$516,19,FALSE)</f>
        <v>#N/A</v>
      </c>
      <c r="C237" s="124" t="e">
        <f ca="1">VLOOKUP(A237,Generators!$A$2:$AZ$516,16,FALSE)</f>
        <v>#N/A</v>
      </c>
      <c r="D237" s="124" t="e">
        <f t="shared" ca="1" si="6"/>
        <v>#N/A</v>
      </c>
      <c r="E237" s="158" t="e">
        <f ca="1">IF(VLOOKUP(A237,Generators!$A$2:$AZ$516,20,FALSE)=0,"",VLOOKUP(A237,Generators!$A$2:$AZ$516,20,FALSE))</f>
        <v>#N/A</v>
      </c>
      <c r="F237" s="124" t="e">
        <f ca="1">IF(VLOOKUP(A237,Generators!$A$2:$AZ$516,17,FALSE)=0,"",VLOOKUP(A237,Generators!$A$2:$AZ$516,17,FALSE))</f>
        <v>#N/A</v>
      </c>
      <c r="G237" s="164" t="str">
        <f t="shared" ca="1" si="7"/>
        <v/>
      </c>
    </row>
    <row r="238" spans="1:7" x14ac:dyDescent="0.35">
      <c r="A238" t="e">
        <f ca="1"/>
        <v>#N/A</v>
      </c>
      <c r="B238" s="158" t="e">
        <f ca="1">VLOOKUP(A238,Generators!$A$2:$AZ$516,19,FALSE)</f>
        <v>#N/A</v>
      </c>
      <c r="C238" s="124" t="e">
        <f ca="1">VLOOKUP(A238,Generators!$A$2:$AZ$516,16,FALSE)</f>
        <v>#N/A</v>
      </c>
      <c r="D238" s="124" t="e">
        <f t="shared" ca="1" si="6"/>
        <v>#N/A</v>
      </c>
      <c r="E238" s="158" t="e">
        <f ca="1">IF(VLOOKUP(A238,Generators!$A$2:$AZ$516,20,FALSE)=0,"",VLOOKUP(A238,Generators!$A$2:$AZ$516,20,FALSE))</f>
        <v>#N/A</v>
      </c>
      <c r="F238" s="124" t="e">
        <f ca="1">IF(VLOOKUP(A238,Generators!$A$2:$AZ$516,17,FALSE)=0,"",VLOOKUP(A238,Generators!$A$2:$AZ$516,17,FALSE))</f>
        <v>#N/A</v>
      </c>
      <c r="G238" s="164" t="str">
        <f t="shared" ca="1" si="7"/>
        <v/>
      </c>
    </row>
    <row r="239" spans="1:7" x14ac:dyDescent="0.35">
      <c r="A239" t="e">
        <f ca="1"/>
        <v>#N/A</v>
      </c>
      <c r="B239" s="158" t="e">
        <f ca="1">VLOOKUP(A239,Generators!$A$2:$AZ$516,19,FALSE)</f>
        <v>#N/A</v>
      </c>
      <c r="C239" s="124" t="e">
        <f ca="1">VLOOKUP(A239,Generators!$A$2:$AZ$516,16,FALSE)</f>
        <v>#N/A</v>
      </c>
      <c r="D239" s="124" t="e">
        <f t="shared" ca="1" si="6"/>
        <v>#N/A</v>
      </c>
      <c r="E239" s="158" t="e">
        <f ca="1">IF(VLOOKUP(A239,Generators!$A$2:$AZ$516,20,FALSE)=0,"",VLOOKUP(A239,Generators!$A$2:$AZ$516,20,FALSE))</f>
        <v>#N/A</v>
      </c>
      <c r="F239" s="124" t="e">
        <f ca="1">IF(VLOOKUP(A239,Generators!$A$2:$AZ$516,17,FALSE)=0,"",VLOOKUP(A239,Generators!$A$2:$AZ$516,17,FALSE))</f>
        <v>#N/A</v>
      </c>
      <c r="G239" s="164" t="str">
        <f t="shared" ca="1" si="7"/>
        <v/>
      </c>
    </row>
    <row r="240" spans="1:7" x14ac:dyDescent="0.35">
      <c r="A240" t="e">
        <f ca="1"/>
        <v>#N/A</v>
      </c>
      <c r="B240" s="158" t="e">
        <f ca="1">VLOOKUP(A240,Generators!$A$2:$AZ$516,19,FALSE)</f>
        <v>#N/A</v>
      </c>
      <c r="C240" s="124" t="e">
        <f ca="1">VLOOKUP(A240,Generators!$A$2:$AZ$516,16,FALSE)</f>
        <v>#N/A</v>
      </c>
      <c r="D240" s="124" t="e">
        <f t="shared" ca="1" si="6"/>
        <v>#N/A</v>
      </c>
      <c r="E240" s="158" t="e">
        <f ca="1">IF(VLOOKUP(A240,Generators!$A$2:$AZ$516,20,FALSE)=0,"",VLOOKUP(A240,Generators!$A$2:$AZ$516,20,FALSE))</f>
        <v>#N/A</v>
      </c>
      <c r="F240" s="124" t="e">
        <f ca="1">IF(VLOOKUP(A240,Generators!$A$2:$AZ$516,17,FALSE)=0,"",VLOOKUP(A240,Generators!$A$2:$AZ$516,17,FALSE))</f>
        <v>#N/A</v>
      </c>
      <c r="G240" s="164" t="str">
        <f t="shared" ca="1" si="7"/>
        <v/>
      </c>
    </row>
    <row r="241" spans="1:7" x14ac:dyDescent="0.35">
      <c r="A241" t="e">
        <f ca="1"/>
        <v>#N/A</v>
      </c>
      <c r="B241" s="158" t="e">
        <f ca="1">VLOOKUP(A241,Generators!$A$2:$AZ$516,19,FALSE)</f>
        <v>#N/A</v>
      </c>
      <c r="C241" s="124" t="e">
        <f ca="1">VLOOKUP(A241,Generators!$A$2:$AZ$516,16,FALSE)</f>
        <v>#N/A</v>
      </c>
      <c r="D241" s="124" t="e">
        <f t="shared" ca="1" si="6"/>
        <v>#N/A</v>
      </c>
      <c r="E241" s="158" t="e">
        <f ca="1">IF(VLOOKUP(A241,Generators!$A$2:$AZ$516,20,FALSE)=0,"",VLOOKUP(A241,Generators!$A$2:$AZ$516,20,FALSE))</f>
        <v>#N/A</v>
      </c>
      <c r="F241" s="124" t="e">
        <f ca="1">IF(VLOOKUP(A241,Generators!$A$2:$AZ$516,17,FALSE)=0,"",VLOOKUP(A241,Generators!$A$2:$AZ$516,17,FALSE))</f>
        <v>#N/A</v>
      </c>
      <c r="G241" s="164" t="str">
        <f t="shared" ca="1" si="7"/>
        <v/>
      </c>
    </row>
    <row r="242" spans="1:7" x14ac:dyDescent="0.35">
      <c r="A242" t="e">
        <f ca="1"/>
        <v>#N/A</v>
      </c>
      <c r="B242" s="158" t="e">
        <f ca="1">VLOOKUP(A242,Generators!$A$2:$AZ$516,19,FALSE)</f>
        <v>#N/A</v>
      </c>
      <c r="C242" s="124" t="e">
        <f ca="1">VLOOKUP(A242,Generators!$A$2:$AZ$516,16,FALSE)</f>
        <v>#N/A</v>
      </c>
      <c r="D242" s="124" t="e">
        <f t="shared" ca="1" si="6"/>
        <v>#N/A</v>
      </c>
      <c r="E242" s="158" t="e">
        <f ca="1">IF(VLOOKUP(A242,Generators!$A$2:$AZ$516,20,FALSE)=0,"",VLOOKUP(A242,Generators!$A$2:$AZ$516,20,FALSE))</f>
        <v>#N/A</v>
      </c>
      <c r="F242" s="124" t="e">
        <f ca="1">IF(VLOOKUP(A242,Generators!$A$2:$AZ$516,17,FALSE)=0,"",VLOOKUP(A242,Generators!$A$2:$AZ$516,17,FALSE))</f>
        <v>#N/A</v>
      </c>
      <c r="G242" s="164" t="str">
        <f t="shared" ca="1" si="7"/>
        <v/>
      </c>
    </row>
    <row r="243" spans="1:7" x14ac:dyDescent="0.35">
      <c r="A243" t="e">
        <f ca="1"/>
        <v>#N/A</v>
      </c>
      <c r="B243" s="158" t="e">
        <f ca="1">VLOOKUP(A243,Generators!$A$2:$AZ$516,19,FALSE)</f>
        <v>#N/A</v>
      </c>
      <c r="C243" s="124" t="e">
        <f ca="1">VLOOKUP(A243,Generators!$A$2:$AZ$516,16,FALSE)</f>
        <v>#N/A</v>
      </c>
      <c r="D243" s="124" t="e">
        <f t="shared" ca="1" si="6"/>
        <v>#N/A</v>
      </c>
      <c r="E243" s="158" t="e">
        <f ca="1">IF(VLOOKUP(A243,Generators!$A$2:$AZ$516,20,FALSE)=0,"",VLOOKUP(A243,Generators!$A$2:$AZ$516,20,FALSE))</f>
        <v>#N/A</v>
      </c>
      <c r="F243" s="124" t="e">
        <f ca="1">IF(VLOOKUP(A243,Generators!$A$2:$AZ$516,17,FALSE)=0,"",VLOOKUP(A243,Generators!$A$2:$AZ$516,17,FALSE))</f>
        <v>#N/A</v>
      </c>
      <c r="G243" s="164" t="str">
        <f t="shared" ca="1" si="7"/>
        <v/>
      </c>
    </row>
    <row r="244" spans="1:7" x14ac:dyDescent="0.35">
      <c r="A244" t="e">
        <f ca="1"/>
        <v>#N/A</v>
      </c>
      <c r="B244" s="158" t="e">
        <f ca="1">VLOOKUP(A244,Generators!$A$2:$AZ$516,19,FALSE)</f>
        <v>#N/A</v>
      </c>
      <c r="C244" s="124" t="e">
        <f ca="1">VLOOKUP(A244,Generators!$A$2:$AZ$516,16,FALSE)</f>
        <v>#N/A</v>
      </c>
      <c r="D244" s="124" t="e">
        <f t="shared" ca="1" si="6"/>
        <v>#N/A</v>
      </c>
      <c r="E244" s="158" t="e">
        <f ca="1">IF(VLOOKUP(A244,Generators!$A$2:$AZ$516,20,FALSE)=0,"",VLOOKUP(A244,Generators!$A$2:$AZ$516,20,FALSE))</f>
        <v>#N/A</v>
      </c>
      <c r="F244" s="124" t="e">
        <f ca="1">IF(VLOOKUP(A244,Generators!$A$2:$AZ$516,17,FALSE)=0,"",VLOOKUP(A244,Generators!$A$2:$AZ$516,17,FALSE))</f>
        <v>#N/A</v>
      </c>
      <c r="G244" s="164" t="str">
        <f t="shared" ca="1" si="7"/>
        <v/>
      </c>
    </row>
    <row r="245" spans="1:7" x14ac:dyDescent="0.35">
      <c r="A245" t="e">
        <f ca="1"/>
        <v>#N/A</v>
      </c>
      <c r="B245" s="158" t="e">
        <f ca="1">VLOOKUP(A245,Generators!$A$2:$AZ$516,19,FALSE)</f>
        <v>#N/A</v>
      </c>
      <c r="C245" s="124" t="e">
        <f ca="1">VLOOKUP(A245,Generators!$A$2:$AZ$516,16,FALSE)</f>
        <v>#N/A</v>
      </c>
      <c r="D245" s="124" t="e">
        <f t="shared" ca="1" si="6"/>
        <v>#N/A</v>
      </c>
      <c r="E245" s="158" t="e">
        <f ca="1">IF(VLOOKUP(A245,Generators!$A$2:$AZ$516,20,FALSE)=0,"",VLOOKUP(A245,Generators!$A$2:$AZ$516,20,FALSE))</f>
        <v>#N/A</v>
      </c>
      <c r="F245" s="124" t="e">
        <f ca="1">IF(VLOOKUP(A245,Generators!$A$2:$AZ$516,17,FALSE)=0,"",VLOOKUP(A245,Generators!$A$2:$AZ$516,17,FALSE))</f>
        <v>#N/A</v>
      </c>
      <c r="G245" s="164" t="str">
        <f t="shared" ca="1" si="7"/>
        <v/>
      </c>
    </row>
    <row r="246" spans="1:7" x14ac:dyDescent="0.35">
      <c r="A246" t="e">
        <f ca="1"/>
        <v>#N/A</v>
      </c>
      <c r="B246" s="158" t="e">
        <f ca="1">VLOOKUP(A246,Generators!$A$2:$AZ$516,19,FALSE)</f>
        <v>#N/A</v>
      </c>
      <c r="C246" s="124" t="e">
        <f ca="1">VLOOKUP(A246,Generators!$A$2:$AZ$516,16,FALSE)</f>
        <v>#N/A</v>
      </c>
      <c r="D246" s="124" t="e">
        <f t="shared" ca="1" si="6"/>
        <v>#N/A</v>
      </c>
      <c r="E246" s="158" t="e">
        <f ca="1">IF(VLOOKUP(A246,Generators!$A$2:$AZ$516,20,FALSE)=0,"",VLOOKUP(A246,Generators!$A$2:$AZ$516,20,FALSE))</f>
        <v>#N/A</v>
      </c>
      <c r="F246" s="124" t="e">
        <f ca="1">IF(VLOOKUP(A246,Generators!$A$2:$AZ$516,17,FALSE)=0,"",VLOOKUP(A246,Generators!$A$2:$AZ$516,17,FALSE))</f>
        <v>#N/A</v>
      </c>
      <c r="G246" s="164" t="str">
        <f t="shared" ca="1" si="7"/>
        <v/>
      </c>
    </row>
    <row r="247" spans="1:7" x14ac:dyDescent="0.35">
      <c r="A247" t="e">
        <f ca="1"/>
        <v>#N/A</v>
      </c>
      <c r="B247" s="158" t="e">
        <f ca="1">VLOOKUP(A247,Generators!$A$2:$AZ$516,19,FALSE)</f>
        <v>#N/A</v>
      </c>
      <c r="C247" s="124" t="e">
        <f ca="1">VLOOKUP(A247,Generators!$A$2:$AZ$516,16,FALSE)</f>
        <v>#N/A</v>
      </c>
      <c r="D247" s="124" t="e">
        <f t="shared" ca="1" si="6"/>
        <v>#N/A</v>
      </c>
      <c r="E247" s="158" t="e">
        <f ca="1">IF(VLOOKUP(A247,Generators!$A$2:$AZ$516,20,FALSE)=0,"",VLOOKUP(A247,Generators!$A$2:$AZ$516,20,FALSE))</f>
        <v>#N/A</v>
      </c>
      <c r="F247" s="124" t="e">
        <f ca="1">IF(VLOOKUP(A247,Generators!$A$2:$AZ$516,17,FALSE)=0,"",VLOOKUP(A247,Generators!$A$2:$AZ$516,17,FALSE))</f>
        <v>#N/A</v>
      </c>
      <c r="G247" s="164" t="str">
        <f t="shared" ca="1" si="7"/>
        <v/>
      </c>
    </row>
    <row r="248" spans="1:7" x14ac:dyDescent="0.35">
      <c r="A248" t="e">
        <f ca="1"/>
        <v>#N/A</v>
      </c>
      <c r="B248" s="158" t="e">
        <f ca="1">VLOOKUP(A248,Generators!$A$2:$AZ$516,19,FALSE)</f>
        <v>#N/A</v>
      </c>
      <c r="C248" s="124" t="e">
        <f ca="1">VLOOKUP(A248,Generators!$A$2:$AZ$516,16,FALSE)</f>
        <v>#N/A</v>
      </c>
      <c r="D248" s="124" t="e">
        <f t="shared" ca="1" si="6"/>
        <v>#N/A</v>
      </c>
      <c r="E248" s="158" t="e">
        <f ca="1">IF(VLOOKUP(A248,Generators!$A$2:$AZ$516,20,FALSE)=0,"",VLOOKUP(A248,Generators!$A$2:$AZ$516,20,FALSE))</f>
        <v>#N/A</v>
      </c>
      <c r="F248" s="124" t="e">
        <f ca="1">IF(VLOOKUP(A248,Generators!$A$2:$AZ$516,17,FALSE)=0,"",VLOOKUP(A248,Generators!$A$2:$AZ$516,17,FALSE))</f>
        <v>#N/A</v>
      </c>
      <c r="G248" s="164" t="str">
        <f t="shared" ca="1" si="7"/>
        <v/>
      </c>
    </row>
    <row r="249" spans="1:7" x14ac:dyDescent="0.35">
      <c r="A249" t="e">
        <f ca="1"/>
        <v>#N/A</v>
      </c>
      <c r="B249" s="158" t="e">
        <f ca="1">VLOOKUP(A249,Generators!$A$2:$AZ$516,19,FALSE)</f>
        <v>#N/A</v>
      </c>
      <c r="C249" s="124" t="e">
        <f ca="1">VLOOKUP(A249,Generators!$A$2:$AZ$516,16,FALSE)</f>
        <v>#N/A</v>
      </c>
      <c r="D249" s="124" t="e">
        <f t="shared" ca="1" si="6"/>
        <v>#N/A</v>
      </c>
      <c r="E249" s="158" t="e">
        <f ca="1">IF(VLOOKUP(A249,Generators!$A$2:$AZ$516,20,FALSE)=0,"",VLOOKUP(A249,Generators!$A$2:$AZ$516,20,FALSE))</f>
        <v>#N/A</v>
      </c>
      <c r="F249" s="124" t="e">
        <f ca="1">IF(VLOOKUP(A249,Generators!$A$2:$AZ$516,17,FALSE)=0,"",VLOOKUP(A249,Generators!$A$2:$AZ$516,17,FALSE))</f>
        <v>#N/A</v>
      </c>
      <c r="G249" s="164" t="str">
        <f t="shared" ca="1" si="7"/>
        <v/>
      </c>
    </row>
    <row r="250" spans="1:7" x14ac:dyDescent="0.35">
      <c r="A250" t="e">
        <f ca="1"/>
        <v>#N/A</v>
      </c>
      <c r="B250" s="158" t="e">
        <f ca="1">VLOOKUP(A250,Generators!$A$2:$AZ$516,19,FALSE)</f>
        <v>#N/A</v>
      </c>
      <c r="C250" s="124" t="e">
        <f ca="1">VLOOKUP(A250,Generators!$A$2:$AZ$516,16,FALSE)</f>
        <v>#N/A</v>
      </c>
      <c r="D250" s="124" t="e">
        <f t="shared" ca="1" si="6"/>
        <v>#N/A</v>
      </c>
      <c r="E250" s="158" t="e">
        <f ca="1">IF(VLOOKUP(A250,Generators!$A$2:$AZ$516,20,FALSE)=0,"",VLOOKUP(A250,Generators!$A$2:$AZ$516,20,FALSE))</f>
        <v>#N/A</v>
      </c>
      <c r="F250" s="124" t="e">
        <f ca="1">IF(VLOOKUP(A250,Generators!$A$2:$AZ$516,17,FALSE)=0,"",VLOOKUP(A250,Generators!$A$2:$AZ$516,17,FALSE))</f>
        <v>#N/A</v>
      </c>
      <c r="G250" s="164" t="str">
        <f t="shared" ca="1" si="7"/>
        <v/>
      </c>
    </row>
    <row r="251" spans="1:7" x14ac:dyDescent="0.35">
      <c r="A251" t="e">
        <f ca="1"/>
        <v>#N/A</v>
      </c>
      <c r="B251" s="158" t="e">
        <f ca="1">VLOOKUP(A251,Generators!$A$2:$AZ$516,19,FALSE)</f>
        <v>#N/A</v>
      </c>
      <c r="C251" s="124" t="e">
        <f ca="1">VLOOKUP(A251,Generators!$A$2:$AZ$516,16,FALSE)</f>
        <v>#N/A</v>
      </c>
      <c r="D251" s="124" t="e">
        <f t="shared" ca="1" si="6"/>
        <v>#N/A</v>
      </c>
      <c r="E251" s="158" t="e">
        <f ca="1">IF(VLOOKUP(A251,Generators!$A$2:$AZ$516,20,FALSE)=0,"",VLOOKUP(A251,Generators!$A$2:$AZ$516,20,FALSE))</f>
        <v>#N/A</v>
      </c>
      <c r="F251" s="124" t="e">
        <f ca="1">IF(VLOOKUP(A251,Generators!$A$2:$AZ$516,17,FALSE)=0,"",VLOOKUP(A251,Generators!$A$2:$AZ$516,17,FALSE))</f>
        <v>#N/A</v>
      </c>
      <c r="G251" s="164" t="str">
        <f t="shared" ca="1" si="7"/>
        <v/>
      </c>
    </row>
    <row r="252" spans="1:7" x14ac:dyDescent="0.35">
      <c r="A252" t="e">
        <f ca="1"/>
        <v>#N/A</v>
      </c>
      <c r="B252" s="158" t="e">
        <f ca="1">VLOOKUP(A252,Generators!$A$2:$AZ$516,19,FALSE)</f>
        <v>#N/A</v>
      </c>
      <c r="C252" s="124" t="e">
        <f ca="1">VLOOKUP(A252,Generators!$A$2:$AZ$516,16,FALSE)</f>
        <v>#N/A</v>
      </c>
      <c r="D252" s="124" t="e">
        <f t="shared" ca="1" si="6"/>
        <v>#N/A</v>
      </c>
      <c r="E252" s="158" t="e">
        <f ca="1">IF(VLOOKUP(A252,Generators!$A$2:$AZ$516,20,FALSE)=0,"",VLOOKUP(A252,Generators!$A$2:$AZ$516,20,FALSE))</f>
        <v>#N/A</v>
      </c>
      <c r="F252" s="124" t="e">
        <f ca="1">IF(VLOOKUP(A252,Generators!$A$2:$AZ$516,17,FALSE)=0,"",VLOOKUP(A252,Generators!$A$2:$AZ$516,17,FALSE))</f>
        <v>#N/A</v>
      </c>
      <c r="G252" s="164" t="str">
        <f t="shared" ca="1" si="7"/>
        <v/>
      </c>
    </row>
    <row r="253" spans="1:7" x14ac:dyDescent="0.35">
      <c r="A253" t="e">
        <f ca="1"/>
        <v>#N/A</v>
      </c>
      <c r="B253" s="158" t="e">
        <f ca="1">VLOOKUP(A253,Generators!$A$2:$AZ$516,19,FALSE)</f>
        <v>#N/A</v>
      </c>
      <c r="C253" s="124" t="e">
        <f ca="1">VLOOKUP(A253,Generators!$A$2:$AZ$516,16,FALSE)</f>
        <v>#N/A</v>
      </c>
      <c r="D253" s="124" t="e">
        <f t="shared" ca="1" si="6"/>
        <v>#N/A</v>
      </c>
      <c r="E253" s="158" t="e">
        <f ca="1">IF(VLOOKUP(A253,Generators!$A$2:$AZ$516,20,FALSE)=0,"",VLOOKUP(A253,Generators!$A$2:$AZ$516,20,FALSE))</f>
        <v>#N/A</v>
      </c>
      <c r="F253" s="124" t="e">
        <f ca="1">IF(VLOOKUP(A253,Generators!$A$2:$AZ$516,17,FALSE)=0,"",VLOOKUP(A253,Generators!$A$2:$AZ$516,17,FALSE))</f>
        <v>#N/A</v>
      </c>
      <c r="G253" s="164" t="str">
        <f t="shared" ca="1" si="7"/>
        <v/>
      </c>
    </row>
    <row r="254" spans="1:7" x14ac:dyDescent="0.35">
      <c r="A254" t="e">
        <f ca="1"/>
        <v>#N/A</v>
      </c>
      <c r="B254" s="158" t="e">
        <f ca="1">VLOOKUP(A254,Generators!$A$2:$AZ$516,19,FALSE)</f>
        <v>#N/A</v>
      </c>
      <c r="C254" s="124" t="e">
        <f ca="1">VLOOKUP(A254,Generators!$A$2:$AZ$516,16,FALSE)</f>
        <v>#N/A</v>
      </c>
      <c r="D254" s="124" t="e">
        <f t="shared" ca="1" si="6"/>
        <v>#N/A</v>
      </c>
      <c r="E254" s="158" t="e">
        <f ca="1">IF(VLOOKUP(A254,Generators!$A$2:$AZ$516,20,FALSE)=0,"",VLOOKUP(A254,Generators!$A$2:$AZ$516,20,FALSE))</f>
        <v>#N/A</v>
      </c>
      <c r="F254" s="124" t="e">
        <f ca="1">IF(VLOOKUP(A254,Generators!$A$2:$AZ$516,17,FALSE)=0,"",VLOOKUP(A254,Generators!$A$2:$AZ$516,17,FALSE))</f>
        <v>#N/A</v>
      </c>
      <c r="G254" s="164" t="str">
        <f t="shared" ca="1" si="7"/>
        <v/>
      </c>
    </row>
    <row r="255" spans="1:7" x14ac:dyDescent="0.35">
      <c r="A255" t="e">
        <f ca="1"/>
        <v>#N/A</v>
      </c>
      <c r="B255" s="158" t="e">
        <f ca="1">VLOOKUP(A255,Generators!$A$2:$AZ$516,19,FALSE)</f>
        <v>#N/A</v>
      </c>
      <c r="C255" s="124" t="e">
        <f ca="1">VLOOKUP(A255,Generators!$A$2:$AZ$516,16,FALSE)</f>
        <v>#N/A</v>
      </c>
      <c r="D255" s="124" t="e">
        <f t="shared" ca="1" si="6"/>
        <v>#N/A</v>
      </c>
      <c r="E255" s="158" t="e">
        <f ca="1">IF(VLOOKUP(A255,Generators!$A$2:$AZ$516,20,FALSE)=0,"",VLOOKUP(A255,Generators!$A$2:$AZ$516,20,FALSE))</f>
        <v>#N/A</v>
      </c>
      <c r="F255" s="124" t="e">
        <f ca="1">IF(VLOOKUP(A255,Generators!$A$2:$AZ$516,17,FALSE)=0,"",VLOOKUP(A255,Generators!$A$2:$AZ$516,17,FALSE))</f>
        <v>#N/A</v>
      </c>
      <c r="G255" s="164" t="str">
        <f t="shared" ca="1" si="7"/>
        <v/>
      </c>
    </row>
    <row r="256" spans="1:7" x14ac:dyDescent="0.35">
      <c r="A256" t="e">
        <f ca="1"/>
        <v>#N/A</v>
      </c>
      <c r="B256" s="158" t="e">
        <f ca="1">VLOOKUP(A256,Generators!$A$2:$AZ$516,19,FALSE)</f>
        <v>#N/A</v>
      </c>
      <c r="C256" s="124" t="e">
        <f ca="1">VLOOKUP(A256,Generators!$A$2:$AZ$516,16,FALSE)</f>
        <v>#N/A</v>
      </c>
      <c r="D256" s="124" t="e">
        <f t="shared" ca="1" si="6"/>
        <v>#N/A</v>
      </c>
      <c r="E256" s="158" t="e">
        <f ca="1">IF(VLOOKUP(A256,Generators!$A$2:$AZ$516,20,FALSE)=0,"",VLOOKUP(A256,Generators!$A$2:$AZ$516,20,FALSE))</f>
        <v>#N/A</v>
      </c>
      <c r="F256" s="124" t="e">
        <f ca="1">IF(VLOOKUP(A256,Generators!$A$2:$AZ$516,17,FALSE)=0,"",VLOOKUP(A256,Generators!$A$2:$AZ$516,17,FALSE))</f>
        <v>#N/A</v>
      </c>
      <c r="G256" s="164" t="str">
        <f t="shared" ca="1" si="7"/>
        <v/>
      </c>
    </row>
    <row r="257" spans="1:7" x14ac:dyDescent="0.35">
      <c r="A257" t="e">
        <f ca="1"/>
        <v>#N/A</v>
      </c>
      <c r="B257" s="158" t="e">
        <f ca="1">VLOOKUP(A257,Generators!$A$2:$AZ$516,19,FALSE)</f>
        <v>#N/A</v>
      </c>
      <c r="C257" s="124" t="e">
        <f ca="1">VLOOKUP(A257,Generators!$A$2:$AZ$516,16,FALSE)</f>
        <v>#N/A</v>
      </c>
      <c r="D257" s="124" t="e">
        <f t="shared" ca="1" si="6"/>
        <v>#N/A</v>
      </c>
      <c r="E257" s="158" t="e">
        <f ca="1">IF(VLOOKUP(A257,Generators!$A$2:$AZ$516,20,FALSE)=0,"",VLOOKUP(A257,Generators!$A$2:$AZ$516,20,FALSE))</f>
        <v>#N/A</v>
      </c>
      <c r="F257" s="124" t="e">
        <f ca="1">IF(VLOOKUP(A257,Generators!$A$2:$AZ$516,17,FALSE)=0,"",VLOOKUP(A257,Generators!$A$2:$AZ$516,17,FALSE))</f>
        <v>#N/A</v>
      </c>
      <c r="G257" s="164" t="str">
        <f t="shared" ca="1" si="7"/>
        <v/>
      </c>
    </row>
    <row r="258" spans="1:7" x14ac:dyDescent="0.35">
      <c r="A258" t="e">
        <f ca="1"/>
        <v>#N/A</v>
      </c>
      <c r="B258" s="158" t="e">
        <f ca="1">VLOOKUP(A258,Generators!$A$2:$AZ$516,19,FALSE)</f>
        <v>#N/A</v>
      </c>
      <c r="C258" s="124" t="e">
        <f ca="1">VLOOKUP(A258,Generators!$A$2:$AZ$516,16,FALSE)</f>
        <v>#N/A</v>
      </c>
      <c r="D258" s="124" t="e">
        <f t="shared" ref="D258:D321" ca="1" si="8">ROUND(B258/C258,0)</f>
        <v>#N/A</v>
      </c>
      <c r="E258" s="158" t="e">
        <f ca="1">IF(VLOOKUP(A258,Generators!$A$2:$AZ$516,20,FALSE)=0,"",VLOOKUP(A258,Generators!$A$2:$AZ$516,20,FALSE))</f>
        <v>#N/A</v>
      </c>
      <c r="F258" s="124" t="e">
        <f ca="1">IF(VLOOKUP(A258,Generators!$A$2:$AZ$516,17,FALSE)=0,"",VLOOKUP(A258,Generators!$A$2:$AZ$516,17,FALSE))</f>
        <v>#N/A</v>
      </c>
      <c r="G258" s="164" t="str">
        <f t="shared" ca="1" si="7"/>
        <v/>
      </c>
    </row>
    <row r="259" spans="1:7" x14ac:dyDescent="0.35">
      <c r="A259" t="e">
        <f ca="1"/>
        <v>#N/A</v>
      </c>
      <c r="B259" s="158" t="e">
        <f ca="1">VLOOKUP(A259,Generators!$A$2:$AZ$516,19,FALSE)</f>
        <v>#N/A</v>
      </c>
      <c r="C259" s="124" t="e">
        <f ca="1">VLOOKUP(A259,Generators!$A$2:$AZ$516,16,FALSE)</f>
        <v>#N/A</v>
      </c>
      <c r="D259" s="124" t="e">
        <f t="shared" ca="1" si="8"/>
        <v>#N/A</v>
      </c>
      <c r="E259" s="158" t="e">
        <f ca="1">IF(VLOOKUP(A259,Generators!$A$2:$AZ$516,20,FALSE)=0,"",VLOOKUP(A259,Generators!$A$2:$AZ$516,20,FALSE))</f>
        <v>#N/A</v>
      </c>
      <c r="F259" s="124" t="e">
        <f ca="1">IF(VLOOKUP(A259,Generators!$A$2:$AZ$516,17,FALSE)=0,"",VLOOKUP(A259,Generators!$A$2:$AZ$516,17,FALSE))</f>
        <v>#N/A</v>
      </c>
      <c r="G259" s="164" t="str">
        <f t="shared" ref="G259:G322" ca="1" si="9">IFERROR(E259/F259,"")</f>
        <v/>
      </c>
    </row>
    <row r="260" spans="1:7" x14ac:dyDescent="0.35">
      <c r="A260" t="e">
        <f ca="1"/>
        <v>#N/A</v>
      </c>
      <c r="B260" s="158" t="e">
        <f ca="1">VLOOKUP(A260,Generators!$A$2:$AZ$516,19,FALSE)</f>
        <v>#N/A</v>
      </c>
      <c r="C260" s="124" t="e">
        <f ca="1">VLOOKUP(A260,Generators!$A$2:$AZ$516,16,FALSE)</f>
        <v>#N/A</v>
      </c>
      <c r="D260" s="124" t="e">
        <f t="shared" ca="1" si="8"/>
        <v>#N/A</v>
      </c>
      <c r="E260" s="158" t="e">
        <f ca="1">IF(VLOOKUP(A260,Generators!$A$2:$AZ$516,20,FALSE)=0,"",VLOOKUP(A260,Generators!$A$2:$AZ$516,20,FALSE))</f>
        <v>#N/A</v>
      </c>
      <c r="F260" s="124" t="e">
        <f ca="1">IF(VLOOKUP(A260,Generators!$A$2:$AZ$516,17,FALSE)=0,"",VLOOKUP(A260,Generators!$A$2:$AZ$516,17,FALSE))</f>
        <v>#N/A</v>
      </c>
      <c r="G260" s="164" t="str">
        <f t="shared" ca="1" si="9"/>
        <v/>
      </c>
    </row>
    <row r="261" spans="1:7" x14ac:dyDescent="0.35">
      <c r="A261" t="e">
        <f ca="1"/>
        <v>#N/A</v>
      </c>
      <c r="B261" s="158" t="e">
        <f ca="1">VLOOKUP(A261,Generators!$A$2:$AZ$516,19,FALSE)</f>
        <v>#N/A</v>
      </c>
      <c r="C261" s="124" t="e">
        <f ca="1">VLOOKUP(A261,Generators!$A$2:$AZ$516,16,FALSE)</f>
        <v>#N/A</v>
      </c>
      <c r="D261" s="124" t="e">
        <f t="shared" ca="1" si="8"/>
        <v>#N/A</v>
      </c>
      <c r="E261" s="158" t="e">
        <f ca="1">IF(VLOOKUP(A261,Generators!$A$2:$AZ$516,20,FALSE)=0,"",VLOOKUP(A261,Generators!$A$2:$AZ$516,20,FALSE))</f>
        <v>#N/A</v>
      </c>
      <c r="F261" s="124" t="e">
        <f ca="1">IF(VLOOKUP(A261,Generators!$A$2:$AZ$516,17,FALSE)=0,"",VLOOKUP(A261,Generators!$A$2:$AZ$516,17,FALSE))</f>
        <v>#N/A</v>
      </c>
      <c r="G261" s="164" t="str">
        <f t="shared" ca="1" si="9"/>
        <v/>
      </c>
    </row>
    <row r="262" spans="1:7" x14ac:dyDescent="0.35">
      <c r="A262" t="e">
        <f ca="1"/>
        <v>#N/A</v>
      </c>
      <c r="B262" s="158" t="e">
        <f ca="1">VLOOKUP(A262,Generators!$A$2:$AZ$516,19,FALSE)</f>
        <v>#N/A</v>
      </c>
      <c r="C262" s="124" t="e">
        <f ca="1">VLOOKUP(A262,Generators!$A$2:$AZ$516,16,FALSE)</f>
        <v>#N/A</v>
      </c>
      <c r="D262" s="124" t="e">
        <f t="shared" ca="1" si="8"/>
        <v>#N/A</v>
      </c>
      <c r="E262" s="158" t="e">
        <f ca="1">IF(VLOOKUP(A262,Generators!$A$2:$AZ$516,20,FALSE)=0,"",VLOOKUP(A262,Generators!$A$2:$AZ$516,20,FALSE))</f>
        <v>#N/A</v>
      </c>
      <c r="F262" s="124" t="e">
        <f ca="1">IF(VLOOKUP(A262,Generators!$A$2:$AZ$516,17,FALSE)=0,"",VLOOKUP(A262,Generators!$A$2:$AZ$516,17,FALSE))</f>
        <v>#N/A</v>
      </c>
      <c r="G262" s="164" t="str">
        <f t="shared" ca="1" si="9"/>
        <v/>
      </c>
    </row>
    <row r="263" spans="1:7" x14ac:dyDescent="0.35">
      <c r="A263" t="e">
        <f ca="1"/>
        <v>#N/A</v>
      </c>
      <c r="B263" s="158" t="e">
        <f ca="1">VLOOKUP(A263,Generators!$A$2:$AZ$516,19,FALSE)</f>
        <v>#N/A</v>
      </c>
      <c r="C263" s="124" t="e">
        <f ca="1">VLOOKUP(A263,Generators!$A$2:$AZ$516,16,FALSE)</f>
        <v>#N/A</v>
      </c>
      <c r="D263" s="124" t="e">
        <f t="shared" ca="1" si="8"/>
        <v>#N/A</v>
      </c>
      <c r="E263" s="158" t="e">
        <f ca="1">IF(VLOOKUP(A263,Generators!$A$2:$AZ$516,20,FALSE)=0,"",VLOOKUP(A263,Generators!$A$2:$AZ$516,20,FALSE))</f>
        <v>#N/A</v>
      </c>
      <c r="F263" s="124" t="e">
        <f ca="1">IF(VLOOKUP(A263,Generators!$A$2:$AZ$516,17,FALSE)=0,"",VLOOKUP(A263,Generators!$A$2:$AZ$516,17,FALSE))</f>
        <v>#N/A</v>
      </c>
      <c r="G263" s="164" t="str">
        <f t="shared" ca="1" si="9"/>
        <v/>
      </c>
    </row>
    <row r="264" spans="1:7" x14ac:dyDescent="0.35">
      <c r="A264" t="e">
        <f ca="1"/>
        <v>#N/A</v>
      </c>
      <c r="B264" s="158" t="e">
        <f ca="1">VLOOKUP(A264,Generators!$A$2:$AZ$516,19,FALSE)</f>
        <v>#N/A</v>
      </c>
      <c r="C264" s="124" t="e">
        <f ca="1">VLOOKUP(A264,Generators!$A$2:$AZ$516,16,FALSE)</f>
        <v>#N/A</v>
      </c>
      <c r="D264" s="124" t="e">
        <f t="shared" ca="1" si="8"/>
        <v>#N/A</v>
      </c>
      <c r="E264" s="158" t="e">
        <f ca="1">IF(VLOOKUP(A264,Generators!$A$2:$AZ$516,20,FALSE)=0,"",VLOOKUP(A264,Generators!$A$2:$AZ$516,20,FALSE))</f>
        <v>#N/A</v>
      </c>
      <c r="F264" s="124" t="e">
        <f ca="1">IF(VLOOKUP(A264,Generators!$A$2:$AZ$516,17,FALSE)=0,"",VLOOKUP(A264,Generators!$A$2:$AZ$516,17,FALSE))</f>
        <v>#N/A</v>
      </c>
      <c r="G264" s="164" t="str">
        <f t="shared" ca="1" si="9"/>
        <v/>
      </c>
    </row>
    <row r="265" spans="1:7" x14ac:dyDescent="0.35">
      <c r="A265" t="e">
        <f ca="1"/>
        <v>#N/A</v>
      </c>
      <c r="B265" s="158" t="e">
        <f ca="1">VLOOKUP(A265,Generators!$A$2:$AZ$516,19,FALSE)</f>
        <v>#N/A</v>
      </c>
      <c r="C265" s="124" t="e">
        <f ca="1">VLOOKUP(A265,Generators!$A$2:$AZ$516,16,FALSE)</f>
        <v>#N/A</v>
      </c>
      <c r="D265" s="124" t="e">
        <f t="shared" ca="1" si="8"/>
        <v>#N/A</v>
      </c>
      <c r="E265" s="158" t="e">
        <f ca="1">IF(VLOOKUP(A265,Generators!$A$2:$AZ$516,20,FALSE)=0,"",VLOOKUP(A265,Generators!$A$2:$AZ$516,20,FALSE))</f>
        <v>#N/A</v>
      </c>
      <c r="F265" s="124" t="e">
        <f ca="1">IF(VLOOKUP(A265,Generators!$A$2:$AZ$516,17,FALSE)=0,"",VLOOKUP(A265,Generators!$A$2:$AZ$516,17,FALSE))</f>
        <v>#N/A</v>
      </c>
      <c r="G265" s="164" t="str">
        <f t="shared" ca="1" si="9"/>
        <v/>
      </c>
    </row>
    <row r="266" spans="1:7" x14ac:dyDescent="0.35">
      <c r="A266" t="e">
        <f ca="1"/>
        <v>#N/A</v>
      </c>
      <c r="B266" s="158" t="e">
        <f ca="1">VLOOKUP(A266,Generators!$A$2:$AZ$516,19,FALSE)</f>
        <v>#N/A</v>
      </c>
      <c r="C266" s="124" t="e">
        <f ca="1">VLOOKUP(A266,Generators!$A$2:$AZ$516,16,FALSE)</f>
        <v>#N/A</v>
      </c>
      <c r="D266" s="124" t="e">
        <f t="shared" ca="1" si="8"/>
        <v>#N/A</v>
      </c>
      <c r="E266" s="158" t="e">
        <f ca="1">IF(VLOOKUP(A266,Generators!$A$2:$AZ$516,20,FALSE)=0,"",VLOOKUP(A266,Generators!$A$2:$AZ$516,20,FALSE))</f>
        <v>#N/A</v>
      </c>
      <c r="F266" s="124" t="e">
        <f ca="1">IF(VLOOKUP(A266,Generators!$A$2:$AZ$516,17,FALSE)=0,"",VLOOKUP(A266,Generators!$A$2:$AZ$516,17,FALSE))</f>
        <v>#N/A</v>
      </c>
      <c r="G266" s="164" t="str">
        <f t="shared" ca="1" si="9"/>
        <v/>
      </c>
    </row>
    <row r="267" spans="1:7" x14ac:dyDescent="0.35">
      <c r="A267" t="e">
        <f ca="1"/>
        <v>#N/A</v>
      </c>
      <c r="B267" s="158" t="e">
        <f ca="1">VLOOKUP(A267,Generators!$A$2:$AZ$516,19,FALSE)</f>
        <v>#N/A</v>
      </c>
      <c r="C267" s="124" t="e">
        <f ca="1">VLOOKUP(A267,Generators!$A$2:$AZ$516,16,FALSE)</f>
        <v>#N/A</v>
      </c>
      <c r="D267" s="124" t="e">
        <f t="shared" ca="1" si="8"/>
        <v>#N/A</v>
      </c>
      <c r="E267" s="158" t="e">
        <f ca="1">IF(VLOOKUP(A267,Generators!$A$2:$AZ$516,20,FALSE)=0,"",VLOOKUP(A267,Generators!$A$2:$AZ$516,20,FALSE))</f>
        <v>#N/A</v>
      </c>
      <c r="F267" s="124" t="e">
        <f ca="1">IF(VLOOKUP(A267,Generators!$A$2:$AZ$516,17,FALSE)=0,"",VLOOKUP(A267,Generators!$A$2:$AZ$516,17,FALSE))</f>
        <v>#N/A</v>
      </c>
      <c r="G267" s="164" t="str">
        <f t="shared" ca="1" si="9"/>
        <v/>
      </c>
    </row>
    <row r="268" spans="1:7" x14ac:dyDescent="0.35">
      <c r="A268" t="e">
        <f ca="1"/>
        <v>#N/A</v>
      </c>
      <c r="B268" s="158" t="e">
        <f ca="1">VLOOKUP(A268,Generators!$A$2:$AZ$516,19,FALSE)</f>
        <v>#N/A</v>
      </c>
      <c r="C268" s="124" t="e">
        <f ca="1">VLOOKUP(A268,Generators!$A$2:$AZ$516,16,FALSE)</f>
        <v>#N/A</v>
      </c>
      <c r="D268" s="124" t="e">
        <f t="shared" ca="1" si="8"/>
        <v>#N/A</v>
      </c>
      <c r="E268" s="158" t="e">
        <f ca="1">IF(VLOOKUP(A268,Generators!$A$2:$AZ$516,20,FALSE)=0,"",VLOOKUP(A268,Generators!$A$2:$AZ$516,20,FALSE))</f>
        <v>#N/A</v>
      </c>
      <c r="F268" s="124" t="e">
        <f ca="1">IF(VLOOKUP(A268,Generators!$A$2:$AZ$516,17,FALSE)=0,"",VLOOKUP(A268,Generators!$A$2:$AZ$516,17,FALSE))</f>
        <v>#N/A</v>
      </c>
      <c r="G268" s="164" t="str">
        <f t="shared" ca="1" si="9"/>
        <v/>
      </c>
    </row>
    <row r="269" spans="1:7" x14ac:dyDescent="0.35">
      <c r="A269" t="e">
        <f ca="1"/>
        <v>#N/A</v>
      </c>
      <c r="B269" s="158" t="e">
        <f ca="1">VLOOKUP(A269,Generators!$A$2:$AZ$516,19,FALSE)</f>
        <v>#N/A</v>
      </c>
      <c r="C269" s="124" t="e">
        <f ca="1">VLOOKUP(A269,Generators!$A$2:$AZ$516,16,FALSE)</f>
        <v>#N/A</v>
      </c>
      <c r="D269" s="124" t="e">
        <f t="shared" ca="1" si="8"/>
        <v>#N/A</v>
      </c>
      <c r="E269" s="158" t="e">
        <f ca="1">IF(VLOOKUP(A269,Generators!$A$2:$AZ$516,20,FALSE)=0,"",VLOOKUP(A269,Generators!$A$2:$AZ$516,20,FALSE))</f>
        <v>#N/A</v>
      </c>
      <c r="F269" s="124" t="e">
        <f ca="1">IF(VLOOKUP(A269,Generators!$A$2:$AZ$516,17,FALSE)=0,"",VLOOKUP(A269,Generators!$A$2:$AZ$516,17,FALSE))</f>
        <v>#N/A</v>
      </c>
      <c r="G269" s="164" t="str">
        <f t="shared" ca="1" si="9"/>
        <v/>
      </c>
    </row>
    <row r="270" spans="1:7" x14ac:dyDescent="0.35">
      <c r="A270" t="e">
        <f ca="1"/>
        <v>#N/A</v>
      </c>
      <c r="B270" s="158" t="e">
        <f ca="1">VLOOKUP(A270,Generators!$A$2:$AZ$516,19,FALSE)</f>
        <v>#N/A</v>
      </c>
      <c r="C270" s="124" t="e">
        <f ca="1">VLOOKUP(A270,Generators!$A$2:$AZ$516,16,FALSE)</f>
        <v>#N/A</v>
      </c>
      <c r="D270" s="124" t="e">
        <f t="shared" ca="1" si="8"/>
        <v>#N/A</v>
      </c>
      <c r="E270" s="158" t="e">
        <f ca="1">IF(VLOOKUP(A270,Generators!$A$2:$AZ$516,20,FALSE)=0,"",VLOOKUP(A270,Generators!$A$2:$AZ$516,20,FALSE))</f>
        <v>#N/A</v>
      </c>
      <c r="F270" s="124" t="e">
        <f ca="1">IF(VLOOKUP(A270,Generators!$A$2:$AZ$516,17,FALSE)=0,"",VLOOKUP(A270,Generators!$A$2:$AZ$516,17,FALSE))</f>
        <v>#N/A</v>
      </c>
      <c r="G270" s="164" t="str">
        <f t="shared" ca="1" si="9"/>
        <v/>
      </c>
    </row>
    <row r="271" spans="1:7" x14ac:dyDescent="0.35">
      <c r="A271" t="e">
        <f ca="1"/>
        <v>#N/A</v>
      </c>
      <c r="B271" s="158" t="e">
        <f ca="1">VLOOKUP(A271,Generators!$A$2:$AZ$516,19,FALSE)</f>
        <v>#N/A</v>
      </c>
      <c r="C271" s="124" t="e">
        <f ca="1">VLOOKUP(A271,Generators!$A$2:$AZ$516,16,FALSE)</f>
        <v>#N/A</v>
      </c>
      <c r="D271" s="124" t="e">
        <f t="shared" ca="1" si="8"/>
        <v>#N/A</v>
      </c>
      <c r="E271" s="158" t="e">
        <f ca="1">IF(VLOOKUP(A271,Generators!$A$2:$AZ$516,20,FALSE)=0,"",VLOOKUP(A271,Generators!$A$2:$AZ$516,20,FALSE))</f>
        <v>#N/A</v>
      </c>
      <c r="F271" s="124" t="e">
        <f ca="1">IF(VLOOKUP(A271,Generators!$A$2:$AZ$516,17,FALSE)=0,"",VLOOKUP(A271,Generators!$A$2:$AZ$516,17,FALSE))</f>
        <v>#N/A</v>
      </c>
      <c r="G271" s="164" t="str">
        <f t="shared" ca="1" si="9"/>
        <v/>
      </c>
    </row>
    <row r="272" spans="1:7" x14ac:dyDescent="0.35">
      <c r="A272" t="e">
        <f ca="1"/>
        <v>#N/A</v>
      </c>
      <c r="B272" s="158" t="e">
        <f ca="1">VLOOKUP(A272,Generators!$A$2:$AZ$516,19,FALSE)</f>
        <v>#N/A</v>
      </c>
      <c r="C272" s="124" t="e">
        <f ca="1">VLOOKUP(A272,Generators!$A$2:$AZ$516,16,FALSE)</f>
        <v>#N/A</v>
      </c>
      <c r="D272" s="124" t="e">
        <f t="shared" ca="1" si="8"/>
        <v>#N/A</v>
      </c>
      <c r="E272" s="158" t="e">
        <f ca="1">IF(VLOOKUP(A272,Generators!$A$2:$AZ$516,20,FALSE)=0,"",VLOOKUP(A272,Generators!$A$2:$AZ$516,20,FALSE))</f>
        <v>#N/A</v>
      </c>
      <c r="F272" s="124" t="e">
        <f ca="1">IF(VLOOKUP(A272,Generators!$A$2:$AZ$516,17,FALSE)=0,"",VLOOKUP(A272,Generators!$A$2:$AZ$516,17,FALSE))</f>
        <v>#N/A</v>
      </c>
      <c r="G272" s="164" t="str">
        <f t="shared" ca="1" si="9"/>
        <v/>
      </c>
    </row>
    <row r="273" spans="1:7" x14ac:dyDescent="0.35">
      <c r="A273" t="e">
        <f ca="1"/>
        <v>#N/A</v>
      </c>
      <c r="B273" s="158" t="e">
        <f ca="1">VLOOKUP(A273,Generators!$A$2:$AZ$516,19,FALSE)</f>
        <v>#N/A</v>
      </c>
      <c r="C273" s="124" t="e">
        <f ca="1">VLOOKUP(A273,Generators!$A$2:$AZ$516,16,FALSE)</f>
        <v>#N/A</v>
      </c>
      <c r="D273" s="124" t="e">
        <f t="shared" ca="1" si="8"/>
        <v>#N/A</v>
      </c>
      <c r="E273" s="158" t="e">
        <f ca="1">IF(VLOOKUP(A273,Generators!$A$2:$AZ$516,20,FALSE)=0,"",VLOOKUP(A273,Generators!$A$2:$AZ$516,20,FALSE))</f>
        <v>#N/A</v>
      </c>
      <c r="F273" s="124" t="e">
        <f ca="1">IF(VLOOKUP(A273,Generators!$A$2:$AZ$516,17,FALSE)=0,"",VLOOKUP(A273,Generators!$A$2:$AZ$516,17,FALSE))</f>
        <v>#N/A</v>
      </c>
      <c r="G273" s="164" t="str">
        <f t="shared" ca="1" si="9"/>
        <v/>
      </c>
    </row>
    <row r="274" spans="1:7" x14ac:dyDescent="0.35">
      <c r="A274" t="e">
        <f ca="1"/>
        <v>#N/A</v>
      </c>
      <c r="B274" s="158" t="e">
        <f ca="1">VLOOKUP(A274,Generators!$A$2:$AZ$516,19,FALSE)</f>
        <v>#N/A</v>
      </c>
      <c r="C274" s="124" t="e">
        <f ca="1">VLOOKUP(A274,Generators!$A$2:$AZ$516,16,FALSE)</f>
        <v>#N/A</v>
      </c>
      <c r="D274" s="124" t="e">
        <f t="shared" ca="1" si="8"/>
        <v>#N/A</v>
      </c>
      <c r="E274" s="158" t="e">
        <f ca="1">IF(VLOOKUP(A274,Generators!$A$2:$AZ$516,20,FALSE)=0,"",VLOOKUP(A274,Generators!$A$2:$AZ$516,20,FALSE))</f>
        <v>#N/A</v>
      </c>
      <c r="F274" s="124" t="e">
        <f ca="1">IF(VLOOKUP(A274,Generators!$A$2:$AZ$516,17,FALSE)=0,"",VLOOKUP(A274,Generators!$A$2:$AZ$516,17,FALSE))</f>
        <v>#N/A</v>
      </c>
      <c r="G274" s="164" t="str">
        <f t="shared" ca="1" si="9"/>
        <v/>
      </c>
    </row>
    <row r="275" spans="1:7" x14ac:dyDescent="0.35">
      <c r="A275" t="e">
        <f ca="1"/>
        <v>#N/A</v>
      </c>
      <c r="B275" s="158" t="e">
        <f ca="1">VLOOKUP(A275,Generators!$A$2:$AZ$516,19,FALSE)</f>
        <v>#N/A</v>
      </c>
      <c r="C275" s="124" t="e">
        <f ca="1">VLOOKUP(A275,Generators!$A$2:$AZ$516,16,FALSE)</f>
        <v>#N/A</v>
      </c>
      <c r="D275" s="124" t="e">
        <f t="shared" ca="1" si="8"/>
        <v>#N/A</v>
      </c>
      <c r="E275" s="158" t="e">
        <f ca="1">IF(VLOOKUP(A275,Generators!$A$2:$AZ$516,20,FALSE)=0,"",VLOOKUP(A275,Generators!$A$2:$AZ$516,20,FALSE))</f>
        <v>#N/A</v>
      </c>
      <c r="F275" s="124" t="e">
        <f ca="1">IF(VLOOKUP(A275,Generators!$A$2:$AZ$516,17,FALSE)=0,"",VLOOKUP(A275,Generators!$A$2:$AZ$516,17,FALSE))</f>
        <v>#N/A</v>
      </c>
      <c r="G275" s="164" t="str">
        <f t="shared" ca="1" si="9"/>
        <v/>
      </c>
    </row>
    <row r="276" spans="1:7" x14ac:dyDescent="0.35">
      <c r="A276" t="e">
        <f ca="1"/>
        <v>#N/A</v>
      </c>
      <c r="B276" s="158" t="e">
        <f ca="1">VLOOKUP(A276,Generators!$A$2:$AZ$516,19,FALSE)</f>
        <v>#N/A</v>
      </c>
      <c r="C276" s="124" t="e">
        <f ca="1">VLOOKUP(A276,Generators!$A$2:$AZ$516,16,FALSE)</f>
        <v>#N/A</v>
      </c>
      <c r="D276" s="124" t="e">
        <f t="shared" ca="1" si="8"/>
        <v>#N/A</v>
      </c>
      <c r="E276" s="158" t="e">
        <f ca="1">IF(VLOOKUP(A276,Generators!$A$2:$AZ$516,20,FALSE)=0,"",VLOOKUP(A276,Generators!$A$2:$AZ$516,20,FALSE))</f>
        <v>#N/A</v>
      </c>
      <c r="F276" s="124" t="e">
        <f ca="1">IF(VLOOKUP(A276,Generators!$A$2:$AZ$516,17,FALSE)=0,"",VLOOKUP(A276,Generators!$A$2:$AZ$516,17,FALSE))</f>
        <v>#N/A</v>
      </c>
      <c r="G276" s="164" t="str">
        <f t="shared" ca="1" si="9"/>
        <v/>
      </c>
    </row>
    <row r="277" spans="1:7" x14ac:dyDescent="0.35">
      <c r="A277" t="e">
        <f ca="1"/>
        <v>#N/A</v>
      </c>
      <c r="B277" s="158" t="e">
        <f ca="1">VLOOKUP(A277,Generators!$A$2:$AZ$516,19,FALSE)</f>
        <v>#N/A</v>
      </c>
      <c r="C277" s="124" t="e">
        <f ca="1">VLOOKUP(A277,Generators!$A$2:$AZ$516,16,FALSE)</f>
        <v>#N/A</v>
      </c>
      <c r="D277" s="124" t="e">
        <f t="shared" ca="1" si="8"/>
        <v>#N/A</v>
      </c>
      <c r="E277" s="158" t="e">
        <f ca="1">IF(VLOOKUP(A277,Generators!$A$2:$AZ$516,20,FALSE)=0,"",VLOOKUP(A277,Generators!$A$2:$AZ$516,20,FALSE))</f>
        <v>#N/A</v>
      </c>
      <c r="F277" s="124" t="e">
        <f ca="1">IF(VLOOKUP(A277,Generators!$A$2:$AZ$516,17,FALSE)=0,"",VLOOKUP(A277,Generators!$A$2:$AZ$516,17,FALSE))</f>
        <v>#N/A</v>
      </c>
      <c r="G277" s="164" t="str">
        <f t="shared" ca="1" si="9"/>
        <v/>
      </c>
    </row>
    <row r="278" spans="1:7" x14ac:dyDescent="0.35">
      <c r="A278" t="e">
        <f ca="1"/>
        <v>#N/A</v>
      </c>
      <c r="B278" s="158" t="e">
        <f ca="1">VLOOKUP(A278,Generators!$A$2:$AZ$516,19,FALSE)</f>
        <v>#N/A</v>
      </c>
      <c r="C278" s="124" t="e">
        <f ca="1">VLOOKUP(A278,Generators!$A$2:$AZ$516,16,FALSE)</f>
        <v>#N/A</v>
      </c>
      <c r="D278" s="124" t="e">
        <f t="shared" ca="1" si="8"/>
        <v>#N/A</v>
      </c>
      <c r="E278" s="158" t="e">
        <f ca="1">IF(VLOOKUP(A278,Generators!$A$2:$AZ$516,20,FALSE)=0,"",VLOOKUP(A278,Generators!$A$2:$AZ$516,20,FALSE))</f>
        <v>#N/A</v>
      </c>
      <c r="F278" s="124" t="e">
        <f ca="1">IF(VLOOKUP(A278,Generators!$A$2:$AZ$516,17,FALSE)=0,"",VLOOKUP(A278,Generators!$A$2:$AZ$516,17,FALSE))</f>
        <v>#N/A</v>
      </c>
      <c r="G278" s="164" t="str">
        <f t="shared" ca="1" si="9"/>
        <v/>
      </c>
    </row>
    <row r="279" spans="1:7" x14ac:dyDescent="0.35">
      <c r="A279" t="e">
        <f ca="1"/>
        <v>#N/A</v>
      </c>
      <c r="B279" s="158" t="e">
        <f ca="1">VLOOKUP(A279,Generators!$A$2:$AZ$516,19,FALSE)</f>
        <v>#N/A</v>
      </c>
      <c r="C279" s="124" t="e">
        <f ca="1">VLOOKUP(A279,Generators!$A$2:$AZ$516,16,FALSE)</f>
        <v>#N/A</v>
      </c>
      <c r="D279" s="124" t="e">
        <f t="shared" ca="1" si="8"/>
        <v>#N/A</v>
      </c>
      <c r="E279" s="158" t="e">
        <f ca="1">IF(VLOOKUP(A279,Generators!$A$2:$AZ$516,20,FALSE)=0,"",VLOOKUP(A279,Generators!$A$2:$AZ$516,20,FALSE))</f>
        <v>#N/A</v>
      </c>
      <c r="F279" s="124" t="e">
        <f ca="1">IF(VLOOKUP(A279,Generators!$A$2:$AZ$516,17,FALSE)=0,"",VLOOKUP(A279,Generators!$A$2:$AZ$516,17,FALSE))</f>
        <v>#N/A</v>
      </c>
      <c r="G279" s="164" t="str">
        <f t="shared" ca="1" si="9"/>
        <v/>
      </c>
    </row>
    <row r="280" spans="1:7" x14ac:dyDescent="0.35">
      <c r="A280" t="e">
        <f ca="1"/>
        <v>#N/A</v>
      </c>
      <c r="B280" s="158" t="e">
        <f ca="1">VLOOKUP(A280,Generators!$A$2:$AZ$516,19,FALSE)</f>
        <v>#N/A</v>
      </c>
      <c r="C280" s="124" t="e">
        <f ca="1">VLOOKUP(A280,Generators!$A$2:$AZ$516,16,FALSE)</f>
        <v>#N/A</v>
      </c>
      <c r="D280" s="124" t="e">
        <f t="shared" ca="1" si="8"/>
        <v>#N/A</v>
      </c>
      <c r="E280" s="158" t="e">
        <f ca="1">IF(VLOOKUP(A280,Generators!$A$2:$AZ$516,20,FALSE)=0,"",VLOOKUP(A280,Generators!$A$2:$AZ$516,20,FALSE))</f>
        <v>#N/A</v>
      </c>
      <c r="F280" s="124" t="e">
        <f ca="1">IF(VLOOKUP(A280,Generators!$A$2:$AZ$516,17,FALSE)=0,"",VLOOKUP(A280,Generators!$A$2:$AZ$516,17,FALSE))</f>
        <v>#N/A</v>
      </c>
      <c r="G280" s="164" t="str">
        <f t="shared" ca="1" si="9"/>
        <v/>
      </c>
    </row>
    <row r="281" spans="1:7" x14ac:dyDescent="0.35">
      <c r="A281" t="e">
        <f ca="1"/>
        <v>#N/A</v>
      </c>
      <c r="B281" s="158" t="e">
        <f ca="1">VLOOKUP(A281,Generators!$A$2:$AZ$516,19,FALSE)</f>
        <v>#N/A</v>
      </c>
      <c r="C281" s="124" t="e">
        <f ca="1">VLOOKUP(A281,Generators!$A$2:$AZ$516,16,FALSE)</f>
        <v>#N/A</v>
      </c>
      <c r="D281" s="124" t="e">
        <f t="shared" ca="1" si="8"/>
        <v>#N/A</v>
      </c>
      <c r="E281" s="158" t="e">
        <f ca="1">IF(VLOOKUP(A281,Generators!$A$2:$AZ$516,20,FALSE)=0,"",VLOOKUP(A281,Generators!$A$2:$AZ$516,20,FALSE))</f>
        <v>#N/A</v>
      </c>
      <c r="F281" s="124" t="e">
        <f ca="1">IF(VLOOKUP(A281,Generators!$A$2:$AZ$516,17,FALSE)=0,"",VLOOKUP(A281,Generators!$A$2:$AZ$516,17,FALSE))</f>
        <v>#N/A</v>
      </c>
      <c r="G281" s="164" t="str">
        <f t="shared" ca="1" si="9"/>
        <v/>
      </c>
    </row>
    <row r="282" spans="1:7" x14ac:dyDescent="0.35">
      <c r="A282" t="e">
        <f ca="1"/>
        <v>#N/A</v>
      </c>
      <c r="B282" s="158" t="e">
        <f ca="1">VLOOKUP(A282,Generators!$A$2:$AZ$516,19,FALSE)</f>
        <v>#N/A</v>
      </c>
      <c r="C282" s="124" t="e">
        <f ca="1">VLOOKUP(A282,Generators!$A$2:$AZ$516,16,FALSE)</f>
        <v>#N/A</v>
      </c>
      <c r="D282" s="124" t="e">
        <f t="shared" ca="1" si="8"/>
        <v>#N/A</v>
      </c>
      <c r="E282" s="158" t="e">
        <f ca="1">IF(VLOOKUP(A282,Generators!$A$2:$AZ$516,20,FALSE)=0,"",VLOOKUP(A282,Generators!$A$2:$AZ$516,20,FALSE))</f>
        <v>#N/A</v>
      </c>
      <c r="F282" s="124" t="e">
        <f ca="1">IF(VLOOKUP(A282,Generators!$A$2:$AZ$516,17,FALSE)=0,"",VLOOKUP(A282,Generators!$A$2:$AZ$516,17,FALSE))</f>
        <v>#N/A</v>
      </c>
      <c r="G282" s="164" t="str">
        <f t="shared" ca="1" si="9"/>
        <v/>
      </c>
    </row>
    <row r="283" spans="1:7" x14ac:dyDescent="0.35">
      <c r="A283" t="e">
        <f ca="1"/>
        <v>#N/A</v>
      </c>
      <c r="B283" s="158" t="e">
        <f ca="1">VLOOKUP(A283,Generators!$A$2:$AZ$516,19,FALSE)</f>
        <v>#N/A</v>
      </c>
      <c r="C283" s="124" t="e">
        <f ca="1">VLOOKUP(A283,Generators!$A$2:$AZ$516,16,FALSE)</f>
        <v>#N/A</v>
      </c>
      <c r="D283" s="124" t="e">
        <f t="shared" ca="1" si="8"/>
        <v>#N/A</v>
      </c>
      <c r="E283" s="158" t="e">
        <f ca="1">IF(VLOOKUP(A283,Generators!$A$2:$AZ$516,20,FALSE)=0,"",VLOOKUP(A283,Generators!$A$2:$AZ$516,20,FALSE))</f>
        <v>#N/A</v>
      </c>
      <c r="F283" s="124" t="e">
        <f ca="1">IF(VLOOKUP(A283,Generators!$A$2:$AZ$516,17,FALSE)=0,"",VLOOKUP(A283,Generators!$A$2:$AZ$516,17,FALSE))</f>
        <v>#N/A</v>
      </c>
      <c r="G283" s="164" t="str">
        <f t="shared" ca="1" si="9"/>
        <v/>
      </c>
    </row>
    <row r="284" spans="1:7" x14ac:dyDescent="0.35">
      <c r="A284" t="e">
        <f ca="1"/>
        <v>#N/A</v>
      </c>
      <c r="B284" s="158" t="e">
        <f ca="1">VLOOKUP(A284,Generators!$A$2:$AZ$516,19,FALSE)</f>
        <v>#N/A</v>
      </c>
      <c r="C284" s="124" t="e">
        <f ca="1">VLOOKUP(A284,Generators!$A$2:$AZ$516,16,FALSE)</f>
        <v>#N/A</v>
      </c>
      <c r="D284" s="124" t="e">
        <f t="shared" ca="1" si="8"/>
        <v>#N/A</v>
      </c>
      <c r="E284" s="158" t="e">
        <f ca="1">IF(VLOOKUP(A284,Generators!$A$2:$AZ$516,20,FALSE)=0,"",VLOOKUP(A284,Generators!$A$2:$AZ$516,20,FALSE))</f>
        <v>#N/A</v>
      </c>
      <c r="F284" s="124" t="e">
        <f ca="1">IF(VLOOKUP(A284,Generators!$A$2:$AZ$516,17,FALSE)=0,"",VLOOKUP(A284,Generators!$A$2:$AZ$516,17,FALSE))</f>
        <v>#N/A</v>
      </c>
      <c r="G284" s="164" t="str">
        <f t="shared" ca="1" si="9"/>
        <v/>
      </c>
    </row>
    <row r="285" spans="1:7" x14ac:dyDescent="0.35">
      <c r="A285" t="e">
        <f ca="1"/>
        <v>#N/A</v>
      </c>
      <c r="B285" s="158" t="e">
        <f ca="1">VLOOKUP(A285,Generators!$A$2:$AZ$516,19,FALSE)</f>
        <v>#N/A</v>
      </c>
      <c r="C285" s="124" t="e">
        <f ca="1">VLOOKUP(A285,Generators!$A$2:$AZ$516,16,FALSE)</f>
        <v>#N/A</v>
      </c>
      <c r="D285" s="124" t="e">
        <f t="shared" ca="1" si="8"/>
        <v>#N/A</v>
      </c>
      <c r="E285" s="158" t="e">
        <f ca="1">IF(VLOOKUP(A285,Generators!$A$2:$AZ$516,20,FALSE)=0,"",VLOOKUP(A285,Generators!$A$2:$AZ$516,20,FALSE))</f>
        <v>#N/A</v>
      </c>
      <c r="F285" s="124" t="e">
        <f ca="1">IF(VLOOKUP(A285,Generators!$A$2:$AZ$516,17,FALSE)=0,"",VLOOKUP(A285,Generators!$A$2:$AZ$516,17,FALSE))</f>
        <v>#N/A</v>
      </c>
      <c r="G285" s="164" t="str">
        <f t="shared" ca="1" si="9"/>
        <v/>
      </c>
    </row>
    <row r="286" spans="1:7" x14ac:dyDescent="0.35">
      <c r="A286" t="e">
        <f ca="1"/>
        <v>#N/A</v>
      </c>
      <c r="B286" s="158" t="e">
        <f ca="1">VLOOKUP(A286,Generators!$A$2:$AZ$516,19,FALSE)</f>
        <v>#N/A</v>
      </c>
      <c r="C286" s="124" t="e">
        <f ca="1">VLOOKUP(A286,Generators!$A$2:$AZ$516,16,FALSE)</f>
        <v>#N/A</v>
      </c>
      <c r="D286" s="124" t="e">
        <f t="shared" ca="1" si="8"/>
        <v>#N/A</v>
      </c>
      <c r="E286" s="158" t="e">
        <f ca="1">IF(VLOOKUP(A286,Generators!$A$2:$AZ$516,20,FALSE)=0,"",VLOOKUP(A286,Generators!$A$2:$AZ$516,20,FALSE))</f>
        <v>#N/A</v>
      </c>
      <c r="F286" s="124" t="e">
        <f ca="1">IF(VLOOKUP(A286,Generators!$A$2:$AZ$516,17,FALSE)=0,"",VLOOKUP(A286,Generators!$A$2:$AZ$516,17,FALSE))</f>
        <v>#N/A</v>
      </c>
      <c r="G286" s="164" t="str">
        <f t="shared" ca="1" si="9"/>
        <v/>
      </c>
    </row>
    <row r="287" spans="1:7" x14ac:dyDescent="0.35">
      <c r="A287" t="e">
        <f ca="1"/>
        <v>#N/A</v>
      </c>
      <c r="B287" s="158" t="e">
        <f ca="1">VLOOKUP(A287,Generators!$A$2:$AZ$516,19,FALSE)</f>
        <v>#N/A</v>
      </c>
      <c r="C287" s="124" t="e">
        <f ca="1">VLOOKUP(A287,Generators!$A$2:$AZ$516,16,FALSE)</f>
        <v>#N/A</v>
      </c>
      <c r="D287" s="124" t="e">
        <f t="shared" ca="1" si="8"/>
        <v>#N/A</v>
      </c>
      <c r="E287" s="158" t="e">
        <f ca="1">IF(VLOOKUP(A287,Generators!$A$2:$AZ$516,20,FALSE)=0,"",VLOOKUP(A287,Generators!$A$2:$AZ$516,20,FALSE))</f>
        <v>#N/A</v>
      </c>
      <c r="F287" s="124" t="e">
        <f ca="1">IF(VLOOKUP(A287,Generators!$A$2:$AZ$516,17,FALSE)=0,"",VLOOKUP(A287,Generators!$A$2:$AZ$516,17,FALSE))</f>
        <v>#N/A</v>
      </c>
      <c r="G287" s="164" t="str">
        <f t="shared" ca="1" si="9"/>
        <v/>
      </c>
    </row>
    <row r="288" spans="1:7" x14ac:dyDescent="0.35">
      <c r="A288" t="e">
        <f ca="1"/>
        <v>#N/A</v>
      </c>
      <c r="B288" s="158" t="e">
        <f ca="1">VLOOKUP(A288,Generators!$A$2:$AZ$516,19,FALSE)</f>
        <v>#N/A</v>
      </c>
      <c r="C288" s="124" t="e">
        <f ca="1">VLOOKUP(A288,Generators!$A$2:$AZ$516,16,FALSE)</f>
        <v>#N/A</v>
      </c>
      <c r="D288" s="124" t="e">
        <f t="shared" ca="1" si="8"/>
        <v>#N/A</v>
      </c>
      <c r="E288" s="158" t="e">
        <f ca="1">IF(VLOOKUP(A288,Generators!$A$2:$AZ$516,20,FALSE)=0,"",VLOOKUP(A288,Generators!$A$2:$AZ$516,20,FALSE))</f>
        <v>#N/A</v>
      </c>
      <c r="F288" s="124" t="e">
        <f ca="1">IF(VLOOKUP(A288,Generators!$A$2:$AZ$516,17,FALSE)=0,"",VLOOKUP(A288,Generators!$A$2:$AZ$516,17,FALSE))</f>
        <v>#N/A</v>
      </c>
      <c r="G288" s="164" t="str">
        <f t="shared" ca="1" si="9"/>
        <v/>
      </c>
    </row>
    <row r="289" spans="1:7" x14ac:dyDescent="0.35">
      <c r="A289" t="e">
        <f ca="1"/>
        <v>#N/A</v>
      </c>
      <c r="B289" s="158" t="e">
        <f ca="1">VLOOKUP(A289,Generators!$A$2:$AZ$516,19,FALSE)</f>
        <v>#N/A</v>
      </c>
      <c r="C289" s="124" t="e">
        <f ca="1">VLOOKUP(A289,Generators!$A$2:$AZ$516,16,FALSE)</f>
        <v>#N/A</v>
      </c>
      <c r="D289" s="124" t="e">
        <f t="shared" ca="1" si="8"/>
        <v>#N/A</v>
      </c>
      <c r="E289" s="158" t="e">
        <f ca="1">IF(VLOOKUP(A289,Generators!$A$2:$AZ$516,20,FALSE)=0,"",VLOOKUP(A289,Generators!$A$2:$AZ$516,20,FALSE))</f>
        <v>#N/A</v>
      </c>
      <c r="F289" s="124" t="e">
        <f ca="1">IF(VLOOKUP(A289,Generators!$A$2:$AZ$516,17,FALSE)=0,"",VLOOKUP(A289,Generators!$A$2:$AZ$516,17,FALSE))</f>
        <v>#N/A</v>
      </c>
      <c r="G289" s="164" t="str">
        <f t="shared" ca="1" si="9"/>
        <v/>
      </c>
    </row>
    <row r="290" spans="1:7" x14ac:dyDescent="0.35">
      <c r="A290" t="e">
        <f ca="1"/>
        <v>#N/A</v>
      </c>
      <c r="B290" s="158" t="e">
        <f ca="1">VLOOKUP(A290,Generators!$A$2:$AZ$516,19,FALSE)</f>
        <v>#N/A</v>
      </c>
      <c r="C290" s="124" t="e">
        <f ca="1">VLOOKUP(A290,Generators!$A$2:$AZ$516,16,FALSE)</f>
        <v>#N/A</v>
      </c>
      <c r="D290" s="124" t="e">
        <f t="shared" ca="1" si="8"/>
        <v>#N/A</v>
      </c>
      <c r="E290" s="158" t="e">
        <f ca="1">IF(VLOOKUP(A290,Generators!$A$2:$AZ$516,20,FALSE)=0,"",VLOOKUP(A290,Generators!$A$2:$AZ$516,20,FALSE))</f>
        <v>#N/A</v>
      </c>
      <c r="F290" s="124" t="e">
        <f ca="1">IF(VLOOKUP(A290,Generators!$A$2:$AZ$516,17,FALSE)=0,"",VLOOKUP(A290,Generators!$A$2:$AZ$516,17,FALSE))</f>
        <v>#N/A</v>
      </c>
      <c r="G290" s="164" t="str">
        <f t="shared" ca="1" si="9"/>
        <v/>
      </c>
    </row>
    <row r="291" spans="1:7" x14ac:dyDescent="0.35">
      <c r="A291" t="e">
        <f ca="1"/>
        <v>#N/A</v>
      </c>
      <c r="B291" s="158" t="e">
        <f ca="1">VLOOKUP(A291,Generators!$A$2:$AZ$516,19,FALSE)</f>
        <v>#N/A</v>
      </c>
      <c r="C291" s="124" t="e">
        <f ca="1">VLOOKUP(A291,Generators!$A$2:$AZ$516,16,FALSE)</f>
        <v>#N/A</v>
      </c>
      <c r="D291" s="124" t="e">
        <f t="shared" ca="1" si="8"/>
        <v>#N/A</v>
      </c>
      <c r="E291" s="158" t="e">
        <f ca="1">IF(VLOOKUP(A291,Generators!$A$2:$AZ$516,20,FALSE)=0,"",VLOOKUP(A291,Generators!$A$2:$AZ$516,20,FALSE))</f>
        <v>#N/A</v>
      </c>
      <c r="F291" s="124" t="e">
        <f ca="1">IF(VLOOKUP(A291,Generators!$A$2:$AZ$516,17,FALSE)=0,"",VLOOKUP(A291,Generators!$A$2:$AZ$516,17,FALSE))</f>
        <v>#N/A</v>
      </c>
      <c r="G291" s="164" t="str">
        <f t="shared" ca="1" si="9"/>
        <v/>
      </c>
    </row>
    <row r="292" spans="1:7" x14ac:dyDescent="0.35">
      <c r="A292" t="e">
        <f ca="1"/>
        <v>#N/A</v>
      </c>
      <c r="B292" s="158" t="e">
        <f ca="1">VLOOKUP(A292,Generators!$A$2:$AZ$516,19,FALSE)</f>
        <v>#N/A</v>
      </c>
      <c r="C292" s="124" t="e">
        <f ca="1">VLOOKUP(A292,Generators!$A$2:$AZ$516,16,FALSE)</f>
        <v>#N/A</v>
      </c>
      <c r="D292" s="124" t="e">
        <f t="shared" ca="1" si="8"/>
        <v>#N/A</v>
      </c>
      <c r="E292" s="158" t="e">
        <f ca="1">IF(VLOOKUP(A292,Generators!$A$2:$AZ$516,20,FALSE)=0,"",VLOOKUP(A292,Generators!$A$2:$AZ$516,20,FALSE))</f>
        <v>#N/A</v>
      </c>
      <c r="F292" s="124" t="e">
        <f ca="1">IF(VLOOKUP(A292,Generators!$A$2:$AZ$516,17,FALSE)=0,"",VLOOKUP(A292,Generators!$A$2:$AZ$516,17,FALSE))</f>
        <v>#N/A</v>
      </c>
      <c r="G292" s="164" t="str">
        <f t="shared" ca="1" si="9"/>
        <v/>
      </c>
    </row>
    <row r="293" spans="1:7" x14ac:dyDescent="0.35">
      <c r="A293" t="e">
        <f ca="1"/>
        <v>#N/A</v>
      </c>
      <c r="B293" s="158" t="e">
        <f ca="1">VLOOKUP(A293,Generators!$A$2:$AZ$516,19,FALSE)</f>
        <v>#N/A</v>
      </c>
      <c r="C293" s="124" t="e">
        <f ca="1">VLOOKUP(A293,Generators!$A$2:$AZ$516,16,FALSE)</f>
        <v>#N/A</v>
      </c>
      <c r="D293" s="124" t="e">
        <f t="shared" ca="1" si="8"/>
        <v>#N/A</v>
      </c>
      <c r="E293" s="158" t="e">
        <f ca="1">IF(VLOOKUP(A293,Generators!$A$2:$AZ$516,20,FALSE)=0,"",VLOOKUP(A293,Generators!$A$2:$AZ$516,20,FALSE))</f>
        <v>#N/A</v>
      </c>
      <c r="F293" s="124" t="e">
        <f ca="1">IF(VLOOKUP(A293,Generators!$A$2:$AZ$516,17,FALSE)=0,"",VLOOKUP(A293,Generators!$A$2:$AZ$516,17,FALSE))</f>
        <v>#N/A</v>
      </c>
      <c r="G293" s="164" t="str">
        <f t="shared" ca="1" si="9"/>
        <v/>
      </c>
    </row>
    <row r="294" spans="1:7" x14ac:dyDescent="0.35">
      <c r="A294" t="e">
        <f ca="1"/>
        <v>#N/A</v>
      </c>
      <c r="B294" s="158" t="e">
        <f ca="1">VLOOKUP(A294,Generators!$A$2:$AZ$516,19,FALSE)</f>
        <v>#N/A</v>
      </c>
      <c r="C294" s="124" t="e">
        <f ca="1">VLOOKUP(A294,Generators!$A$2:$AZ$516,16,FALSE)</f>
        <v>#N/A</v>
      </c>
      <c r="D294" s="124" t="e">
        <f t="shared" ca="1" si="8"/>
        <v>#N/A</v>
      </c>
      <c r="E294" s="158" t="e">
        <f ca="1">IF(VLOOKUP(A294,Generators!$A$2:$AZ$516,20,FALSE)=0,"",VLOOKUP(A294,Generators!$A$2:$AZ$516,20,FALSE))</f>
        <v>#N/A</v>
      </c>
      <c r="F294" s="124" t="e">
        <f ca="1">IF(VLOOKUP(A294,Generators!$A$2:$AZ$516,17,FALSE)=0,"",VLOOKUP(A294,Generators!$A$2:$AZ$516,17,FALSE))</f>
        <v>#N/A</v>
      </c>
      <c r="G294" s="164" t="str">
        <f t="shared" ca="1" si="9"/>
        <v/>
      </c>
    </row>
    <row r="295" spans="1:7" x14ac:dyDescent="0.35">
      <c r="A295" t="e">
        <f ca="1"/>
        <v>#N/A</v>
      </c>
      <c r="B295" s="158" t="e">
        <f ca="1">VLOOKUP(A295,Generators!$A$2:$AZ$516,19,FALSE)</f>
        <v>#N/A</v>
      </c>
      <c r="C295" s="124" t="e">
        <f ca="1">VLOOKUP(A295,Generators!$A$2:$AZ$516,16,FALSE)</f>
        <v>#N/A</v>
      </c>
      <c r="D295" s="124" t="e">
        <f t="shared" ca="1" si="8"/>
        <v>#N/A</v>
      </c>
      <c r="E295" s="158" t="e">
        <f ca="1">IF(VLOOKUP(A295,Generators!$A$2:$AZ$516,20,FALSE)=0,"",VLOOKUP(A295,Generators!$A$2:$AZ$516,20,FALSE))</f>
        <v>#N/A</v>
      </c>
      <c r="F295" s="124" t="e">
        <f ca="1">IF(VLOOKUP(A295,Generators!$A$2:$AZ$516,17,FALSE)=0,"",VLOOKUP(A295,Generators!$A$2:$AZ$516,17,FALSE))</f>
        <v>#N/A</v>
      </c>
      <c r="G295" s="164" t="str">
        <f t="shared" ca="1" si="9"/>
        <v/>
      </c>
    </row>
    <row r="296" spans="1:7" x14ac:dyDescent="0.35">
      <c r="A296" t="e">
        <f ca="1"/>
        <v>#N/A</v>
      </c>
      <c r="B296" s="158" t="e">
        <f ca="1">VLOOKUP(A296,Generators!$A$2:$AZ$516,19,FALSE)</f>
        <v>#N/A</v>
      </c>
      <c r="C296" s="124" t="e">
        <f ca="1">VLOOKUP(A296,Generators!$A$2:$AZ$516,16,FALSE)</f>
        <v>#N/A</v>
      </c>
      <c r="D296" s="124" t="e">
        <f t="shared" ca="1" si="8"/>
        <v>#N/A</v>
      </c>
      <c r="E296" s="158" t="e">
        <f ca="1">IF(VLOOKUP(A296,Generators!$A$2:$AZ$516,20,FALSE)=0,"",VLOOKUP(A296,Generators!$A$2:$AZ$516,20,FALSE))</f>
        <v>#N/A</v>
      </c>
      <c r="F296" s="124" t="e">
        <f ca="1">IF(VLOOKUP(A296,Generators!$A$2:$AZ$516,17,FALSE)=0,"",VLOOKUP(A296,Generators!$A$2:$AZ$516,17,FALSE))</f>
        <v>#N/A</v>
      </c>
      <c r="G296" s="164" t="str">
        <f t="shared" ca="1" si="9"/>
        <v/>
      </c>
    </row>
    <row r="297" spans="1:7" x14ac:dyDescent="0.35">
      <c r="A297" t="e">
        <f ca="1"/>
        <v>#N/A</v>
      </c>
      <c r="B297" s="158" t="e">
        <f ca="1">VLOOKUP(A297,Generators!$A$2:$AZ$516,19,FALSE)</f>
        <v>#N/A</v>
      </c>
      <c r="C297" s="124" t="e">
        <f ca="1">VLOOKUP(A297,Generators!$A$2:$AZ$516,16,FALSE)</f>
        <v>#N/A</v>
      </c>
      <c r="D297" s="124" t="e">
        <f t="shared" ca="1" si="8"/>
        <v>#N/A</v>
      </c>
      <c r="E297" s="158" t="e">
        <f ca="1">IF(VLOOKUP(A297,Generators!$A$2:$AZ$516,20,FALSE)=0,"",VLOOKUP(A297,Generators!$A$2:$AZ$516,20,FALSE))</f>
        <v>#N/A</v>
      </c>
      <c r="F297" s="124" t="e">
        <f ca="1">IF(VLOOKUP(A297,Generators!$A$2:$AZ$516,17,FALSE)=0,"",VLOOKUP(A297,Generators!$A$2:$AZ$516,17,FALSE))</f>
        <v>#N/A</v>
      </c>
      <c r="G297" s="164" t="str">
        <f t="shared" ca="1" si="9"/>
        <v/>
      </c>
    </row>
    <row r="298" spans="1:7" x14ac:dyDescent="0.35">
      <c r="A298" t="e">
        <f ca="1"/>
        <v>#N/A</v>
      </c>
      <c r="B298" s="158" t="e">
        <f ca="1">VLOOKUP(A298,Generators!$A$2:$AZ$516,19,FALSE)</f>
        <v>#N/A</v>
      </c>
      <c r="C298" s="124" t="e">
        <f ca="1">VLOOKUP(A298,Generators!$A$2:$AZ$516,16,FALSE)</f>
        <v>#N/A</v>
      </c>
      <c r="D298" s="124" t="e">
        <f t="shared" ca="1" si="8"/>
        <v>#N/A</v>
      </c>
      <c r="E298" s="158" t="e">
        <f ca="1">IF(VLOOKUP(A298,Generators!$A$2:$AZ$516,20,FALSE)=0,"",VLOOKUP(A298,Generators!$A$2:$AZ$516,20,FALSE))</f>
        <v>#N/A</v>
      </c>
      <c r="F298" s="124" t="e">
        <f ca="1">IF(VLOOKUP(A298,Generators!$A$2:$AZ$516,17,FALSE)=0,"",VLOOKUP(A298,Generators!$A$2:$AZ$516,17,FALSE))</f>
        <v>#N/A</v>
      </c>
      <c r="G298" s="164" t="str">
        <f t="shared" ca="1" si="9"/>
        <v/>
      </c>
    </row>
    <row r="299" spans="1:7" x14ac:dyDescent="0.35">
      <c r="A299" t="e">
        <f ca="1"/>
        <v>#N/A</v>
      </c>
      <c r="B299" s="158" t="e">
        <f ca="1">VLOOKUP(A299,Generators!$A$2:$AZ$516,19,FALSE)</f>
        <v>#N/A</v>
      </c>
      <c r="C299" s="124" t="e">
        <f ca="1">VLOOKUP(A299,Generators!$A$2:$AZ$516,16,FALSE)</f>
        <v>#N/A</v>
      </c>
      <c r="D299" s="124" t="e">
        <f t="shared" ca="1" si="8"/>
        <v>#N/A</v>
      </c>
      <c r="E299" s="158" t="e">
        <f ca="1">IF(VLOOKUP(A299,Generators!$A$2:$AZ$516,20,FALSE)=0,"",VLOOKUP(A299,Generators!$A$2:$AZ$516,20,FALSE))</f>
        <v>#N/A</v>
      </c>
      <c r="F299" s="124" t="e">
        <f ca="1">IF(VLOOKUP(A299,Generators!$A$2:$AZ$516,17,FALSE)=0,"",VLOOKUP(A299,Generators!$A$2:$AZ$516,17,FALSE))</f>
        <v>#N/A</v>
      </c>
      <c r="G299" s="164" t="str">
        <f t="shared" ca="1" si="9"/>
        <v/>
      </c>
    </row>
    <row r="300" spans="1:7" x14ac:dyDescent="0.35">
      <c r="A300" t="e">
        <f ca="1"/>
        <v>#N/A</v>
      </c>
      <c r="B300" s="158" t="e">
        <f ca="1">VLOOKUP(A300,Generators!$A$2:$AZ$516,19,FALSE)</f>
        <v>#N/A</v>
      </c>
      <c r="C300" s="124" t="e">
        <f ca="1">VLOOKUP(A300,Generators!$A$2:$AZ$516,16,FALSE)</f>
        <v>#N/A</v>
      </c>
      <c r="D300" s="124" t="e">
        <f t="shared" ca="1" si="8"/>
        <v>#N/A</v>
      </c>
      <c r="E300" s="158" t="e">
        <f ca="1">IF(VLOOKUP(A300,Generators!$A$2:$AZ$516,20,FALSE)=0,"",VLOOKUP(A300,Generators!$A$2:$AZ$516,20,FALSE))</f>
        <v>#N/A</v>
      </c>
      <c r="F300" s="124" t="e">
        <f ca="1">IF(VLOOKUP(A300,Generators!$A$2:$AZ$516,17,FALSE)=0,"",VLOOKUP(A300,Generators!$A$2:$AZ$516,17,FALSE))</f>
        <v>#N/A</v>
      </c>
      <c r="G300" s="164" t="str">
        <f t="shared" ca="1" si="9"/>
        <v/>
      </c>
    </row>
    <row r="301" spans="1:7" x14ac:dyDescent="0.35">
      <c r="A301" t="e">
        <f ca="1"/>
        <v>#N/A</v>
      </c>
      <c r="B301" s="158" t="e">
        <f ca="1">VLOOKUP(A301,Generators!$A$2:$AZ$516,19,FALSE)</f>
        <v>#N/A</v>
      </c>
      <c r="C301" s="124" t="e">
        <f ca="1">VLOOKUP(A301,Generators!$A$2:$AZ$516,16,FALSE)</f>
        <v>#N/A</v>
      </c>
      <c r="D301" s="124" t="e">
        <f t="shared" ca="1" si="8"/>
        <v>#N/A</v>
      </c>
      <c r="E301" s="158" t="e">
        <f ca="1">IF(VLOOKUP(A301,Generators!$A$2:$AZ$516,20,FALSE)=0,"",VLOOKUP(A301,Generators!$A$2:$AZ$516,20,FALSE))</f>
        <v>#N/A</v>
      </c>
      <c r="F301" s="124" t="e">
        <f ca="1">IF(VLOOKUP(A301,Generators!$A$2:$AZ$516,17,FALSE)=0,"",VLOOKUP(A301,Generators!$A$2:$AZ$516,17,FALSE))</f>
        <v>#N/A</v>
      </c>
      <c r="G301" s="164" t="str">
        <f t="shared" ca="1" si="9"/>
        <v/>
      </c>
    </row>
    <row r="302" spans="1:7" x14ac:dyDescent="0.35">
      <c r="A302" t="e">
        <f ca="1"/>
        <v>#N/A</v>
      </c>
      <c r="B302" s="158" t="e">
        <f ca="1">VLOOKUP(A302,Generators!$A$2:$AZ$516,19,FALSE)</f>
        <v>#N/A</v>
      </c>
      <c r="C302" s="124" t="e">
        <f ca="1">VLOOKUP(A302,Generators!$A$2:$AZ$516,16,FALSE)</f>
        <v>#N/A</v>
      </c>
      <c r="D302" s="124" t="e">
        <f t="shared" ca="1" si="8"/>
        <v>#N/A</v>
      </c>
      <c r="E302" s="158" t="e">
        <f ca="1">IF(VLOOKUP(A302,Generators!$A$2:$AZ$516,20,FALSE)=0,"",VLOOKUP(A302,Generators!$A$2:$AZ$516,20,FALSE))</f>
        <v>#N/A</v>
      </c>
      <c r="F302" s="124" t="e">
        <f ca="1">IF(VLOOKUP(A302,Generators!$A$2:$AZ$516,17,FALSE)=0,"",VLOOKUP(A302,Generators!$A$2:$AZ$516,17,FALSE))</f>
        <v>#N/A</v>
      </c>
      <c r="G302" s="164" t="str">
        <f t="shared" ca="1" si="9"/>
        <v/>
      </c>
    </row>
    <row r="303" spans="1:7" x14ac:dyDescent="0.35">
      <c r="A303" t="e">
        <f ca="1"/>
        <v>#N/A</v>
      </c>
      <c r="B303" s="158" t="e">
        <f ca="1">VLOOKUP(A303,Generators!$A$2:$AZ$516,19,FALSE)</f>
        <v>#N/A</v>
      </c>
      <c r="C303" s="124" t="e">
        <f ca="1">VLOOKUP(A303,Generators!$A$2:$AZ$516,16,FALSE)</f>
        <v>#N/A</v>
      </c>
      <c r="D303" s="124" t="e">
        <f t="shared" ca="1" si="8"/>
        <v>#N/A</v>
      </c>
      <c r="E303" s="158" t="e">
        <f ca="1">IF(VLOOKUP(A303,Generators!$A$2:$AZ$516,20,FALSE)=0,"",VLOOKUP(A303,Generators!$A$2:$AZ$516,20,FALSE))</f>
        <v>#N/A</v>
      </c>
      <c r="F303" s="124" t="e">
        <f ca="1">IF(VLOOKUP(A303,Generators!$A$2:$AZ$516,17,FALSE)=0,"",VLOOKUP(A303,Generators!$A$2:$AZ$516,17,FALSE))</f>
        <v>#N/A</v>
      </c>
      <c r="G303" s="164" t="str">
        <f t="shared" ca="1" si="9"/>
        <v/>
      </c>
    </row>
    <row r="304" spans="1:7" x14ac:dyDescent="0.35">
      <c r="A304" t="e">
        <f ca="1"/>
        <v>#N/A</v>
      </c>
      <c r="B304" s="158" t="e">
        <f ca="1">VLOOKUP(A304,Generators!$A$2:$AZ$516,19,FALSE)</f>
        <v>#N/A</v>
      </c>
      <c r="C304" s="124" t="e">
        <f ca="1">VLOOKUP(A304,Generators!$A$2:$AZ$516,16,FALSE)</f>
        <v>#N/A</v>
      </c>
      <c r="D304" s="124" t="e">
        <f t="shared" ca="1" si="8"/>
        <v>#N/A</v>
      </c>
      <c r="E304" s="158" t="e">
        <f ca="1">IF(VLOOKUP(A304,Generators!$A$2:$AZ$516,20,FALSE)=0,"",VLOOKUP(A304,Generators!$A$2:$AZ$516,20,FALSE))</f>
        <v>#N/A</v>
      </c>
      <c r="F304" s="124" t="e">
        <f ca="1">IF(VLOOKUP(A304,Generators!$A$2:$AZ$516,17,FALSE)=0,"",VLOOKUP(A304,Generators!$A$2:$AZ$516,17,FALSE))</f>
        <v>#N/A</v>
      </c>
      <c r="G304" s="164" t="str">
        <f t="shared" ca="1" si="9"/>
        <v/>
      </c>
    </row>
    <row r="305" spans="1:7" x14ac:dyDescent="0.35">
      <c r="A305" t="e">
        <f ca="1"/>
        <v>#N/A</v>
      </c>
      <c r="B305" s="158" t="e">
        <f ca="1">VLOOKUP(A305,Generators!$A$2:$AZ$516,19,FALSE)</f>
        <v>#N/A</v>
      </c>
      <c r="C305" s="124" t="e">
        <f ca="1">VLOOKUP(A305,Generators!$A$2:$AZ$516,16,FALSE)</f>
        <v>#N/A</v>
      </c>
      <c r="D305" s="124" t="e">
        <f t="shared" ca="1" si="8"/>
        <v>#N/A</v>
      </c>
      <c r="E305" s="158" t="e">
        <f ca="1">IF(VLOOKUP(A305,Generators!$A$2:$AZ$516,20,FALSE)=0,"",VLOOKUP(A305,Generators!$A$2:$AZ$516,20,FALSE))</f>
        <v>#N/A</v>
      </c>
      <c r="F305" s="124" t="e">
        <f ca="1">IF(VLOOKUP(A305,Generators!$A$2:$AZ$516,17,FALSE)=0,"",VLOOKUP(A305,Generators!$A$2:$AZ$516,17,FALSE))</f>
        <v>#N/A</v>
      </c>
      <c r="G305" s="164" t="str">
        <f t="shared" ca="1" si="9"/>
        <v/>
      </c>
    </row>
    <row r="306" spans="1:7" x14ac:dyDescent="0.35">
      <c r="A306" t="e">
        <f ca="1"/>
        <v>#N/A</v>
      </c>
      <c r="B306" s="158" t="e">
        <f ca="1">VLOOKUP(A306,Generators!$A$2:$AZ$516,19,FALSE)</f>
        <v>#N/A</v>
      </c>
      <c r="C306" s="124" t="e">
        <f ca="1">VLOOKUP(A306,Generators!$A$2:$AZ$516,16,FALSE)</f>
        <v>#N/A</v>
      </c>
      <c r="D306" s="124" t="e">
        <f t="shared" ca="1" si="8"/>
        <v>#N/A</v>
      </c>
      <c r="E306" s="158" t="e">
        <f ca="1">IF(VLOOKUP(A306,Generators!$A$2:$AZ$516,20,FALSE)=0,"",VLOOKUP(A306,Generators!$A$2:$AZ$516,20,FALSE))</f>
        <v>#N/A</v>
      </c>
      <c r="F306" s="124" t="e">
        <f ca="1">IF(VLOOKUP(A306,Generators!$A$2:$AZ$516,17,FALSE)=0,"",VLOOKUP(A306,Generators!$A$2:$AZ$516,17,FALSE))</f>
        <v>#N/A</v>
      </c>
      <c r="G306" s="164" t="str">
        <f t="shared" ca="1" si="9"/>
        <v/>
      </c>
    </row>
    <row r="307" spans="1:7" x14ac:dyDescent="0.35">
      <c r="A307" t="e">
        <f ca="1"/>
        <v>#N/A</v>
      </c>
      <c r="B307" s="158" t="e">
        <f ca="1">VLOOKUP(A307,Generators!$A$2:$AZ$516,19,FALSE)</f>
        <v>#N/A</v>
      </c>
      <c r="C307" s="124" t="e">
        <f ca="1">VLOOKUP(A307,Generators!$A$2:$AZ$516,16,FALSE)</f>
        <v>#N/A</v>
      </c>
      <c r="D307" s="124" t="e">
        <f t="shared" ca="1" si="8"/>
        <v>#N/A</v>
      </c>
      <c r="E307" s="158" t="e">
        <f ca="1">IF(VLOOKUP(A307,Generators!$A$2:$AZ$516,20,FALSE)=0,"",VLOOKUP(A307,Generators!$A$2:$AZ$516,20,FALSE))</f>
        <v>#N/A</v>
      </c>
      <c r="F307" s="124" t="e">
        <f ca="1">IF(VLOOKUP(A307,Generators!$A$2:$AZ$516,17,FALSE)=0,"",VLOOKUP(A307,Generators!$A$2:$AZ$516,17,FALSE))</f>
        <v>#N/A</v>
      </c>
      <c r="G307" s="164" t="str">
        <f t="shared" ca="1" si="9"/>
        <v/>
      </c>
    </row>
    <row r="308" spans="1:7" x14ac:dyDescent="0.35">
      <c r="A308" t="e">
        <f ca="1"/>
        <v>#N/A</v>
      </c>
      <c r="B308" s="158" t="e">
        <f ca="1">VLOOKUP(A308,Generators!$A$2:$AZ$516,19,FALSE)</f>
        <v>#N/A</v>
      </c>
      <c r="C308" s="124" t="e">
        <f ca="1">VLOOKUP(A308,Generators!$A$2:$AZ$516,16,FALSE)</f>
        <v>#N/A</v>
      </c>
      <c r="D308" s="124" t="e">
        <f t="shared" ca="1" si="8"/>
        <v>#N/A</v>
      </c>
      <c r="E308" s="158" t="e">
        <f ca="1">IF(VLOOKUP(A308,Generators!$A$2:$AZ$516,20,FALSE)=0,"",VLOOKUP(A308,Generators!$A$2:$AZ$516,20,FALSE))</f>
        <v>#N/A</v>
      </c>
      <c r="F308" s="124" t="e">
        <f ca="1">IF(VLOOKUP(A308,Generators!$A$2:$AZ$516,17,FALSE)=0,"",VLOOKUP(A308,Generators!$A$2:$AZ$516,17,FALSE))</f>
        <v>#N/A</v>
      </c>
      <c r="G308" s="164" t="str">
        <f t="shared" ca="1" si="9"/>
        <v/>
      </c>
    </row>
    <row r="309" spans="1:7" x14ac:dyDescent="0.35">
      <c r="A309" t="e">
        <f ca="1"/>
        <v>#N/A</v>
      </c>
      <c r="B309" s="158" t="e">
        <f ca="1">VLOOKUP(A309,Generators!$A$2:$AZ$516,19,FALSE)</f>
        <v>#N/A</v>
      </c>
      <c r="C309" s="124" t="e">
        <f ca="1">VLOOKUP(A309,Generators!$A$2:$AZ$516,16,FALSE)</f>
        <v>#N/A</v>
      </c>
      <c r="D309" s="124" t="e">
        <f t="shared" ca="1" si="8"/>
        <v>#N/A</v>
      </c>
      <c r="E309" s="158" t="e">
        <f ca="1">IF(VLOOKUP(A309,Generators!$A$2:$AZ$516,20,FALSE)=0,"",VLOOKUP(A309,Generators!$A$2:$AZ$516,20,FALSE))</f>
        <v>#N/A</v>
      </c>
      <c r="F309" s="124" t="e">
        <f ca="1">IF(VLOOKUP(A309,Generators!$A$2:$AZ$516,17,FALSE)=0,"",VLOOKUP(A309,Generators!$A$2:$AZ$516,17,FALSE))</f>
        <v>#N/A</v>
      </c>
      <c r="G309" s="164" t="str">
        <f t="shared" ca="1" si="9"/>
        <v/>
      </c>
    </row>
    <row r="310" spans="1:7" x14ac:dyDescent="0.35">
      <c r="A310" t="e">
        <f ca="1"/>
        <v>#N/A</v>
      </c>
      <c r="B310" s="158" t="e">
        <f ca="1">VLOOKUP(A310,Generators!$A$2:$AZ$516,19,FALSE)</f>
        <v>#N/A</v>
      </c>
      <c r="C310" s="124" t="e">
        <f ca="1">VLOOKUP(A310,Generators!$A$2:$AZ$516,16,FALSE)</f>
        <v>#N/A</v>
      </c>
      <c r="D310" s="124" t="e">
        <f t="shared" ca="1" si="8"/>
        <v>#N/A</v>
      </c>
      <c r="E310" s="158" t="e">
        <f ca="1">IF(VLOOKUP(A310,Generators!$A$2:$AZ$516,20,FALSE)=0,"",VLOOKUP(A310,Generators!$A$2:$AZ$516,20,FALSE))</f>
        <v>#N/A</v>
      </c>
      <c r="F310" s="124" t="e">
        <f ca="1">IF(VLOOKUP(A310,Generators!$A$2:$AZ$516,17,FALSE)=0,"",VLOOKUP(A310,Generators!$A$2:$AZ$516,17,FALSE))</f>
        <v>#N/A</v>
      </c>
      <c r="G310" s="164" t="str">
        <f t="shared" ca="1" si="9"/>
        <v/>
      </c>
    </row>
    <row r="311" spans="1:7" x14ac:dyDescent="0.35">
      <c r="A311" t="e">
        <f ca="1"/>
        <v>#N/A</v>
      </c>
      <c r="B311" s="158" t="e">
        <f ca="1">VLOOKUP(A311,Generators!$A$2:$AZ$516,19,FALSE)</f>
        <v>#N/A</v>
      </c>
      <c r="C311" s="124" t="e">
        <f ca="1">VLOOKUP(A311,Generators!$A$2:$AZ$516,16,FALSE)</f>
        <v>#N/A</v>
      </c>
      <c r="D311" s="124" t="e">
        <f t="shared" ca="1" si="8"/>
        <v>#N/A</v>
      </c>
      <c r="E311" s="158" t="e">
        <f ca="1">IF(VLOOKUP(A311,Generators!$A$2:$AZ$516,20,FALSE)=0,"",VLOOKUP(A311,Generators!$A$2:$AZ$516,20,FALSE))</f>
        <v>#N/A</v>
      </c>
      <c r="F311" s="124" t="e">
        <f ca="1">IF(VLOOKUP(A311,Generators!$A$2:$AZ$516,17,FALSE)=0,"",VLOOKUP(A311,Generators!$A$2:$AZ$516,17,FALSE))</f>
        <v>#N/A</v>
      </c>
      <c r="G311" s="164" t="str">
        <f t="shared" ca="1" si="9"/>
        <v/>
      </c>
    </row>
    <row r="312" spans="1:7" x14ac:dyDescent="0.35">
      <c r="A312" t="e">
        <f ca="1"/>
        <v>#N/A</v>
      </c>
      <c r="B312" s="158" t="e">
        <f ca="1">VLOOKUP(A312,Generators!$A$2:$AZ$516,19,FALSE)</f>
        <v>#N/A</v>
      </c>
      <c r="C312" s="124" t="e">
        <f ca="1">VLOOKUP(A312,Generators!$A$2:$AZ$516,16,FALSE)</f>
        <v>#N/A</v>
      </c>
      <c r="D312" s="124" t="e">
        <f t="shared" ca="1" si="8"/>
        <v>#N/A</v>
      </c>
      <c r="E312" s="158" t="e">
        <f ca="1">IF(VLOOKUP(A312,Generators!$A$2:$AZ$516,20,FALSE)=0,"",VLOOKUP(A312,Generators!$A$2:$AZ$516,20,FALSE))</f>
        <v>#N/A</v>
      </c>
      <c r="F312" s="124" t="e">
        <f ca="1">IF(VLOOKUP(A312,Generators!$A$2:$AZ$516,17,FALSE)=0,"",VLOOKUP(A312,Generators!$A$2:$AZ$516,17,FALSE))</f>
        <v>#N/A</v>
      </c>
      <c r="G312" s="164" t="str">
        <f t="shared" ca="1" si="9"/>
        <v/>
      </c>
    </row>
    <row r="313" spans="1:7" x14ac:dyDescent="0.35">
      <c r="A313" t="e">
        <f ca="1"/>
        <v>#N/A</v>
      </c>
      <c r="B313" s="158" t="e">
        <f ca="1">VLOOKUP(A313,Generators!$A$2:$AZ$516,19,FALSE)</f>
        <v>#N/A</v>
      </c>
      <c r="C313" s="124" t="e">
        <f ca="1">VLOOKUP(A313,Generators!$A$2:$AZ$516,16,FALSE)</f>
        <v>#N/A</v>
      </c>
      <c r="D313" s="124" t="e">
        <f t="shared" ca="1" si="8"/>
        <v>#N/A</v>
      </c>
      <c r="E313" s="158" t="e">
        <f ca="1">IF(VLOOKUP(A313,Generators!$A$2:$AZ$516,20,FALSE)=0,"",VLOOKUP(A313,Generators!$A$2:$AZ$516,20,FALSE))</f>
        <v>#N/A</v>
      </c>
      <c r="F313" s="124" t="e">
        <f ca="1">IF(VLOOKUP(A313,Generators!$A$2:$AZ$516,17,FALSE)=0,"",VLOOKUP(A313,Generators!$A$2:$AZ$516,17,FALSE))</f>
        <v>#N/A</v>
      </c>
      <c r="G313" s="164" t="str">
        <f t="shared" ca="1" si="9"/>
        <v/>
      </c>
    </row>
    <row r="314" spans="1:7" x14ac:dyDescent="0.35">
      <c r="A314" t="e">
        <f ca="1"/>
        <v>#N/A</v>
      </c>
      <c r="B314" s="158" t="e">
        <f ca="1">VLOOKUP(A314,Generators!$A$2:$AZ$516,19,FALSE)</f>
        <v>#N/A</v>
      </c>
      <c r="C314" s="124" t="e">
        <f ca="1">VLOOKUP(A314,Generators!$A$2:$AZ$516,16,FALSE)</f>
        <v>#N/A</v>
      </c>
      <c r="D314" s="124" t="e">
        <f t="shared" ca="1" si="8"/>
        <v>#N/A</v>
      </c>
      <c r="E314" s="158" t="e">
        <f ca="1">IF(VLOOKUP(A314,Generators!$A$2:$AZ$516,20,FALSE)=0,"",VLOOKUP(A314,Generators!$A$2:$AZ$516,20,FALSE))</f>
        <v>#N/A</v>
      </c>
      <c r="F314" s="124" t="e">
        <f ca="1">IF(VLOOKUP(A314,Generators!$A$2:$AZ$516,17,FALSE)=0,"",VLOOKUP(A314,Generators!$A$2:$AZ$516,17,FALSE))</f>
        <v>#N/A</v>
      </c>
      <c r="G314" s="164" t="str">
        <f t="shared" ca="1" si="9"/>
        <v/>
      </c>
    </row>
    <row r="315" spans="1:7" x14ac:dyDescent="0.35">
      <c r="A315" t="e">
        <f ca="1"/>
        <v>#N/A</v>
      </c>
      <c r="B315" s="158" t="e">
        <f ca="1">VLOOKUP(A315,Generators!$A$2:$AZ$516,19,FALSE)</f>
        <v>#N/A</v>
      </c>
      <c r="C315" s="124" t="e">
        <f ca="1">VLOOKUP(A315,Generators!$A$2:$AZ$516,16,FALSE)</f>
        <v>#N/A</v>
      </c>
      <c r="D315" s="124" t="e">
        <f t="shared" ca="1" si="8"/>
        <v>#N/A</v>
      </c>
      <c r="E315" s="158" t="e">
        <f ca="1">IF(VLOOKUP(A315,Generators!$A$2:$AZ$516,20,FALSE)=0,"",VLOOKUP(A315,Generators!$A$2:$AZ$516,20,FALSE))</f>
        <v>#N/A</v>
      </c>
      <c r="F315" s="124" t="e">
        <f ca="1">IF(VLOOKUP(A315,Generators!$A$2:$AZ$516,17,FALSE)=0,"",VLOOKUP(A315,Generators!$A$2:$AZ$516,17,FALSE))</f>
        <v>#N/A</v>
      </c>
      <c r="G315" s="164" t="str">
        <f t="shared" ca="1" si="9"/>
        <v/>
      </c>
    </row>
    <row r="316" spans="1:7" x14ac:dyDescent="0.35">
      <c r="A316" t="e">
        <f ca="1"/>
        <v>#N/A</v>
      </c>
      <c r="B316" s="158" t="e">
        <f ca="1">VLOOKUP(A316,Generators!$A$2:$AZ$516,19,FALSE)</f>
        <v>#N/A</v>
      </c>
      <c r="C316" s="124" t="e">
        <f ca="1">VLOOKUP(A316,Generators!$A$2:$AZ$516,16,FALSE)</f>
        <v>#N/A</v>
      </c>
      <c r="D316" s="124" t="e">
        <f t="shared" ca="1" si="8"/>
        <v>#N/A</v>
      </c>
      <c r="E316" s="158" t="e">
        <f ca="1">IF(VLOOKUP(A316,Generators!$A$2:$AZ$516,20,FALSE)=0,"",VLOOKUP(A316,Generators!$A$2:$AZ$516,20,FALSE))</f>
        <v>#N/A</v>
      </c>
      <c r="F316" s="124" t="e">
        <f ca="1">IF(VLOOKUP(A316,Generators!$A$2:$AZ$516,17,FALSE)=0,"",VLOOKUP(A316,Generators!$A$2:$AZ$516,17,FALSE))</f>
        <v>#N/A</v>
      </c>
      <c r="G316" s="164" t="str">
        <f t="shared" ca="1" si="9"/>
        <v/>
      </c>
    </row>
    <row r="317" spans="1:7" x14ac:dyDescent="0.35">
      <c r="A317" t="e">
        <f ca="1"/>
        <v>#N/A</v>
      </c>
      <c r="B317" s="158" t="e">
        <f ca="1">VLOOKUP(A317,Generators!$A$2:$AZ$516,19,FALSE)</f>
        <v>#N/A</v>
      </c>
      <c r="C317" s="124" t="e">
        <f ca="1">VLOOKUP(A317,Generators!$A$2:$AZ$516,16,FALSE)</f>
        <v>#N/A</v>
      </c>
      <c r="D317" s="124" t="e">
        <f t="shared" ca="1" si="8"/>
        <v>#N/A</v>
      </c>
      <c r="E317" s="158" t="e">
        <f ca="1">IF(VLOOKUP(A317,Generators!$A$2:$AZ$516,20,FALSE)=0,"",VLOOKUP(A317,Generators!$A$2:$AZ$516,20,FALSE))</f>
        <v>#N/A</v>
      </c>
      <c r="F317" s="124" t="e">
        <f ca="1">IF(VLOOKUP(A317,Generators!$A$2:$AZ$516,17,FALSE)=0,"",VLOOKUP(A317,Generators!$A$2:$AZ$516,17,FALSE))</f>
        <v>#N/A</v>
      </c>
      <c r="G317" s="164" t="str">
        <f t="shared" ca="1" si="9"/>
        <v/>
      </c>
    </row>
    <row r="318" spans="1:7" x14ac:dyDescent="0.35">
      <c r="A318" t="e">
        <f ca="1"/>
        <v>#N/A</v>
      </c>
      <c r="B318" s="158" t="e">
        <f ca="1">VLOOKUP(A318,Generators!$A$2:$AZ$516,19,FALSE)</f>
        <v>#N/A</v>
      </c>
      <c r="C318" s="124" t="e">
        <f ca="1">VLOOKUP(A318,Generators!$A$2:$AZ$516,16,FALSE)</f>
        <v>#N/A</v>
      </c>
      <c r="D318" s="124" t="e">
        <f t="shared" ca="1" si="8"/>
        <v>#N/A</v>
      </c>
      <c r="E318" s="158" t="e">
        <f ca="1">IF(VLOOKUP(A318,Generators!$A$2:$AZ$516,20,FALSE)=0,"",VLOOKUP(A318,Generators!$A$2:$AZ$516,20,FALSE))</f>
        <v>#N/A</v>
      </c>
      <c r="F318" s="124" t="e">
        <f ca="1">IF(VLOOKUP(A318,Generators!$A$2:$AZ$516,17,FALSE)=0,"",VLOOKUP(A318,Generators!$A$2:$AZ$516,17,FALSE))</f>
        <v>#N/A</v>
      </c>
      <c r="G318" s="164" t="str">
        <f t="shared" ca="1" si="9"/>
        <v/>
      </c>
    </row>
    <row r="319" spans="1:7" x14ac:dyDescent="0.35">
      <c r="A319" t="e">
        <f ca="1"/>
        <v>#N/A</v>
      </c>
      <c r="B319" s="158" t="e">
        <f ca="1">VLOOKUP(A319,Generators!$A$2:$AZ$516,19,FALSE)</f>
        <v>#N/A</v>
      </c>
      <c r="C319" s="124" t="e">
        <f ca="1">VLOOKUP(A319,Generators!$A$2:$AZ$516,16,FALSE)</f>
        <v>#N/A</v>
      </c>
      <c r="D319" s="124" t="e">
        <f t="shared" ca="1" si="8"/>
        <v>#N/A</v>
      </c>
      <c r="E319" s="158" t="e">
        <f ca="1">IF(VLOOKUP(A319,Generators!$A$2:$AZ$516,20,FALSE)=0,"",VLOOKUP(A319,Generators!$A$2:$AZ$516,20,FALSE))</f>
        <v>#N/A</v>
      </c>
      <c r="F319" s="124" t="e">
        <f ca="1">IF(VLOOKUP(A319,Generators!$A$2:$AZ$516,17,FALSE)=0,"",VLOOKUP(A319,Generators!$A$2:$AZ$516,17,FALSE))</f>
        <v>#N/A</v>
      </c>
      <c r="G319" s="164" t="str">
        <f t="shared" ca="1" si="9"/>
        <v/>
      </c>
    </row>
    <row r="320" spans="1:7" x14ac:dyDescent="0.35">
      <c r="A320" t="e">
        <f ca="1"/>
        <v>#N/A</v>
      </c>
      <c r="B320" s="158" t="e">
        <f ca="1">VLOOKUP(A320,Generators!$A$2:$AZ$516,19,FALSE)</f>
        <v>#N/A</v>
      </c>
      <c r="C320" s="124" t="e">
        <f ca="1">VLOOKUP(A320,Generators!$A$2:$AZ$516,16,FALSE)</f>
        <v>#N/A</v>
      </c>
      <c r="D320" s="124" t="e">
        <f t="shared" ca="1" si="8"/>
        <v>#N/A</v>
      </c>
      <c r="E320" s="158" t="e">
        <f ca="1">IF(VLOOKUP(A320,Generators!$A$2:$AZ$516,20,FALSE)=0,"",VLOOKUP(A320,Generators!$A$2:$AZ$516,20,FALSE))</f>
        <v>#N/A</v>
      </c>
      <c r="F320" s="124" t="e">
        <f ca="1">IF(VLOOKUP(A320,Generators!$A$2:$AZ$516,17,FALSE)=0,"",VLOOKUP(A320,Generators!$A$2:$AZ$516,17,FALSE))</f>
        <v>#N/A</v>
      </c>
      <c r="G320" s="164" t="str">
        <f t="shared" ca="1" si="9"/>
        <v/>
      </c>
    </row>
    <row r="321" spans="1:7" x14ac:dyDescent="0.35">
      <c r="A321" t="e">
        <f ca="1"/>
        <v>#N/A</v>
      </c>
      <c r="B321" s="158" t="e">
        <f ca="1">VLOOKUP(A321,Generators!$A$2:$AZ$516,19,FALSE)</f>
        <v>#N/A</v>
      </c>
      <c r="C321" s="124" t="e">
        <f ca="1">VLOOKUP(A321,Generators!$A$2:$AZ$516,16,FALSE)</f>
        <v>#N/A</v>
      </c>
      <c r="D321" s="124" t="e">
        <f t="shared" ca="1" si="8"/>
        <v>#N/A</v>
      </c>
      <c r="E321" s="158" t="e">
        <f ca="1">IF(VLOOKUP(A321,Generators!$A$2:$AZ$516,20,FALSE)=0,"",VLOOKUP(A321,Generators!$A$2:$AZ$516,20,FALSE))</f>
        <v>#N/A</v>
      </c>
      <c r="F321" s="124" t="e">
        <f ca="1">IF(VLOOKUP(A321,Generators!$A$2:$AZ$516,17,FALSE)=0,"",VLOOKUP(A321,Generators!$A$2:$AZ$516,17,FALSE))</f>
        <v>#N/A</v>
      </c>
      <c r="G321" s="164" t="str">
        <f t="shared" ca="1" si="9"/>
        <v/>
      </c>
    </row>
    <row r="322" spans="1:7" x14ac:dyDescent="0.35">
      <c r="A322" t="e">
        <f ca="1"/>
        <v>#N/A</v>
      </c>
      <c r="B322" s="158" t="e">
        <f ca="1">VLOOKUP(A322,Generators!$A$2:$AZ$516,19,FALSE)</f>
        <v>#N/A</v>
      </c>
      <c r="C322" s="124" t="e">
        <f ca="1">VLOOKUP(A322,Generators!$A$2:$AZ$516,16,FALSE)</f>
        <v>#N/A</v>
      </c>
      <c r="D322" s="124" t="e">
        <f t="shared" ref="D322:D385" ca="1" si="10">ROUND(B322/C322,0)</f>
        <v>#N/A</v>
      </c>
      <c r="E322" s="158" t="e">
        <f ca="1">IF(VLOOKUP(A322,Generators!$A$2:$AZ$516,20,FALSE)=0,"",VLOOKUP(A322,Generators!$A$2:$AZ$516,20,FALSE))</f>
        <v>#N/A</v>
      </c>
      <c r="F322" s="124" t="e">
        <f ca="1">IF(VLOOKUP(A322,Generators!$A$2:$AZ$516,17,FALSE)=0,"",VLOOKUP(A322,Generators!$A$2:$AZ$516,17,FALSE))</f>
        <v>#N/A</v>
      </c>
      <c r="G322" s="164" t="str">
        <f t="shared" ca="1" si="9"/>
        <v/>
      </c>
    </row>
    <row r="323" spans="1:7" x14ac:dyDescent="0.35">
      <c r="A323" t="e">
        <f ca="1"/>
        <v>#N/A</v>
      </c>
      <c r="B323" s="158" t="e">
        <f ca="1">VLOOKUP(A323,Generators!$A$2:$AZ$516,19,FALSE)</f>
        <v>#N/A</v>
      </c>
      <c r="C323" s="124" t="e">
        <f ca="1">VLOOKUP(A323,Generators!$A$2:$AZ$516,16,FALSE)</f>
        <v>#N/A</v>
      </c>
      <c r="D323" s="124" t="e">
        <f t="shared" ca="1" si="10"/>
        <v>#N/A</v>
      </c>
      <c r="E323" s="158" t="e">
        <f ca="1">IF(VLOOKUP(A323,Generators!$A$2:$AZ$516,20,FALSE)=0,"",VLOOKUP(A323,Generators!$A$2:$AZ$516,20,FALSE))</f>
        <v>#N/A</v>
      </c>
      <c r="F323" s="124" t="e">
        <f ca="1">IF(VLOOKUP(A323,Generators!$A$2:$AZ$516,17,FALSE)=0,"",VLOOKUP(A323,Generators!$A$2:$AZ$516,17,FALSE))</f>
        <v>#N/A</v>
      </c>
      <c r="G323" s="164" t="str">
        <f t="shared" ref="G323:G386" ca="1" si="11">IFERROR(E323/F323,"")</f>
        <v/>
      </c>
    </row>
    <row r="324" spans="1:7" x14ac:dyDescent="0.35">
      <c r="A324" t="e">
        <f ca="1"/>
        <v>#N/A</v>
      </c>
      <c r="B324" s="158" t="e">
        <f ca="1">VLOOKUP(A324,Generators!$A$2:$AZ$516,19,FALSE)</f>
        <v>#N/A</v>
      </c>
      <c r="C324" s="124" t="e">
        <f ca="1">VLOOKUP(A324,Generators!$A$2:$AZ$516,16,FALSE)</f>
        <v>#N/A</v>
      </c>
      <c r="D324" s="124" t="e">
        <f t="shared" ca="1" si="10"/>
        <v>#N/A</v>
      </c>
      <c r="E324" s="158" t="e">
        <f ca="1">IF(VLOOKUP(A324,Generators!$A$2:$AZ$516,20,FALSE)=0,"",VLOOKUP(A324,Generators!$A$2:$AZ$516,20,FALSE))</f>
        <v>#N/A</v>
      </c>
      <c r="F324" s="124" t="e">
        <f ca="1">IF(VLOOKUP(A324,Generators!$A$2:$AZ$516,17,FALSE)=0,"",VLOOKUP(A324,Generators!$A$2:$AZ$516,17,FALSE))</f>
        <v>#N/A</v>
      </c>
      <c r="G324" s="164" t="str">
        <f t="shared" ca="1" si="11"/>
        <v/>
      </c>
    </row>
    <row r="325" spans="1:7" x14ac:dyDescent="0.35">
      <c r="A325" t="e">
        <f ca="1"/>
        <v>#N/A</v>
      </c>
      <c r="B325" s="158" t="e">
        <f ca="1">VLOOKUP(A325,Generators!$A$2:$AZ$516,19,FALSE)</f>
        <v>#N/A</v>
      </c>
      <c r="C325" s="124" t="e">
        <f ca="1">VLOOKUP(A325,Generators!$A$2:$AZ$516,16,FALSE)</f>
        <v>#N/A</v>
      </c>
      <c r="D325" s="124" t="e">
        <f t="shared" ca="1" si="10"/>
        <v>#N/A</v>
      </c>
      <c r="E325" s="158" t="e">
        <f ca="1">IF(VLOOKUP(A325,Generators!$A$2:$AZ$516,20,FALSE)=0,"",VLOOKUP(A325,Generators!$A$2:$AZ$516,20,FALSE))</f>
        <v>#N/A</v>
      </c>
      <c r="F325" s="124" t="e">
        <f ca="1">IF(VLOOKUP(A325,Generators!$A$2:$AZ$516,17,FALSE)=0,"",VLOOKUP(A325,Generators!$A$2:$AZ$516,17,FALSE))</f>
        <v>#N/A</v>
      </c>
      <c r="G325" s="164" t="str">
        <f t="shared" ca="1" si="11"/>
        <v/>
      </c>
    </row>
    <row r="326" spans="1:7" x14ac:dyDescent="0.35">
      <c r="A326" t="e">
        <f ca="1"/>
        <v>#N/A</v>
      </c>
      <c r="B326" s="158" t="e">
        <f ca="1">VLOOKUP(A326,Generators!$A$2:$AZ$516,19,FALSE)</f>
        <v>#N/A</v>
      </c>
      <c r="C326" s="124" t="e">
        <f ca="1">VLOOKUP(A326,Generators!$A$2:$AZ$516,16,FALSE)</f>
        <v>#N/A</v>
      </c>
      <c r="D326" s="124" t="e">
        <f t="shared" ca="1" si="10"/>
        <v>#N/A</v>
      </c>
      <c r="E326" s="158" t="e">
        <f ca="1">IF(VLOOKUP(A326,Generators!$A$2:$AZ$516,20,FALSE)=0,"",VLOOKUP(A326,Generators!$A$2:$AZ$516,20,FALSE))</f>
        <v>#N/A</v>
      </c>
      <c r="F326" s="124" t="e">
        <f ca="1">IF(VLOOKUP(A326,Generators!$A$2:$AZ$516,17,FALSE)=0,"",VLOOKUP(A326,Generators!$A$2:$AZ$516,17,FALSE))</f>
        <v>#N/A</v>
      </c>
      <c r="G326" s="164" t="str">
        <f t="shared" ca="1" si="11"/>
        <v/>
      </c>
    </row>
    <row r="327" spans="1:7" x14ac:dyDescent="0.35">
      <c r="A327" t="e">
        <f ca="1"/>
        <v>#N/A</v>
      </c>
      <c r="B327" s="158" t="e">
        <f ca="1">VLOOKUP(A327,Generators!$A$2:$AZ$516,19,FALSE)</f>
        <v>#N/A</v>
      </c>
      <c r="C327" s="124" t="e">
        <f ca="1">VLOOKUP(A327,Generators!$A$2:$AZ$516,16,FALSE)</f>
        <v>#N/A</v>
      </c>
      <c r="D327" s="124" t="e">
        <f t="shared" ca="1" si="10"/>
        <v>#N/A</v>
      </c>
      <c r="E327" s="158" t="e">
        <f ca="1">IF(VLOOKUP(A327,Generators!$A$2:$AZ$516,20,FALSE)=0,"",VLOOKUP(A327,Generators!$A$2:$AZ$516,20,FALSE))</f>
        <v>#N/A</v>
      </c>
      <c r="F327" s="124" t="e">
        <f ca="1">IF(VLOOKUP(A327,Generators!$A$2:$AZ$516,17,FALSE)=0,"",VLOOKUP(A327,Generators!$A$2:$AZ$516,17,FALSE))</f>
        <v>#N/A</v>
      </c>
      <c r="G327" s="164" t="str">
        <f t="shared" ca="1" si="11"/>
        <v/>
      </c>
    </row>
    <row r="328" spans="1:7" x14ac:dyDescent="0.35">
      <c r="A328" t="e">
        <f ca="1"/>
        <v>#N/A</v>
      </c>
      <c r="B328" s="158" t="e">
        <f ca="1">VLOOKUP(A328,Generators!$A$2:$AZ$516,19,FALSE)</f>
        <v>#N/A</v>
      </c>
      <c r="C328" s="124" t="e">
        <f ca="1">VLOOKUP(A328,Generators!$A$2:$AZ$516,16,FALSE)</f>
        <v>#N/A</v>
      </c>
      <c r="D328" s="124" t="e">
        <f t="shared" ca="1" si="10"/>
        <v>#N/A</v>
      </c>
      <c r="E328" s="158" t="e">
        <f ca="1">IF(VLOOKUP(A328,Generators!$A$2:$AZ$516,20,FALSE)=0,"",VLOOKUP(A328,Generators!$A$2:$AZ$516,20,FALSE))</f>
        <v>#N/A</v>
      </c>
      <c r="F328" s="124" t="e">
        <f ca="1">IF(VLOOKUP(A328,Generators!$A$2:$AZ$516,17,FALSE)=0,"",VLOOKUP(A328,Generators!$A$2:$AZ$516,17,FALSE))</f>
        <v>#N/A</v>
      </c>
      <c r="G328" s="164" t="str">
        <f t="shared" ca="1" si="11"/>
        <v/>
      </c>
    </row>
    <row r="329" spans="1:7" x14ac:dyDescent="0.35">
      <c r="A329" t="e">
        <f ca="1"/>
        <v>#N/A</v>
      </c>
      <c r="B329" s="158" t="e">
        <f ca="1">VLOOKUP(A329,Generators!$A$2:$AZ$516,19,FALSE)</f>
        <v>#N/A</v>
      </c>
      <c r="C329" s="124" t="e">
        <f ca="1">VLOOKUP(A329,Generators!$A$2:$AZ$516,16,FALSE)</f>
        <v>#N/A</v>
      </c>
      <c r="D329" s="124" t="e">
        <f t="shared" ca="1" si="10"/>
        <v>#N/A</v>
      </c>
      <c r="E329" s="158" t="e">
        <f ca="1">IF(VLOOKUP(A329,Generators!$A$2:$AZ$516,20,FALSE)=0,"",VLOOKUP(A329,Generators!$A$2:$AZ$516,20,FALSE))</f>
        <v>#N/A</v>
      </c>
      <c r="F329" s="124" t="e">
        <f ca="1">IF(VLOOKUP(A329,Generators!$A$2:$AZ$516,17,FALSE)=0,"",VLOOKUP(A329,Generators!$A$2:$AZ$516,17,FALSE))</f>
        <v>#N/A</v>
      </c>
      <c r="G329" s="164" t="str">
        <f t="shared" ca="1" si="11"/>
        <v/>
      </c>
    </row>
    <row r="330" spans="1:7" x14ac:dyDescent="0.35">
      <c r="A330" t="e">
        <f ca="1"/>
        <v>#N/A</v>
      </c>
      <c r="B330" s="158" t="e">
        <f ca="1">VLOOKUP(A330,Generators!$A$2:$AZ$516,19,FALSE)</f>
        <v>#N/A</v>
      </c>
      <c r="C330" s="124" t="e">
        <f ca="1">VLOOKUP(A330,Generators!$A$2:$AZ$516,16,FALSE)</f>
        <v>#N/A</v>
      </c>
      <c r="D330" s="124" t="e">
        <f t="shared" ca="1" si="10"/>
        <v>#N/A</v>
      </c>
      <c r="E330" s="158" t="e">
        <f ca="1">IF(VLOOKUP(A330,Generators!$A$2:$AZ$516,20,FALSE)=0,"",VLOOKUP(A330,Generators!$A$2:$AZ$516,20,FALSE))</f>
        <v>#N/A</v>
      </c>
      <c r="F330" s="124" t="e">
        <f ca="1">IF(VLOOKUP(A330,Generators!$A$2:$AZ$516,17,FALSE)=0,"",VLOOKUP(A330,Generators!$A$2:$AZ$516,17,FALSE))</f>
        <v>#N/A</v>
      </c>
      <c r="G330" s="164" t="str">
        <f t="shared" ca="1" si="11"/>
        <v/>
      </c>
    </row>
    <row r="331" spans="1:7" x14ac:dyDescent="0.35">
      <c r="A331" t="e">
        <f ca="1"/>
        <v>#N/A</v>
      </c>
      <c r="B331" s="158" t="e">
        <f ca="1">VLOOKUP(A331,Generators!$A$2:$AZ$516,19,FALSE)</f>
        <v>#N/A</v>
      </c>
      <c r="C331" s="124" t="e">
        <f ca="1">VLOOKUP(A331,Generators!$A$2:$AZ$516,16,FALSE)</f>
        <v>#N/A</v>
      </c>
      <c r="D331" s="124" t="e">
        <f t="shared" ca="1" si="10"/>
        <v>#N/A</v>
      </c>
      <c r="E331" s="158" t="e">
        <f ca="1">IF(VLOOKUP(A331,Generators!$A$2:$AZ$516,20,FALSE)=0,"",VLOOKUP(A331,Generators!$A$2:$AZ$516,20,FALSE))</f>
        <v>#N/A</v>
      </c>
      <c r="F331" s="124" t="e">
        <f ca="1">IF(VLOOKUP(A331,Generators!$A$2:$AZ$516,17,FALSE)=0,"",VLOOKUP(A331,Generators!$A$2:$AZ$516,17,FALSE))</f>
        <v>#N/A</v>
      </c>
      <c r="G331" s="164" t="str">
        <f t="shared" ca="1" si="11"/>
        <v/>
      </c>
    </row>
    <row r="332" spans="1:7" x14ac:dyDescent="0.35">
      <c r="A332" t="e">
        <f ca="1"/>
        <v>#N/A</v>
      </c>
      <c r="B332" s="158" t="e">
        <f ca="1">VLOOKUP(A332,Generators!$A$2:$AZ$516,19,FALSE)</f>
        <v>#N/A</v>
      </c>
      <c r="C332" s="124" t="e">
        <f ca="1">VLOOKUP(A332,Generators!$A$2:$AZ$516,16,FALSE)</f>
        <v>#N/A</v>
      </c>
      <c r="D332" s="124" t="e">
        <f t="shared" ca="1" si="10"/>
        <v>#N/A</v>
      </c>
      <c r="E332" s="158" t="e">
        <f ca="1">IF(VLOOKUP(A332,Generators!$A$2:$AZ$516,20,FALSE)=0,"",VLOOKUP(A332,Generators!$A$2:$AZ$516,20,FALSE))</f>
        <v>#N/A</v>
      </c>
      <c r="F332" s="124" t="e">
        <f ca="1">IF(VLOOKUP(A332,Generators!$A$2:$AZ$516,17,FALSE)=0,"",VLOOKUP(A332,Generators!$A$2:$AZ$516,17,FALSE))</f>
        <v>#N/A</v>
      </c>
      <c r="G332" s="164" t="str">
        <f t="shared" ca="1" si="11"/>
        <v/>
      </c>
    </row>
    <row r="333" spans="1:7" x14ac:dyDescent="0.35">
      <c r="A333" t="e">
        <f ca="1"/>
        <v>#N/A</v>
      </c>
      <c r="B333" s="158" t="e">
        <f ca="1">VLOOKUP(A333,Generators!$A$2:$AZ$516,19,FALSE)</f>
        <v>#N/A</v>
      </c>
      <c r="C333" s="124" t="e">
        <f ca="1">VLOOKUP(A333,Generators!$A$2:$AZ$516,16,FALSE)</f>
        <v>#N/A</v>
      </c>
      <c r="D333" s="124" t="e">
        <f t="shared" ca="1" si="10"/>
        <v>#N/A</v>
      </c>
      <c r="E333" s="158" t="e">
        <f ca="1">IF(VLOOKUP(A333,Generators!$A$2:$AZ$516,20,FALSE)=0,"",VLOOKUP(A333,Generators!$A$2:$AZ$516,20,FALSE))</f>
        <v>#N/A</v>
      </c>
      <c r="F333" s="124" t="e">
        <f ca="1">IF(VLOOKUP(A333,Generators!$A$2:$AZ$516,17,FALSE)=0,"",VLOOKUP(A333,Generators!$A$2:$AZ$516,17,FALSE))</f>
        <v>#N/A</v>
      </c>
      <c r="G333" s="164" t="str">
        <f t="shared" ca="1" si="11"/>
        <v/>
      </c>
    </row>
    <row r="334" spans="1:7" x14ac:dyDescent="0.35">
      <c r="A334" t="e">
        <f ca="1"/>
        <v>#N/A</v>
      </c>
      <c r="B334" s="158" t="e">
        <f ca="1">VLOOKUP(A334,Generators!$A$2:$AZ$516,19,FALSE)</f>
        <v>#N/A</v>
      </c>
      <c r="C334" s="124" t="e">
        <f ca="1">VLOOKUP(A334,Generators!$A$2:$AZ$516,16,FALSE)</f>
        <v>#N/A</v>
      </c>
      <c r="D334" s="124" t="e">
        <f t="shared" ca="1" si="10"/>
        <v>#N/A</v>
      </c>
      <c r="E334" s="158" t="e">
        <f ca="1">IF(VLOOKUP(A334,Generators!$A$2:$AZ$516,20,FALSE)=0,"",VLOOKUP(A334,Generators!$A$2:$AZ$516,20,FALSE))</f>
        <v>#N/A</v>
      </c>
      <c r="F334" s="124" t="e">
        <f ca="1">IF(VLOOKUP(A334,Generators!$A$2:$AZ$516,17,FALSE)=0,"",VLOOKUP(A334,Generators!$A$2:$AZ$516,17,FALSE))</f>
        <v>#N/A</v>
      </c>
      <c r="G334" s="164" t="str">
        <f t="shared" ca="1" si="11"/>
        <v/>
      </c>
    </row>
    <row r="335" spans="1:7" x14ac:dyDescent="0.35">
      <c r="A335" t="e">
        <f ca="1"/>
        <v>#N/A</v>
      </c>
      <c r="B335" s="158" t="e">
        <f ca="1">VLOOKUP(A335,Generators!$A$2:$AZ$516,19,FALSE)</f>
        <v>#N/A</v>
      </c>
      <c r="C335" s="124" t="e">
        <f ca="1">VLOOKUP(A335,Generators!$A$2:$AZ$516,16,FALSE)</f>
        <v>#N/A</v>
      </c>
      <c r="D335" s="124" t="e">
        <f t="shared" ca="1" si="10"/>
        <v>#N/A</v>
      </c>
      <c r="E335" s="158" t="e">
        <f ca="1">IF(VLOOKUP(A335,Generators!$A$2:$AZ$516,20,FALSE)=0,"",VLOOKUP(A335,Generators!$A$2:$AZ$516,20,FALSE))</f>
        <v>#N/A</v>
      </c>
      <c r="F335" s="124" t="e">
        <f ca="1">IF(VLOOKUP(A335,Generators!$A$2:$AZ$516,17,FALSE)=0,"",VLOOKUP(A335,Generators!$A$2:$AZ$516,17,FALSE))</f>
        <v>#N/A</v>
      </c>
      <c r="G335" s="164" t="str">
        <f t="shared" ca="1" si="11"/>
        <v/>
      </c>
    </row>
    <row r="336" spans="1:7" x14ac:dyDescent="0.35">
      <c r="A336" t="e">
        <f ca="1"/>
        <v>#N/A</v>
      </c>
      <c r="B336" s="158" t="e">
        <f ca="1">VLOOKUP(A336,Generators!$A$2:$AZ$516,19,FALSE)</f>
        <v>#N/A</v>
      </c>
      <c r="C336" s="124" t="e">
        <f ca="1">VLOOKUP(A336,Generators!$A$2:$AZ$516,16,FALSE)</f>
        <v>#N/A</v>
      </c>
      <c r="D336" s="124" t="e">
        <f t="shared" ca="1" si="10"/>
        <v>#N/A</v>
      </c>
      <c r="E336" s="158" t="e">
        <f ca="1">IF(VLOOKUP(A336,Generators!$A$2:$AZ$516,20,FALSE)=0,"",VLOOKUP(A336,Generators!$A$2:$AZ$516,20,FALSE))</f>
        <v>#N/A</v>
      </c>
      <c r="F336" s="124" t="e">
        <f ca="1">IF(VLOOKUP(A336,Generators!$A$2:$AZ$516,17,FALSE)=0,"",VLOOKUP(A336,Generators!$A$2:$AZ$516,17,FALSE))</f>
        <v>#N/A</v>
      </c>
      <c r="G336" s="164" t="str">
        <f t="shared" ca="1" si="11"/>
        <v/>
      </c>
    </row>
    <row r="337" spans="1:7" x14ac:dyDescent="0.35">
      <c r="A337" t="e">
        <f ca="1"/>
        <v>#N/A</v>
      </c>
      <c r="B337" s="158" t="e">
        <f ca="1">VLOOKUP(A337,Generators!$A$2:$AZ$516,19,FALSE)</f>
        <v>#N/A</v>
      </c>
      <c r="C337" s="124" t="e">
        <f ca="1">VLOOKUP(A337,Generators!$A$2:$AZ$516,16,FALSE)</f>
        <v>#N/A</v>
      </c>
      <c r="D337" s="124" t="e">
        <f t="shared" ca="1" si="10"/>
        <v>#N/A</v>
      </c>
      <c r="E337" s="158" t="e">
        <f ca="1">IF(VLOOKUP(A337,Generators!$A$2:$AZ$516,20,FALSE)=0,"",VLOOKUP(A337,Generators!$A$2:$AZ$516,20,FALSE))</f>
        <v>#N/A</v>
      </c>
      <c r="F337" s="124" t="e">
        <f ca="1">IF(VLOOKUP(A337,Generators!$A$2:$AZ$516,17,FALSE)=0,"",VLOOKUP(A337,Generators!$A$2:$AZ$516,17,FALSE))</f>
        <v>#N/A</v>
      </c>
      <c r="G337" s="164" t="str">
        <f t="shared" ca="1" si="11"/>
        <v/>
      </c>
    </row>
    <row r="338" spans="1:7" x14ac:dyDescent="0.35">
      <c r="A338" t="e">
        <f ca="1"/>
        <v>#N/A</v>
      </c>
      <c r="B338" s="158" t="e">
        <f ca="1">VLOOKUP(A338,Generators!$A$2:$AZ$516,19,FALSE)</f>
        <v>#N/A</v>
      </c>
      <c r="C338" s="124" t="e">
        <f ca="1">VLOOKUP(A338,Generators!$A$2:$AZ$516,16,FALSE)</f>
        <v>#N/A</v>
      </c>
      <c r="D338" s="124" t="e">
        <f t="shared" ca="1" si="10"/>
        <v>#N/A</v>
      </c>
      <c r="E338" s="158" t="e">
        <f ca="1">IF(VLOOKUP(A338,Generators!$A$2:$AZ$516,20,FALSE)=0,"",VLOOKUP(A338,Generators!$A$2:$AZ$516,20,FALSE))</f>
        <v>#N/A</v>
      </c>
      <c r="F338" s="124" t="e">
        <f ca="1">IF(VLOOKUP(A338,Generators!$A$2:$AZ$516,17,FALSE)=0,"",VLOOKUP(A338,Generators!$A$2:$AZ$516,17,FALSE))</f>
        <v>#N/A</v>
      </c>
      <c r="G338" s="164" t="str">
        <f t="shared" ca="1" si="11"/>
        <v/>
      </c>
    </row>
    <row r="339" spans="1:7" x14ac:dyDescent="0.35">
      <c r="A339" t="e">
        <f ca="1"/>
        <v>#N/A</v>
      </c>
      <c r="B339" s="158" t="e">
        <f ca="1">VLOOKUP(A339,Generators!$A$2:$AZ$516,19,FALSE)</f>
        <v>#N/A</v>
      </c>
      <c r="C339" s="124" t="e">
        <f ca="1">VLOOKUP(A339,Generators!$A$2:$AZ$516,16,FALSE)</f>
        <v>#N/A</v>
      </c>
      <c r="D339" s="124" t="e">
        <f t="shared" ca="1" si="10"/>
        <v>#N/A</v>
      </c>
      <c r="E339" s="158" t="e">
        <f ca="1">IF(VLOOKUP(A339,Generators!$A$2:$AZ$516,20,FALSE)=0,"",VLOOKUP(A339,Generators!$A$2:$AZ$516,20,FALSE))</f>
        <v>#N/A</v>
      </c>
      <c r="F339" s="124" t="e">
        <f ca="1">IF(VLOOKUP(A339,Generators!$A$2:$AZ$516,17,FALSE)=0,"",VLOOKUP(A339,Generators!$A$2:$AZ$516,17,FALSE))</f>
        <v>#N/A</v>
      </c>
      <c r="G339" s="164" t="str">
        <f t="shared" ca="1" si="11"/>
        <v/>
      </c>
    </row>
    <row r="340" spans="1:7" x14ac:dyDescent="0.35">
      <c r="A340" t="e">
        <f ca="1"/>
        <v>#N/A</v>
      </c>
      <c r="B340" s="158" t="e">
        <f ca="1">VLOOKUP(A340,Generators!$A$2:$AZ$516,19,FALSE)</f>
        <v>#N/A</v>
      </c>
      <c r="C340" s="124" t="e">
        <f ca="1">VLOOKUP(A340,Generators!$A$2:$AZ$516,16,FALSE)</f>
        <v>#N/A</v>
      </c>
      <c r="D340" s="124" t="e">
        <f t="shared" ca="1" si="10"/>
        <v>#N/A</v>
      </c>
      <c r="E340" s="158" t="e">
        <f ca="1">IF(VLOOKUP(A340,Generators!$A$2:$AZ$516,20,FALSE)=0,"",VLOOKUP(A340,Generators!$A$2:$AZ$516,20,FALSE))</f>
        <v>#N/A</v>
      </c>
      <c r="F340" s="124" t="e">
        <f ca="1">IF(VLOOKUP(A340,Generators!$A$2:$AZ$516,17,FALSE)=0,"",VLOOKUP(A340,Generators!$A$2:$AZ$516,17,FALSE))</f>
        <v>#N/A</v>
      </c>
      <c r="G340" s="164" t="str">
        <f t="shared" ca="1" si="11"/>
        <v/>
      </c>
    </row>
    <row r="341" spans="1:7" x14ac:dyDescent="0.35">
      <c r="A341" t="e">
        <f ca="1"/>
        <v>#N/A</v>
      </c>
      <c r="B341" s="158" t="e">
        <f ca="1">VLOOKUP(A341,Generators!$A$2:$AZ$516,19,FALSE)</f>
        <v>#N/A</v>
      </c>
      <c r="C341" s="124" t="e">
        <f ca="1">VLOOKUP(A341,Generators!$A$2:$AZ$516,16,FALSE)</f>
        <v>#N/A</v>
      </c>
      <c r="D341" s="124" t="e">
        <f t="shared" ca="1" si="10"/>
        <v>#N/A</v>
      </c>
      <c r="E341" s="158" t="e">
        <f ca="1">IF(VLOOKUP(A341,Generators!$A$2:$AZ$516,20,FALSE)=0,"",VLOOKUP(A341,Generators!$A$2:$AZ$516,20,FALSE))</f>
        <v>#N/A</v>
      </c>
      <c r="F341" s="124" t="e">
        <f ca="1">IF(VLOOKUP(A341,Generators!$A$2:$AZ$516,17,FALSE)=0,"",VLOOKUP(A341,Generators!$A$2:$AZ$516,17,FALSE))</f>
        <v>#N/A</v>
      </c>
      <c r="G341" s="164" t="str">
        <f t="shared" ca="1" si="11"/>
        <v/>
      </c>
    </row>
    <row r="342" spans="1:7" x14ac:dyDescent="0.35">
      <c r="A342" t="e">
        <f ca="1"/>
        <v>#N/A</v>
      </c>
      <c r="B342" s="158" t="e">
        <f ca="1">VLOOKUP(A342,Generators!$A$2:$AZ$516,19,FALSE)</f>
        <v>#N/A</v>
      </c>
      <c r="C342" s="124" t="e">
        <f ca="1">VLOOKUP(A342,Generators!$A$2:$AZ$516,16,FALSE)</f>
        <v>#N/A</v>
      </c>
      <c r="D342" s="124" t="e">
        <f t="shared" ca="1" si="10"/>
        <v>#N/A</v>
      </c>
      <c r="E342" s="158" t="e">
        <f ca="1">IF(VLOOKUP(A342,Generators!$A$2:$AZ$516,20,FALSE)=0,"",VLOOKUP(A342,Generators!$A$2:$AZ$516,20,FALSE))</f>
        <v>#N/A</v>
      </c>
      <c r="F342" s="124" t="e">
        <f ca="1">IF(VLOOKUP(A342,Generators!$A$2:$AZ$516,17,FALSE)=0,"",VLOOKUP(A342,Generators!$A$2:$AZ$516,17,FALSE))</f>
        <v>#N/A</v>
      </c>
      <c r="G342" s="164" t="str">
        <f t="shared" ca="1" si="11"/>
        <v/>
      </c>
    </row>
    <row r="343" spans="1:7" x14ac:dyDescent="0.35">
      <c r="A343" t="e">
        <f ca="1"/>
        <v>#N/A</v>
      </c>
      <c r="B343" s="158" t="e">
        <f ca="1">VLOOKUP(A343,Generators!$A$2:$AZ$516,19,FALSE)</f>
        <v>#N/A</v>
      </c>
      <c r="C343" s="124" t="e">
        <f ca="1">VLOOKUP(A343,Generators!$A$2:$AZ$516,16,FALSE)</f>
        <v>#N/A</v>
      </c>
      <c r="D343" s="124" t="e">
        <f t="shared" ca="1" si="10"/>
        <v>#N/A</v>
      </c>
      <c r="E343" s="158" t="e">
        <f ca="1">IF(VLOOKUP(A343,Generators!$A$2:$AZ$516,20,FALSE)=0,"",VLOOKUP(A343,Generators!$A$2:$AZ$516,20,FALSE))</f>
        <v>#N/A</v>
      </c>
      <c r="F343" s="124" t="e">
        <f ca="1">IF(VLOOKUP(A343,Generators!$A$2:$AZ$516,17,FALSE)=0,"",VLOOKUP(A343,Generators!$A$2:$AZ$516,17,FALSE))</f>
        <v>#N/A</v>
      </c>
      <c r="G343" s="164" t="str">
        <f t="shared" ca="1" si="11"/>
        <v/>
      </c>
    </row>
    <row r="344" spans="1:7" x14ac:dyDescent="0.35">
      <c r="A344" t="e">
        <f ca="1"/>
        <v>#N/A</v>
      </c>
      <c r="B344" s="158" t="e">
        <f ca="1">VLOOKUP(A344,Generators!$A$2:$AZ$516,19,FALSE)</f>
        <v>#N/A</v>
      </c>
      <c r="C344" s="124" t="e">
        <f ca="1">VLOOKUP(A344,Generators!$A$2:$AZ$516,16,FALSE)</f>
        <v>#N/A</v>
      </c>
      <c r="D344" s="124" t="e">
        <f t="shared" ca="1" si="10"/>
        <v>#N/A</v>
      </c>
      <c r="E344" s="158" t="e">
        <f ca="1">IF(VLOOKUP(A344,Generators!$A$2:$AZ$516,20,FALSE)=0,"",VLOOKUP(A344,Generators!$A$2:$AZ$516,20,FALSE))</f>
        <v>#N/A</v>
      </c>
      <c r="F344" s="124" t="e">
        <f ca="1">IF(VLOOKUP(A344,Generators!$A$2:$AZ$516,17,FALSE)=0,"",VLOOKUP(A344,Generators!$A$2:$AZ$516,17,FALSE))</f>
        <v>#N/A</v>
      </c>
      <c r="G344" s="164" t="str">
        <f t="shared" ca="1" si="11"/>
        <v/>
      </c>
    </row>
    <row r="345" spans="1:7" x14ac:dyDescent="0.35">
      <c r="A345" t="e">
        <f ca="1"/>
        <v>#N/A</v>
      </c>
      <c r="B345" s="158" t="e">
        <f ca="1">VLOOKUP(A345,Generators!$A$2:$AZ$516,19,FALSE)</f>
        <v>#N/A</v>
      </c>
      <c r="C345" s="124" t="e">
        <f ca="1">VLOOKUP(A345,Generators!$A$2:$AZ$516,16,FALSE)</f>
        <v>#N/A</v>
      </c>
      <c r="D345" s="124" t="e">
        <f t="shared" ca="1" si="10"/>
        <v>#N/A</v>
      </c>
      <c r="E345" s="158" t="e">
        <f ca="1">IF(VLOOKUP(A345,Generators!$A$2:$AZ$516,20,FALSE)=0,"",VLOOKUP(A345,Generators!$A$2:$AZ$516,20,FALSE))</f>
        <v>#N/A</v>
      </c>
      <c r="F345" s="124" t="e">
        <f ca="1">IF(VLOOKUP(A345,Generators!$A$2:$AZ$516,17,FALSE)=0,"",VLOOKUP(A345,Generators!$A$2:$AZ$516,17,FALSE))</f>
        <v>#N/A</v>
      </c>
      <c r="G345" s="164" t="str">
        <f t="shared" ca="1" si="11"/>
        <v/>
      </c>
    </row>
    <row r="346" spans="1:7" x14ac:dyDescent="0.35">
      <c r="A346" t="e">
        <f ca="1"/>
        <v>#N/A</v>
      </c>
      <c r="B346" s="158" t="e">
        <f ca="1">VLOOKUP(A346,Generators!$A$2:$AZ$516,19,FALSE)</f>
        <v>#N/A</v>
      </c>
      <c r="C346" s="124" t="e">
        <f ca="1">VLOOKUP(A346,Generators!$A$2:$AZ$516,16,FALSE)</f>
        <v>#N/A</v>
      </c>
      <c r="D346" s="124" t="e">
        <f t="shared" ca="1" si="10"/>
        <v>#N/A</v>
      </c>
      <c r="E346" s="158" t="e">
        <f ca="1">IF(VLOOKUP(A346,Generators!$A$2:$AZ$516,20,FALSE)=0,"",VLOOKUP(A346,Generators!$A$2:$AZ$516,20,FALSE))</f>
        <v>#N/A</v>
      </c>
      <c r="F346" s="124" t="e">
        <f ca="1">IF(VLOOKUP(A346,Generators!$A$2:$AZ$516,17,FALSE)=0,"",VLOOKUP(A346,Generators!$A$2:$AZ$516,17,FALSE))</f>
        <v>#N/A</v>
      </c>
      <c r="G346" s="164" t="str">
        <f t="shared" ca="1" si="11"/>
        <v/>
      </c>
    </row>
    <row r="347" spans="1:7" x14ac:dyDescent="0.35">
      <c r="A347" t="e">
        <f ca="1"/>
        <v>#N/A</v>
      </c>
      <c r="B347" s="158" t="e">
        <f ca="1">VLOOKUP(A347,Generators!$A$2:$AZ$516,19,FALSE)</f>
        <v>#N/A</v>
      </c>
      <c r="C347" s="124" t="e">
        <f ca="1">VLOOKUP(A347,Generators!$A$2:$AZ$516,16,FALSE)</f>
        <v>#N/A</v>
      </c>
      <c r="D347" s="124" t="e">
        <f t="shared" ca="1" si="10"/>
        <v>#N/A</v>
      </c>
      <c r="E347" s="158" t="e">
        <f ca="1">IF(VLOOKUP(A347,Generators!$A$2:$AZ$516,20,FALSE)=0,"",VLOOKUP(A347,Generators!$A$2:$AZ$516,20,FALSE))</f>
        <v>#N/A</v>
      </c>
      <c r="F347" s="124" t="e">
        <f ca="1">IF(VLOOKUP(A347,Generators!$A$2:$AZ$516,17,FALSE)=0,"",VLOOKUP(A347,Generators!$A$2:$AZ$516,17,FALSE))</f>
        <v>#N/A</v>
      </c>
      <c r="G347" s="164" t="str">
        <f t="shared" ca="1" si="11"/>
        <v/>
      </c>
    </row>
    <row r="348" spans="1:7" x14ac:dyDescent="0.35">
      <c r="A348" t="e">
        <f ca="1"/>
        <v>#N/A</v>
      </c>
      <c r="B348" s="158" t="e">
        <f ca="1">VLOOKUP(A348,Generators!$A$2:$AZ$516,19,FALSE)</f>
        <v>#N/A</v>
      </c>
      <c r="C348" s="124" t="e">
        <f ca="1">VLOOKUP(A348,Generators!$A$2:$AZ$516,16,FALSE)</f>
        <v>#N/A</v>
      </c>
      <c r="D348" s="124" t="e">
        <f t="shared" ca="1" si="10"/>
        <v>#N/A</v>
      </c>
      <c r="E348" s="158" t="e">
        <f ca="1">IF(VLOOKUP(A348,Generators!$A$2:$AZ$516,20,FALSE)=0,"",VLOOKUP(A348,Generators!$A$2:$AZ$516,20,FALSE))</f>
        <v>#N/A</v>
      </c>
      <c r="F348" s="124" t="e">
        <f ca="1">IF(VLOOKUP(A348,Generators!$A$2:$AZ$516,17,FALSE)=0,"",VLOOKUP(A348,Generators!$A$2:$AZ$516,17,FALSE))</f>
        <v>#N/A</v>
      </c>
      <c r="G348" s="164" t="str">
        <f t="shared" ca="1" si="11"/>
        <v/>
      </c>
    </row>
    <row r="349" spans="1:7" x14ac:dyDescent="0.35">
      <c r="A349" t="e">
        <f ca="1"/>
        <v>#N/A</v>
      </c>
      <c r="B349" s="158" t="e">
        <f ca="1">VLOOKUP(A349,Generators!$A$2:$AZ$516,19,FALSE)</f>
        <v>#N/A</v>
      </c>
      <c r="C349" s="124" t="e">
        <f ca="1">VLOOKUP(A349,Generators!$A$2:$AZ$516,16,FALSE)</f>
        <v>#N/A</v>
      </c>
      <c r="D349" s="124" t="e">
        <f t="shared" ca="1" si="10"/>
        <v>#N/A</v>
      </c>
      <c r="E349" s="158" t="e">
        <f ca="1">IF(VLOOKUP(A349,Generators!$A$2:$AZ$516,20,FALSE)=0,"",VLOOKUP(A349,Generators!$A$2:$AZ$516,20,FALSE))</f>
        <v>#N/A</v>
      </c>
      <c r="F349" s="124" t="e">
        <f ca="1">IF(VLOOKUP(A349,Generators!$A$2:$AZ$516,17,FALSE)=0,"",VLOOKUP(A349,Generators!$A$2:$AZ$516,17,FALSE))</f>
        <v>#N/A</v>
      </c>
      <c r="G349" s="164" t="str">
        <f t="shared" ca="1" si="11"/>
        <v/>
      </c>
    </row>
    <row r="350" spans="1:7" x14ac:dyDescent="0.35">
      <c r="A350" t="e">
        <f ca="1"/>
        <v>#N/A</v>
      </c>
      <c r="B350" s="158" t="e">
        <f ca="1">VLOOKUP(A350,Generators!$A$2:$AZ$516,19,FALSE)</f>
        <v>#N/A</v>
      </c>
      <c r="C350" s="124" t="e">
        <f ca="1">VLOOKUP(A350,Generators!$A$2:$AZ$516,16,FALSE)</f>
        <v>#N/A</v>
      </c>
      <c r="D350" s="124" t="e">
        <f t="shared" ca="1" si="10"/>
        <v>#N/A</v>
      </c>
      <c r="E350" s="158" t="e">
        <f ca="1">IF(VLOOKUP(A350,Generators!$A$2:$AZ$516,20,FALSE)=0,"",VLOOKUP(A350,Generators!$A$2:$AZ$516,20,FALSE))</f>
        <v>#N/A</v>
      </c>
      <c r="F350" s="124" t="e">
        <f ca="1">IF(VLOOKUP(A350,Generators!$A$2:$AZ$516,17,FALSE)=0,"",VLOOKUP(A350,Generators!$A$2:$AZ$516,17,FALSE))</f>
        <v>#N/A</v>
      </c>
      <c r="G350" s="164" t="str">
        <f t="shared" ca="1" si="11"/>
        <v/>
      </c>
    </row>
    <row r="351" spans="1:7" x14ac:dyDescent="0.35">
      <c r="A351" t="e">
        <f ca="1"/>
        <v>#N/A</v>
      </c>
      <c r="B351" s="158" t="e">
        <f ca="1">VLOOKUP(A351,Generators!$A$2:$AZ$516,19,FALSE)</f>
        <v>#N/A</v>
      </c>
      <c r="C351" s="124" t="e">
        <f ca="1">VLOOKUP(A351,Generators!$A$2:$AZ$516,16,FALSE)</f>
        <v>#N/A</v>
      </c>
      <c r="D351" s="124" t="e">
        <f t="shared" ca="1" si="10"/>
        <v>#N/A</v>
      </c>
      <c r="E351" s="158" t="e">
        <f ca="1">IF(VLOOKUP(A351,Generators!$A$2:$AZ$516,20,FALSE)=0,"",VLOOKUP(A351,Generators!$A$2:$AZ$516,20,FALSE))</f>
        <v>#N/A</v>
      </c>
      <c r="F351" s="124" t="e">
        <f ca="1">IF(VLOOKUP(A351,Generators!$A$2:$AZ$516,17,FALSE)=0,"",VLOOKUP(A351,Generators!$A$2:$AZ$516,17,FALSE))</f>
        <v>#N/A</v>
      </c>
      <c r="G351" s="164" t="str">
        <f t="shared" ca="1" si="11"/>
        <v/>
      </c>
    </row>
    <row r="352" spans="1:7" x14ac:dyDescent="0.35">
      <c r="A352" t="e">
        <f ca="1"/>
        <v>#N/A</v>
      </c>
      <c r="B352" s="158" t="e">
        <f ca="1">VLOOKUP(A352,Generators!$A$2:$AZ$516,19,FALSE)</f>
        <v>#N/A</v>
      </c>
      <c r="C352" s="124" t="e">
        <f ca="1">VLOOKUP(A352,Generators!$A$2:$AZ$516,16,FALSE)</f>
        <v>#N/A</v>
      </c>
      <c r="D352" s="124" t="e">
        <f t="shared" ca="1" si="10"/>
        <v>#N/A</v>
      </c>
      <c r="E352" s="158" t="e">
        <f ca="1">IF(VLOOKUP(A352,Generators!$A$2:$AZ$516,20,FALSE)=0,"",VLOOKUP(A352,Generators!$A$2:$AZ$516,20,FALSE))</f>
        <v>#N/A</v>
      </c>
      <c r="F352" s="124" t="e">
        <f ca="1">IF(VLOOKUP(A352,Generators!$A$2:$AZ$516,17,FALSE)=0,"",VLOOKUP(A352,Generators!$A$2:$AZ$516,17,FALSE))</f>
        <v>#N/A</v>
      </c>
      <c r="G352" s="164" t="str">
        <f t="shared" ca="1" si="11"/>
        <v/>
      </c>
    </row>
    <row r="353" spans="1:7" x14ac:dyDescent="0.35">
      <c r="A353" t="e">
        <f ca="1"/>
        <v>#N/A</v>
      </c>
      <c r="B353" s="158" t="e">
        <f ca="1">VLOOKUP(A353,Generators!$A$2:$AZ$516,19,FALSE)</f>
        <v>#N/A</v>
      </c>
      <c r="C353" s="124" t="e">
        <f ca="1">VLOOKUP(A353,Generators!$A$2:$AZ$516,16,FALSE)</f>
        <v>#N/A</v>
      </c>
      <c r="D353" s="124" t="e">
        <f t="shared" ca="1" si="10"/>
        <v>#N/A</v>
      </c>
      <c r="E353" s="158" t="e">
        <f ca="1">IF(VLOOKUP(A353,Generators!$A$2:$AZ$516,20,FALSE)=0,"",VLOOKUP(A353,Generators!$A$2:$AZ$516,20,FALSE))</f>
        <v>#N/A</v>
      </c>
      <c r="F353" s="124" t="e">
        <f ca="1">IF(VLOOKUP(A353,Generators!$A$2:$AZ$516,17,FALSE)=0,"",VLOOKUP(A353,Generators!$A$2:$AZ$516,17,FALSE))</f>
        <v>#N/A</v>
      </c>
      <c r="G353" s="164" t="str">
        <f t="shared" ca="1" si="11"/>
        <v/>
      </c>
    </row>
    <row r="354" spans="1:7" x14ac:dyDescent="0.35">
      <c r="A354" t="e">
        <f ca="1"/>
        <v>#N/A</v>
      </c>
      <c r="B354" s="158" t="e">
        <f ca="1">VLOOKUP(A354,Generators!$A$2:$AZ$516,19,FALSE)</f>
        <v>#N/A</v>
      </c>
      <c r="C354" s="124" t="e">
        <f ca="1">VLOOKUP(A354,Generators!$A$2:$AZ$516,16,FALSE)</f>
        <v>#N/A</v>
      </c>
      <c r="D354" s="124" t="e">
        <f t="shared" ca="1" si="10"/>
        <v>#N/A</v>
      </c>
      <c r="E354" s="158" t="e">
        <f ca="1">IF(VLOOKUP(A354,Generators!$A$2:$AZ$516,20,FALSE)=0,"",VLOOKUP(A354,Generators!$A$2:$AZ$516,20,FALSE))</f>
        <v>#N/A</v>
      </c>
      <c r="F354" s="124" t="e">
        <f ca="1">IF(VLOOKUP(A354,Generators!$A$2:$AZ$516,17,FALSE)=0,"",VLOOKUP(A354,Generators!$A$2:$AZ$516,17,FALSE))</f>
        <v>#N/A</v>
      </c>
      <c r="G354" s="164" t="str">
        <f t="shared" ca="1" si="11"/>
        <v/>
      </c>
    </row>
    <row r="355" spans="1:7" x14ac:dyDescent="0.35">
      <c r="A355" t="e">
        <f ca="1"/>
        <v>#N/A</v>
      </c>
      <c r="B355" s="158" t="e">
        <f ca="1">VLOOKUP(A355,Generators!$A$2:$AZ$516,19,FALSE)</f>
        <v>#N/A</v>
      </c>
      <c r="C355" s="124" t="e">
        <f ca="1">VLOOKUP(A355,Generators!$A$2:$AZ$516,16,FALSE)</f>
        <v>#N/A</v>
      </c>
      <c r="D355" s="124" t="e">
        <f t="shared" ca="1" si="10"/>
        <v>#N/A</v>
      </c>
      <c r="E355" s="158" t="e">
        <f ca="1">IF(VLOOKUP(A355,Generators!$A$2:$AZ$516,20,FALSE)=0,"",VLOOKUP(A355,Generators!$A$2:$AZ$516,20,FALSE))</f>
        <v>#N/A</v>
      </c>
      <c r="F355" s="124" t="e">
        <f ca="1">IF(VLOOKUP(A355,Generators!$A$2:$AZ$516,17,FALSE)=0,"",VLOOKUP(A355,Generators!$A$2:$AZ$516,17,FALSE))</f>
        <v>#N/A</v>
      </c>
      <c r="G355" s="164" t="str">
        <f t="shared" ca="1" si="11"/>
        <v/>
      </c>
    </row>
    <row r="356" spans="1:7" x14ac:dyDescent="0.35">
      <c r="A356" t="e">
        <f ca="1"/>
        <v>#N/A</v>
      </c>
      <c r="B356" s="158" t="e">
        <f ca="1">VLOOKUP(A356,Generators!$A$2:$AZ$516,19,FALSE)</f>
        <v>#N/A</v>
      </c>
      <c r="C356" s="124" t="e">
        <f ca="1">VLOOKUP(A356,Generators!$A$2:$AZ$516,16,FALSE)</f>
        <v>#N/A</v>
      </c>
      <c r="D356" s="124" t="e">
        <f t="shared" ca="1" si="10"/>
        <v>#N/A</v>
      </c>
      <c r="E356" s="158" t="e">
        <f ca="1">IF(VLOOKUP(A356,Generators!$A$2:$AZ$516,20,FALSE)=0,"",VLOOKUP(A356,Generators!$A$2:$AZ$516,20,FALSE))</f>
        <v>#N/A</v>
      </c>
      <c r="F356" s="124" t="e">
        <f ca="1">IF(VLOOKUP(A356,Generators!$A$2:$AZ$516,17,FALSE)=0,"",VLOOKUP(A356,Generators!$A$2:$AZ$516,17,FALSE))</f>
        <v>#N/A</v>
      </c>
      <c r="G356" s="164" t="str">
        <f t="shared" ca="1" si="11"/>
        <v/>
      </c>
    </row>
    <row r="357" spans="1:7" x14ac:dyDescent="0.35">
      <c r="A357" t="e">
        <f ca="1"/>
        <v>#N/A</v>
      </c>
      <c r="B357" s="158" t="e">
        <f ca="1">VLOOKUP(A357,Generators!$A$2:$AZ$516,19,FALSE)</f>
        <v>#N/A</v>
      </c>
      <c r="C357" s="124" t="e">
        <f ca="1">VLOOKUP(A357,Generators!$A$2:$AZ$516,16,FALSE)</f>
        <v>#N/A</v>
      </c>
      <c r="D357" s="124" t="e">
        <f t="shared" ca="1" si="10"/>
        <v>#N/A</v>
      </c>
      <c r="E357" s="158" t="e">
        <f ca="1">IF(VLOOKUP(A357,Generators!$A$2:$AZ$516,20,FALSE)=0,"",VLOOKUP(A357,Generators!$A$2:$AZ$516,20,FALSE))</f>
        <v>#N/A</v>
      </c>
      <c r="F357" s="124" t="e">
        <f ca="1">IF(VLOOKUP(A357,Generators!$A$2:$AZ$516,17,FALSE)=0,"",VLOOKUP(A357,Generators!$A$2:$AZ$516,17,FALSE))</f>
        <v>#N/A</v>
      </c>
      <c r="G357" s="164" t="str">
        <f t="shared" ca="1" si="11"/>
        <v/>
      </c>
    </row>
    <row r="358" spans="1:7" x14ac:dyDescent="0.35">
      <c r="A358" t="e">
        <f ca="1"/>
        <v>#N/A</v>
      </c>
      <c r="B358" s="158" t="e">
        <f ca="1">VLOOKUP(A358,Generators!$A$2:$AZ$516,19,FALSE)</f>
        <v>#N/A</v>
      </c>
      <c r="C358" s="124" t="e">
        <f ca="1">VLOOKUP(A358,Generators!$A$2:$AZ$516,16,FALSE)</f>
        <v>#N/A</v>
      </c>
      <c r="D358" s="124" t="e">
        <f t="shared" ca="1" si="10"/>
        <v>#N/A</v>
      </c>
      <c r="E358" s="158" t="e">
        <f ca="1">IF(VLOOKUP(A358,Generators!$A$2:$AZ$516,20,FALSE)=0,"",VLOOKUP(A358,Generators!$A$2:$AZ$516,20,FALSE))</f>
        <v>#N/A</v>
      </c>
      <c r="F358" s="124" t="e">
        <f ca="1">IF(VLOOKUP(A358,Generators!$A$2:$AZ$516,17,FALSE)=0,"",VLOOKUP(A358,Generators!$A$2:$AZ$516,17,FALSE))</f>
        <v>#N/A</v>
      </c>
      <c r="G358" s="164" t="str">
        <f t="shared" ca="1" si="11"/>
        <v/>
      </c>
    </row>
    <row r="359" spans="1:7" x14ac:dyDescent="0.35">
      <c r="A359" t="e">
        <f ca="1"/>
        <v>#N/A</v>
      </c>
      <c r="B359" s="158" t="e">
        <f ca="1">VLOOKUP(A359,Generators!$A$2:$AZ$516,19,FALSE)</f>
        <v>#N/A</v>
      </c>
      <c r="C359" s="124" t="e">
        <f ca="1">VLOOKUP(A359,Generators!$A$2:$AZ$516,16,FALSE)</f>
        <v>#N/A</v>
      </c>
      <c r="D359" s="124" t="e">
        <f t="shared" ca="1" si="10"/>
        <v>#N/A</v>
      </c>
      <c r="E359" s="158" t="e">
        <f ca="1">IF(VLOOKUP(A359,Generators!$A$2:$AZ$516,20,FALSE)=0,"",VLOOKUP(A359,Generators!$A$2:$AZ$516,20,FALSE))</f>
        <v>#N/A</v>
      </c>
      <c r="F359" s="124" t="e">
        <f ca="1">IF(VLOOKUP(A359,Generators!$A$2:$AZ$516,17,FALSE)=0,"",VLOOKUP(A359,Generators!$A$2:$AZ$516,17,FALSE))</f>
        <v>#N/A</v>
      </c>
      <c r="G359" s="164" t="str">
        <f t="shared" ca="1" si="11"/>
        <v/>
      </c>
    </row>
    <row r="360" spans="1:7" x14ac:dyDescent="0.35">
      <c r="A360" t="e">
        <f ca="1"/>
        <v>#N/A</v>
      </c>
      <c r="B360" s="158" t="e">
        <f ca="1">VLOOKUP(A360,Generators!$A$2:$AZ$516,19,FALSE)</f>
        <v>#N/A</v>
      </c>
      <c r="C360" s="124" t="e">
        <f ca="1">VLOOKUP(A360,Generators!$A$2:$AZ$516,16,FALSE)</f>
        <v>#N/A</v>
      </c>
      <c r="D360" s="124" t="e">
        <f t="shared" ca="1" si="10"/>
        <v>#N/A</v>
      </c>
      <c r="E360" s="158" t="e">
        <f ca="1">IF(VLOOKUP(A360,Generators!$A$2:$AZ$516,20,FALSE)=0,"",VLOOKUP(A360,Generators!$A$2:$AZ$516,20,FALSE))</f>
        <v>#N/A</v>
      </c>
      <c r="F360" s="124" t="e">
        <f ca="1">IF(VLOOKUP(A360,Generators!$A$2:$AZ$516,17,FALSE)=0,"",VLOOKUP(A360,Generators!$A$2:$AZ$516,17,FALSE))</f>
        <v>#N/A</v>
      </c>
      <c r="G360" s="164" t="str">
        <f t="shared" ca="1" si="11"/>
        <v/>
      </c>
    </row>
    <row r="361" spans="1:7" x14ac:dyDescent="0.35">
      <c r="A361" t="e">
        <f ca="1"/>
        <v>#N/A</v>
      </c>
      <c r="B361" s="158" t="e">
        <f ca="1">VLOOKUP(A361,Generators!$A$2:$AZ$516,19,FALSE)</f>
        <v>#N/A</v>
      </c>
      <c r="C361" s="124" t="e">
        <f ca="1">VLOOKUP(A361,Generators!$A$2:$AZ$516,16,FALSE)</f>
        <v>#N/A</v>
      </c>
      <c r="D361" s="124" t="e">
        <f t="shared" ca="1" si="10"/>
        <v>#N/A</v>
      </c>
      <c r="E361" s="158" t="e">
        <f ca="1">IF(VLOOKUP(A361,Generators!$A$2:$AZ$516,20,FALSE)=0,"",VLOOKUP(A361,Generators!$A$2:$AZ$516,20,FALSE))</f>
        <v>#N/A</v>
      </c>
      <c r="F361" s="124" t="e">
        <f ca="1">IF(VLOOKUP(A361,Generators!$A$2:$AZ$516,17,FALSE)=0,"",VLOOKUP(A361,Generators!$A$2:$AZ$516,17,FALSE))</f>
        <v>#N/A</v>
      </c>
      <c r="G361" s="164" t="str">
        <f t="shared" ca="1" si="11"/>
        <v/>
      </c>
    </row>
    <row r="362" spans="1:7" x14ac:dyDescent="0.35">
      <c r="A362" t="e">
        <f ca="1"/>
        <v>#N/A</v>
      </c>
      <c r="B362" s="158" t="e">
        <f ca="1">VLOOKUP(A362,Generators!$A$2:$AZ$516,19,FALSE)</f>
        <v>#N/A</v>
      </c>
      <c r="C362" s="124" t="e">
        <f ca="1">VLOOKUP(A362,Generators!$A$2:$AZ$516,16,FALSE)</f>
        <v>#N/A</v>
      </c>
      <c r="D362" s="124" t="e">
        <f t="shared" ca="1" si="10"/>
        <v>#N/A</v>
      </c>
      <c r="E362" s="158" t="e">
        <f ca="1">IF(VLOOKUP(A362,Generators!$A$2:$AZ$516,20,FALSE)=0,"",VLOOKUP(A362,Generators!$A$2:$AZ$516,20,FALSE))</f>
        <v>#N/A</v>
      </c>
      <c r="F362" s="124" t="e">
        <f ca="1">IF(VLOOKUP(A362,Generators!$A$2:$AZ$516,17,FALSE)=0,"",VLOOKUP(A362,Generators!$A$2:$AZ$516,17,FALSE))</f>
        <v>#N/A</v>
      </c>
      <c r="G362" s="164" t="str">
        <f t="shared" ca="1" si="11"/>
        <v/>
      </c>
    </row>
    <row r="363" spans="1:7" x14ac:dyDescent="0.35">
      <c r="A363" t="e">
        <f ca="1"/>
        <v>#N/A</v>
      </c>
      <c r="B363" s="158" t="e">
        <f ca="1">VLOOKUP(A363,Generators!$A$2:$AZ$516,19,FALSE)</f>
        <v>#N/A</v>
      </c>
      <c r="C363" s="124" t="e">
        <f ca="1">VLOOKUP(A363,Generators!$A$2:$AZ$516,16,FALSE)</f>
        <v>#N/A</v>
      </c>
      <c r="D363" s="124" t="e">
        <f t="shared" ca="1" si="10"/>
        <v>#N/A</v>
      </c>
      <c r="E363" s="158" t="e">
        <f ca="1">IF(VLOOKUP(A363,Generators!$A$2:$AZ$516,20,FALSE)=0,"",VLOOKUP(A363,Generators!$A$2:$AZ$516,20,FALSE))</f>
        <v>#N/A</v>
      </c>
      <c r="F363" s="124" t="e">
        <f ca="1">IF(VLOOKUP(A363,Generators!$A$2:$AZ$516,17,FALSE)=0,"",VLOOKUP(A363,Generators!$A$2:$AZ$516,17,FALSE))</f>
        <v>#N/A</v>
      </c>
      <c r="G363" s="164" t="str">
        <f t="shared" ca="1" si="11"/>
        <v/>
      </c>
    </row>
    <row r="364" spans="1:7" x14ac:dyDescent="0.35">
      <c r="A364" t="e">
        <f ca="1"/>
        <v>#N/A</v>
      </c>
      <c r="B364" s="158" t="e">
        <f ca="1">VLOOKUP(A364,Generators!$A$2:$AZ$516,19,FALSE)</f>
        <v>#N/A</v>
      </c>
      <c r="C364" s="124" t="e">
        <f ca="1">VLOOKUP(A364,Generators!$A$2:$AZ$516,16,FALSE)</f>
        <v>#N/A</v>
      </c>
      <c r="D364" s="124" t="e">
        <f t="shared" ca="1" si="10"/>
        <v>#N/A</v>
      </c>
      <c r="E364" s="158" t="e">
        <f ca="1">IF(VLOOKUP(A364,Generators!$A$2:$AZ$516,20,FALSE)=0,"",VLOOKUP(A364,Generators!$A$2:$AZ$516,20,FALSE))</f>
        <v>#N/A</v>
      </c>
      <c r="F364" s="124" t="e">
        <f ca="1">IF(VLOOKUP(A364,Generators!$A$2:$AZ$516,17,FALSE)=0,"",VLOOKUP(A364,Generators!$A$2:$AZ$516,17,FALSE))</f>
        <v>#N/A</v>
      </c>
      <c r="G364" s="164" t="str">
        <f t="shared" ca="1" si="11"/>
        <v/>
      </c>
    </row>
    <row r="365" spans="1:7" x14ac:dyDescent="0.35">
      <c r="A365" t="e">
        <f ca="1"/>
        <v>#N/A</v>
      </c>
      <c r="B365" s="158" t="e">
        <f ca="1">VLOOKUP(A365,Generators!$A$2:$AZ$516,19,FALSE)</f>
        <v>#N/A</v>
      </c>
      <c r="C365" s="124" t="e">
        <f ca="1">VLOOKUP(A365,Generators!$A$2:$AZ$516,16,FALSE)</f>
        <v>#N/A</v>
      </c>
      <c r="D365" s="124" t="e">
        <f t="shared" ca="1" si="10"/>
        <v>#N/A</v>
      </c>
      <c r="E365" s="158" t="e">
        <f ca="1">IF(VLOOKUP(A365,Generators!$A$2:$AZ$516,20,FALSE)=0,"",VLOOKUP(A365,Generators!$A$2:$AZ$516,20,FALSE))</f>
        <v>#N/A</v>
      </c>
      <c r="F365" s="124" t="e">
        <f ca="1">IF(VLOOKUP(A365,Generators!$A$2:$AZ$516,17,FALSE)=0,"",VLOOKUP(A365,Generators!$A$2:$AZ$516,17,FALSE))</f>
        <v>#N/A</v>
      </c>
      <c r="G365" s="164" t="str">
        <f t="shared" ca="1" si="11"/>
        <v/>
      </c>
    </row>
    <row r="366" spans="1:7" x14ac:dyDescent="0.35">
      <c r="A366" t="e">
        <f ca="1"/>
        <v>#N/A</v>
      </c>
      <c r="B366" s="158" t="e">
        <f ca="1">VLOOKUP(A366,Generators!$A$2:$AZ$516,19,FALSE)</f>
        <v>#N/A</v>
      </c>
      <c r="C366" s="124" t="e">
        <f ca="1">VLOOKUP(A366,Generators!$A$2:$AZ$516,16,FALSE)</f>
        <v>#N/A</v>
      </c>
      <c r="D366" s="124" t="e">
        <f t="shared" ca="1" si="10"/>
        <v>#N/A</v>
      </c>
      <c r="E366" s="158" t="e">
        <f ca="1">IF(VLOOKUP(A366,Generators!$A$2:$AZ$516,20,FALSE)=0,"",VLOOKUP(A366,Generators!$A$2:$AZ$516,20,FALSE))</f>
        <v>#N/A</v>
      </c>
      <c r="F366" s="124" t="e">
        <f ca="1">IF(VLOOKUP(A366,Generators!$A$2:$AZ$516,17,FALSE)=0,"",VLOOKUP(A366,Generators!$A$2:$AZ$516,17,FALSE))</f>
        <v>#N/A</v>
      </c>
      <c r="G366" s="164" t="str">
        <f t="shared" ca="1" si="11"/>
        <v/>
      </c>
    </row>
    <row r="367" spans="1:7" x14ac:dyDescent="0.35">
      <c r="A367" t="e">
        <f ca="1"/>
        <v>#N/A</v>
      </c>
      <c r="B367" s="158" t="e">
        <f ca="1">VLOOKUP(A367,Generators!$A$2:$AZ$516,19,FALSE)</f>
        <v>#N/A</v>
      </c>
      <c r="C367" s="124" t="e">
        <f ca="1">VLOOKUP(A367,Generators!$A$2:$AZ$516,16,FALSE)</f>
        <v>#N/A</v>
      </c>
      <c r="D367" s="124" t="e">
        <f t="shared" ca="1" si="10"/>
        <v>#N/A</v>
      </c>
      <c r="E367" s="158" t="e">
        <f ca="1">IF(VLOOKUP(A367,Generators!$A$2:$AZ$516,20,FALSE)=0,"",VLOOKUP(A367,Generators!$A$2:$AZ$516,20,FALSE))</f>
        <v>#N/A</v>
      </c>
      <c r="F367" s="124" t="e">
        <f ca="1">IF(VLOOKUP(A367,Generators!$A$2:$AZ$516,17,FALSE)=0,"",VLOOKUP(A367,Generators!$A$2:$AZ$516,17,FALSE))</f>
        <v>#N/A</v>
      </c>
      <c r="G367" s="164" t="str">
        <f t="shared" ca="1" si="11"/>
        <v/>
      </c>
    </row>
    <row r="368" spans="1:7" x14ac:dyDescent="0.35">
      <c r="A368" t="e">
        <f ca="1"/>
        <v>#N/A</v>
      </c>
      <c r="B368" s="158" t="e">
        <f ca="1">VLOOKUP(A368,Generators!$A$2:$AZ$516,19,FALSE)</f>
        <v>#N/A</v>
      </c>
      <c r="C368" s="124" t="e">
        <f ca="1">VLOOKUP(A368,Generators!$A$2:$AZ$516,16,FALSE)</f>
        <v>#N/A</v>
      </c>
      <c r="D368" s="124" t="e">
        <f t="shared" ca="1" si="10"/>
        <v>#N/A</v>
      </c>
      <c r="E368" s="158" t="e">
        <f ca="1">IF(VLOOKUP(A368,Generators!$A$2:$AZ$516,20,FALSE)=0,"",VLOOKUP(A368,Generators!$A$2:$AZ$516,20,FALSE))</f>
        <v>#N/A</v>
      </c>
      <c r="F368" s="124" t="e">
        <f ca="1">IF(VLOOKUP(A368,Generators!$A$2:$AZ$516,17,FALSE)=0,"",VLOOKUP(A368,Generators!$A$2:$AZ$516,17,FALSE))</f>
        <v>#N/A</v>
      </c>
      <c r="G368" s="164" t="str">
        <f t="shared" ca="1" si="11"/>
        <v/>
      </c>
    </row>
    <row r="369" spans="1:7" x14ac:dyDescent="0.35">
      <c r="A369" t="e">
        <f ca="1"/>
        <v>#N/A</v>
      </c>
      <c r="B369" s="158" t="e">
        <f ca="1">VLOOKUP(A369,Generators!$A$2:$AZ$516,19,FALSE)</f>
        <v>#N/A</v>
      </c>
      <c r="C369" s="124" t="e">
        <f ca="1">VLOOKUP(A369,Generators!$A$2:$AZ$516,16,FALSE)</f>
        <v>#N/A</v>
      </c>
      <c r="D369" s="124" t="e">
        <f t="shared" ca="1" si="10"/>
        <v>#N/A</v>
      </c>
      <c r="E369" s="158" t="e">
        <f ca="1">IF(VLOOKUP(A369,Generators!$A$2:$AZ$516,20,FALSE)=0,"",VLOOKUP(A369,Generators!$A$2:$AZ$516,20,FALSE))</f>
        <v>#N/A</v>
      </c>
      <c r="F369" s="124" t="e">
        <f ca="1">IF(VLOOKUP(A369,Generators!$A$2:$AZ$516,17,FALSE)=0,"",VLOOKUP(A369,Generators!$A$2:$AZ$516,17,FALSE))</f>
        <v>#N/A</v>
      </c>
      <c r="G369" s="164" t="str">
        <f t="shared" ca="1" si="11"/>
        <v/>
      </c>
    </row>
    <row r="370" spans="1:7" x14ac:dyDescent="0.35">
      <c r="A370" t="e">
        <f ca="1"/>
        <v>#N/A</v>
      </c>
      <c r="B370" s="158" t="e">
        <f ca="1">VLOOKUP(A370,Generators!$A$2:$AZ$516,19,FALSE)</f>
        <v>#N/A</v>
      </c>
      <c r="C370" s="124" t="e">
        <f ca="1">VLOOKUP(A370,Generators!$A$2:$AZ$516,16,FALSE)</f>
        <v>#N/A</v>
      </c>
      <c r="D370" s="124" t="e">
        <f t="shared" ca="1" si="10"/>
        <v>#N/A</v>
      </c>
      <c r="E370" s="158" t="e">
        <f ca="1">IF(VLOOKUP(A370,Generators!$A$2:$AZ$516,20,FALSE)=0,"",VLOOKUP(A370,Generators!$A$2:$AZ$516,20,FALSE))</f>
        <v>#N/A</v>
      </c>
      <c r="F370" s="124" t="e">
        <f ca="1">IF(VLOOKUP(A370,Generators!$A$2:$AZ$516,17,FALSE)=0,"",VLOOKUP(A370,Generators!$A$2:$AZ$516,17,FALSE))</f>
        <v>#N/A</v>
      </c>
      <c r="G370" s="164" t="str">
        <f t="shared" ca="1" si="11"/>
        <v/>
      </c>
    </row>
    <row r="371" spans="1:7" x14ac:dyDescent="0.35">
      <c r="A371" t="e">
        <f ca="1"/>
        <v>#N/A</v>
      </c>
      <c r="B371" s="158" t="e">
        <f ca="1">VLOOKUP(A371,Generators!$A$2:$AZ$516,19,FALSE)</f>
        <v>#N/A</v>
      </c>
      <c r="C371" s="124" t="e">
        <f ca="1">VLOOKUP(A371,Generators!$A$2:$AZ$516,16,FALSE)</f>
        <v>#N/A</v>
      </c>
      <c r="D371" s="124" t="e">
        <f t="shared" ca="1" si="10"/>
        <v>#N/A</v>
      </c>
      <c r="E371" s="158" t="e">
        <f ca="1">IF(VLOOKUP(A371,Generators!$A$2:$AZ$516,20,FALSE)=0,"",VLOOKUP(A371,Generators!$A$2:$AZ$516,20,FALSE))</f>
        <v>#N/A</v>
      </c>
      <c r="F371" s="124" t="e">
        <f ca="1">IF(VLOOKUP(A371,Generators!$A$2:$AZ$516,17,FALSE)=0,"",VLOOKUP(A371,Generators!$A$2:$AZ$516,17,FALSE))</f>
        <v>#N/A</v>
      </c>
      <c r="G371" s="164" t="str">
        <f t="shared" ca="1" si="11"/>
        <v/>
      </c>
    </row>
    <row r="372" spans="1:7" x14ac:dyDescent="0.35">
      <c r="A372" t="e">
        <f ca="1"/>
        <v>#N/A</v>
      </c>
      <c r="B372" s="158" t="e">
        <f ca="1">VLOOKUP(A372,Generators!$A$2:$AZ$516,19,FALSE)</f>
        <v>#N/A</v>
      </c>
      <c r="C372" s="124" t="e">
        <f ca="1">VLOOKUP(A372,Generators!$A$2:$AZ$516,16,FALSE)</f>
        <v>#N/A</v>
      </c>
      <c r="D372" s="124" t="e">
        <f t="shared" ca="1" si="10"/>
        <v>#N/A</v>
      </c>
      <c r="E372" s="158" t="e">
        <f ca="1">IF(VLOOKUP(A372,Generators!$A$2:$AZ$516,20,FALSE)=0,"",VLOOKUP(A372,Generators!$A$2:$AZ$516,20,FALSE))</f>
        <v>#N/A</v>
      </c>
      <c r="F372" s="124" t="e">
        <f ca="1">IF(VLOOKUP(A372,Generators!$A$2:$AZ$516,17,FALSE)=0,"",VLOOKUP(A372,Generators!$A$2:$AZ$516,17,FALSE))</f>
        <v>#N/A</v>
      </c>
      <c r="G372" s="164" t="str">
        <f t="shared" ca="1" si="11"/>
        <v/>
      </c>
    </row>
    <row r="373" spans="1:7" x14ac:dyDescent="0.35">
      <c r="A373" t="e">
        <f ca="1"/>
        <v>#N/A</v>
      </c>
      <c r="B373" s="158" t="e">
        <f ca="1">VLOOKUP(A373,Generators!$A$2:$AZ$516,19,FALSE)</f>
        <v>#N/A</v>
      </c>
      <c r="C373" s="124" t="e">
        <f ca="1">VLOOKUP(A373,Generators!$A$2:$AZ$516,16,FALSE)</f>
        <v>#N/A</v>
      </c>
      <c r="D373" s="124" t="e">
        <f t="shared" ca="1" si="10"/>
        <v>#N/A</v>
      </c>
      <c r="E373" s="158" t="e">
        <f ca="1">IF(VLOOKUP(A373,Generators!$A$2:$AZ$516,20,FALSE)=0,"",VLOOKUP(A373,Generators!$A$2:$AZ$516,20,FALSE))</f>
        <v>#N/A</v>
      </c>
      <c r="F373" s="124" t="e">
        <f ca="1">IF(VLOOKUP(A373,Generators!$A$2:$AZ$516,17,FALSE)=0,"",VLOOKUP(A373,Generators!$A$2:$AZ$516,17,FALSE))</f>
        <v>#N/A</v>
      </c>
      <c r="G373" s="164" t="str">
        <f t="shared" ca="1" si="11"/>
        <v/>
      </c>
    </row>
    <row r="374" spans="1:7" x14ac:dyDescent="0.35">
      <c r="A374" t="e">
        <f ca="1"/>
        <v>#N/A</v>
      </c>
      <c r="B374" s="158" t="e">
        <f ca="1">VLOOKUP(A374,Generators!$A$2:$AZ$516,19,FALSE)</f>
        <v>#N/A</v>
      </c>
      <c r="C374" s="124" t="e">
        <f ca="1">VLOOKUP(A374,Generators!$A$2:$AZ$516,16,FALSE)</f>
        <v>#N/A</v>
      </c>
      <c r="D374" s="124" t="e">
        <f t="shared" ca="1" si="10"/>
        <v>#N/A</v>
      </c>
      <c r="E374" s="158" t="e">
        <f ca="1">IF(VLOOKUP(A374,Generators!$A$2:$AZ$516,20,FALSE)=0,"",VLOOKUP(A374,Generators!$A$2:$AZ$516,20,FALSE))</f>
        <v>#N/A</v>
      </c>
      <c r="F374" s="124" t="e">
        <f ca="1">IF(VLOOKUP(A374,Generators!$A$2:$AZ$516,17,FALSE)=0,"",VLOOKUP(A374,Generators!$A$2:$AZ$516,17,FALSE))</f>
        <v>#N/A</v>
      </c>
      <c r="G374" s="164" t="str">
        <f t="shared" ca="1" si="11"/>
        <v/>
      </c>
    </row>
    <row r="375" spans="1:7" x14ac:dyDescent="0.35">
      <c r="A375" t="e">
        <f ca="1"/>
        <v>#N/A</v>
      </c>
      <c r="B375" s="158" t="e">
        <f ca="1">VLOOKUP(A375,Generators!$A$2:$AZ$516,19,FALSE)</f>
        <v>#N/A</v>
      </c>
      <c r="C375" s="124" t="e">
        <f ca="1">VLOOKUP(A375,Generators!$A$2:$AZ$516,16,FALSE)</f>
        <v>#N/A</v>
      </c>
      <c r="D375" s="124" t="e">
        <f t="shared" ca="1" si="10"/>
        <v>#N/A</v>
      </c>
      <c r="E375" s="158" t="e">
        <f ca="1">IF(VLOOKUP(A375,Generators!$A$2:$AZ$516,20,FALSE)=0,"",VLOOKUP(A375,Generators!$A$2:$AZ$516,20,FALSE))</f>
        <v>#N/A</v>
      </c>
      <c r="F375" s="124" t="e">
        <f ca="1">IF(VLOOKUP(A375,Generators!$A$2:$AZ$516,17,FALSE)=0,"",VLOOKUP(A375,Generators!$A$2:$AZ$516,17,FALSE))</f>
        <v>#N/A</v>
      </c>
      <c r="G375" s="164" t="str">
        <f t="shared" ca="1" si="11"/>
        <v/>
      </c>
    </row>
    <row r="376" spans="1:7" x14ac:dyDescent="0.35">
      <c r="A376" t="e">
        <f ca="1"/>
        <v>#N/A</v>
      </c>
      <c r="B376" s="158" t="e">
        <f ca="1">VLOOKUP(A376,Generators!$A$2:$AZ$516,19,FALSE)</f>
        <v>#N/A</v>
      </c>
      <c r="C376" s="124" t="e">
        <f ca="1">VLOOKUP(A376,Generators!$A$2:$AZ$516,16,FALSE)</f>
        <v>#N/A</v>
      </c>
      <c r="D376" s="124" t="e">
        <f t="shared" ca="1" si="10"/>
        <v>#N/A</v>
      </c>
      <c r="E376" s="158" t="e">
        <f ca="1">IF(VLOOKUP(A376,Generators!$A$2:$AZ$516,20,FALSE)=0,"",VLOOKUP(A376,Generators!$A$2:$AZ$516,20,FALSE))</f>
        <v>#N/A</v>
      </c>
      <c r="F376" s="124" t="e">
        <f ca="1">IF(VLOOKUP(A376,Generators!$A$2:$AZ$516,17,FALSE)=0,"",VLOOKUP(A376,Generators!$A$2:$AZ$516,17,FALSE))</f>
        <v>#N/A</v>
      </c>
      <c r="G376" s="164" t="str">
        <f t="shared" ca="1" si="11"/>
        <v/>
      </c>
    </row>
    <row r="377" spans="1:7" x14ac:dyDescent="0.35">
      <c r="A377" t="e">
        <f ca="1"/>
        <v>#N/A</v>
      </c>
      <c r="B377" s="158" t="e">
        <f ca="1">VLOOKUP(A377,Generators!$A$2:$AZ$516,19,FALSE)</f>
        <v>#N/A</v>
      </c>
      <c r="C377" s="124" t="e">
        <f ca="1">VLOOKUP(A377,Generators!$A$2:$AZ$516,16,FALSE)</f>
        <v>#N/A</v>
      </c>
      <c r="D377" s="124" t="e">
        <f t="shared" ca="1" si="10"/>
        <v>#N/A</v>
      </c>
      <c r="E377" s="158" t="e">
        <f ca="1">IF(VLOOKUP(A377,Generators!$A$2:$AZ$516,20,FALSE)=0,"",VLOOKUP(A377,Generators!$A$2:$AZ$516,20,FALSE))</f>
        <v>#N/A</v>
      </c>
      <c r="F377" s="124" t="e">
        <f ca="1">IF(VLOOKUP(A377,Generators!$A$2:$AZ$516,17,FALSE)=0,"",VLOOKUP(A377,Generators!$A$2:$AZ$516,17,FALSE))</f>
        <v>#N/A</v>
      </c>
      <c r="G377" s="164" t="str">
        <f t="shared" ca="1" si="11"/>
        <v/>
      </c>
    </row>
    <row r="378" spans="1:7" x14ac:dyDescent="0.35">
      <c r="A378" t="e">
        <f ca="1"/>
        <v>#N/A</v>
      </c>
      <c r="B378" s="158" t="e">
        <f ca="1">VLOOKUP(A378,Generators!$A$2:$AZ$516,19,FALSE)</f>
        <v>#N/A</v>
      </c>
      <c r="C378" s="124" t="e">
        <f ca="1">VLOOKUP(A378,Generators!$A$2:$AZ$516,16,FALSE)</f>
        <v>#N/A</v>
      </c>
      <c r="D378" s="124" t="e">
        <f t="shared" ca="1" si="10"/>
        <v>#N/A</v>
      </c>
      <c r="E378" s="158" t="e">
        <f ca="1">IF(VLOOKUP(A378,Generators!$A$2:$AZ$516,20,FALSE)=0,"",VLOOKUP(A378,Generators!$A$2:$AZ$516,20,FALSE))</f>
        <v>#N/A</v>
      </c>
      <c r="F378" s="124" t="e">
        <f ca="1">IF(VLOOKUP(A378,Generators!$A$2:$AZ$516,17,FALSE)=0,"",VLOOKUP(A378,Generators!$A$2:$AZ$516,17,FALSE))</f>
        <v>#N/A</v>
      </c>
      <c r="G378" s="164" t="str">
        <f t="shared" ca="1" si="11"/>
        <v/>
      </c>
    </row>
    <row r="379" spans="1:7" x14ac:dyDescent="0.35">
      <c r="A379" t="e">
        <f ca="1"/>
        <v>#N/A</v>
      </c>
      <c r="B379" s="158" t="e">
        <f ca="1">VLOOKUP(A379,Generators!$A$2:$AZ$516,19,FALSE)</f>
        <v>#N/A</v>
      </c>
      <c r="C379" s="124" t="e">
        <f ca="1">VLOOKUP(A379,Generators!$A$2:$AZ$516,16,FALSE)</f>
        <v>#N/A</v>
      </c>
      <c r="D379" s="124" t="e">
        <f t="shared" ca="1" si="10"/>
        <v>#N/A</v>
      </c>
      <c r="E379" s="158" t="e">
        <f ca="1">IF(VLOOKUP(A379,Generators!$A$2:$AZ$516,20,FALSE)=0,"",VLOOKUP(A379,Generators!$A$2:$AZ$516,20,FALSE))</f>
        <v>#N/A</v>
      </c>
      <c r="F379" s="124" t="e">
        <f ca="1">IF(VLOOKUP(A379,Generators!$A$2:$AZ$516,17,FALSE)=0,"",VLOOKUP(A379,Generators!$A$2:$AZ$516,17,FALSE))</f>
        <v>#N/A</v>
      </c>
      <c r="G379" s="164" t="str">
        <f t="shared" ca="1" si="11"/>
        <v/>
      </c>
    </row>
    <row r="380" spans="1:7" x14ac:dyDescent="0.35">
      <c r="A380" t="e">
        <f ca="1"/>
        <v>#N/A</v>
      </c>
      <c r="B380" s="158" t="e">
        <f ca="1">VLOOKUP(A380,Generators!$A$2:$AZ$516,19,FALSE)</f>
        <v>#N/A</v>
      </c>
      <c r="C380" s="124" t="e">
        <f ca="1">VLOOKUP(A380,Generators!$A$2:$AZ$516,16,FALSE)</f>
        <v>#N/A</v>
      </c>
      <c r="D380" s="124" t="e">
        <f t="shared" ca="1" si="10"/>
        <v>#N/A</v>
      </c>
      <c r="E380" s="158" t="e">
        <f ca="1">IF(VLOOKUP(A380,Generators!$A$2:$AZ$516,20,FALSE)=0,"",VLOOKUP(A380,Generators!$A$2:$AZ$516,20,FALSE))</f>
        <v>#N/A</v>
      </c>
      <c r="F380" s="124" t="e">
        <f ca="1">IF(VLOOKUP(A380,Generators!$A$2:$AZ$516,17,FALSE)=0,"",VLOOKUP(A380,Generators!$A$2:$AZ$516,17,FALSE))</f>
        <v>#N/A</v>
      </c>
      <c r="G380" s="164" t="str">
        <f t="shared" ca="1" si="11"/>
        <v/>
      </c>
    </row>
    <row r="381" spans="1:7" x14ac:dyDescent="0.35">
      <c r="A381" t="e">
        <f ca="1"/>
        <v>#N/A</v>
      </c>
      <c r="B381" s="158" t="e">
        <f ca="1">VLOOKUP(A381,Generators!$A$2:$AZ$516,19,FALSE)</f>
        <v>#N/A</v>
      </c>
      <c r="C381" s="124" t="e">
        <f ca="1">VLOOKUP(A381,Generators!$A$2:$AZ$516,16,FALSE)</f>
        <v>#N/A</v>
      </c>
      <c r="D381" s="124" t="e">
        <f t="shared" ca="1" si="10"/>
        <v>#N/A</v>
      </c>
      <c r="E381" s="158" t="e">
        <f ca="1">IF(VLOOKUP(A381,Generators!$A$2:$AZ$516,20,FALSE)=0,"",VLOOKUP(A381,Generators!$A$2:$AZ$516,20,FALSE))</f>
        <v>#N/A</v>
      </c>
      <c r="F381" s="124" t="e">
        <f ca="1">IF(VLOOKUP(A381,Generators!$A$2:$AZ$516,17,FALSE)=0,"",VLOOKUP(A381,Generators!$A$2:$AZ$516,17,FALSE))</f>
        <v>#N/A</v>
      </c>
      <c r="G381" s="164" t="str">
        <f t="shared" ca="1" si="11"/>
        <v/>
      </c>
    </row>
    <row r="382" spans="1:7" x14ac:dyDescent="0.35">
      <c r="A382" t="e">
        <f ca="1"/>
        <v>#N/A</v>
      </c>
      <c r="B382" s="158" t="e">
        <f ca="1">VLOOKUP(A382,Generators!$A$2:$AZ$516,19,FALSE)</f>
        <v>#N/A</v>
      </c>
      <c r="C382" s="124" t="e">
        <f ca="1">VLOOKUP(A382,Generators!$A$2:$AZ$516,16,FALSE)</f>
        <v>#N/A</v>
      </c>
      <c r="D382" s="124" t="e">
        <f t="shared" ca="1" si="10"/>
        <v>#N/A</v>
      </c>
      <c r="E382" s="158" t="e">
        <f ca="1">IF(VLOOKUP(A382,Generators!$A$2:$AZ$516,20,FALSE)=0,"",VLOOKUP(A382,Generators!$A$2:$AZ$516,20,FALSE))</f>
        <v>#N/A</v>
      </c>
      <c r="F382" s="124" t="e">
        <f ca="1">IF(VLOOKUP(A382,Generators!$A$2:$AZ$516,17,FALSE)=0,"",VLOOKUP(A382,Generators!$A$2:$AZ$516,17,FALSE))</f>
        <v>#N/A</v>
      </c>
      <c r="G382" s="164" t="str">
        <f t="shared" ca="1" si="11"/>
        <v/>
      </c>
    </row>
    <row r="383" spans="1:7" x14ac:dyDescent="0.35">
      <c r="A383" t="e">
        <f ca="1"/>
        <v>#N/A</v>
      </c>
      <c r="B383" s="158" t="e">
        <f ca="1">VLOOKUP(A383,Generators!$A$2:$AZ$516,19,FALSE)</f>
        <v>#N/A</v>
      </c>
      <c r="C383" s="124" t="e">
        <f ca="1">VLOOKUP(A383,Generators!$A$2:$AZ$516,16,FALSE)</f>
        <v>#N/A</v>
      </c>
      <c r="D383" s="124" t="e">
        <f t="shared" ca="1" si="10"/>
        <v>#N/A</v>
      </c>
      <c r="E383" s="158" t="e">
        <f ca="1">IF(VLOOKUP(A383,Generators!$A$2:$AZ$516,20,FALSE)=0,"",VLOOKUP(A383,Generators!$A$2:$AZ$516,20,FALSE))</f>
        <v>#N/A</v>
      </c>
      <c r="F383" s="124" t="e">
        <f ca="1">IF(VLOOKUP(A383,Generators!$A$2:$AZ$516,17,FALSE)=0,"",VLOOKUP(A383,Generators!$A$2:$AZ$516,17,FALSE))</f>
        <v>#N/A</v>
      </c>
      <c r="G383" s="164" t="str">
        <f t="shared" ca="1" si="11"/>
        <v/>
      </c>
    </row>
    <row r="384" spans="1:7" x14ac:dyDescent="0.35">
      <c r="A384" t="e">
        <f ca="1"/>
        <v>#N/A</v>
      </c>
      <c r="B384" s="158" t="e">
        <f ca="1">VLOOKUP(A384,Generators!$A$2:$AZ$516,19,FALSE)</f>
        <v>#N/A</v>
      </c>
      <c r="C384" s="124" t="e">
        <f ca="1">VLOOKUP(A384,Generators!$A$2:$AZ$516,16,FALSE)</f>
        <v>#N/A</v>
      </c>
      <c r="D384" s="124" t="e">
        <f t="shared" ca="1" si="10"/>
        <v>#N/A</v>
      </c>
      <c r="E384" s="158" t="e">
        <f ca="1">IF(VLOOKUP(A384,Generators!$A$2:$AZ$516,20,FALSE)=0,"",VLOOKUP(A384,Generators!$A$2:$AZ$516,20,FALSE))</f>
        <v>#N/A</v>
      </c>
      <c r="F384" s="124" t="e">
        <f ca="1">IF(VLOOKUP(A384,Generators!$A$2:$AZ$516,17,FALSE)=0,"",VLOOKUP(A384,Generators!$A$2:$AZ$516,17,FALSE))</f>
        <v>#N/A</v>
      </c>
      <c r="G384" s="164" t="str">
        <f t="shared" ca="1" si="11"/>
        <v/>
      </c>
    </row>
    <row r="385" spans="1:7" x14ac:dyDescent="0.35">
      <c r="A385" t="e">
        <f ca="1"/>
        <v>#N/A</v>
      </c>
      <c r="B385" s="158" t="e">
        <f ca="1">VLOOKUP(A385,Generators!$A$2:$AZ$516,19,FALSE)</f>
        <v>#N/A</v>
      </c>
      <c r="C385" s="124" t="e">
        <f ca="1">VLOOKUP(A385,Generators!$A$2:$AZ$516,16,FALSE)</f>
        <v>#N/A</v>
      </c>
      <c r="D385" s="124" t="e">
        <f t="shared" ca="1" si="10"/>
        <v>#N/A</v>
      </c>
      <c r="E385" s="158" t="e">
        <f ca="1">IF(VLOOKUP(A385,Generators!$A$2:$AZ$516,20,FALSE)=0,"",VLOOKUP(A385,Generators!$A$2:$AZ$516,20,FALSE))</f>
        <v>#N/A</v>
      </c>
      <c r="F385" s="124" t="e">
        <f ca="1">IF(VLOOKUP(A385,Generators!$A$2:$AZ$516,17,FALSE)=0,"",VLOOKUP(A385,Generators!$A$2:$AZ$516,17,FALSE))</f>
        <v>#N/A</v>
      </c>
      <c r="G385" s="164" t="str">
        <f t="shared" ca="1" si="11"/>
        <v/>
      </c>
    </row>
    <row r="386" spans="1:7" x14ac:dyDescent="0.35">
      <c r="A386" t="e">
        <f ca="1"/>
        <v>#N/A</v>
      </c>
      <c r="B386" s="158" t="e">
        <f ca="1">VLOOKUP(A386,Generators!$A$2:$AZ$516,19,FALSE)</f>
        <v>#N/A</v>
      </c>
      <c r="C386" s="124" t="e">
        <f ca="1">VLOOKUP(A386,Generators!$A$2:$AZ$516,16,FALSE)</f>
        <v>#N/A</v>
      </c>
      <c r="D386" s="124" t="e">
        <f t="shared" ref="D386:D449" ca="1" si="12">ROUND(B386/C386,0)</f>
        <v>#N/A</v>
      </c>
      <c r="E386" s="158" t="e">
        <f ca="1">IF(VLOOKUP(A386,Generators!$A$2:$AZ$516,20,FALSE)=0,"",VLOOKUP(A386,Generators!$A$2:$AZ$516,20,FALSE))</f>
        <v>#N/A</v>
      </c>
      <c r="F386" s="124" t="e">
        <f ca="1">IF(VLOOKUP(A386,Generators!$A$2:$AZ$516,17,FALSE)=0,"",VLOOKUP(A386,Generators!$A$2:$AZ$516,17,FALSE))</f>
        <v>#N/A</v>
      </c>
      <c r="G386" s="164" t="str">
        <f t="shared" ca="1" si="11"/>
        <v/>
      </c>
    </row>
    <row r="387" spans="1:7" x14ac:dyDescent="0.35">
      <c r="A387" t="e">
        <f ca="1"/>
        <v>#N/A</v>
      </c>
      <c r="B387" s="158" t="e">
        <f ca="1">VLOOKUP(A387,Generators!$A$2:$AZ$516,19,FALSE)</f>
        <v>#N/A</v>
      </c>
      <c r="C387" s="124" t="e">
        <f ca="1">VLOOKUP(A387,Generators!$A$2:$AZ$516,16,FALSE)</f>
        <v>#N/A</v>
      </c>
      <c r="D387" s="124" t="e">
        <f t="shared" ca="1" si="12"/>
        <v>#N/A</v>
      </c>
      <c r="E387" s="158" t="e">
        <f ca="1">IF(VLOOKUP(A387,Generators!$A$2:$AZ$516,20,FALSE)=0,"",VLOOKUP(A387,Generators!$A$2:$AZ$516,20,FALSE))</f>
        <v>#N/A</v>
      </c>
      <c r="F387" s="124" t="e">
        <f ca="1">IF(VLOOKUP(A387,Generators!$A$2:$AZ$516,17,FALSE)=0,"",VLOOKUP(A387,Generators!$A$2:$AZ$516,17,FALSE))</f>
        <v>#N/A</v>
      </c>
      <c r="G387" s="164" t="str">
        <f t="shared" ref="G387:G450" ca="1" si="13">IFERROR(E387/F387,"")</f>
        <v/>
      </c>
    </row>
    <row r="388" spans="1:7" x14ac:dyDescent="0.35">
      <c r="A388" t="e">
        <f ca="1"/>
        <v>#N/A</v>
      </c>
      <c r="B388" s="158" t="e">
        <f ca="1">VLOOKUP(A388,Generators!$A$2:$AZ$516,19,FALSE)</f>
        <v>#N/A</v>
      </c>
      <c r="C388" s="124" t="e">
        <f ca="1">VLOOKUP(A388,Generators!$A$2:$AZ$516,16,FALSE)</f>
        <v>#N/A</v>
      </c>
      <c r="D388" s="124" t="e">
        <f t="shared" ca="1" si="12"/>
        <v>#N/A</v>
      </c>
      <c r="E388" s="158" t="e">
        <f ca="1">IF(VLOOKUP(A388,Generators!$A$2:$AZ$516,20,FALSE)=0,"",VLOOKUP(A388,Generators!$A$2:$AZ$516,20,FALSE))</f>
        <v>#N/A</v>
      </c>
      <c r="F388" s="124" t="e">
        <f ca="1">IF(VLOOKUP(A388,Generators!$A$2:$AZ$516,17,FALSE)=0,"",VLOOKUP(A388,Generators!$A$2:$AZ$516,17,FALSE))</f>
        <v>#N/A</v>
      </c>
      <c r="G388" s="164" t="str">
        <f t="shared" ca="1" si="13"/>
        <v/>
      </c>
    </row>
    <row r="389" spans="1:7" x14ac:dyDescent="0.35">
      <c r="A389" t="e">
        <f ca="1"/>
        <v>#N/A</v>
      </c>
      <c r="B389" s="158" t="e">
        <f ca="1">VLOOKUP(A389,Generators!$A$2:$AZ$516,19,FALSE)</f>
        <v>#N/A</v>
      </c>
      <c r="C389" s="124" t="e">
        <f ca="1">VLOOKUP(A389,Generators!$A$2:$AZ$516,16,FALSE)</f>
        <v>#N/A</v>
      </c>
      <c r="D389" s="124" t="e">
        <f t="shared" ca="1" si="12"/>
        <v>#N/A</v>
      </c>
      <c r="E389" s="158" t="e">
        <f ca="1">IF(VLOOKUP(A389,Generators!$A$2:$AZ$516,20,FALSE)=0,"",VLOOKUP(A389,Generators!$A$2:$AZ$516,20,FALSE))</f>
        <v>#N/A</v>
      </c>
      <c r="F389" s="124" t="e">
        <f ca="1">IF(VLOOKUP(A389,Generators!$A$2:$AZ$516,17,FALSE)=0,"",VLOOKUP(A389,Generators!$A$2:$AZ$516,17,FALSE))</f>
        <v>#N/A</v>
      </c>
      <c r="G389" s="164" t="str">
        <f t="shared" ca="1" si="13"/>
        <v/>
      </c>
    </row>
    <row r="390" spans="1:7" x14ac:dyDescent="0.35">
      <c r="A390" t="e">
        <f ca="1"/>
        <v>#N/A</v>
      </c>
      <c r="B390" s="158" t="e">
        <f ca="1">VLOOKUP(A390,Generators!$A$2:$AZ$516,19,FALSE)</f>
        <v>#N/A</v>
      </c>
      <c r="C390" s="124" t="e">
        <f ca="1">VLOOKUP(A390,Generators!$A$2:$AZ$516,16,FALSE)</f>
        <v>#N/A</v>
      </c>
      <c r="D390" s="124" t="e">
        <f t="shared" ca="1" si="12"/>
        <v>#N/A</v>
      </c>
      <c r="E390" s="158" t="e">
        <f ca="1">IF(VLOOKUP(A390,Generators!$A$2:$AZ$516,20,FALSE)=0,"",VLOOKUP(A390,Generators!$A$2:$AZ$516,20,FALSE))</f>
        <v>#N/A</v>
      </c>
      <c r="F390" s="124" t="e">
        <f ca="1">IF(VLOOKUP(A390,Generators!$A$2:$AZ$516,17,FALSE)=0,"",VLOOKUP(A390,Generators!$A$2:$AZ$516,17,FALSE))</f>
        <v>#N/A</v>
      </c>
      <c r="G390" s="164" t="str">
        <f t="shared" ca="1" si="13"/>
        <v/>
      </c>
    </row>
    <row r="391" spans="1:7" x14ac:dyDescent="0.35">
      <c r="A391" t="e">
        <f ca="1"/>
        <v>#N/A</v>
      </c>
      <c r="B391" s="158" t="e">
        <f ca="1">VLOOKUP(A391,Generators!$A$2:$AZ$516,19,FALSE)</f>
        <v>#N/A</v>
      </c>
      <c r="C391" s="124" t="e">
        <f ca="1">VLOOKUP(A391,Generators!$A$2:$AZ$516,16,FALSE)</f>
        <v>#N/A</v>
      </c>
      <c r="D391" s="124" t="e">
        <f t="shared" ca="1" si="12"/>
        <v>#N/A</v>
      </c>
      <c r="E391" s="158" t="e">
        <f ca="1">IF(VLOOKUP(A391,Generators!$A$2:$AZ$516,20,FALSE)=0,"",VLOOKUP(A391,Generators!$A$2:$AZ$516,20,FALSE))</f>
        <v>#N/A</v>
      </c>
      <c r="F391" s="124" t="e">
        <f ca="1">IF(VLOOKUP(A391,Generators!$A$2:$AZ$516,17,FALSE)=0,"",VLOOKUP(A391,Generators!$A$2:$AZ$516,17,FALSE))</f>
        <v>#N/A</v>
      </c>
      <c r="G391" s="164" t="str">
        <f t="shared" ca="1" si="13"/>
        <v/>
      </c>
    </row>
    <row r="392" spans="1:7" x14ac:dyDescent="0.35">
      <c r="A392" t="e">
        <f ca="1"/>
        <v>#N/A</v>
      </c>
      <c r="B392" s="158" t="e">
        <f ca="1">VLOOKUP(A392,Generators!$A$2:$AZ$516,19,FALSE)</f>
        <v>#N/A</v>
      </c>
      <c r="C392" s="124" t="e">
        <f ca="1">VLOOKUP(A392,Generators!$A$2:$AZ$516,16,FALSE)</f>
        <v>#N/A</v>
      </c>
      <c r="D392" s="124" t="e">
        <f t="shared" ca="1" si="12"/>
        <v>#N/A</v>
      </c>
      <c r="E392" s="158" t="e">
        <f ca="1">IF(VLOOKUP(A392,Generators!$A$2:$AZ$516,20,FALSE)=0,"",VLOOKUP(A392,Generators!$A$2:$AZ$516,20,FALSE))</f>
        <v>#N/A</v>
      </c>
      <c r="F392" s="124" t="e">
        <f ca="1">IF(VLOOKUP(A392,Generators!$A$2:$AZ$516,17,FALSE)=0,"",VLOOKUP(A392,Generators!$A$2:$AZ$516,17,FALSE))</f>
        <v>#N/A</v>
      </c>
      <c r="G392" s="164" t="str">
        <f t="shared" ca="1" si="13"/>
        <v/>
      </c>
    </row>
    <row r="393" spans="1:7" x14ac:dyDescent="0.35">
      <c r="A393" t="e">
        <f ca="1"/>
        <v>#N/A</v>
      </c>
      <c r="B393" s="158" t="e">
        <f ca="1">VLOOKUP(A393,Generators!$A$2:$AZ$516,19,FALSE)</f>
        <v>#N/A</v>
      </c>
      <c r="C393" s="124" t="e">
        <f ca="1">VLOOKUP(A393,Generators!$A$2:$AZ$516,16,FALSE)</f>
        <v>#N/A</v>
      </c>
      <c r="D393" s="124" t="e">
        <f t="shared" ca="1" si="12"/>
        <v>#N/A</v>
      </c>
      <c r="E393" s="158" t="e">
        <f ca="1">IF(VLOOKUP(A393,Generators!$A$2:$AZ$516,20,FALSE)=0,"",VLOOKUP(A393,Generators!$A$2:$AZ$516,20,FALSE))</f>
        <v>#N/A</v>
      </c>
      <c r="F393" s="124" t="e">
        <f ca="1">IF(VLOOKUP(A393,Generators!$A$2:$AZ$516,17,FALSE)=0,"",VLOOKUP(A393,Generators!$A$2:$AZ$516,17,FALSE))</f>
        <v>#N/A</v>
      </c>
      <c r="G393" s="164" t="str">
        <f t="shared" ca="1" si="13"/>
        <v/>
      </c>
    </row>
    <row r="394" spans="1:7" x14ac:dyDescent="0.35">
      <c r="A394" t="e">
        <f ca="1"/>
        <v>#N/A</v>
      </c>
      <c r="B394" s="158" t="e">
        <f ca="1">VLOOKUP(A394,Generators!$A$2:$AZ$516,19,FALSE)</f>
        <v>#N/A</v>
      </c>
      <c r="C394" s="124" t="e">
        <f ca="1">VLOOKUP(A394,Generators!$A$2:$AZ$516,16,FALSE)</f>
        <v>#N/A</v>
      </c>
      <c r="D394" s="124" t="e">
        <f t="shared" ca="1" si="12"/>
        <v>#N/A</v>
      </c>
      <c r="E394" s="158" t="e">
        <f ca="1">IF(VLOOKUP(A394,Generators!$A$2:$AZ$516,20,FALSE)=0,"",VLOOKUP(A394,Generators!$A$2:$AZ$516,20,FALSE))</f>
        <v>#N/A</v>
      </c>
      <c r="F394" s="124" t="e">
        <f ca="1">IF(VLOOKUP(A394,Generators!$A$2:$AZ$516,17,FALSE)=0,"",VLOOKUP(A394,Generators!$A$2:$AZ$516,17,FALSE))</f>
        <v>#N/A</v>
      </c>
      <c r="G394" s="164" t="str">
        <f t="shared" ca="1" si="13"/>
        <v/>
      </c>
    </row>
    <row r="395" spans="1:7" x14ac:dyDescent="0.35">
      <c r="A395" t="e">
        <f ca="1"/>
        <v>#N/A</v>
      </c>
      <c r="B395" s="158" t="e">
        <f ca="1">VLOOKUP(A395,Generators!$A$2:$AZ$516,19,FALSE)</f>
        <v>#N/A</v>
      </c>
      <c r="C395" s="124" t="e">
        <f ca="1">VLOOKUP(A395,Generators!$A$2:$AZ$516,16,FALSE)</f>
        <v>#N/A</v>
      </c>
      <c r="D395" s="124" t="e">
        <f t="shared" ca="1" si="12"/>
        <v>#N/A</v>
      </c>
      <c r="E395" s="158" t="e">
        <f ca="1">IF(VLOOKUP(A395,Generators!$A$2:$AZ$516,20,FALSE)=0,"",VLOOKUP(A395,Generators!$A$2:$AZ$516,20,FALSE))</f>
        <v>#N/A</v>
      </c>
      <c r="F395" s="124" t="e">
        <f ca="1">IF(VLOOKUP(A395,Generators!$A$2:$AZ$516,17,FALSE)=0,"",VLOOKUP(A395,Generators!$A$2:$AZ$516,17,FALSE))</f>
        <v>#N/A</v>
      </c>
      <c r="G395" s="164" t="str">
        <f t="shared" ca="1" si="13"/>
        <v/>
      </c>
    </row>
    <row r="396" spans="1:7" x14ac:dyDescent="0.35">
      <c r="A396" t="e">
        <f ca="1"/>
        <v>#N/A</v>
      </c>
      <c r="B396" s="158" t="e">
        <f ca="1">VLOOKUP(A396,Generators!$A$2:$AZ$516,19,FALSE)</f>
        <v>#N/A</v>
      </c>
      <c r="C396" s="124" t="e">
        <f ca="1">VLOOKUP(A396,Generators!$A$2:$AZ$516,16,FALSE)</f>
        <v>#N/A</v>
      </c>
      <c r="D396" s="124" t="e">
        <f t="shared" ca="1" si="12"/>
        <v>#N/A</v>
      </c>
      <c r="E396" s="158" t="e">
        <f ca="1">IF(VLOOKUP(A396,Generators!$A$2:$AZ$516,20,FALSE)=0,"",VLOOKUP(A396,Generators!$A$2:$AZ$516,20,FALSE))</f>
        <v>#N/A</v>
      </c>
      <c r="F396" s="124" t="e">
        <f ca="1">IF(VLOOKUP(A396,Generators!$A$2:$AZ$516,17,FALSE)=0,"",VLOOKUP(A396,Generators!$A$2:$AZ$516,17,FALSE))</f>
        <v>#N/A</v>
      </c>
      <c r="G396" s="164" t="str">
        <f t="shared" ca="1" si="13"/>
        <v/>
      </c>
    </row>
    <row r="397" spans="1:7" x14ac:dyDescent="0.35">
      <c r="A397" t="e">
        <f ca="1"/>
        <v>#N/A</v>
      </c>
      <c r="B397" s="158" t="e">
        <f ca="1">VLOOKUP(A397,Generators!$A$2:$AZ$516,19,FALSE)</f>
        <v>#N/A</v>
      </c>
      <c r="C397" s="124" t="e">
        <f ca="1">VLOOKUP(A397,Generators!$A$2:$AZ$516,16,FALSE)</f>
        <v>#N/A</v>
      </c>
      <c r="D397" s="124" t="e">
        <f t="shared" ca="1" si="12"/>
        <v>#N/A</v>
      </c>
      <c r="E397" s="158" t="e">
        <f ca="1">IF(VLOOKUP(A397,Generators!$A$2:$AZ$516,20,FALSE)=0,"",VLOOKUP(A397,Generators!$A$2:$AZ$516,20,FALSE))</f>
        <v>#N/A</v>
      </c>
      <c r="F397" s="124" t="e">
        <f ca="1">IF(VLOOKUP(A397,Generators!$A$2:$AZ$516,17,FALSE)=0,"",VLOOKUP(A397,Generators!$A$2:$AZ$516,17,FALSE))</f>
        <v>#N/A</v>
      </c>
      <c r="G397" s="164" t="str">
        <f t="shared" ca="1" si="13"/>
        <v/>
      </c>
    </row>
    <row r="398" spans="1:7" x14ac:dyDescent="0.35">
      <c r="A398" t="e">
        <f ca="1"/>
        <v>#N/A</v>
      </c>
      <c r="B398" s="158" t="e">
        <f ca="1">VLOOKUP(A398,Generators!$A$2:$AZ$516,19,FALSE)</f>
        <v>#N/A</v>
      </c>
      <c r="C398" s="124" t="e">
        <f ca="1">VLOOKUP(A398,Generators!$A$2:$AZ$516,16,FALSE)</f>
        <v>#N/A</v>
      </c>
      <c r="D398" s="124" t="e">
        <f t="shared" ca="1" si="12"/>
        <v>#N/A</v>
      </c>
      <c r="E398" s="158" t="e">
        <f ca="1">IF(VLOOKUP(A398,Generators!$A$2:$AZ$516,20,FALSE)=0,"",VLOOKUP(A398,Generators!$A$2:$AZ$516,20,FALSE))</f>
        <v>#N/A</v>
      </c>
      <c r="F398" s="124" t="e">
        <f ca="1">IF(VLOOKUP(A398,Generators!$A$2:$AZ$516,17,FALSE)=0,"",VLOOKUP(A398,Generators!$A$2:$AZ$516,17,FALSE))</f>
        <v>#N/A</v>
      </c>
      <c r="G398" s="164" t="str">
        <f t="shared" ca="1" si="13"/>
        <v/>
      </c>
    </row>
    <row r="399" spans="1:7" x14ac:dyDescent="0.35">
      <c r="A399" t="e">
        <f ca="1"/>
        <v>#N/A</v>
      </c>
      <c r="B399" s="158" t="e">
        <f ca="1">VLOOKUP(A399,Generators!$A$2:$AZ$516,19,FALSE)</f>
        <v>#N/A</v>
      </c>
      <c r="C399" s="124" t="e">
        <f ca="1">VLOOKUP(A399,Generators!$A$2:$AZ$516,16,FALSE)</f>
        <v>#N/A</v>
      </c>
      <c r="D399" s="124" t="e">
        <f t="shared" ca="1" si="12"/>
        <v>#N/A</v>
      </c>
      <c r="E399" s="158" t="e">
        <f ca="1">IF(VLOOKUP(A399,Generators!$A$2:$AZ$516,20,FALSE)=0,"",VLOOKUP(A399,Generators!$A$2:$AZ$516,20,FALSE))</f>
        <v>#N/A</v>
      </c>
      <c r="F399" s="124" t="e">
        <f ca="1">IF(VLOOKUP(A399,Generators!$A$2:$AZ$516,17,FALSE)=0,"",VLOOKUP(A399,Generators!$A$2:$AZ$516,17,FALSE))</f>
        <v>#N/A</v>
      </c>
      <c r="G399" s="164" t="str">
        <f t="shared" ca="1" si="13"/>
        <v/>
      </c>
    </row>
    <row r="400" spans="1:7" x14ac:dyDescent="0.35">
      <c r="A400" t="e">
        <f ca="1"/>
        <v>#N/A</v>
      </c>
      <c r="B400" s="158" t="e">
        <f ca="1">VLOOKUP(A400,Generators!$A$2:$AZ$516,19,FALSE)</f>
        <v>#N/A</v>
      </c>
      <c r="C400" s="124" t="e">
        <f ca="1">VLOOKUP(A400,Generators!$A$2:$AZ$516,16,FALSE)</f>
        <v>#N/A</v>
      </c>
      <c r="D400" s="124" t="e">
        <f t="shared" ca="1" si="12"/>
        <v>#N/A</v>
      </c>
      <c r="E400" s="158" t="e">
        <f ca="1">IF(VLOOKUP(A400,Generators!$A$2:$AZ$516,20,FALSE)=0,"",VLOOKUP(A400,Generators!$A$2:$AZ$516,20,FALSE))</f>
        <v>#N/A</v>
      </c>
      <c r="F400" s="124" t="e">
        <f ca="1">IF(VLOOKUP(A400,Generators!$A$2:$AZ$516,17,FALSE)=0,"",VLOOKUP(A400,Generators!$A$2:$AZ$516,17,FALSE))</f>
        <v>#N/A</v>
      </c>
      <c r="G400" s="164" t="str">
        <f t="shared" ca="1" si="13"/>
        <v/>
      </c>
    </row>
    <row r="401" spans="1:7" x14ac:dyDescent="0.35">
      <c r="A401" t="e">
        <f ca="1"/>
        <v>#N/A</v>
      </c>
      <c r="B401" s="158" t="e">
        <f ca="1">VLOOKUP(A401,Generators!$A$2:$AZ$516,19,FALSE)</f>
        <v>#N/A</v>
      </c>
      <c r="C401" s="124" t="e">
        <f ca="1">VLOOKUP(A401,Generators!$A$2:$AZ$516,16,FALSE)</f>
        <v>#N/A</v>
      </c>
      <c r="D401" s="124" t="e">
        <f t="shared" ca="1" si="12"/>
        <v>#N/A</v>
      </c>
      <c r="E401" s="158" t="e">
        <f ca="1">IF(VLOOKUP(A401,Generators!$A$2:$AZ$516,20,FALSE)=0,"",VLOOKUP(A401,Generators!$A$2:$AZ$516,20,FALSE))</f>
        <v>#N/A</v>
      </c>
      <c r="F401" s="124" t="e">
        <f ca="1">IF(VLOOKUP(A401,Generators!$A$2:$AZ$516,17,FALSE)=0,"",VLOOKUP(A401,Generators!$A$2:$AZ$516,17,FALSE))</f>
        <v>#N/A</v>
      </c>
      <c r="G401" s="164" t="str">
        <f t="shared" ca="1" si="13"/>
        <v/>
      </c>
    </row>
    <row r="402" spans="1:7" x14ac:dyDescent="0.35">
      <c r="A402" t="e">
        <f ca="1"/>
        <v>#N/A</v>
      </c>
      <c r="B402" s="158" t="e">
        <f ca="1">VLOOKUP(A402,Generators!$A$2:$AZ$516,19,FALSE)</f>
        <v>#N/A</v>
      </c>
      <c r="C402" s="124" t="e">
        <f ca="1">VLOOKUP(A402,Generators!$A$2:$AZ$516,16,FALSE)</f>
        <v>#N/A</v>
      </c>
      <c r="D402" s="124" t="e">
        <f t="shared" ca="1" si="12"/>
        <v>#N/A</v>
      </c>
      <c r="E402" s="158" t="e">
        <f ca="1">IF(VLOOKUP(A402,Generators!$A$2:$AZ$516,20,FALSE)=0,"",VLOOKUP(A402,Generators!$A$2:$AZ$516,20,FALSE))</f>
        <v>#N/A</v>
      </c>
      <c r="F402" s="124" t="e">
        <f ca="1">IF(VLOOKUP(A402,Generators!$A$2:$AZ$516,17,FALSE)=0,"",VLOOKUP(A402,Generators!$A$2:$AZ$516,17,FALSE))</f>
        <v>#N/A</v>
      </c>
      <c r="G402" s="164" t="str">
        <f t="shared" ca="1" si="13"/>
        <v/>
      </c>
    </row>
    <row r="403" spans="1:7" x14ac:dyDescent="0.35">
      <c r="A403" t="e">
        <f ca="1"/>
        <v>#N/A</v>
      </c>
      <c r="B403" s="158" t="e">
        <f ca="1">VLOOKUP(A403,Generators!$A$2:$AZ$516,19,FALSE)</f>
        <v>#N/A</v>
      </c>
      <c r="C403" s="124" t="e">
        <f ca="1">VLOOKUP(A403,Generators!$A$2:$AZ$516,16,FALSE)</f>
        <v>#N/A</v>
      </c>
      <c r="D403" s="124" t="e">
        <f t="shared" ca="1" si="12"/>
        <v>#N/A</v>
      </c>
      <c r="E403" s="158" t="e">
        <f ca="1">IF(VLOOKUP(A403,Generators!$A$2:$AZ$516,20,FALSE)=0,"",VLOOKUP(A403,Generators!$A$2:$AZ$516,20,FALSE))</f>
        <v>#N/A</v>
      </c>
      <c r="F403" s="124" t="e">
        <f ca="1">IF(VLOOKUP(A403,Generators!$A$2:$AZ$516,17,FALSE)=0,"",VLOOKUP(A403,Generators!$A$2:$AZ$516,17,FALSE))</f>
        <v>#N/A</v>
      </c>
      <c r="G403" s="164" t="str">
        <f t="shared" ca="1" si="13"/>
        <v/>
      </c>
    </row>
    <row r="404" spans="1:7" x14ac:dyDescent="0.35">
      <c r="A404" t="e">
        <f ca="1"/>
        <v>#N/A</v>
      </c>
      <c r="B404" s="158" t="e">
        <f ca="1">VLOOKUP(A404,Generators!$A$2:$AZ$516,19,FALSE)</f>
        <v>#N/A</v>
      </c>
      <c r="C404" s="124" t="e">
        <f ca="1">VLOOKUP(A404,Generators!$A$2:$AZ$516,16,FALSE)</f>
        <v>#N/A</v>
      </c>
      <c r="D404" s="124" t="e">
        <f t="shared" ca="1" si="12"/>
        <v>#N/A</v>
      </c>
      <c r="E404" s="158" t="e">
        <f ca="1">IF(VLOOKUP(A404,Generators!$A$2:$AZ$516,20,FALSE)=0,"",VLOOKUP(A404,Generators!$A$2:$AZ$516,20,FALSE))</f>
        <v>#N/A</v>
      </c>
      <c r="F404" s="124" t="e">
        <f ca="1">IF(VLOOKUP(A404,Generators!$A$2:$AZ$516,17,FALSE)=0,"",VLOOKUP(A404,Generators!$A$2:$AZ$516,17,FALSE))</f>
        <v>#N/A</v>
      </c>
      <c r="G404" s="164" t="str">
        <f t="shared" ca="1" si="13"/>
        <v/>
      </c>
    </row>
    <row r="405" spans="1:7" x14ac:dyDescent="0.35">
      <c r="A405" t="e">
        <f ca="1"/>
        <v>#N/A</v>
      </c>
      <c r="B405" s="158" t="e">
        <f ca="1">VLOOKUP(A405,Generators!$A$2:$AZ$516,19,FALSE)</f>
        <v>#N/A</v>
      </c>
      <c r="C405" s="124" t="e">
        <f ca="1">VLOOKUP(A405,Generators!$A$2:$AZ$516,16,FALSE)</f>
        <v>#N/A</v>
      </c>
      <c r="D405" s="124" t="e">
        <f t="shared" ca="1" si="12"/>
        <v>#N/A</v>
      </c>
      <c r="E405" s="158" t="e">
        <f ca="1">IF(VLOOKUP(A405,Generators!$A$2:$AZ$516,20,FALSE)=0,"",VLOOKUP(A405,Generators!$A$2:$AZ$516,20,FALSE))</f>
        <v>#N/A</v>
      </c>
      <c r="F405" s="124" t="e">
        <f ca="1">IF(VLOOKUP(A405,Generators!$A$2:$AZ$516,17,FALSE)=0,"",VLOOKUP(A405,Generators!$A$2:$AZ$516,17,FALSE))</f>
        <v>#N/A</v>
      </c>
      <c r="G405" s="164" t="str">
        <f t="shared" ca="1" si="13"/>
        <v/>
      </c>
    </row>
    <row r="406" spans="1:7" x14ac:dyDescent="0.35">
      <c r="A406" t="e">
        <f ca="1"/>
        <v>#N/A</v>
      </c>
      <c r="B406" s="158" t="e">
        <f ca="1">VLOOKUP(A406,Generators!$A$2:$AZ$516,19,FALSE)</f>
        <v>#N/A</v>
      </c>
      <c r="C406" s="124" t="e">
        <f ca="1">VLOOKUP(A406,Generators!$A$2:$AZ$516,16,FALSE)</f>
        <v>#N/A</v>
      </c>
      <c r="D406" s="124" t="e">
        <f t="shared" ca="1" si="12"/>
        <v>#N/A</v>
      </c>
      <c r="E406" s="158" t="e">
        <f ca="1">IF(VLOOKUP(A406,Generators!$A$2:$AZ$516,20,FALSE)=0,"",VLOOKUP(A406,Generators!$A$2:$AZ$516,20,FALSE))</f>
        <v>#N/A</v>
      </c>
      <c r="F406" s="124" t="e">
        <f ca="1">IF(VLOOKUP(A406,Generators!$A$2:$AZ$516,17,FALSE)=0,"",VLOOKUP(A406,Generators!$A$2:$AZ$516,17,FALSE))</f>
        <v>#N/A</v>
      </c>
      <c r="G406" s="164" t="str">
        <f t="shared" ca="1" si="13"/>
        <v/>
      </c>
    </row>
    <row r="407" spans="1:7" x14ac:dyDescent="0.35">
      <c r="A407" t="e">
        <f ca="1"/>
        <v>#N/A</v>
      </c>
      <c r="B407" s="158" t="e">
        <f ca="1">VLOOKUP(A407,Generators!$A$2:$AZ$516,19,FALSE)</f>
        <v>#N/A</v>
      </c>
      <c r="C407" s="124" t="e">
        <f ca="1">VLOOKUP(A407,Generators!$A$2:$AZ$516,16,FALSE)</f>
        <v>#N/A</v>
      </c>
      <c r="D407" s="124" t="e">
        <f t="shared" ca="1" si="12"/>
        <v>#N/A</v>
      </c>
      <c r="E407" s="158" t="e">
        <f ca="1">IF(VLOOKUP(A407,Generators!$A$2:$AZ$516,20,FALSE)=0,"",VLOOKUP(A407,Generators!$A$2:$AZ$516,20,FALSE))</f>
        <v>#N/A</v>
      </c>
      <c r="F407" s="124" t="e">
        <f ca="1">IF(VLOOKUP(A407,Generators!$A$2:$AZ$516,17,FALSE)=0,"",VLOOKUP(A407,Generators!$A$2:$AZ$516,17,FALSE))</f>
        <v>#N/A</v>
      </c>
      <c r="G407" s="164" t="str">
        <f t="shared" ca="1" si="13"/>
        <v/>
      </c>
    </row>
    <row r="408" spans="1:7" x14ac:dyDescent="0.35">
      <c r="A408" t="e">
        <f ca="1"/>
        <v>#N/A</v>
      </c>
      <c r="B408" s="158" t="e">
        <f ca="1">VLOOKUP(A408,Generators!$A$2:$AZ$516,19,FALSE)</f>
        <v>#N/A</v>
      </c>
      <c r="C408" s="124" t="e">
        <f ca="1">VLOOKUP(A408,Generators!$A$2:$AZ$516,16,FALSE)</f>
        <v>#N/A</v>
      </c>
      <c r="D408" s="124" t="e">
        <f t="shared" ca="1" si="12"/>
        <v>#N/A</v>
      </c>
      <c r="E408" s="158" t="e">
        <f ca="1">IF(VLOOKUP(A408,Generators!$A$2:$AZ$516,20,FALSE)=0,"",VLOOKUP(A408,Generators!$A$2:$AZ$516,20,FALSE))</f>
        <v>#N/A</v>
      </c>
      <c r="F408" s="124" t="e">
        <f ca="1">IF(VLOOKUP(A408,Generators!$A$2:$AZ$516,17,FALSE)=0,"",VLOOKUP(A408,Generators!$A$2:$AZ$516,17,FALSE))</f>
        <v>#N/A</v>
      </c>
      <c r="G408" s="164" t="str">
        <f t="shared" ca="1" si="13"/>
        <v/>
      </c>
    </row>
    <row r="409" spans="1:7" x14ac:dyDescent="0.35">
      <c r="A409" t="e">
        <f ca="1"/>
        <v>#N/A</v>
      </c>
      <c r="B409" s="158" t="e">
        <f ca="1">VLOOKUP(A409,Generators!$A$2:$AZ$516,19,FALSE)</f>
        <v>#N/A</v>
      </c>
      <c r="C409" s="124" t="e">
        <f ca="1">VLOOKUP(A409,Generators!$A$2:$AZ$516,16,FALSE)</f>
        <v>#N/A</v>
      </c>
      <c r="D409" s="124" t="e">
        <f t="shared" ca="1" si="12"/>
        <v>#N/A</v>
      </c>
      <c r="E409" s="158" t="e">
        <f ca="1">IF(VLOOKUP(A409,Generators!$A$2:$AZ$516,20,FALSE)=0,"",VLOOKUP(A409,Generators!$A$2:$AZ$516,20,FALSE))</f>
        <v>#N/A</v>
      </c>
      <c r="F409" s="124" t="e">
        <f ca="1">IF(VLOOKUP(A409,Generators!$A$2:$AZ$516,17,FALSE)=0,"",VLOOKUP(A409,Generators!$A$2:$AZ$516,17,FALSE))</f>
        <v>#N/A</v>
      </c>
      <c r="G409" s="164" t="str">
        <f t="shared" ca="1" si="13"/>
        <v/>
      </c>
    </row>
    <row r="410" spans="1:7" x14ac:dyDescent="0.35">
      <c r="A410" t="e">
        <f ca="1"/>
        <v>#N/A</v>
      </c>
      <c r="B410" s="158" t="e">
        <f ca="1">VLOOKUP(A410,Generators!$A$2:$AZ$516,19,FALSE)</f>
        <v>#N/A</v>
      </c>
      <c r="C410" s="124" t="e">
        <f ca="1">VLOOKUP(A410,Generators!$A$2:$AZ$516,16,FALSE)</f>
        <v>#N/A</v>
      </c>
      <c r="D410" s="124" t="e">
        <f t="shared" ca="1" si="12"/>
        <v>#N/A</v>
      </c>
      <c r="E410" s="158" t="e">
        <f ca="1">IF(VLOOKUP(A410,Generators!$A$2:$AZ$516,20,FALSE)=0,"",VLOOKUP(A410,Generators!$A$2:$AZ$516,20,FALSE))</f>
        <v>#N/A</v>
      </c>
      <c r="F410" s="124" t="e">
        <f ca="1">IF(VLOOKUP(A410,Generators!$A$2:$AZ$516,17,FALSE)=0,"",VLOOKUP(A410,Generators!$A$2:$AZ$516,17,FALSE))</f>
        <v>#N/A</v>
      </c>
      <c r="G410" s="164" t="str">
        <f t="shared" ca="1" si="13"/>
        <v/>
      </c>
    </row>
    <row r="411" spans="1:7" x14ac:dyDescent="0.35">
      <c r="A411" t="e">
        <f ca="1"/>
        <v>#N/A</v>
      </c>
      <c r="B411" s="158" t="e">
        <f ca="1">VLOOKUP(A411,Generators!$A$2:$AZ$516,19,FALSE)</f>
        <v>#N/A</v>
      </c>
      <c r="C411" s="124" t="e">
        <f ca="1">VLOOKUP(A411,Generators!$A$2:$AZ$516,16,FALSE)</f>
        <v>#N/A</v>
      </c>
      <c r="D411" s="124" t="e">
        <f t="shared" ca="1" si="12"/>
        <v>#N/A</v>
      </c>
      <c r="E411" s="158" t="e">
        <f ca="1">IF(VLOOKUP(A411,Generators!$A$2:$AZ$516,20,FALSE)=0,"",VLOOKUP(A411,Generators!$A$2:$AZ$516,20,FALSE))</f>
        <v>#N/A</v>
      </c>
      <c r="F411" s="124" t="e">
        <f ca="1">IF(VLOOKUP(A411,Generators!$A$2:$AZ$516,17,FALSE)=0,"",VLOOKUP(A411,Generators!$A$2:$AZ$516,17,FALSE))</f>
        <v>#N/A</v>
      </c>
      <c r="G411" s="164" t="str">
        <f t="shared" ca="1" si="13"/>
        <v/>
      </c>
    </row>
    <row r="412" spans="1:7" x14ac:dyDescent="0.35">
      <c r="A412" t="e">
        <f ca="1"/>
        <v>#N/A</v>
      </c>
      <c r="B412" s="158" t="e">
        <f ca="1">VLOOKUP(A412,Generators!$A$2:$AZ$516,19,FALSE)</f>
        <v>#N/A</v>
      </c>
      <c r="C412" s="124" t="e">
        <f ca="1">VLOOKUP(A412,Generators!$A$2:$AZ$516,16,FALSE)</f>
        <v>#N/A</v>
      </c>
      <c r="D412" s="124" t="e">
        <f t="shared" ca="1" si="12"/>
        <v>#N/A</v>
      </c>
      <c r="E412" s="158" t="e">
        <f ca="1">IF(VLOOKUP(A412,Generators!$A$2:$AZ$516,20,FALSE)=0,"",VLOOKUP(A412,Generators!$A$2:$AZ$516,20,FALSE))</f>
        <v>#N/A</v>
      </c>
      <c r="F412" s="124" t="e">
        <f ca="1">IF(VLOOKUP(A412,Generators!$A$2:$AZ$516,17,FALSE)=0,"",VLOOKUP(A412,Generators!$A$2:$AZ$516,17,FALSE))</f>
        <v>#N/A</v>
      </c>
      <c r="G412" s="164" t="str">
        <f t="shared" ca="1" si="13"/>
        <v/>
      </c>
    </row>
    <row r="413" spans="1:7" x14ac:dyDescent="0.35">
      <c r="A413" t="e">
        <f ca="1"/>
        <v>#N/A</v>
      </c>
      <c r="B413" s="158" t="e">
        <f ca="1">VLOOKUP(A413,Generators!$A$2:$AZ$516,19,FALSE)</f>
        <v>#N/A</v>
      </c>
      <c r="C413" s="124" t="e">
        <f ca="1">VLOOKUP(A413,Generators!$A$2:$AZ$516,16,FALSE)</f>
        <v>#N/A</v>
      </c>
      <c r="D413" s="124" t="e">
        <f t="shared" ca="1" si="12"/>
        <v>#N/A</v>
      </c>
      <c r="E413" s="158" t="e">
        <f ca="1">IF(VLOOKUP(A413,Generators!$A$2:$AZ$516,20,FALSE)=0,"",VLOOKUP(A413,Generators!$A$2:$AZ$516,20,FALSE))</f>
        <v>#N/A</v>
      </c>
      <c r="F413" s="124" t="e">
        <f ca="1">IF(VLOOKUP(A413,Generators!$A$2:$AZ$516,17,FALSE)=0,"",VLOOKUP(A413,Generators!$A$2:$AZ$516,17,FALSE))</f>
        <v>#N/A</v>
      </c>
      <c r="G413" s="164" t="str">
        <f t="shared" ca="1" si="13"/>
        <v/>
      </c>
    </row>
    <row r="414" spans="1:7" x14ac:dyDescent="0.35">
      <c r="A414" t="e">
        <f ca="1"/>
        <v>#N/A</v>
      </c>
      <c r="B414" s="158" t="e">
        <f ca="1">VLOOKUP(A414,Generators!$A$2:$AZ$516,19,FALSE)</f>
        <v>#N/A</v>
      </c>
      <c r="C414" s="124" t="e">
        <f ca="1">VLOOKUP(A414,Generators!$A$2:$AZ$516,16,FALSE)</f>
        <v>#N/A</v>
      </c>
      <c r="D414" s="124" t="e">
        <f t="shared" ca="1" si="12"/>
        <v>#N/A</v>
      </c>
      <c r="E414" s="158" t="e">
        <f ca="1">IF(VLOOKUP(A414,Generators!$A$2:$AZ$516,20,FALSE)=0,"",VLOOKUP(A414,Generators!$A$2:$AZ$516,20,FALSE))</f>
        <v>#N/A</v>
      </c>
      <c r="F414" s="124" t="e">
        <f ca="1">IF(VLOOKUP(A414,Generators!$A$2:$AZ$516,17,FALSE)=0,"",VLOOKUP(A414,Generators!$A$2:$AZ$516,17,FALSE))</f>
        <v>#N/A</v>
      </c>
      <c r="G414" s="164" t="str">
        <f t="shared" ca="1" si="13"/>
        <v/>
      </c>
    </row>
    <row r="415" spans="1:7" x14ac:dyDescent="0.35">
      <c r="A415" t="e">
        <f ca="1"/>
        <v>#N/A</v>
      </c>
      <c r="B415" s="158" t="e">
        <f ca="1">VLOOKUP(A415,Generators!$A$2:$AZ$516,19,FALSE)</f>
        <v>#N/A</v>
      </c>
      <c r="C415" s="124" t="e">
        <f ca="1">VLOOKUP(A415,Generators!$A$2:$AZ$516,16,FALSE)</f>
        <v>#N/A</v>
      </c>
      <c r="D415" s="124" t="e">
        <f t="shared" ca="1" si="12"/>
        <v>#N/A</v>
      </c>
      <c r="E415" s="158" t="e">
        <f ca="1">IF(VLOOKUP(A415,Generators!$A$2:$AZ$516,20,FALSE)=0,"",VLOOKUP(A415,Generators!$A$2:$AZ$516,20,FALSE))</f>
        <v>#N/A</v>
      </c>
      <c r="F415" s="124" t="e">
        <f ca="1">IF(VLOOKUP(A415,Generators!$A$2:$AZ$516,17,FALSE)=0,"",VLOOKUP(A415,Generators!$A$2:$AZ$516,17,FALSE))</f>
        <v>#N/A</v>
      </c>
      <c r="G415" s="164" t="str">
        <f t="shared" ca="1" si="13"/>
        <v/>
      </c>
    </row>
    <row r="416" spans="1:7" x14ac:dyDescent="0.35">
      <c r="A416" t="e">
        <f ca="1"/>
        <v>#N/A</v>
      </c>
      <c r="B416" s="158" t="e">
        <f ca="1">VLOOKUP(A416,Generators!$A$2:$AZ$516,19,FALSE)</f>
        <v>#N/A</v>
      </c>
      <c r="C416" s="124" t="e">
        <f ca="1">VLOOKUP(A416,Generators!$A$2:$AZ$516,16,FALSE)</f>
        <v>#N/A</v>
      </c>
      <c r="D416" s="124" t="e">
        <f t="shared" ca="1" si="12"/>
        <v>#N/A</v>
      </c>
      <c r="E416" s="158" t="e">
        <f ca="1">IF(VLOOKUP(A416,Generators!$A$2:$AZ$516,20,FALSE)=0,"",VLOOKUP(A416,Generators!$A$2:$AZ$516,20,FALSE))</f>
        <v>#N/A</v>
      </c>
      <c r="F416" s="124" t="e">
        <f ca="1">IF(VLOOKUP(A416,Generators!$A$2:$AZ$516,17,FALSE)=0,"",VLOOKUP(A416,Generators!$A$2:$AZ$516,17,FALSE))</f>
        <v>#N/A</v>
      </c>
      <c r="G416" s="164" t="str">
        <f t="shared" ca="1" si="13"/>
        <v/>
      </c>
    </row>
    <row r="417" spans="1:7" x14ac:dyDescent="0.35">
      <c r="A417" t="e">
        <f ca="1"/>
        <v>#N/A</v>
      </c>
      <c r="B417" s="158" t="e">
        <f ca="1">VLOOKUP(A417,Generators!$A$2:$AZ$516,19,FALSE)</f>
        <v>#N/A</v>
      </c>
      <c r="C417" s="124" t="e">
        <f ca="1">VLOOKUP(A417,Generators!$A$2:$AZ$516,16,FALSE)</f>
        <v>#N/A</v>
      </c>
      <c r="D417" s="124" t="e">
        <f t="shared" ca="1" si="12"/>
        <v>#N/A</v>
      </c>
      <c r="E417" s="158" t="e">
        <f ca="1">IF(VLOOKUP(A417,Generators!$A$2:$AZ$516,20,FALSE)=0,"",VLOOKUP(A417,Generators!$A$2:$AZ$516,20,FALSE))</f>
        <v>#N/A</v>
      </c>
      <c r="F417" s="124" t="e">
        <f ca="1">IF(VLOOKUP(A417,Generators!$A$2:$AZ$516,17,FALSE)=0,"",VLOOKUP(A417,Generators!$A$2:$AZ$516,17,FALSE))</f>
        <v>#N/A</v>
      </c>
      <c r="G417" s="164" t="str">
        <f t="shared" ca="1" si="13"/>
        <v/>
      </c>
    </row>
    <row r="418" spans="1:7" x14ac:dyDescent="0.35">
      <c r="A418" t="e">
        <f ca="1"/>
        <v>#N/A</v>
      </c>
      <c r="B418" s="158" t="e">
        <f ca="1">VLOOKUP(A418,Generators!$A$2:$AZ$516,19,FALSE)</f>
        <v>#N/A</v>
      </c>
      <c r="C418" s="124" t="e">
        <f ca="1">VLOOKUP(A418,Generators!$A$2:$AZ$516,16,FALSE)</f>
        <v>#N/A</v>
      </c>
      <c r="D418" s="124" t="e">
        <f t="shared" ca="1" si="12"/>
        <v>#N/A</v>
      </c>
      <c r="E418" s="158" t="e">
        <f ca="1">IF(VLOOKUP(A418,Generators!$A$2:$AZ$516,20,FALSE)=0,"",VLOOKUP(A418,Generators!$A$2:$AZ$516,20,FALSE))</f>
        <v>#N/A</v>
      </c>
      <c r="F418" s="124" t="e">
        <f ca="1">IF(VLOOKUP(A418,Generators!$A$2:$AZ$516,17,FALSE)=0,"",VLOOKUP(A418,Generators!$A$2:$AZ$516,17,FALSE))</f>
        <v>#N/A</v>
      </c>
      <c r="G418" s="164" t="str">
        <f t="shared" ca="1" si="13"/>
        <v/>
      </c>
    </row>
    <row r="419" spans="1:7" x14ac:dyDescent="0.35">
      <c r="A419" t="e">
        <f ca="1"/>
        <v>#N/A</v>
      </c>
      <c r="B419" s="158" t="e">
        <f ca="1">VLOOKUP(A419,Generators!$A$2:$AZ$516,19,FALSE)</f>
        <v>#N/A</v>
      </c>
      <c r="C419" s="124" t="e">
        <f ca="1">VLOOKUP(A419,Generators!$A$2:$AZ$516,16,FALSE)</f>
        <v>#N/A</v>
      </c>
      <c r="D419" s="124" t="e">
        <f t="shared" ca="1" si="12"/>
        <v>#N/A</v>
      </c>
      <c r="E419" s="158" t="e">
        <f ca="1">IF(VLOOKUP(A419,Generators!$A$2:$AZ$516,20,FALSE)=0,"",VLOOKUP(A419,Generators!$A$2:$AZ$516,20,FALSE))</f>
        <v>#N/A</v>
      </c>
      <c r="F419" s="124" t="e">
        <f ca="1">IF(VLOOKUP(A419,Generators!$A$2:$AZ$516,17,FALSE)=0,"",VLOOKUP(A419,Generators!$A$2:$AZ$516,17,FALSE))</f>
        <v>#N/A</v>
      </c>
      <c r="G419" s="164" t="str">
        <f t="shared" ca="1" si="13"/>
        <v/>
      </c>
    </row>
    <row r="420" spans="1:7" x14ac:dyDescent="0.35">
      <c r="A420" t="e">
        <f ca="1"/>
        <v>#N/A</v>
      </c>
      <c r="B420" s="158" t="e">
        <f ca="1">VLOOKUP(A420,Generators!$A$2:$AZ$516,19,FALSE)</f>
        <v>#N/A</v>
      </c>
      <c r="C420" s="124" t="e">
        <f ca="1">VLOOKUP(A420,Generators!$A$2:$AZ$516,16,FALSE)</f>
        <v>#N/A</v>
      </c>
      <c r="D420" s="124" t="e">
        <f t="shared" ca="1" si="12"/>
        <v>#N/A</v>
      </c>
      <c r="E420" s="158" t="e">
        <f ca="1">IF(VLOOKUP(A420,Generators!$A$2:$AZ$516,20,FALSE)=0,"",VLOOKUP(A420,Generators!$A$2:$AZ$516,20,FALSE))</f>
        <v>#N/A</v>
      </c>
      <c r="F420" s="124" t="e">
        <f ca="1">IF(VLOOKUP(A420,Generators!$A$2:$AZ$516,17,FALSE)=0,"",VLOOKUP(A420,Generators!$A$2:$AZ$516,17,FALSE))</f>
        <v>#N/A</v>
      </c>
      <c r="G420" s="164" t="str">
        <f t="shared" ca="1" si="13"/>
        <v/>
      </c>
    </row>
    <row r="421" spans="1:7" x14ac:dyDescent="0.35">
      <c r="A421" t="e">
        <f ca="1"/>
        <v>#N/A</v>
      </c>
      <c r="B421" s="158" t="e">
        <f ca="1">VLOOKUP(A421,Generators!$A$2:$AZ$516,19,FALSE)</f>
        <v>#N/A</v>
      </c>
      <c r="C421" s="124" t="e">
        <f ca="1">VLOOKUP(A421,Generators!$A$2:$AZ$516,16,FALSE)</f>
        <v>#N/A</v>
      </c>
      <c r="D421" s="124" t="e">
        <f t="shared" ca="1" si="12"/>
        <v>#N/A</v>
      </c>
      <c r="E421" s="158" t="e">
        <f ca="1">IF(VLOOKUP(A421,Generators!$A$2:$AZ$516,20,FALSE)=0,"",VLOOKUP(A421,Generators!$A$2:$AZ$516,20,FALSE))</f>
        <v>#N/A</v>
      </c>
      <c r="F421" s="124" t="e">
        <f ca="1">IF(VLOOKUP(A421,Generators!$A$2:$AZ$516,17,FALSE)=0,"",VLOOKUP(A421,Generators!$A$2:$AZ$516,17,FALSE))</f>
        <v>#N/A</v>
      </c>
      <c r="G421" s="164" t="str">
        <f t="shared" ca="1" si="13"/>
        <v/>
      </c>
    </row>
    <row r="422" spans="1:7" x14ac:dyDescent="0.35">
      <c r="A422" t="e">
        <f ca="1"/>
        <v>#N/A</v>
      </c>
      <c r="B422" s="158" t="e">
        <f ca="1">VLOOKUP(A422,Generators!$A$2:$AZ$516,19,FALSE)</f>
        <v>#N/A</v>
      </c>
      <c r="C422" s="124" t="e">
        <f ca="1">VLOOKUP(A422,Generators!$A$2:$AZ$516,16,FALSE)</f>
        <v>#N/A</v>
      </c>
      <c r="D422" s="124" t="e">
        <f t="shared" ca="1" si="12"/>
        <v>#N/A</v>
      </c>
      <c r="E422" s="158" t="e">
        <f ca="1">IF(VLOOKUP(A422,Generators!$A$2:$AZ$516,20,FALSE)=0,"",VLOOKUP(A422,Generators!$A$2:$AZ$516,20,FALSE))</f>
        <v>#N/A</v>
      </c>
      <c r="F422" s="124" t="e">
        <f ca="1">IF(VLOOKUP(A422,Generators!$A$2:$AZ$516,17,FALSE)=0,"",VLOOKUP(A422,Generators!$A$2:$AZ$516,17,FALSE))</f>
        <v>#N/A</v>
      </c>
      <c r="G422" s="164" t="str">
        <f t="shared" ca="1" si="13"/>
        <v/>
      </c>
    </row>
    <row r="423" spans="1:7" x14ac:dyDescent="0.35">
      <c r="A423" t="e">
        <f ca="1"/>
        <v>#N/A</v>
      </c>
      <c r="B423" s="158" t="e">
        <f ca="1">VLOOKUP(A423,Generators!$A$2:$AZ$516,19,FALSE)</f>
        <v>#N/A</v>
      </c>
      <c r="C423" s="124" t="e">
        <f ca="1">VLOOKUP(A423,Generators!$A$2:$AZ$516,16,FALSE)</f>
        <v>#N/A</v>
      </c>
      <c r="D423" s="124" t="e">
        <f t="shared" ca="1" si="12"/>
        <v>#N/A</v>
      </c>
      <c r="E423" s="158" t="e">
        <f ca="1">IF(VLOOKUP(A423,Generators!$A$2:$AZ$516,20,FALSE)=0,"",VLOOKUP(A423,Generators!$A$2:$AZ$516,20,FALSE))</f>
        <v>#N/A</v>
      </c>
      <c r="F423" s="124" t="e">
        <f ca="1">IF(VLOOKUP(A423,Generators!$A$2:$AZ$516,17,FALSE)=0,"",VLOOKUP(A423,Generators!$A$2:$AZ$516,17,FALSE))</f>
        <v>#N/A</v>
      </c>
      <c r="G423" s="164" t="str">
        <f t="shared" ca="1" si="13"/>
        <v/>
      </c>
    </row>
    <row r="424" spans="1:7" x14ac:dyDescent="0.35">
      <c r="A424" t="e">
        <f ca="1"/>
        <v>#N/A</v>
      </c>
      <c r="B424" s="158" t="e">
        <f ca="1">VLOOKUP(A424,Generators!$A$2:$AZ$516,19,FALSE)</f>
        <v>#N/A</v>
      </c>
      <c r="C424" s="124" t="e">
        <f ca="1">VLOOKUP(A424,Generators!$A$2:$AZ$516,16,FALSE)</f>
        <v>#N/A</v>
      </c>
      <c r="D424" s="124" t="e">
        <f t="shared" ca="1" si="12"/>
        <v>#N/A</v>
      </c>
      <c r="E424" s="158" t="e">
        <f ca="1">IF(VLOOKUP(A424,Generators!$A$2:$AZ$516,20,FALSE)=0,"",VLOOKUP(A424,Generators!$A$2:$AZ$516,20,FALSE))</f>
        <v>#N/A</v>
      </c>
      <c r="F424" s="124" t="e">
        <f ca="1">IF(VLOOKUP(A424,Generators!$A$2:$AZ$516,17,FALSE)=0,"",VLOOKUP(A424,Generators!$A$2:$AZ$516,17,FALSE))</f>
        <v>#N/A</v>
      </c>
      <c r="G424" s="164" t="str">
        <f t="shared" ca="1" si="13"/>
        <v/>
      </c>
    </row>
    <row r="425" spans="1:7" x14ac:dyDescent="0.35">
      <c r="A425" t="e">
        <f ca="1"/>
        <v>#N/A</v>
      </c>
      <c r="B425" s="158" t="e">
        <f ca="1">VLOOKUP(A425,Generators!$A$2:$AZ$516,19,FALSE)</f>
        <v>#N/A</v>
      </c>
      <c r="C425" s="124" t="e">
        <f ca="1">VLOOKUP(A425,Generators!$A$2:$AZ$516,16,FALSE)</f>
        <v>#N/A</v>
      </c>
      <c r="D425" s="124" t="e">
        <f t="shared" ca="1" si="12"/>
        <v>#N/A</v>
      </c>
      <c r="E425" s="158" t="e">
        <f ca="1">IF(VLOOKUP(A425,Generators!$A$2:$AZ$516,20,FALSE)=0,"",VLOOKUP(A425,Generators!$A$2:$AZ$516,20,FALSE))</f>
        <v>#N/A</v>
      </c>
      <c r="F425" s="124" t="e">
        <f ca="1">IF(VLOOKUP(A425,Generators!$A$2:$AZ$516,17,FALSE)=0,"",VLOOKUP(A425,Generators!$A$2:$AZ$516,17,FALSE))</f>
        <v>#N/A</v>
      </c>
      <c r="G425" s="164" t="str">
        <f t="shared" ca="1" si="13"/>
        <v/>
      </c>
    </row>
    <row r="426" spans="1:7" x14ac:dyDescent="0.35">
      <c r="A426" t="e">
        <f ca="1"/>
        <v>#N/A</v>
      </c>
      <c r="B426" s="158" t="e">
        <f ca="1">VLOOKUP(A426,Generators!$A$2:$AZ$516,19,FALSE)</f>
        <v>#N/A</v>
      </c>
      <c r="C426" s="124" t="e">
        <f ca="1">VLOOKUP(A426,Generators!$A$2:$AZ$516,16,FALSE)</f>
        <v>#N/A</v>
      </c>
      <c r="D426" s="124" t="e">
        <f t="shared" ca="1" si="12"/>
        <v>#N/A</v>
      </c>
      <c r="E426" s="158" t="e">
        <f ca="1">IF(VLOOKUP(A426,Generators!$A$2:$AZ$516,20,FALSE)=0,"",VLOOKUP(A426,Generators!$A$2:$AZ$516,20,FALSE))</f>
        <v>#N/A</v>
      </c>
      <c r="F426" s="124" t="e">
        <f ca="1">IF(VLOOKUP(A426,Generators!$A$2:$AZ$516,17,FALSE)=0,"",VLOOKUP(A426,Generators!$A$2:$AZ$516,17,FALSE))</f>
        <v>#N/A</v>
      </c>
      <c r="G426" s="164" t="str">
        <f t="shared" ca="1" si="13"/>
        <v/>
      </c>
    </row>
    <row r="427" spans="1:7" x14ac:dyDescent="0.35">
      <c r="A427" t="e">
        <f ca="1"/>
        <v>#N/A</v>
      </c>
      <c r="B427" s="158" t="e">
        <f ca="1">VLOOKUP(A427,Generators!$A$2:$AZ$516,19,FALSE)</f>
        <v>#N/A</v>
      </c>
      <c r="C427" s="124" t="e">
        <f ca="1">VLOOKUP(A427,Generators!$A$2:$AZ$516,16,FALSE)</f>
        <v>#N/A</v>
      </c>
      <c r="D427" s="124" t="e">
        <f t="shared" ca="1" si="12"/>
        <v>#N/A</v>
      </c>
      <c r="E427" s="158" t="e">
        <f ca="1">IF(VLOOKUP(A427,Generators!$A$2:$AZ$516,20,FALSE)=0,"",VLOOKUP(A427,Generators!$A$2:$AZ$516,20,FALSE))</f>
        <v>#N/A</v>
      </c>
      <c r="F427" s="124" t="e">
        <f ca="1">IF(VLOOKUP(A427,Generators!$A$2:$AZ$516,17,FALSE)=0,"",VLOOKUP(A427,Generators!$A$2:$AZ$516,17,FALSE))</f>
        <v>#N/A</v>
      </c>
      <c r="G427" s="164" t="str">
        <f t="shared" ca="1" si="13"/>
        <v/>
      </c>
    </row>
    <row r="428" spans="1:7" x14ac:dyDescent="0.35">
      <c r="A428" t="e">
        <f ca="1"/>
        <v>#N/A</v>
      </c>
      <c r="B428" s="158" t="e">
        <f ca="1">VLOOKUP(A428,Generators!$A$2:$AZ$516,19,FALSE)</f>
        <v>#N/A</v>
      </c>
      <c r="C428" s="124" t="e">
        <f ca="1">VLOOKUP(A428,Generators!$A$2:$AZ$516,16,FALSE)</f>
        <v>#N/A</v>
      </c>
      <c r="D428" s="124" t="e">
        <f t="shared" ca="1" si="12"/>
        <v>#N/A</v>
      </c>
      <c r="E428" s="158" t="e">
        <f ca="1">IF(VLOOKUP(A428,Generators!$A$2:$AZ$516,20,FALSE)=0,"",VLOOKUP(A428,Generators!$A$2:$AZ$516,20,FALSE))</f>
        <v>#N/A</v>
      </c>
      <c r="F428" s="124" t="e">
        <f ca="1">IF(VLOOKUP(A428,Generators!$A$2:$AZ$516,17,FALSE)=0,"",VLOOKUP(A428,Generators!$A$2:$AZ$516,17,FALSE))</f>
        <v>#N/A</v>
      </c>
      <c r="G428" s="164" t="str">
        <f t="shared" ca="1" si="13"/>
        <v/>
      </c>
    </row>
    <row r="429" spans="1:7" x14ac:dyDescent="0.35">
      <c r="A429" t="e">
        <f ca="1"/>
        <v>#N/A</v>
      </c>
      <c r="B429" s="158" t="e">
        <f ca="1">VLOOKUP(A429,Generators!$A$2:$AZ$516,19,FALSE)</f>
        <v>#N/A</v>
      </c>
      <c r="C429" s="124" t="e">
        <f ca="1">VLOOKUP(A429,Generators!$A$2:$AZ$516,16,FALSE)</f>
        <v>#N/A</v>
      </c>
      <c r="D429" s="124" t="e">
        <f t="shared" ca="1" si="12"/>
        <v>#N/A</v>
      </c>
      <c r="E429" s="158" t="e">
        <f ca="1">IF(VLOOKUP(A429,Generators!$A$2:$AZ$516,20,FALSE)=0,"",VLOOKUP(A429,Generators!$A$2:$AZ$516,20,FALSE))</f>
        <v>#N/A</v>
      </c>
      <c r="F429" s="124" t="e">
        <f ca="1">IF(VLOOKUP(A429,Generators!$A$2:$AZ$516,17,FALSE)=0,"",VLOOKUP(A429,Generators!$A$2:$AZ$516,17,FALSE))</f>
        <v>#N/A</v>
      </c>
      <c r="G429" s="164" t="str">
        <f t="shared" ca="1" si="13"/>
        <v/>
      </c>
    </row>
    <row r="430" spans="1:7" x14ac:dyDescent="0.35">
      <c r="A430" t="e">
        <f ca="1"/>
        <v>#N/A</v>
      </c>
      <c r="B430" s="158" t="e">
        <f ca="1">VLOOKUP(A430,Generators!$A$2:$AZ$516,19,FALSE)</f>
        <v>#N/A</v>
      </c>
      <c r="C430" s="124" t="e">
        <f ca="1">VLOOKUP(A430,Generators!$A$2:$AZ$516,16,FALSE)</f>
        <v>#N/A</v>
      </c>
      <c r="D430" s="124" t="e">
        <f t="shared" ca="1" si="12"/>
        <v>#N/A</v>
      </c>
      <c r="E430" s="158" t="e">
        <f ca="1">IF(VLOOKUP(A430,Generators!$A$2:$AZ$516,20,FALSE)=0,"",VLOOKUP(A430,Generators!$A$2:$AZ$516,20,FALSE))</f>
        <v>#N/A</v>
      </c>
      <c r="F430" s="124" t="e">
        <f ca="1">IF(VLOOKUP(A430,Generators!$A$2:$AZ$516,17,FALSE)=0,"",VLOOKUP(A430,Generators!$A$2:$AZ$516,17,FALSE))</f>
        <v>#N/A</v>
      </c>
      <c r="G430" s="164" t="str">
        <f t="shared" ca="1" si="13"/>
        <v/>
      </c>
    </row>
    <row r="431" spans="1:7" x14ac:dyDescent="0.35">
      <c r="A431" t="e">
        <f ca="1"/>
        <v>#N/A</v>
      </c>
      <c r="B431" s="158" t="e">
        <f ca="1">VLOOKUP(A431,Generators!$A$2:$AZ$516,19,FALSE)</f>
        <v>#N/A</v>
      </c>
      <c r="C431" s="124" t="e">
        <f ca="1">VLOOKUP(A431,Generators!$A$2:$AZ$516,16,FALSE)</f>
        <v>#N/A</v>
      </c>
      <c r="D431" s="124" t="e">
        <f t="shared" ca="1" si="12"/>
        <v>#N/A</v>
      </c>
      <c r="E431" s="158" t="e">
        <f ca="1">IF(VLOOKUP(A431,Generators!$A$2:$AZ$516,20,FALSE)=0,"",VLOOKUP(A431,Generators!$A$2:$AZ$516,20,FALSE))</f>
        <v>#N/A</v>
      </c>
      <c r="F431" s="124" t="e">
        <f ca="1">IF(VLOOKUP(A431,Generators!$A$2:$AZ$516,17,FALSE)=0,"",VLOOKUP(A431,Generators!$A$2:$AZ$516,17,FALSE))</f>
        <v>#N/A</v>
      </c>
      <c r="G431" s="164" t="str">
        <f t="shared" ca="1" si="13"/>
        <v/>
      </c>
    </row>
    <row r="432" spans="1:7" x14ac:dyDescent="0.35">
      <c r="A432" t="e">
        <f ca="1"/>
        <v>#N/A</v>
      </c>
      <c r="B432" s="158" t="e">
        <f ca="1">VLOOKUP(A432,Generators!$A$2:$AZ$516,19,FALSE)</f>
        <v>#N/A</v>
      </c>
      <c r="C432" s="124" t="e">
        <f ca="1">VLOOKUP(A432,Generators!$A$2:$AZ$516,16,FALSE)</f>
        <v>#N/A</v>
      </c>
      <c r="D432" s="124" t="e">
        <f t="shared" ca="1" si="12"/>
        <v>#N/A</v>
      </c>
      <c r="E432" s="158" t="e">
        <f ca="1">IF(VLOOKUP(A432,Generators!$A$2:$AZ$516,20,FALSE)=0,"",VLOOKUP(A432,Generators!$A$2:$AZ$516,20,FALSE))</f>
        <v>#N/A</v>
      </c>
      <c r="F432" s="124" t="e">
        <f ca="1">IF(VLOOKUP(A432,Generators!$A$2:$AZ$516,17,FALSE)=0,"",VLOOKUP(A432,Generators!$A$2:$AZ$516,17,FALSE))</f>
        <v>#N/A</v>
      </c>
      <c r="G432" s="164" t="str">
        <f t="shared" ca="1" si="13"/>
        <v/>
      </c>
    </row>
    <row r="433" spans="1:7" x14ac:dyDescent="0.35">
      <c r="A433" t="e">
        <f ca="1"/>
        <v>#N/A</v>
      </c>
      <c r="B433" s="158" t="e">
        <f ca="1">VLOOKUP(A433,Generators!$A$2:$AZ$516,19,FALSE)</f>
        <v>#N/A</v>
      </c>
      <c r="C433" s="124" t="e">
        <f ca="1">VLOOKUP(A433,Generators!$A$2:$AZ$516,16,FALSE)</f>
        <v>#N/A</v>
      </c>
      <c r="D433" s="124" t="e">
        <f t="shared" ca="1" si="12"/>
        <v>#N/A</v>
      </c>
      <c r="E433" s="158" t="e">
        <f ca="1">IF(VLOOKUP(A433,Generators!$A$2:$AZ$516,20,FALSE)=0,"",VLOOKUP(A433,Generators!$A$2:$AZ$516,20,FALSE))</f>
        <v>#N/A</v>
      </c>
      <c r="F433" s="124" t="e">
        <f ca="1">IF(VLOOKUP(A433,Generators!$A$2:$AZ$516,17,FALSE)=0,"",VLOOKUP(A433,Generators!$A$2:$AZ$516,17,FALSE))</f>
        <v>#N/A</v>
      </c>
      <c r="G433" s="164" t="str">
        <f t="shared" ca="1" si="13"/>
        <v/>
      </c>
    </row>
    <row r="434" spans="1:7" x14ac:dyDescent="0.35">
      <c r="A434" t="e">
        <f ca="1"/>
        <v>#N/A</v>
      </c>
      <c r="B434" s="158" t="e">
        <f ca="1">VLOOKUP(A434,Generators!$A$2:$AZ$516,19,FALSE)</f>
        <v>#N/A</v>
      </c>
      <c r="C434" s="124" t="e">
        <f ca="1">VLOOKUP(A434,Generators!$A$2:$AZ$516,16,FALSE)</f>
        <v>#N/A</v>
      </c>
      <c r="D434" s="124" t="e">
        <f t="shared" ca="1" si="12"/>
        <v>#N/A</v>
      </c>
      <c r="E434" s="158" t="e">
        <f ca="1">IF(VLOOKUP(A434,Generators!$A$2:$AZ$516,20,FALSE)=0,"",VLOOKUP(A434,Generators!$A$2:$AZ$516,20,FALSE))</f>
        <v>#N/A</v>
      </c>
      <c r="F434" s="124" t="e">
        <f ca="1">IF(VLOOKUP(A434,Generators!$A$2:$AZ$516,17,FALSE)=0,"",VLOOKUP(A434,Generators!$A$2:$AZ$516,17,FALSE))</f>
        <v>#N/A</v>
      </c>
      <c r="G434" s="164" t="str">
        <f t="shared" ca="1" si="13"/>
        <v/>
      </c>
    </row>
    <row r="435" spans="1:7" x14ac:dyDescent="0.35">
      <c r="A435" t="e">
        <f ca="1"/>
        <v>#N/A</v>
      </c>
      <c r="B435" s="158" t="e">
        <f ca="1">VLOOKUP(A435,Generators!$A$2:$AZ$516,19,FALSE)</f>
        <v>#N/A</v>
      </c>
      <c r="C435" s="124" t="e">
        <f ca="1">VLOOKUP(A435,Generators!$A$2:$AZ$516,16,FALSE)</f>
        <v>#N/A</v>
      </c>
      <c r="D435" s="124" t="e">
        <f t="shared" ca="1" si="12"/>
        <v>#N/A</v>
      </c>
      <c r="E435" s="158" t="e">
        <f ca="1">IF(VLOOKUP(A435,Generators!$A$2:$AZ$516,20,FALSE)=0,"",VLOOKUP(A435,Generators!$A$2:$AZ$516,20,FALSE))</f>
        <v>#N/A</v>
      </c>
      <c r="F435" s="124" t="e">
        <f ca="1">IF(VLOOKUP(A435,Generators!$A$2:$AZ$516,17,FALSE)=0,"",VLOOKUP(A435,Generators!$A$2:$AZ$516,17,FALSE))</f>
        <v>#N/A</v>
      </c>
      <c r="G435" s="164" t="str">
        <f t="shared" ca="1" si="13"/>
        <v/>
      </c>
    </row>
    <row r="436" spans="1:7" x14ac:dyDescent="0.35">
      <c r="A436" t="e">
        <f ca="1"/>
        <v>#N/A</v>
      </c>
      <c r="B436" s="158" t="e">
        <f ca="1">VLOOKUP(A436,Generators!$A$2:$AZ$516,19,FALSE)</f>
        <v>#N/A</v>
      </c>
      <c r="C436" s="124" t="e">
        <f ca="1">VLOOKUP(A436,Generators!$A$2:$AZ$516,16,FALSE)</f>
        <v>#N/A</v>
      </c>
      <c r="D436" s="124" t="e">
        <f t="shared" ca="1" si="12"/>
        <v>#N/A</v>
      </c>
      <c r="E436" s="158" t="e">
        <f ca="1">IF(VLOOKUP(A436,Generators!$A$2:$AZ$516,20,FALSE)=0,"",VLOOKUP(A436,Generators!$A$2:$AZ$516,20,FALSE))</f>
        <v>#N/A</v>
      </c>
      <c r="F436" s="124" t="e">
        <f ca="1">IF(VLOOKUP(A436,Generators!$A$2:$AZ$516,17,FALSE)=0,"",VLOOKUP(A436,Generators!$A$2:$AZ$516,17,FALSE))</f>
        <v>#N/A</v>
      </c>
      <c r="G436" s="164" t="str">
        <f t="shared" ca="1" si="13"/>
        <v/>
      </c>
    </row>
    <row r="437" spans="1:7" x14ac:dyDescent="0.35">
      <c r="A437" t="e">
        <f ca="1"/>
        <v>#N/A</v>
      </c>
      <c r="B437" s="158" t="e">
        <f ca="1">VLOOKUP(A437,Generators!$A$2:$AZ$516,19,FALSE)</f>
        <v>#N/A</v>
      </c>
      <c r="C437" s="124" t="e">
        <f ca="1">VLOOKUP(A437,Generators!$A$2:$AZ$516,16,FALSE)</f>
        <v>#N/A</v>
      </c>
      <c r="D437" s="124" t="e">
        <f t="shared" ca="1" si="12"/>
        <v>#N/A</v>
      </c>
      <c r="E437" s="158" t="e">
        <f ca="1">IF(VLOOKUP(A437,Generators!$A$2:$AZ$516,20,FALSE)=0,"",VLOOKUP(A437,Generators!$A$2:$AZ$516,20,FALSE))</f>
        <v>#N/A</v>
      </c>
      <c r="F437" s="124" t="e">
        <f ca="1">IF(VLOOKUP(A437,Generators!$A$2:$AZ$516,17,FALSE)=0,"",VLOOKUP(A437,Generators!$A$2:$AZ$516,17,FALSE))</f>
        <v>#N/A</v>
      </c>
      <c r="G437" s="164" t="str">
        <f t="shared" ca="1" si="13"/>
        <v/>
      </c>
    </row>
    <row r="438" spans="1:7" x14ac:dyDescent="0.35">
      <c r="A438" t="e">
        <f ca="1"/>
        <v>#N/A</v>
      </c>
      <c r="B438" s="158" t="e">
        <f ca="1">VLOOKUP(A438,Generators!$A$2:$AZ$516,19,FALSE)</f>
        <v>#N/A</v>
      </c>
      <c r="C438" s="124" t="e">
        <f ca="1">VLOOKUP(A438,Generators!$A$2:$AZ$516,16,FALSE)</f>
        <v>#N/A</v>
      </c>
      <c r="D438" s="124" t="e">
        <f t="shared" ca="1" si="12"/>
        <v>#N/A</v>
      </c>
      <c r="E438" s="158" t="e">
        <f ca="1">IF(VLOOKUP(A438,Generators!$A$2:$AZ$516,20,FALSE)=0,"",VLOOKUP(A438,Generators!$A$2:$AZ$516,20,FALSE))</f>
        <v>#N/A</v>
      </c>
      <c r="F438" s="124" t="e">
        <f ca="1">IF(VLOOKUP(A438,Generators!$A$2:$AZ$516,17,FALSE)=0,"",VLOOKUP(A438,Generators!$A$2:$AZ$516,17,FALSE))</f>
        <v>#N/A</v>
      </c>
      <c r="G438" s="164" t="str">
        <f t="shared" ca="1" si="13"/>
        <v/>
      </c>
    </row>
    <row r="439" spans="1:7" x14ac:dyDescent="0.35">
      <c r="A439" t="e">
        <f ca="1"/>
        <v>#N/A</v>
      </c>
      <c r="B439" s="158" t="e">
        <f ca="1">VLOOKUP(A439,Generators!$A$2:$AZ$516,19,FALSE)</f>
        <v>#N/A</v>
      </c>
      <c r="C439" s="124" t="e">
        <f ca="1">VLOOKUP(A439,Generators!$A$2:$AZ$516,16,FALSE)</f>
        <v>#N/A</v>
      </c>
      <c r="D439" s="124" t="e">
        <f t="shared" ca="1" si="12"/>
        <v>#N/A</v>
      </c>
      <c r="E439" s="158" t="e">
        <f ca="1">IF(VLOOKUP(A439,Generators!$A$2:$AZ$516,20,FALSE)=0,"",VLOOKUP(A439,Generators!$A$2:$AZ$516,20,FALSE))</f>
        <v>#N/A</v>
      </c>
      <c r="F439" s="124" t="e">
        <f ca="1">IF(VLOOKUP(A439,Generators!$A$2:$AZ$516,17,FALSE)=0,"",VLOOKUP(A439,Generators!$A$2:$AZ$516,17,FALSE))</f>
        <v>#N/A</v>
      </c>
      <c r="G439" s="164" t="str">
        <f t="shared" ca="1" si="13"/>
        <v/>
      </c>
    </row>
    <row r="440" spans="1:7" x14ac:dyDescent="0.35">
      <c r="A440" t="e">
        <f ca="1"/>
        <v>#N/A</v>
      </c>
      <c r="B440" s="158" t="e">
        <f ca="1">VLOOKUP(A440,Generators!$A$2:$AZ$516,19,FALSE)</f>
        <v>#N/A</v>
      </c>
      <c r="C440" s="124" t="e">
        <f ca="1">VLOOKUP(A440,Generators!$A$2:$AZ$516,16,FALSE)</f>
        <v>#N/A</v>
      </c>
      <c r="D440" s="124" t="e">
        <f t="shared" ca="1" si="12"/>
        <v>#N/A</v>
      </c>
      <c r="E440" s="158" t="e">
        <f ca="1">IF(VLOOKUP(A440,Generators!$A$2:$AZ$516,20,FALSE)=0,"",VLOOKUP(A440,Generators!$A$2:$AZ$516,20,FALSE))</f>
        <v>#N/A</v>
      </c>
      <c r="F440" s="124" t="e">
        <f ca="1">IF(VLOOKUP(A440,Generators!$A$2:$AZ$516,17,FALSE)=0,"",VLOOKUP(A440,Generators!$A$2:$AZ$516,17,FALSE))</f>
        <v>#N/A</v>
      </c>
      <c r="G440" s="164" t="str">
        <f t="shared" ca="1" si="13"/>
        <v/>
      </c>
    </row>
    <row r="441" spans="1:7" x14ac:dyDescent="0.35">
      <c r="A441" t="e">
        <f ca="1"/>
        <v>#N/A</v>
      </c>
      <c r="B441" s="158" t="e">
        <f ca="1">VLOOKUP(A441,Generators!$A$2:$AZ$516,19,FALSE)</f>
        <v>#N/A</v>
      </c>
      <c r="C441" s="124" t="e">
        <f ca="1">VLOOKUP(A441,Generators!$A$2:$AZ$516,16,FALSE)</f>
        <v>#N/A</v>
      </c>
      <c r="D441" s="124" t="e">
        <f t="shared" ca="1" si="12"/>
        <v>#N/A</v>
      </c>
      <c r="E441" s="158" t="e">
        <f ca="1">IF(VLOOKUP(A441,Generators!$A$2:$AZ$516,20,FALSE)=0,"",VLOOKUP(A441,Generators!$A$2:$AZ$516,20,FALSE))</f>
        <v>#N/A</v>
      </c>
      <c r="F441" s="124" t="e">
        <f ca="1">IF(VLOOKUP(A441,Generators!$A$2:$AZ$516,17,FALSE)=0,"",VLOOKUP(A441,Generators!$A$2:$AZ$516,17,FALSE))</f>
        <v>#N/A</v>
      </c>
      <c r="G441" s="164" t="str">
        <f t="shared" ca="1" si="13"/>
        <v/>
      </c>
    </row>
    <row r="442" spans="1:7" x14ac:dyDescent="0.35">
      <c r="A442" t="e">
        <f ca="1"/>
        <v>#N/A</v>
      </c>
      <c r="B442" s="158" t="e">
        <f ca="1">VLOOKUP(A442,Generators!$A$2:$AZ$516,19,FALSE)</f>
        <v>#N/A</v>
      </c>
      <c r="C442" s="124" t="e">
        <f ca="1">VLOOKUP(A442,Generators!$A$2:$AZ$516,16,FALSE)</f>
        <v>#N/A</v>
      </c>
      <c r="D442" s="124" t="e">
        <f t="shared" ca="1" si="12"/>
        <v>#N/A</v>
      </c>
      <c r="E442" s="158" t="e">
        <f ca="1">IF(VLOOKUP(A442,Generators!$A$2:$AZ$516,20,FALSE)=0,"",VLOOKUP(A442,Generators!$A$2:$AZ$516,20,FALSE))</f>
        <v>#N/A</v>
      </c>
      <c r="F442" s="124" t="e">
        <f ca="1">IF(VLOOKUP(A442,Generators!$A$2:$AZ$516,17,FALSE)=0,"",VLOOKUP(A442,Generators!$A$2:$AZ$516,17,FALSE))</f>
        <v>#N/A</v>
      </c>
      <c r="G442" s="164" t="str">
        <f t="shared" ca="1" si="13"/>
        <v/>
      </c>
    </row>
    <row r="443" spans="1:7" x14ac:dyDescent="0.35">
      <c r="A443" t="e">
        <f ca="1"/>
        <v>#N/A</v>
      </c>
      <c r="B443" s="158" t="e">
        <f ca="1">VLOOKUP(A443,Generators!$A$2:$AZ$516,19,FALSE)</f>
        <v>#N/A</v>
      </c>
      <c r="C443" s="124" t="e">
        <f ca="1">VLOOKUP(A443,Generators!$A$2:$AZ$516,16,FALSE)</f>
        <v>#N/A</v>
      </c>
      <c r="D443" s="124" t="e">
        <f t="shared" ca="1" si="12"/>
        <v>#N/A</v>
      </c>
      <c r="E443" s="158" t="e">
        <f ca="1">IF(VLOOKUP(A443,Generators!$A$2:$AZ$516,20,FALSE)=0,"",VLOOKUP(A443,Generators!$A$2:$AZ$516,20,FALSE))</f>
        <v>#N/A</v>
      </c>
      <c r="F443" s="124" t="e">
        <f ca="1">IF(VLOOKUP(A443,Generators!$A$2:$AZ$516,17,FALSE)=0,"",VLOOKUP(A443,Generators!$A$2:$AZ$516,17,FALSE))</f>
        <v>#N/A</v>
      </c>
      <c r="G443" s="164" t="str">
        <f t="shared" ca="1" si="13"/>
        <v/>
      </c>
    </row>
    <row r="444" spans="1:7" x14ac:dyDescent="0.35">
      <c r="A444" t="e">
        <f ca="1"/>
        <v>#N/A</v>
      </c>
      <c r="B444" s="158" t="e">
        <f ca="1">VLOOKUP(A444,Generators!$A$2:$AZ$516,19,FALSE)</f>
        <v>#N/A</v>
      </c>
      <c r="C444" s="124" t="e">
        <f ca="1">VLOOKUP(A444,Generators!$A$2:$AZ$516,16,FALSE)</f>
        <v>#N/A</v>
      </c>
      <c r="D444" s="124" t="e">
        <f t="shared" ca="1" si="12"/>
        <v>#N/A</v>
      </c>
      <c r="E444" s="158" t="e">
        <f ca="1">IF(VLOOKUP(A444,Generators!$A$2:$AZ$516,20,FALSE)=0,"",VLOOKUP(A444,Generators!$A$2:$AZ$516,20,FALSE))</f>
        <v>#N/A</v>
      </c>
      <c r="F444" s="124" t="e">
        <f ca="1">IF(VLOOKUP(A444,Generators!$A$2:$AZ$516,17,FALSE)=0,"",VLOOKUP(A444,Generators!$A$2:$AZ$516,17,FALSE))</f>
        <v>#N/A</v>
      </c>
      <c r="G444" s="164" t="str">
        <f t="shared" ca="1" si="13"/>
        <v/>
      </c>
    </row>
    <row r="445" spans="1:7" x14ac:dyDescent="0.35">
      <c r="A445" t="e">
        <f ca="1"/>
        <v>#N/A</v>
      </c>
      <c r="B445" s="158" t="e">
        <f ca="1">VLOOKUP(A445,Generators!$A$2:$AZ$516,19,FALSE)</f>
        <v>#N/A</v>
      </c>
      <c r="C445" s="124" t="e">
        <f ca="1">VLOOKUP(A445,Generators!$A$2:$AZ$516,16,FALSE)</f>
        <v>#N/A</v>
      </c>
      <c r="D445" s="124" t="e">
        <f t="shared" ca="1" si="12"/>
        <v>#N/A</v>
      </c>
      <c r="E445" s="158" t="e">
        <f ca="1">IF(VLOOKUP(A445,Generators!$A$2:$AZ$516,20,FALSE)=0,"",VLOOKUP(A445,Generators!$A$2:$AZ$516,20,FALSE))</f>
        <v>#N/A</v>
      </c>
      <c r="F445" s="124" t="e">
        <f ca="1">IF(VLOOKUP(A445,Generators!$A$2:$AZ$516,17,FALSE)=0,"",VLOOKUP(A445,Generators!$A$2:$AZ$516,17,FALSE))</f>
        <v>#N/A</v>
      </c>
      <c r="G445" s="164" t="str">
        <f t="shared" ca="1" si="13"/>
        <v/>
      </c>
    </row>
    <row r="446" spans="1:7" x14ac:dyDescent="0.35">
      <c r="A446" t="e">
        <f ca="1"/>
        <v>#N/A</v>
      </c>
      <c r="B446" s="158" t="e">
        <f ca="1">VLOOKUP(A446,Generators!$A$2:$AZ$516,19,FALSE)</f>
        <v>#N/A</v>
      </c>
      <c r="C446" s="124" t="e">
        <f ca="1">VLOOKUP(A446,Generators!$A$2:$AZ$516,16,FALSE)</f>
        <v>#N/A</v>
      </c>
      <c r="D446" s="124" t="e">
        <f t="shared" ca="1" si="12"/>
        <v>#N/A</v>
      </c>
      <c r="E446" s="158" t="e">
        <f ca="1">IF(VLOOKUP(A446,Generators!$A$2:$AZ$516,20,FALSE)=0,"",VLOOKUP(A446,Generators!$A$2:$AZ$516,20,FALSE))</f>
        <v>#N/A</v>
      </c>
      <c r="F446" s="124" t="e">
        <f ca="1">IF(VLOOKUP(A446,Generators!$A$2:$AZ$516,17,FALSE)=0,"",VLOOKUP(A446,Generators!$A$2:$AZ$516,17,FALSE))</f>
        <v>#N/A</v>
      </c>
      <c r="G446" s="164" t="str">
        <f t="shared" ca="1" si="13"/>
        <v/>
      </c>
    </row>
    <row r="447" spans="1:7" x14ac:dyDescent="0.35">
      <c r="A447" t="e">
        <f ca="1"/>
        <v>#N/A</v>
      </c>
      <c r="B447" s="158" t="e">
        <f ca="1">VLOOKUP(A447,Generators!$A$2:$AZ$516,19,FALSE)</f>
        <v>#N/A</v>
      </c>
      <c r="C447" s="124" t="e">
        <f ca="1">VLOOKUP(A447,Generators!$A$2:$AZ$516,16,FALSE)</f>
        <v>#N/A</v>
      </c>
      <c r="D447" s="124" t="e">
        <f t="shared" ca="1" si="12"/>
        <v>#N/A</v>
      </c>
      <c r="E447" s="158" t="e">
        <f ca="1">IF(VLOOKUP(A447,Generators!$A$2:$AZ$516,20,FALSE)=0,"",VLOOKUP(A447,Generators!$A$2:$AZ$516,20,FALSE))</f>
        <v>#N/A</v>
      </c>
      <c r="F447" s="124" t="e">
        <f ca="1">IF(VLOOKUP(A447,Generators!$A$2:$AZ$516,17,FALSE)=0,"",VLOOKUP(A447,Generators!$A$2:$AZ$516,17,FALSE))</f>
        <v>#N/A</v>
      </c>
      <c r="G447" s="164" t="str">
        <f t="shared" ca="1" si="13"/>
        <v/>
      </c>
    </row>
    <row r="448" spans="1:7" x14ac:dyDescent="0.35">
      <c r="A448" t="e">
        <f ca="1"/>
        <v>#N/A</v>
      </c>
      <c r="B448" s="158" t="e">
        <f ca="1">VLOOKUP(A448,Generators!$A$2:$AZ$516,19,FALSE)</f>
        <v>#N/A</v>
      </c>
      <c r="C448" s="124" t="e">
        <f ca="1">VLOOKUP(A448,Generators!$A$2:$AZ$516,16,FALSE)</f>
        <v>#N/A</v>
      </c>
      <c r="D448" s="124" t="e">
        <f t="shared" ca="1" si="12"/>
        <v>#N/A</v>
      </c>
      <c r="E448" s="158" t="e">
        <f ca="1">IF(VLOOKUP(A448,Generators!$A$2:$AZ$516,20,FALSE)=0,"",VLOOKUP(A448,Generators!$A$2:$AZ$516,20,FALSE))</f>
        <v>#N/A</v>
      </c>
      <c r="F448" s="124" t="e">
        <f ca="1">IF(VLOOKUP(A448,Generators!$A$2:$AZ$516,17,FALSE)=0,"",VLOOKUP(A448,Generators!$A$2:$AZ$516,17,FALSE))</f>
        <v>#N/A</v>
      </c>
      <c r="G448" s="164" t="str">
        <f t="shared" ca="1" si="13"/>
        <v/>
      </c>
    </row>
    <row r="449" spans="1:7" x14ac:dyDescent="0.35">
      <c r="A449" t="e">
        <f ca="1"/>
        <v>#N/A</v>
      </c>
      <c r="B449" s="158" t="e">
        <f ca="1">VLOOKUP(A449,Generators!$A$2:$AZ$516,19,FALSE)</f>
        <v>#N/A</v>
      </c>
      <c r="C449" s="124" t="e">
        <f ca="1">VLOOKUP(A449,Generators!$A$2:$AZ$516,16,FALSE)</f>
        <v>#N/A</v>
      </c>
      <c r="D449" s="124" t="e">
        <f t="shared" ca="1" si="12"/>
        <v>#N/A</v>
      </c>
      <c r="E449" s="158" t="e">
        <f ca="1">IF(VLOOKUP(A449,Generators!$A$2:$AZ$516,20,FALSE)=0,"",VLOOKUP(A449,Generators!$A$2:$AZ$516,20,FALSE))</f>
        <v>#N/A</v>
      </c>
      <c r="F449" s="124" t="e">
        <f ca="1">IF(VLOOKUP(A449,Generators!$A$2:$AZ$516,17,FALSE)=0,"",VLOOKUP(A449,Generators!$A$2:$AZ$516,17,FALSE))</f>
        <v>#N/A</v>
      </c>
      <c r="G449" s="164" t="str">
        <f t="shared" ca="1" si="13"/>
        <v/>
      </c>
    </row>
    <row r="450" spans="1:7" x14ac:dyDescent="0.35">
      <c r="A450" t="e">
        <f ca="1"/>
        <v>#N/A</v>
      </c>
      <c r="B450" s="158" t="e">
        <f ca="1">VLOOKUP(A450,Generators!$A$2:$AZ$516,19,FALSE)</f>
        <v>#N/A</v>
      </c>
      <c r="C450" s="124" t="e">
        <f ca="1">VLOOKUP(A450,Generators!$A$2:$AZ$516,16,FALSE)</f>
        <v>#N/A</v>
      </c>
      <c r="D450" s="124" t="e">
        <f t="shared" ref="D450:D500" ca="1" si="14">ROUND(B450/C450,0)</f>
        <v>#N/A</v>
      </c>
      <c r="E450" s="158" t="e">
        <f ca="1">IF(VLOOKUP(A450,Generators!$A$2:$AZ$516,20,FALSE)=0,"",VLOOKUP(A450,Generators!$A$2:$AZ$516,20,FALSE))</f>
        <v>#N/A</v>
      </c>
      <c r="F450" s="124" t="e">
        <f ca="1">IF(VLOOKUP(A450,Generators!$A$2:$AZ$516,17,FALSE)=0,"",VLOOKUP(A450,Generators!$A$2:$AZ$516,17,FALSE))</f>
        <v>#N/A</v>
      </c>
      <c r="G450" s="164" t="str">
        <f t="shared" ca="1" si="13"/>
        <v/>
      </c>
    </row>
    <row r="451" spans="1:7" x14ac:dyDescent="0.35">
      <c r="A451" t="e">
        <f ca="1"/>
        <v>#N/A</v>
      </c>
      <c r="B451" s="158" t="e">
        <f ca="1">VLOOKUP(A451,Generators!$A$2:$AZ$516,19,FALSE)</f>
        <v>#N/A</v>
      </c>
      <c r="C451" s="124" t="e">
        <f ca="1">VLOOKUP(A451,Generators!$A$2:$AZ$516,16,FALSE)</f>
        <v>#N/A</v>
      </c>
      <c r="D451" s="124" t="e">
        <f t="shared" ca="1" si="14"/>
        <v>#N/A</v>
      </c>
      <c r="E451" s="158" t="e">
        <f ca="1">IF(VLOOKUP(A451,Generators!$A$2:$AZ$516,20,FALSE)=0,"",VLOOKUP(A451,Generators!$A$2:$AZ$516,20,FALSE))</f>
        <v>#N/A</v>
      </c>
      <c r="F451" s="124" t="e">
        <f ca="1">IF(VLOOKUP(A451,Generators!$A$2:$AZ$516,17,FALSE)=0,"",VLOOKUP(A451,Generators!$A$2:$AZ$516,17,FALSE))</f>
        <v>#N/A</v>
      </c>
      <c r="G451" s="164" t="str">
        <f t="shared" ref="G451:G500" ca="1" si="15">IFERROR(E451/F451,"")</f>
        <v/>
      </c>
    </row>
    <row r="452" spans="1:7" x14ac:dyDescent="0.35">
      <c r="A452" t="e">
        <f ca="1"/>
        <v>#N/A</v>
      </c>
      <c r="B452" s="158" t="e">
        <f ca="1">VLOOKUP(A452,Generators!$A$2:$AZ$516,19,FALSE)</f>
        <v>#N/A</v>
      </c>
      <c r="C452" s="124" t="e">
        <f ca="1">VLOOKUP(A452,Generators!$A$2:$AZ$516,16,FALSE)</f>
        <v>#N/A</v>
      </c>
      <c r="D452" s="124" t="e">
        <f t="shared" ca="1" si="14"/>
        <v>#N/A</v>
      </c>
      <c r="E452" s="158" t="e">
        <f ca="1">IF(VLOOKUP(A452,Generators!$A$2:$AZ$516,20,FALSE)=0,"",VLOOKUP(A452,Generators!$A$2:$AZ$516,20,FALSE))</f>
        <v>#N/A</v>
      </c>
      <c r="F452" s="124" t="e">
        <f ca="1">IF(VLOOKUP(A452,Generators!$A$2:$AZ$516,17,FALSE)=0,"",VLOOKUP(A452,Generators!$A$2:$AZ$516,17,FALSE))</f>
        <v>#N/A</v>
      </c>
      <c r="G452" s="164" t="str">
        <f t="shared" ca="1" si="15"/>
        <v/>
      </c>
    </row>
    <row r="453" spans="1:7" x14ac:dyDescent="0.35">
      <c r="A453" t="e">
        <f ca="1"/>
        <v>#N/A</v>
      </c>
      <c r="B453" s="158" t="e">
        <f ca="1">VLOOKUP(A453,Generators!$A$2:$AZ$516,19,FALSE)</f>
        <v>#N/A</v>
      </c>
      <c r="C453" s="124" t="e">
        <f ca="1">VLOOKUP(A453,Generators!$A$2:$AZ$516,16,FALSE)</f>
        <v>#N/A</v>
      </c>
      <c r="D453" s="124" t="e">
        <f t="shared" ca="1" si="14"/>
        <v>#N/A</v>
      </c>
      <c r="E453" s="158" t="e">
        <f ca="1">IF(VLOOKUP(A453,Generators!$A$2:$AZ$516,20,FALSE)=0,"",VLOOKUP(A453,Generators!$A$2:$AZ$516,20,FALSE))</f>
        <v>#N/A</v>
      </c>
      <c r="F453" s="124" t="e">
        <f ca="1">IF(VLOOKUP(A453,Generators!$A$2:$AZ$516,17,FALSE)=0,"",VLOOKUP(A453,Generators!$A$2:$AZ$516,17,FALSE))</f>
        <v>#N/A</v>
      </c>
      <c r="G453" s="164" t="str">
        <f t="shared" ca="1" si="15"/>
        <v/>
      </c>
    </row>
    <row r="454" spans="1:7" x14ac:dyDescent="0.35">
      <c r="A454" t="e">
        <f ca="1"/>
        <v>#N/A</v>
      </c>
      <c r="B454" s="158" t="e">
        <f ca="1">VLOOKUP(A454,Generators!$A$2:$AZ$516,19,FALSE)</f>
        <v>#N/A</v>
      </c>
      <c r="C454" s="124" t="e">
        <f ca="1">VLOOKUP(A454,Generators!$A$2:$AZ$516,16,FALSE)</f>
        <v>#N/A</v>
      </c>
      <c r="D454" s="124" t="e">
        <f t="shared" ca="1" si="14"/>
        <v>#N/A</v>
      </c>
      <c r="E454" s="158" t="e">
        <f ca="1">IF(VLOOKUP(A454,Generators!$A$2:$AZ$516,20,FALSE)=0,"",VLOOKUP(A454,Generators!$A$2:$AZ$516,20,FALSE))</f>
        <v>#N/A</v>
      </c>
      <c r="F454" s="124" t="e">
        <f ca="1">IF(VLOOKUP(A454,Generators!$A$2:$AZ$516,17,FALSE)=0,"",VLOOKUP(A454,Generators!$A$2:$AZ$516,17,FALSE))</f>
        <v>#N/A</v>
      </c>
      <c r="G454" s="164" t="str">
        <f t="shared" ca="1" si="15"/>
        <v/>
      </c>
    </row>
    <row r="455" spans="1:7" x14ac:dyDescent="0.35">
      <c r="A455" t="e">
        <f ca="1"/>
        <v>#N/A</v>
      </c>
      <c r="B455" s="158" t="e">
        <f ca="1">VLOOKUP(A455,Generators!$A$2:$AZ$516,19,FALSE)</f>
        <v>#N/A</v>
      </c>
      <c r="C455" s="124" t="e">
        <f ca="1">VLOOKUP(A455,Generators!$A$2:$AZ$516,16,FALSE)</f>
        <v>#N/A</v>
      </c>
      <c r="D455" s="124" t="e">
        <f t="shared" ca="1" si="14"/>
        <v>#N/A</v>
      </c>
      <c r="E455" s="158" t="e">
        <f ca="1">IF(VLOOKUP(A455,Generators!$A$2:$AZ$516,20,FALSE)=0,"",VLOOKUP(A455,Generators!$A$2:$AZ$516,20,FALSE))</f>
        <v>#N/A</v>
      </c>
      <c r="F455" s="124" t="e">
        <f ca="1">IF(VLOOKUP(A455,Generators!$A$2:$AZ$516,17,FALSE)=0,"",VLOOKUP(A455,Generators!$A$2:$AZ$516,17,FALSE))</f>
        <v>#N/A</v>
      </c>
      <c r="G455" s="164" t="str">
        <f t="shared" ca="1" si="15"/>
        <v/>
      </c>
    </row>
    <row r="456" spans="1:7" x14ac:dyDescent="0.35">
      <c r="A456" t="e">
        <f ca="1"/>
        <v>#N/A</v>
      </c>
      <c r="B456" s="158" t="e">
        <f ca="1">VLOOKUP(A456,Generators!$A$2:$AZ$516,19,FALSE)</f>
        <v>#N/A</v>
      </c>
      <c r="C456" s="124" t="e">
        <f ca="1">VLOOKUP(A456,Generators!$A$2:$AZ$516,16,FALSE)</f>
        <v>#N/A</v>
      </c>
      <c r="D456" s="124" t="e">
        <f t="shared" ca="1" si="14"/>
        <v>#N/A</v>
      </c>
      <c r="E456" s="158" t="e">
        <f ca="1">IF(VLOOKUP(A456,Generators!$A$2:$AZ$516,20,FALSE)=0,"",VLOOKUP(A456,Generators!$A$2:$AZ$516,20,FALSE))</f>
        <v>#N/A</v>
      </c>
      <c r="F456" s="124" t="e">
        <f ca="1">IF(VLOOKUP(A456,Generators!$A$2:$AZ$516,17,FALSE)=0,"",VLOOKUP(A456,Generators!$A$2:$AZ$516,17,FALSE))</f>
        <v>#N/A</v>
      </c>
      <c r="G456" s="164" t="str">
        <f t="shared" ca="1" si="15"/>
        <v/>
      </c>
    </row>
    <row r="457" spans="1:7" x14ac:dyDescent="0.35">
      <c r="A457" t="e">
        <f ca="1"/>
        <v>#N/A</v>
      </c>
      <c r="B457" s="158" t="e">
        <f ca="1">VLOOKUP(A457,Generators!$A$2:$AZ$516,19,FALSE)</f>
        <v>#N/A</v>
      </c>
      <c r="C457" s="124" t="e">
        <f ca="1">VLOOKUP(A457,Generators!$A$2:$AZ$516,16,FALSE)</f>
        <v>#N/A</v>
      </c>
      <c r="D457" s="124" t="e">
        <f t="shared" ca="1" si="14"/>
        <v>#N/A</v>
      </c>
      <c r="E457" s="158" t="e">
        <f ca="1">IF(VLOOKUP(A457,Generators!$A$2:$AZ$516,20,FALSE)=0,"",VLOOKUP(A457,Generators!$A$2:$AZ$516,20,FALSE))</f>
        <v>#N/A</v>
      </c>
      <c r="F457" s="124" t="e">
        <f ca="1">IF(VLOOKUP(A457,Generators!$A$2:$AZ$516,17,FALSE)=0,"",VLOOKUP(A457,Generators!$A$2:$AZ$516,17,FALSE))</f>
        <v>#N/A</v>
      </c>
      <c r="G457" s="164" t="str">
        <f t="shared" ca="1" si="15"/>
        <v/>
      </c>
    </row>
    <row r="458" spans="1:7" x14ac:dyDescent="0.35">
      <c r="A458" t="e">
        <f ca="1"/>
        <v>#N/A</v>
      </c>
      <c r="B458" s="158" t="e">
        <f ca="1">VLOOKUP(A458,Generators!$A$2:$AZ$516,19,FALSE)</f>
        <v>#N/A</v>
      </c>
      <c r="C458" s="124" t="e">
        <f ca="1">VLOOKUP(A458,Generators!$A$2:$AZ$516,16,FALSE)</f>
        <v>#N/A</v>
      </c>
      <c r="D458" s="124" t="e">
        <f t="shared" ca="1" si="14"/>
        <v>#N/A</v>
      </c>
      <c r="E458" s="158" t="e">
        <f ca="1">IF(VLOOKUP(A458,Generators!$A$2:$AZ$516,20,FALSE)=0,"",VLOOKUP(A458,Generators!$A$2:$AZ$516,20,FALSE))</f>
        <v>#N/A</v>
      </c>
      <c r="F458" s="124" t="e">
        <f ca="1">IF(VLOOKUP(A458,Generators!$A$2:$AZ$516,17,FALSE)=0,"",VLOOKUP(A458,Generators!$A$2:$AZ$516,17,FALSE))</f>
        <v>#N/A</v>
      </c>
      <c r="G458" s="164" t="str">
        <f t="shared" ca="1" si="15"/>
        <v/>
      </c>
    </row>
    <row r="459" spans="1:7" x14ac:dyDescent="0.35">
      <c r="A459" t="e">
        <f ca="1"/>
        <v>#N/A</v>
      </c>
      <c r="B459" s="158" t="e">
        <f ca="1">VLOOKUP(A459,Generators!$A$2:$AZ$516,19,FALSE)</f>
        <v>#N/A</v>
      </c>
      <c r="C459" s="124" t="e">
        <f ca="1">VLOOKUP(A459,Generators!$A$2:$AZ$516,16,FALSE)</f>
        <v>#N/A</v>
      </c>
      <c r="D459" s="124" t="e">
        <f t="shared" ca="1" si="14"/>
        <v>#N/A</v>
      </c>
      <c r="E459" s="158" t="e">
        <f ca="1">IF(VLOOKUP(A459,Generators!$A$2:$AZ$516,20,FALSE)=0,"",VLOOKUP(A459,Generators!$A$2:$AZ$516,20,FALSE))</f>
        <v>#N/A</v>
      </c>
      <c r="F459" s="124" t="e">
        <f ca="1">IF(VLOOKUP(A459,Generators!$A$2:$AZ$516,17,FALSE)=0,"",VLOOKUP(A459,Generators!$A$2:$AZ$516,17,FALSE))</f>
        <v>#N/A</v>
      </c>
      <c r="G459" s="164" t="str">
        <f t="shared" ca="1" si="15"/>
        <v/>
      </c>
    </row>
    <row r="460" spans="1:7" x14ac:dyDescent="0.35">
      <c r="A460" t="e">
        <f ca="1"/>
        <v>#N/A</v>
      </c>
      <c r="B460" s="158" t="e">
        <f ca="1">VLOOKUP(A460,Generators!$A$2:$AZ$516,19,FALSE)</f>
        <v>#N/A</v>
      </c>
      <c r="C460" s="124" t="e">
        <f ca="1">VLOOKUP(A460,Generators!$A$2:$AZ$516,16,FALSE)</f>
        <v>#N/A</v>
      </c>
      <c r="D460" s="124" t="e">
        <f t="shared" ca="1" si="14"/>
        <v>#N/A</v>
      </c>
      <c r="E460" s="158" t="e">
        <f ca="1">IF(VLOOKUP(A460,Generators!$A$2:$AZ$516,20,FALSE)=0,"",VLOOKUP(A460,Generators!$A$2:$AZ$516,20,FALSE))</f>
        <v>#N/A</v>
      </c>
      <c r="F460" s="124" t="e">
        <f ca="1">IF(VLOOKUP(A460,Generators!$A$2:$AZ$516,17,FALSE)=0,"",VLOOKUP(A460,Generators!$A$2:$AZ$516,17,FALSE))</f>
        <v>#N/A</v>
      </c>
      <c r="G460" s="164" t="str">
        <f t="shared" ca="1" si="15"/>
        <v/>
      </c>
    </row>
    <row r="461" spans="1:7" x14ac:dyDescent="0.35">
      <c r="A461" t="e">
        <f ca="1"/>
        <v>#N/A</v>
      </c>
      <c r="B461" s="158" t="e">
        <f ca="1">VLOOKUP(A461,Generators!$A$2:$AZ$516,19,FALSE)</f>
        <v>#N/A</v>
      </c>
      <c r="C461" s="124" t="e">
        <f ca="1">VLOOKUP(A461,Generators!$A$2:$AZ$516,16,FALSE)</f>
        <v>#N/A</v>
      </c>
      <c r="D461" s="124" t="e">
        <f t="shared" ca="1" si="14"/>
        <v>#N/A</v>
      </c>
      <c r="E461" s="158" t="e">
        <f ca="1">IF(VLOOKUP(A461,Generators!$A$2:$AZ$516,20,FALSE)=0,"",VLOOKUP(A461,Generators!$A$2:$AZ$516,20,FALSE))</f>
        <v>#N/A</v>
      </c>
      <c r="F461" s="124" t="e">
        <f ca="1">IF(VLOOKUP(A461,Generators!$A$2:$AZ$516,17,FALSE)=0,"",VLOOKUP(A461,Generators!$A$2:$AZ$516,17,FALSE))</f>
        <v>#N/A</v>
      </c>
      <c r="G461" s="164" t="str">
        <f t="shared" ca="1" si="15"/>
        <v/>
      </c>
    </row>
    <row r="462" spans="1:7" x14ac:dyDescent="0.35">
      <c r="A462" t="e">
        <f ca="1"/>
        <v>#N/A</v>
      </c>
      <c r="B462" s="158" t="e">
        <f ca="1">VLOOKUP(A462,Generators!$A$2:$AZ$516,19,FALSE)</f>
        <v>#N/A</v>
      </c>
      <c r="C462" s="124" t="e">
        <f ca="1">VLOOKUP(A462,Generators!$A$2:$AZ$516,16,FALSE)</f>
        <v>#N/A</v>
      </c>
      <c r="D462" s="124" t="e">
        <f t="shared" ca="1" si="14"/>
        <v>#N/A</v>
      </c>
      <c r="E462" s="158" t="e">
        <f ca="1">IF(VLOOKUP(A462,Generators!$A$2:$AZ$516,20,FALSE)=0,"",VLOOKUP(A462,Generators!$A$2:$AZ$516,20,FALSE))</f>
        <v>#N/A</v>
      </c>
      <c r="F462" s="124" t="e">
        <f ca="1">IF(VLOOKUP(A462,Generators!$A$2:$AZ$516,17,FALSE)=0,"",VLOOKUP(A462,Generators!$A$2:$AZ$516,17,FALSE))</f>
        <v>#N/A</v>
      </c>
      <c r="G462" s="164" t="str">
        <f t="shared" ca="1" si="15"/>
        <v/>
      </c>
    </row>
    <row r="463" spans="1:7" x14ac:dyDescent="0.35">
      <c r="A463" t="e">
        <f ca="1"/>
        <v>#N/A</v>
      </c>
      <c r="B463" s="158" t="e">
        <f ca="1">VLOOKUP(A463,Generators!$A$2:$AZ$516,19,FALSE)</f>
        <v>#N/A</v>
      </c>
      <c r="C463" s="124" t="e">
        <f ca="1">VLOOKUP(A463,Generators!$A$2:$AZ$516,16,FALSE)</f>
        <v>#N/A</v>
      </c>
      <c r="D463" s="124" t="e">
        <f t="shared" ca="1" si="14"/>
        <v>#N/A</v>
      </c>
      <c r="E463" s="158" t="e">
        <f ca="1">IF(VLOOKUP(A463,Generators!$A$2:$AZ$516,20,FALSE)=0,"",VLOOKUP(A463,Generators!$A$2:$AZ$516,20,FALSE))</f>
        <v>#N/A</v>
      </c>
      <c r="F463" s="124" t="e">
        <f ca="1">IF(VLOOKUP(A463,Generators!$A$2:$AZ$516,17,FALSE)=0,"",VLOOKUP(A463,Generators!$A$2:$AZ$516,17,FALSE))</f>
        <v>#N/A</v>
      </c>
      <c r="G463" s="164" t="str">
        <f t="shared" ca="1" si="15"/>
        <v/>
      </c>
    </row>
    <row r="464" spans="1:7" x14ac:dyDescent="0.35">
      <c r="A464" t="e">
        <f ca="1"/>
        <v>#N/A</v>
      </c>
      <c r="B464" s="158" t="e">
        <f ca="1">VLOOKUP(A464,Generators!$A$2:$AZ$516,19,FALSE)</f>
        <v>#N/A</v>
      </c>
      <c r="C464" s="124" t="e">
        <f ca="1">VLOOKUP(A464,Generators!$A$2:$AZ$516,16,FALSE)</f>
        <v>#N/A</v>
      </c>
      <c r="D464" s="124" t="e">
        <f t="shared" ca="1" si="14"/>
        <v>#N/A</v>
      </c>
      <c r="E464" s="158" t="e">
        <f ca="1">IF(VLOOKUP(A464,Generators!$A$2:$AZ$516,20,FALSE)=0,"",VLOOKUP(A464,Generators!$A$2:$AZ$516,20,FALSE))</f>
        <v>#N/A</v>
      </c>
      <c r="F464" s="124" t="e">
        <f ca="1">IF(VLOOKUP(A464,Generators!$A$2:$AZ$516,17,FALSE)=0,"",VLOOKUP(A464,Generators!$A$2:$AZ$516,17,FALSE))</f>
        <v>#N/A</v>
      </c>
      <c r="G464" s="164" t="str">
        <f t="shared" ca="1" si="15"/>
        <v/>
      </c>
    </row>
    <row r="465" spans="1:7" x14ac:dyDescent="0.35">
      <c r="A465" t="e">
        <f ca="1"/>
        <v>#N/A</v>
      </c>
      <c r="B465" s="158" t="e">
        <f ca="1">VLOOKUP(A465,Generators!$A$2:$AZ$516,19,FALSE)</f>
        <v>#N/A</v>
      </c>
      <c r="C465" s="124" t="e">
        <f ca="1">VLOOKUP(A465,Generators!$A$2:$AZ$516,16,FALSE)</f>
        <v>#N/A</v>
      </c>
      <c r="D465" s="124" t="e">
        <f t="shared" ca="1" si="14"/>
        <v>#N/A</v>
      </c>
      <c r="E465" s="158" t="e">
        <f ca="1">IF(VLOOKUP(A465,Generators!$A$2:$AZ$516,20,FALSE)=0,"",VLOOKUP(A465,Generators!$A$2:$AZ$516,20,FALSE))</f>
        <v>#N/A</v>
      </c>
      <c r="F465" s="124" t="e">
        <f ca="1">IF(VLOOKUP(A465,Generators!$A$2:$AZ$516,17,FALSE)=0,"",VLOOKUP(A465,Generators!$A$2:$AZ$516,17,FALSE))</f>
        <v>#N/A</v>
      </c>
      <c r="G465" s="164" t="str">
        <f t="shared" ca="1" si="15"/>
        <v/>
      </c>
    </row>
    <row r="466" spans="1:7" x14ac:dyDescent="0.35">
      <c r="A466" t="e">
        <f ca="1"/>
        <v>#N/A</v>
      </c>
      <c r="B466" s="158" t="e">
        <f ca="1">VLOOKUP(A466,Generators!$A$2:$AZ$516,19,FALSE)</f>
        <v>#N/A</v>
      </c>
      <c r="C466" s="124" t="e">
        <f ca="1">VLOOKUP(A466,Generators!$A$2:$AZ$516,16,FALSE)</f>
        <v>#N/A</v>
      </c>
      <c r="D466" s="124" t="e">
        <f t="shared" ca="1" si="14"/>
        <v>#N/A</v>
      </c>
      <c r="E466" s="158" t="e">
        <f ca="1">IF(VLOOKUP(A466,Generators!$A$2:$AZ$516,20,FALSE)=0,"",VLOOKUP(A466,Generators!$A$2:$AZ$516,20,FALSE))</f>
        <v>#N/A</v>
      </c>
      <c r="F466" s="124" t="e">
        <f ca="1">IF(VLOOKUP(A466,Generators!$A$2:$AZ$516,17,FALSE)=0,"",VLOOKUP(A466,Generators!$A$2:$AZ$516,17,FALSE))</f>
        <v>#N/A</v>
      </c>
      <c r="G466" s="164" t="str">
        <f t="shared" ca="1" si="15"/>
        <v/>
      </c>
    </row>
    <row r="467" spans="1:7" x14ac:dyDescent="0.35">
      <c r="A467" t="e">
        <f ca="1"/>
        <v>#N/A</v>
      </c>
      <c r="B467" s="158" t="e">
        <f ca="1">VLOOKUP(A467,Generators!$A$2:$AZ$516,19,FALSE)</f>
        <v>#N/A</v>
      </c>
      <c r="C467" s="124" t="e">
        <f ca="1">VLOOKUP(A467,Generators!$A$2:$AZ$516,16,FALSE)</f>
        <v>#N/A</v>
      </c>
      <c r="D467" s="124" t="e">
        <f t="shared" ca="1" si="14"/>
        <v>#N/A</v>
      </c>
      <c r="E467" s="158" t="e">
        <f ca="1">IF(VLOOKUP(A467,Generators!$A$2:$AZ$516,20,FALSE)=0,"",VLOOKUP(A467,Generators!$A$2:$AZ$516,20,FALSE))</f>
        <v>#N/A</v>
      </c>
      <c r="F467" s="124" t="e">
        <f ca="1">IF(VLOOKUP(A467,Generators!$A$2:$AZ$516,17,FALSE)=0,"",VLOOKUP(A467,Generators!$A$2:$AZ$516,17,FALSE))</f>
        <v>#N/A</v>
      </c>
      <c r="G467" s="164" t="str">
        <f t="shared" ca="1" si="15"/>
        <v/>
      </c>
    </row>
    <row r="468" spans="1:7" x14ac:dyDescent="0.35">
      <c r="A468" t="e">
        <f ca="1"/>
        <v>#N/A</v>
      </c>
      <c r="B468" s="158" t="e">
        <f ca="1">VLOOKUP(A468,Generators!$A$2:$AZ$516,19,FALSE)</f>
        <v>#N/A</v>
      </c>
      <c r="C468" s="124" t="e">
        <f ca="1">VLOOKUP(A468,Generators!$A$2:$AZ$516,16,FALSE)</f>
        <v>#N/A</v>
      </c>
      <c r="D468" s="124" t="e">
        <f t="shared" ca="1" si="14"/>
        <v>#N/A</v>
      </c>
      <c r="E468" s="158" t="e">
        <f ca="1">IF(VLOOKUP(A468,Generators!$A$2:$AZ$516,20,FALSE)=0,"",VLOOKUP(A468,Generators!$A$2:$AZ$516,20,FALSE))</f>
        <v>#N/A</v>
      </c>
      <c r="F468" s="124" t="e">
        <f ca="1">IF(VLOOKUP(A468,Generators!$A$2:$AZ$516,17,FALSE)=0,"",VLOOKUP(A468,Generators!$A$2:$AZ$516,17,FALSE))</f>
        <v>#N/A</v>
      </c>
      <c r="G468" s="164" t="str">
        <f t="shared" ca="1" si="15"/>
        <v/>
      </c>
    </row>
    <row r="469" spans="1:7" x14ac:dyDescent="0.35">
      <c r="A469" t="e">
        <f ca="1"/>
        <v>#N/A</v>
      </c>
      <c r="B469" s="158" t="e">
        <f ca="1">VLOOKUP(A469,Generators!$A$2:$AZ$516,19,FALSE)</f>
        <v>#N/A</v>
      </c>
      <c r="C469" s="124" t="e">
        <f ca="1">VLOOKUP(A469,Generators!$A$2:$AZ$516,16,FALSE)</f>
        <v>#N/A</v>
      </c>
      <c r="D469" s="124" t="e">
        <f t="shared" ca="1" si="14"/>
        <v>#N/A</v>
      </c>
      <c r="E469" s="158" t="e">
        <f ca="1">IF(VLOOKUP(A469,Generators!$A$2:$AZ$516,20,FALSE)=0,"",VLOOKUP(A469,Generators!$A$2:$AZ$516,20,FALSE))</f>
        <v>#N/A</v>
      </c>
      <c r="F469" s="124" t="e">
        <f ca="1">IF(VLOOKUP(A469,Generators!$A$2:$AZ$516,17,FALSE)=0,"",VLOOKUP(A469,Generators!$A$2:$AZ$516,17,FALSE))</f>
        <v>#N/A</v>
      </c>
      <c r="G469" s="164" t="str">
        <f t="shared" ca="1" si="15"/>
        <v/>
      </c>
    </row>
    <row r="470" spans="1:7" x14ac:dyDescent="0.35">
      <c r="A470" t="e">
        <f ca="1"/>
        <v>#N/A</v>
      </c>
      <c r="B470" s="158" t="e">
        <f ca="1">VLOOKUP(A470,Generators!$A$2:$AZ$516,19,FALSE)</f>
        <v>#N/A</v>
      </c>
      <c r="C470" s="124" t="e">
        <f ca="1">VLOOKUP(A470,Generators!$A$2:$AZ$516,16,FALSE)</f>
        <v>#N/A</v>
      </c>
      <c r="D470" s="124" t="e">
        <f t="shared" ca="1" si="14"/>
        <v>#N/A</v>
      </c>
      <c r="E470" s="158" t="e">
        <f ca="1">IF(VLOOKUP(A470,Generators!$A$2:$AZ$516,20,FALSE)=0,"",VLOOKUP(A470,Generators!$A$2:$AZ$516,20,FALSE))</f>
        <v>#N/A</v>
      </c>
      <c r="F470" s="124" t="e">
        <f ca="1">IF(VLOOKUP(A470,Generators!$A$2:$AZ$516,17,FALSE)=0,"",VLOOKUP(A470,Generators!$A$2:$AZ$516,17,FALSE))</f>
        <v>#N/A</v>
      </c>
      <c r="G470" s="164" t="str">
        <f t="shared" ca="1" si="15"/>
        <v/>
      </c>
    </row>
    <row r="471" spans="1:7" x14ac:dyDescent="0.35">
      <c r="A471" t="e">
        <f ca="1"/>
        <v>#N/A</v>
      </c>
      <c r="B471" s="158" t="e">
        <f ca="1">VLOOKUP(A471,Generators!$A$2:$AZ$516,19,FALSE)</f>
        <v>#N/A</v>
      </c>
      <c r="C471" s="124" t="e">
        <f ca="1">VLOOKUP(A471,Generators!$A$2:$AZ$516,16,FALSE)</f>
        <v>#N/A</v>
      </c>
      <c r="D471" s="124" t="e">
        <f t="shared" ca="1" si="14"/>
        <v>#N/A</v>
      </c>
      <c r="E471" s="158" t="e">
        <f ca="1">IF(VLOOKUP(A471,Generators!$A$2:$AZ$516,20,FALSE)=0,"",VLOOKUP(A471,Generators!$A$2:$AZ$516,20,FALSE))</f>
        <v>#N/A</v>
      </c>
      <c r="F471" s="124" t="e">
        <f ca="1">IF(VLOOKUP(A471,Generators!$A$2:$AZ$516,17,FALSE)=0,"",VLOOKUP(A471,Generators!$A$2:$AZ$516,17,FALSE))</f>
        <v>#N/A</v>
      </c>
      <c r="G471" s="164" t="str">
        <f t="shared" ca="1" si="15"/>
        <v/>
      </c>
    </row>
    <row r="472" spans="1:7" x14ac:dyDescent="0.35">
      <c r="A472" t="e">
        <f ca="1"/>
        <v>#N/A</v>
      </c>
      <c r="B472" s="158" t="e">
        <f ca="1">VLOOKUP(A472,Generators!$A$2:$AZ$516,19,FALSE)</f>
        <v>#N/A</v>
      </c>
      <c r="C472" s="124" t="e">
        <f ca="1">VLOOKUP(A472,Generators!$A$2:$AZ$516,16,FALSE)</f>
        <v>#N/A</v>
      </c>
      <c r="D472" s="124" t="e">
        <f t="shared" ca="1" si="14"/>
        <v>#N/A</v>
      </c>
      <c r="E472" s="158" t="e">
        <f ca="1">IF(VLOOKUP(A472,Generators!$A$2:$AZ$516,20,FALSE)=0,"",VLOOKUP(A472,Generators!$A$2:$AZ$516,20,FALSE))</f>
        <v>#N/A</v>
      </c>
      <c r="F472" s="124" t="e">
        <f ca="1">IF(VLOOKUP(A472,Generators!$A$2:$AZ$516,17,FALSE)=0,"",VLOOKUP(A472,Generators!$A$2:$AZ$516,17,FALSE))</f>
        <v>#N/A</v>
      </c>
      <c r="G472" s="164" t="str">
        <f t="shared" ca="1" si="15"/>
        <v/>
      </c>
    </row>
    <row r="473" spans="1:7" x14ac:dyDescent="0.35">
      <c r="A473" t="e">
        <f ca="1"/>
        <v>#N/A</v>
      </c>
      <c r="B473" s="158" t="e">
        <f ca="1">VLOOKUP(A473,Generators!$A$2:$AZ$516,19,FALSE)</f>
        <v>#N/A</v>
      </c>
      <c r="C473" s="124" t="e">
        <f ca="1">VLOOKUP(A473,Generators!$A$2:$AZ$516,16,FALSE)</f>
        <v>#N/A</v>
      </c>
      <c r="D473" s="124" t="e">
        <f t="shared" ca="1" si="14"/>
        <v>#N/A</v>
      </c>
      <c r="E473" s="158" t="e">
        <f ca="1">IF(VLOOKUP(A473,Generators!$A$2:$AZ$516,20,FALSE)=0,"",VLOOKUP(A473,Generators!$A$2:$AZ$516,20,FALSE))</f>
        <v>#N/A</v>
      </c>
      <c r="F473" s="124" t="e">
        <f ca="1">IF(VLOOKUP(A473,Generators!$A$2:$AZ$516,17,FALSE)=0,"",VLOOKUP(A473,Generators!$A$2:$AZ$516,17,FALSE))</f>
        <v>#N/A</v>
      </c>
      <c r="G473" s="164" t="str">
        <f t="shared" ca="1" si="15"/>
        <v/>
      </c>
    </row>
    <row r="474" spans="1:7" x14ac:dyDescent="0.35">
      <c r="A474" t="e">
        <f ca="1"/>
        <v>#N/A</v>
      </c>
      <c r="B474" s="158" t="e">
        <f ca="1">VLOOKUP(A474,Generators!$A$2:$AZ$516,19,FALSE)</f>
        <v>#N/A</v>
      </c>
      <c r="C474" s="124" t="e">
        <f ca="1">VLOOKUP(A474,Generators!$A$2:$AZ$516,16,FALSE)</f>
        <v>#N/A</v>
      </c>
      <c r="D474" s="124" t="e">
        <f t="shared" ca="1" si="14"/>
        <v>#N/A</v>
      </c>
      <c r="E474" s="158" t="e">
        <f ca="1">IF(VLOOKUP(A474,Generators!$A$2:$AZ$516,20,FALSE)=0,"",VLOOKUP(A474,Generators!$A$2:$AZ$516,20,FALSE))</f>
        <v>#N/A</v>
      </c>
      <c r="F474" s="124" t="e">
        <f ca="1">IF(VLOOKUP(A474,Generators!$A$2:$AZ$516,17,FALSE)=0,"",VLOOKUP(A474,Generators!$A$2:$AZ$516,17,FALSE))</f>
        <v>#N/A</v>
      </c>
      <c r="G474" s="164" t="str">
        <f t="shared" ca="1" si="15"/>
        <v/>
      </c>
    </row>
    <row r="475" spans="1:7" x14ac:dyDescent="0.35">
      <c r="A475" t="e">
        <f ca="1"/>
        <v>#N/A</v>
      </c>
      <c r="B475" s="158" t="e">
        <f ca="1">VLOOKUP(A475,Generators!$A$2:$AZ$516,19,FALSE)</f>
        <v>#N/A</v>
      </c>
      <c r="C475" s="124" t="e">
        <f ca="1">VLOOKUP(A475,Generators!$A$2:$AZ$516,16,FALSE)</f>
        <v>#N/A</v>
      </c>
      <c r="D475" s="124" t="e">
        <f t="shared" ca="1" si="14"/>
        <v>#N/A</v>
      </c>
      <c r="E475" s="158" t="e">
        <f ca="1">IF(VLOOKUP(A475,Generators!$A$2:$AZ$516,20,FALSE)=0,"",VLOOKUP(A475,Generators!$A$2:$AZ$516,20,FALSE))</f>
        <v>#N/A</v>
      </c>
      <c r="F475" s="124" t="e">
        <f ca="1">IF(VLOOKUP(A475,Generators!$A$2:$AZ$516,17,FALSE)=0,"",VLOOKUP(A475,Generators!$A$2:$AZ$516,17,FALSE))</f>
        <v>#N/A</v>
      </c>
      <c r="G475" s="164" t="str">
        <f t="shared" ca="1" si="15"/>
        <v/>
      </c>
    </row>
    <row r="476" spans="1:7" x14ac:dyDescent="0.35">
      <c r="A476" t="e">
        <f ca="1"/>
        <v>#N/A</v>
      </c>
      <c r="B476" s="158" t="e">
        <f ca="1">VLOOKUP(A476,Generators!$A$2:$AZ$516,19,FALSE)</f>
        <v>#N/A</v>
      </c>
      <c r="C476" s="124" t="e">
        <f ca="1">VLOOKUP(A476,Generators!$A$2:$AZ$516,16,FALSE)</f>
        <v>#N/A</v>
      </c>
      <c r="D476" s="124" t="e">
        <f t="shared" ca="1" si="14"/>
        <v>#N/A</v>
      </c>
      <c r="E476" s="158" t="e">
        <f ca="1">IF(VLOOKUP(A476,Generators!$A$2:$AZ$516,20,FALSE)=0,"",VLOOKUP(A476,Generators!$A$2:$AZ$516,20,FALSE))</f>
        <v>#N/A</v>
      </c>
      <c r="F476" s="124" t="e">
        <f ca="1">IF(VLOOKUP(A476,Generators!$A$2:$AZ$516,17,FALSE)=0,"",VLOOKUP(A476,Generators!$A$2:$AZ$516,17,FALSE))</f>
        <v>#N/A</v>
      </c>
      <c r="G476" s="164" t="str">
        <f t="shared" ca="1" si="15"/>
        <v/>
      </c>
    </row>
    <row r="477" spans="1:7" x14ac:dyDescent="0.35">
      <c r="A477" t="e">
        <f ca="1"/>
        <v>#N/A</v>
      </c>
      <c r="B477" s="158" t="e">
        <f ca="1">VLOOKUP(A477,Generators!$A$2:$AZ$516,19,FALSE)</f>
        <v>#N/A</v>
      </c>
      <c r="C477" s="124" t="e">
        <f ca="1">VLOOKUP(A477,Generators!$A$2:$AZ$516,16,FALSE)</f>
        <v>#N/A</v>
      </c>
      <c r="D477" s="124" t="e">
        <f t="shared" ca="1" si="14"/>
        <v>#N/A</v>
      </c>
      <c r="E477" s="158" t="e">
        <f ca="1">IF(VLOOKUP(A477,Generators!$A$2:$AZ$516,20,FALSE)=0,"",VLOOKUP(A477,Generators!$A$2:$AZ$516,20,FALSE))</f>
        <v>#N/A</v>
      </c>
      <c r="F477" s="124" t="e">
        <f ca="1">IF(VLOOKUP(A477,Generators!$A$2:$AZ$516,17,FALSE)=0,"",VLOOKUP(A477,Generators!$A$2:$AZ$516,17,FALSE))</f>
        <v>#N/A</v>
      </c>
      <c r="G477" s="164" t="str">
        <f t="shared" ca="1" si="15"/>
        <v/>
      </c>
    </row>
    <row r="478" spans="1:7" x14ac:dyDescent="0.35">
      <c r="A478" t="e">
        <f ca="1"/>
        <v>#N/A</v>
      </c>
      <c r="B478" s="158" t="e">
        <f ca="1">VLOOKUP(A478,Generators!$A$2:$AZ$516,19,FALSE)</f>
        <v>#N/A</v>
      </c>
      <c r="C478" s="124" t="e">
        <f ca="1">VLOOKUP(A478,Generators!$A$2:$AZ$516,16,FALSE)</f>
        <v>#N/A</v>
      </c>
      <c r="D478" s="124" t="e">
        <f t="shared" ca="1" si="14"/>
        <v>#N/A</v>
      </c>
      <c r="E478" s="158" t="e">
        <f ca="1">IF(VLOOKUP(A478,Generators!$A$2:$AZ$516,20,FALSE)=0,"",VLOOKUP(A478,Generators!$A$2:$AZ$516,20,FALSE))</f>
        <v>#N/A</v>
      </c>
      <c r="F478" s="124" t="e">
        <f ca="1">IF(VLOOKUP(A478,Generators!$A$2:$AZ$516,17,FALSE)=0,"",VLOOKUP(A478,Generators!$A$2:$AZ$516,17,FALSE))</f>
        <v>#N/A</v>
      </c>
      <c r="G478" s="164" t="str">
        <f t="shared" ca="1" si="15"/>
        <v/>
      </c>
    </row>
    <row r="479" spans="1:7" x14ac:dyDescent="0.35">
      <c r="A479" t="e">
        <f ca="1"/>
        <v>#N/A</v>
      </c>
      <c r="B479" s="158" t="e">
        <f ca="1">VLOOKUP(A479,Generators!$A$2:$AZ$516,19,FALSE)</f>
        <v>#N/A</v>
      </c>
      <c r="C479" s="124" t="e">
        <f ca="1">VLOOKUP(A479,Generators!$A$2:$AZ$516,16,FALSE)</f>
        <v>#N/A</v>
      </c>
      <c r="D479" s="124" t="e">
        <f t="shared" ca="1" si="14"/>
        <v>#N/A</v>
      </c>
      <c r="E479" s="158" t="e">
        <f ca="1">IF(VLOOKUP(A479,Generators!$A$2:$AZ$516,20,FALSE)=0,"",VLOOKUP(A479,Generators!$A$2:$AZ$516,20,FALSE))</f>
        <v>#N/A</v>
      </c>
      <c r="F479" s="124" t="e">
        <f ca="1">IF(VLOOKUP(A479,Generators!$A$2:$AZ$516,17,FALSE)=0,"",VLOOKUP(A479,Generators!$A$2:$AZ$516,17,FALSE))</f>
        <v>#N/A</v>
      </c>
      <c r="G479" s="164" t="str">
        <f t="shared" ca="1" si="15"/>
        <v/>
      </c>
    </row>
    <row r="480" spans="1:7" x14ac:dyDescent="0.35">
      <c r="A480" t="e">
        <f ca="1"/>
        <v>#N/A</v>
      </c>
      <c r="B480" s="158" t="e">
        <f ca="1">VLOOKUP(A480,Generators!$A$2:$AZ$516,19,FALSE)</f>
        <v>#N/A</v>
      </c>
      <c r="C480" s="124" t="e">
        <f ca="1">VLOOKUP(A480,Generators!$A$2:$AZ$516,16,FALSE)</f>
        <v>#N/A</v>
      </c>
      <c r="D480" s="124" t="e">
        <f t="shared" ca="1" si="14"/>
        <v>#N/A</v>
      </c>
      <c r="E480" s="158" t="e">
        <f ca="1">IF(VLOOKUP(A480,Generators!$A$2:$AZ$516,20,FALSE)=0,"",VLOOKUP(A480,Generators!$A$2:$AZ$516,20,FALSE))</f>
        <v>#N/A</v>
      </c>
      <c r="F480" s="124" t="e">
        <f ca="1">IF(VLOOKUP(A480,Generators!$A$2:$AZ$516,17,FALSE)=0,"",VLOOKUP(A480,Generators!$A$2:$AZ$516,17,FALSE))</f>
        <v>#N/A</v>
      </c>
      <c r="G480" s="164" t="str">
        <f t="shared" ca="1" si="15"/>
        <v/>
      </c>
    </row>
    <row r="481" spans="1:7" x14ac:dyDescent="0.35">
      <c r="A481" t="e">
        <f ca="1"/>
        <v>#N/A</v>
      </c>
      <c r="B481" s="158" t="e">
        <f ca="1">VLOOKUP(A481,Generators!$A$2:$AZ$516,19,FALSE)</f>
        <v>#N/A</v>
      </c>
      <c r="C481" s="124" t="e">
        <f ca="1">VLOOKUP(A481,Generators!$A$2:$AZ$516,16,FALSE)</f>
        <v>#N/A</v>
      </c>
      <c r="D481" s="124" t="e">
        <f t="shared" ca="1" si="14"/>
        <v>#N/A</v>
      </c>
      <c r="E481" s="158" t="e">
        <f ca="1">IF(VLOOKUP(A481,Generators!$A$2:$AZ$516,20,FALSE)=0,"",VLOOKUP(A481,Generators!$A$2:$AZ$516,20,FALSE))</f>
        <v>#N/A</v>
      </c>
      <c r="F481" s="124" t="e">
        <f ca="1">IF(VLOOKUP(A481,Generators!$A$2:$AZ$516,17,FALSE)=0,"",VLOOKUP(A481,Generators!$A$2:$AZ$516,17,FALSE))</f>
        <v>#N/A</v>
      </c>
      <c r="G481" s="164" t="str">
        <f t="shared" ca="1" si="15"/>
        <v/>
      </c>
    </row>
    <row r="482" spans="1:7" x14ac:dyDescent="0.35">
      <c r="A482" t="e">
        <f ca="1"/>
        <v>#N/A</v>
      </c>
      <c r="B482" s="158" t="e">
        <f ca="1">VLOOKUP(A482,Generators!$A$2:$AZ$516,19,FALSE)</f>
        <v>#N/A</v>
      </c>
      <c r="C482" s="124" t="e">
        <f ca="1">VLOOKUP(A482,Generators!$A$2:$AZ$516,16,FALSE)</f>
        <v>#N/A</v>
      </c>
      <c r="D482" s="124" t="e">
        <f t="shared" ca="1" si="14"/>
        <v>#N/A</v>
      </c>
      <c r="E482" s="158" t="e">
        <f ca="1">IF(VLOOKUP(A482,Generators!$A$2:$AZ$516,20,FALSE)=0,"",VLOOKUP(A482,Generators!$A$2:$AZ$516,20,FALSE))</f>
        <v>#N/A</v>
      </c>
      <c r="F482" s="124" t="e">
        <f ca="1">IF(VLOOKUP(A482,Generators!$A$2:$AZ$516,17,FALSE)=0,"",VLOOKUP(A482,Generators!$A$2:$AZ$516,17,FALSE))</f>
        <v>#N/A</v>
      </c>
      <c r="G482" s="164" t="str">
        <f t="shared" ca="1" si="15"/>
        <v/>
      </c>
    </row>
    <row r="483" spans="1:7" x14ac:dyDescent="0.35">
      <c r="A483" t="e">
        <f ca="1"/>
        <v>#N/A</v>
      </c>
      <c r="B483" s="158" t="e">
        <f ca="1">VLOOKUP(A483,Generators!$A$2:$AZ$516,19,FALSE)</f>
        <v>#N/A</v>
      </c>
      <c r="C483" s="124" t="e">
        <f ca="1">VLOOKUP(A483,Generators!$A$2:$AZ$516,16,FALSE)</f>
        <v>#N/A</v>
      </c>
      <c r="D483" s="124" t="e">
        <f t="shared" ca="1" si="14"/>
        <v>#N/A</v>
      </c>
      <c r="E483" s="158" t="e">
        <f ca="1">IF(VLOOKUP(A483,Generators!$A$2:$AZ$516,20,FALSE)=0,"",VLOOKUP(A483,Generators!$A$2:$AZ$516,20,FALSE))</f>
        <v>#N/A</v>
      </c>
      <c r="F483" s="124" t="e">
        <f ca="1">IF(VLOOKUP(A483,Generators!$A$2:$AZ$516,17,FALSE)=0,"",VLOOKUP(A483,Generators!$A$2:$AZ$516,17,FALSE))</f>
        <v>#N/A</v>
      </c>
      <c r="G483" s="164" t="str">
        <f t="shared" ca="1" si="15"/>
        <v/>
      </c>
    </row>
    <row r="484" spans="1:7" x14ac:dyDescent="0.35">
      <c r="A484" t="e">
        <f ca="1"/>
        <v>#N/A</v>
      </c>
      <c r="B484" s="158" t="e">
        <f ca="1">VLOOKUP(A484,Generators!$A$2:$AZ$516,19,FALSE)</f>
        <v>#N/A</v>
      </c>
      <c r="C484" s="124" t="e">
        <f ca="1">VLOOKUP(A484,Generators!$A$2:$AZ$516,16,FALSE)</f>
        <v>#N/A</v>
      </c>
      <c r="D484" s="124" t="e">
        <f t="shared" ca="1" si="14"/>
        <v>#N/A</v>
      </c>
      <c r="E484" s="158" t="e">
        <f ca="1">IF(VLOOKUP(A484,Generators!$A$2:$AZ$516,20,FALSE)=0,"",VLOOKUP(A484,Generators!$A$2:$AZ$516,20,FALSE))</f>
        <v>#N/A</v>
      </c>
      <c r="F484" s="124" t="e">
        <f ca="1">IF(VLOOKUP(A484,Generators!$A$2:$AZ$516,17,FALSE)=0,"",VLOOKUP(A484,Generators!$A$2:$AZ$516,17,FALSE))</f>
        <v>#N/A</v>
      </c>
      <c r="G484" s="164" t="str">
        <f t="shared" ca="1" si="15"/>
        <v/>
      </c>
    </row>
    <row r="485" spans="1:7" x14ac:dyDescent="0.35">
      <c r="A485" t="e">
        <f ca="1"/>
        <v>#N/A</v>
      </c>
      <c r="B485" s="158" t="e">
        <f ca="1">VLOOKUP(A485,Generators!$A$2:$AZ$516,19,FALSE)</f>
        <v>#N/A</v>
      </c>
      <c r="C485" s="124" t="e">
        <f ca="1">VLOOKUP(A485,Generators!$A$2:$AZ$516,16,FALSE)</f>
        <v>#N/A</v>
      </c>
      <c r="D485" s="124" t="e">
        <f t="shared" ca="1" si="14"/>
        <v>#N/A</v>
      </c>
      <c r="E485" s="158" t="e">
        <f ca="1">IF(VLOOKUP(A485,Generators!$A$2:$AZ$516,20,FALSE)=0,"",VLOOKUP(A485,Generators!$A$2:$AZ$516,20,FALSE))</f>
        <v>#N/A</v>
      </c>
      <c r="F485" s="124" t="e">
        <f ca="1">IF(VLOOKUP(A485,Generators!$A$2:$AZ$516,17,FALSE)=0,"",VLOOKUP(A485,Generators!$A$2:$AZ$516,17,FALSE))</f>
        <v>#N/A</v>
      </c>
      <c r="G485" s="164" t="str">
        <f t="shared" ca="1" si="15"/>
        <v/>
      </c>
    </row>
    <row r="486" spans="1:7" x14ac:dyDescent="0.35">
      <c r="A486" t="e">
        <f ca="1"/>
        <v>#N/A</v>
      </c>
      <c r="B486" s="158" t="e">
        <f ca="1">VLOOKUP(A486,Generators!$A$2:$AZ$516,19,FALSE)</f>
        <v>#N/A</v>
      </c>
      <c r="C486" s="124" t="e">
        <f ca="1">VLOOKUP(A486,Generators!$A$2:$AZ$516,16,FALSE)</f>
        <v>#N/A</v>
      </c>
      <c r="D486" s="124" t="e">
        <f t="shared" ca="1" si="14"/>
        <v>#N/A</v>
      </c>
      <c r="E486" s="158" t="e">
        <f ca="1">IF(VLOOKUP(A486,Generators!$A$2:$AZ$516,20,FALSE)=0,"",VLOOKUP(A486,Generators!$A$2:$AZ$516,20,FALSE))</f>
        <v>#N/A</v>
      </c>
      <c r="F486" s="124" t="e">
        <f ca="1">IF(VLOOKUP(A486,Generators!$A$2:$AZ$516,17,FALSE)=0,"",VLOOKUP(A486,Generators!$A$2:$AZ$516,17,FALSE))</f>
        <v>#N/A</v>
      </c>
      <c r="G486" s="164" t="str">
        <f t="shared" ca="1" si="15"/>
        <v/>
      </c>
    </row>
    <row r="487" spans="1:7" x14ac:dyDescent="0.35">
      <c r="A487" t="e">
        <f ca="1"/>
        <v>#N/A</v>
      </c>
      <c r="B487" s="158" t="e">
        <f ca="1">VLOOKUP(A487,Generators!$A$2:$AZ$516,19,FALSE)</f>
        <v>#N/A</v>
      </c>
      <c r="C487" s="124" t="e">
        <f ca="1">VLOOKUP(A487,Generators!$A$2:$AZ$516,16,FALSE)</f>
        <v>#N/A</v>
      </c>
      <c r="D487" s="124" t="e">
        <f t="shared" ca="1" si="14"/>
        <v>#N/A</v>
      </c>
      <c r="E487" s="158" t="e">
        <f ca="1">IF(VLOOKUP(A487,Generators!$A$2:$AZ$516,20,FALSE)=0,"",VLOOKUP(A487,Generators!$A$2:$AZ$516,20,FALSE))</f>
        <v>#N/A</v>
      </c>
      <c r="F487" s="124" t="e">
        <f ca="1">IF(VLOOKUP(A487,Generators!$A$2:$AZ$516,17,FALSE)=0,"",VLOOKUP(A487,Generators!$A$2:$AZ$516,17,FALSE))</f>
        <v>#N/A</v>
      </c>
      <c r="G487" s="164" t="str">
        <f t="shared" ca="1" si="15"/>
        <v/>
      </c>
    </row>
    <row r="488" spans="1:7" x14ac:dyDescent="0.35">
      <c r="A488" t="e">
        <f ca="1"/>
        <v>#N/A</v>
      </c>
      <c r="B488" s="158" t="e">
        <f ca="1">VLOOKUP(A488,Generators!$A$2:$AZ$516,19,FALSE)</f>
        <v>#N/A</v>
      </c>
      <c r="C488" s="124" t="e">
        <f ca="1">VLOOKUP(A488,Generators!$A$2:$AZ$516,16,FALSE)</f>
        <v>#N/A</v>
      </c>
      <c r="D488" s="124" t="e">
        <f t="shared" ca="1" si="14"/>
        <v>#N/A</v>
      </c>
      <c r="E488" s="158" t="e">
        <f ca="1">IF(VLOOKUP(A488,Generators!$A$2:$AZ$516,20,FALSE)=0,"",VLOOKUP(A488,Generators!$A$2:$AZ$516,20,FALSE))</f>
        <v>#N/A</v>
      </c>
      <c r="F488" s="124" t="e">
        <f ca="1">IF(VLOOKUP(A488,Generators!$A$2:$AZ$516,17,FALSE)=0,"",VLOOKUP(A488,Generators!$A$2:$AZ$516,17,FALSE))</f>
        <v>#N/A</v>
      </c>
      <c r="G488" s="164" t="str">
        <f t="shared" ca="1" si="15"/>
        <v/>
      </c>
    </row>
    <row r="489" spans="1:7" x14ac:dyDescent="0.35">
      <c r="A489" t="e">
        <f ca="1"/>
        <v>#N/A</v>
      </c>
      <c r="B489" s="158" t="e">
        <f ca="1">VLOOKUP(A489,Generators!$A$2:$AZ$516,19,FALSE)</f>
        <v>#N/A</v>
      </c>
      <c r="C489" s="124" t="e">
        <f ca="1">VLOOKUP(A489,Generators!$A$2:$AZ$516,16,FALSE)</f>
        <v>#N/A</v>
      </c>
      <c r="D489" s="124" t="e">
        <f t="shared" ca="1" si="14"/>
        <v>#N/A</v>
      </c>
      <c r="E489" s="158" t="e">
        <f ca="1">IF(VLOOKUP(A489,Generators!$A$2:$AZ$516,20,FALSE)=0,"",VLOOKUP(A489,Generators!$A$2:$AZ$516,20,FALSE))</f>
        <v>#N/A</v>
      </c>
      <c r="F489" s="124" t="e">
        <f ca="1">IF(VLOOKUP(A489,Generators!$A$2:$AZ$516,17,FALSE)=0,"",VLOOKUP(A489,Generators!$A$2:$AZ$516,17,FALSE))</f>
        <v>#N/A</v>
      </c>
      <c r="G489" s="164" t="str">
        <f t="shared" ca="1" si="15"/>
        <v/>
      </c>
    </row>
    <row r="490" spans="1:7" x14ac:dyDescent="0.35">
      <c r="A490" t="e">
        <f ca="1"/>
        <v>#N/A</v>
      </c>
      <c r="B490" s="158" t="e">
        <f ca="1">VLOOKUP(A490,Generators!$A$2:$AZ$516,19,FALSE)</f>
        <v>#N/A</v>
      </c>
      <c r="C490" s="124" t="e">
        <f ca="1">VLOOKUP(A490,Generators!$A$2:$AZ$516,16,FALSE)</f>
        <v>#N/A</v>
      </c>
      <c r="D490" s="124" t="e">
        <f t="shared" ca="1" si="14"/>
        <v>#N/A</v>
      </c>
      <c r="E490" s="158" t="e">
        <f ca="1">IF(VLOOKUP(A490,Generators!$A$2:$AZ$516,20,FALSE)=0,"",VLOOKUP(A490,Generators!$A$2:$AZ$516,20,FALSE))</f>
        <v>#N/A</v>
      </c>
      <c r="F490" s="124" t="e">
        <f ca="1">IF(VLOOKUP(A490,Generators!$A$2:$AZ$516,17,FALSE)=0,"",VLOOKUP(A490,Generators!$A$2:$AZ$516,17,FALSE))</f>
        <v>#N/A</v>
      </c>
      <c r="G490" s="164" t="str">
        <f t="shared" ca="1" si="15"/>
        <v/>
      </c>
    </row>
    <row r="491" spans="1:7" x14ac:dyDescent="0.35">
      <c r="A491" t="e">
        <f ca="1"/>
        <v>#N/A</v>
      </c>
      <c r="B491" s="158" t="e">
        <f ca="1">VLOOKUP(A491,Generators!$A$2:$AZ$516,19,FALSE)</f>
        <v>#N/A</v>
      </c>
      <c r="C491" s="124" t="e">
        <f ca="1">VLOOKUP(A491,Generators!$A$2:$AZ$516,16,FALSE)</f>
        <v>#N/A</v>
      </c>
      <c r="D491" s="124" t="e">
        <f t="shared" ca="1" si="14"/>
        <v>#N/A</v>
      </c>
      <c r="E491" s="158" t="e">
        <f ca="1">IF(VLOOKUP(A491,Generators!$A$2:$AZ$516,20,FALSE)=0,"",VLOOKUP(A491,Generators!$A$2:$AZ$516,20,FALSE))</f>
        <v>#N/A</v>
      </c>
      <c r="F491" s="124" t="e">
        <f ca="1">IF(VLOOKUP(A491,Generators!$A$2:$AZ$516,17,FALSE)=0,"",VLOOKUP(A491,Generators!$A$2:$AZ$516,17,FALSE))</f>
        <v>#N/A</v>
      </c>
      <c r="G491" s="164" t="str">
        <f t="shared" ca="1" si="15"/>
        <v/>
      </c>
    </row>
    <row r="492" spans="1:7" x14ac:dyDescent="0.35">
      <c r="A492" t="e">
        <f ca="1"/>
        <v>#N/A</v>
      </c>
      <c r="B492" s="158" t="e">
        <f ca="1">VLOOKUP(A492,Generators!$A$2:$AZ$516,19,FALSE)</f>
        <v>#N/A</v>
      </c>
      <c r="C492" s="124" t="e">
        <f ca="1">VLOOKUP(A492,Generators!$A$2:$AZ$516,16,FALSE)</f>
        <v>#N/A</v>
      </c>
      <c r="D492" s="124" t="e">
        <f t="shared" ca="1" si="14"/>
        <v>#N/A</v>
      </c>
      <c r="E492" s="158" t="e">
        <f ca="1">IF(VLOOKUP(A492,Generators!$A$2:$AZ$516,20,FALSE)=0,"",VLOOKUP(A492,Generators!$A$2:$AZ$516,20,FALSE))</f>
        <v>#N/A</v>
      </c>
      <c r="F492" s="124" t="e">
        <f ca="1">IF(VLOOKUP(A492,Generators!$A$2:$AZ$516,17,FALSE)=0,"",VLOOKUP(A492,Generators!$A$2:$AZ$516,17,FALSE))</f>
        <v>#N/A</v>
      </c>
      <c r="G492" s="164" t="str">
        <f t="shared" ca="1" si="15"/>
        <v/>
      </c>
    </row>
    <row r="493" spans="1:7" x14ac:dyDescent="0.35">
      <c r="A493" t="e">
        <f ca="1"/>
        <v>#N/A</v>
      </c>
      <c r="B493" s="158" t="e">
        <f ca="1">VLOOKUP(A493,Generators!$A$2:$AZ$516,19,FALSE)</f>
        <v>#N/A</v>
      </c>
      <c r="C493" s="124" t="e">
        <f ca="1">VLOOKUP(A493,Generators!$A$2:$AZ$516,16,FALSE)</f>
        <v>#N/A</v>
      </c>
      <c r="D493" s="124" t="e">
        <f t="shared" ca="1" si="14"/>
        <v>#N/A</v>
      </c>
      <c r="E493" s="158" t="e">
        <f ca="1">IF(VLOOKUP(A493,Generators!$A$2:$AZ$516,20,FALSE)=0,"",VLOOKUP(A493,Generators!$A$2:$AZ$516,20,FALSE))</f>
        <v>#N/A</v>
      </c>
      <c r="F493" s="124" t="e">
        <f ca="1">IF(VLOOKUP(A493,Generators!$A$2:$AZ$516,17,FALSE)=0,"",VLOOKUP(A493,Generators!$A$2:$AZ$516,17,FALSE))</f>
        <v>#N/A</v>
      </c>
      <c r="G493" s="164" t="str">
        <f t="shared" ca="1" si="15"/>
        <v/>
      </c>
    </row>
    <row r="494" spans="1:7" x14ac:dyDescent="0.35">
      <c r="A494" t="e">
        <f ca="1"/>
        <v>#N/A</v>
      </c>
      <c r="B494" s="158" t="e">
        <f ca="1">VLOOKUP(A494,Generators!$A$2:$AZ$516,19,FALSE)</f>
        <v>#N/A</v>
      </c>
      <c r="C494" s="124" t="e">
        <f ca="1">VLOOKUP(A494,Generators!$A$2:$AZ$516,16,FALSE)</f>
        <v>#N/A</v>
      </c>
      <c r="D494" s="124" t="e">
        <f t="shared" ca="1" si="14"/>
        <v>#N/A</v>
      </c>
      <c r="E494" s="158" t="e">
        <f ca="1">IF(VLOOKUP(A494,Generators!$A$2:$AZ$516,20,FALSE)=0,"",VLOOKUP(A494,Generators!$A$2:$AZ$516,20,FALSE))</f>
        <v>#N/A</v>
      </c>
      <c r="F494" s="124" t="e">
        <f ca="1">IF(VLOOKUP(A494,Generators!$A$2:$AZ$516,17,FALSE)=0,"",VLOOKUP(A494,Generators!$A$2:$AZ$516,17,FALSE))</f>
        <v>#N/A</v>
      </c>
      <c r="G494" s="164" t="str">
        <f t="shared" ca="1" si="15"/>
        <v/>
      </c>
    </row>
    <row r="495" spans="1:7" x14ac:dyDescent="0.35">
      <c r="A495" t="e">
        <f ca="1"/>
        <v>#N/A</v>
      </c>
      <c r="B495" s="158" t="e">
        <f ca="1">VLOOKUP(A495,Generators!$A$2:$AZ$516,19,FALSE)</f>
        <v>#N/A</v>
      </c>
      <c r="C495" s="124" t="e">
        <f ca="1">VLOOKUP(A495,Generators!$A$2:$AZ$516,16,FALSE)</f>
        <v>#N/A</v>
      </c>
      <c r="D495" s="124" t="e">
        <f t="shared" ca="1" si="14"/>
        <v>#N/A</v>
      </c>
      <c r="E495" s="158" t="e">
        <f ca="1">IF(VLOOKUP(A495,Generators!$A$2:$AZ$516,20,FALSE)=0,"",VLOOKUP(A495,Generators!$A$2:$AZ$516,20,FALSE))</f>
        <v>#N/A</v>
      </c>
      <c r="F495" s="124" t="e">
        <f ca="1">IF(VLOOKUP(A495,Generators!$A$2:$AZ$516,17,FALSE)=0,"",VLOOKUP(A495,Generators!$A$2:$AZ$516,17,FALSE))</f>
        <v>#N/A</v>
      </c>
      <c r="G495" s="164" t="str">
        <f t="shared" ca="1" si="15"/>
        <v/>
      </c>
    </row>
    <row r="496" spans="1:7" x14ac:dyDescent="0.35">
      <c r="A496" t="e">
        <f ca="1"/>
        <v>#N/A</v>
      </c>
      <c r="B496" s="158" t="e">
        <f ca="1">VLOOKUP(A496,Generators!$A$2:$AZ$516,19,FALSE)</f>
        <v>#N/A</v>
      </c>
      <c r="C496" s="124" t="e">
        <f ca="1">VLOOKUP(A496,Generators!$A$2:$AZ$516,16,FALSE)</f>
        <v>#N/A</v>
      </c>
      <c r="D496" s="124" t="e">
        <f t="shared" ca="1" si="14"/>
        <v>#N/A</v>
      </c>
      <c r="E496" s="158" t="e">
        <f ca="1">IF(VLOOKUP(A496,Generators!$A$2:$AZ$516,20,FALSE)=0,"",VLOOKUP(A496,Generators!$A$2:$AZ$516,20,FALSE))</f>
        <v>#N/A</v>
      </c>
      <c r="F496" s="124" t="e">
        <f ca="1">IF(VLOOKUP(A496,Generators!$A$2:$AZ$516,17,FALSE)=0,"",VLOOKUP(A496,Generators!$A$2:$AZ$516,17,FALSE))</f>
        <v>#N/A</v>
      </c>
      <c r="G496" s="164" t="str">
        <f t="shared" ca="1" si="15"/>
        <v/>
      </c>
    </row>
    <row r="497" spans="1:7" x14ac:dyDescent="0.35">
      <c r="A497" t="e">
        <f ca="1"/>
        <v>#N/A</v>
      </c>
      <c r="B497" s="158" t="e">
        <f ca="1">VLOOKUP(A497,Generators!$A$2:$AZ$516,19,FALSE)</f>
        <v>#N/A</v>
      </c>
      <c r="C497" s="124" t="e">
        <f ca="1">VLOOKUP(A497,Generators!$A$2:$AZ$516,16,FALSE)</f>
        <v>#N/A</v>
      </c>
      <c r="D497" s="124" t="e">
        <f t="shared" ca="1" si="14"/>
        <v>#N/A</v>
      </c>
      <c r="E497" s="158" t="e">
        <f ca="1">IF(VLOOKUP(A497,Generators!$A$2:$AZ$516,20,FALSE)=0,"",VLOOKUP(A497,Generators!$A$2:$AZ$516,20,FALSE))</f>
        <v>#N/A</v>
      </c>
      <c r="F497" s="124" t="e">
        <f ca="1">IF(VLOOKUP(A497,Generators!$A$2:$AZ$516,17,FALSE)=0,"",VLOOKUP(A497,Generators!$A$2:$AZ$516,17,FALSE))</f>
        <v>#N/A</v>
      </c>
      <c r="G497" s="164" t="str">
        <f t="shared" ca="1" si="15"/>
        <v/>
      </c>
    </row>
    <row r="498" spans="1:7" x14ac:dyDescent="0.35">
      <c r="A498" t="e">
        <f ca="1"/>
        <v>#N/A</v>
      </c>
      <c r="B498" s="158" t="e">
        <f ca="1">VLOOKUP(A498,Generators!$A$2:$AZ$516,19,FALSE)</f>
        <v>#N/A</v>
      </c>
      <c r="C498" s="124" t="e">
        <f ca="1">VLOOKUP(A498,Generators!$A$2:$AZ$516,16,FALSE)</f>
        <v>#N/A</v>
      </c>
      <c r="D498" s="124" t="e">
        <f t="shared" ca="1" si="14"/>
        <v>#N/A</v>
      </c>
      <c r="E498" s="158" t="e">
        <f ca="1">IF(VLOOKUP(A498,Generators!$A$2:$AZ$516,20,FALSE)=0,"",VLOOKUP(A498,Generators!$A$2:$AZ$516,20,FALSE))</f>
        <v>#N/A</v>
      </c>
      <c r="F498" s="124" t="e">
        <f ca="1">IF(VLOOKUP(A498,Generators!$A$2:$AZ$516,17,FALSE)=0,"",VLOOKUP(A498,Generators!$A$2:$AZ$516,17,FALSE))</f>
        <v>#N/A</v>
      </c>
      <c r="G498" s="164" t="str">
        <f t="shared" ca="1" si="15"/>
        <v/>
      </c>
    </row>
    <row r="499" spans="1:7" x14ac:dyDescent="0.35">
      <c r="A499" t="e">
        <f ca="1"/>
        <v>#N/A</v>
      </c>
      <c r="B499" s="158" t="e">
        <f ca="1">VLOOKUP(A499,Generators!$A$2:$AZ$516,19,FALSE)</f>
        <v>#N/A</v>
      </c>
      <c r="C499" s="124" t="e">
        <f ca="1">VLOOKUP(A499,Generators!$A$2:$AZ$516,16,FALSE)</f>
        <v>#N/A</v>
      </c>
      <c r="D499" s="124" t="e">
        <f t="shared" ca="1" si="14"/>
        <v>#N/A</v>
      </c>
      <c r="E499" s="158" t="e">
        <f ca="1">IF(VLOOKUP(A499,Generators!$A$2:$AZ$516,20,FALSE)=0,"",VLOOKUP(A499,Generators!$A$2:$AZ$516,20,FALSE))</f>
        <v>#N/A</v>
      </c>
      <c r="F499" s="124" t="e">
        <f ca="1">IF(VLOOKUP(A499,Generators!$A$2:$AZ$516,17,FALSE)=0,"",VLOOKUP(A499,Generators!$A$2:$AZ$516,17,FALSE))</f>
        <v>#N/A</v>
      </c>
      <c r="G499" s="164" t="str">
        <f t="shared" ca="1" si="15"/>
        <v/>
      </c>
    </row>
    <row r="500" spans="1:7" x14ac:dyDescent="0.35">
      <c r="A500" t="e">
        <f ca="1"/>
        <v>#N/A</v>
      </c>
      <c r="B500" s="158" t="e">
        <f ca="1">VLOOKUP(A500,Generators!$A$2:$AZ$516,19,FALSE)</f>
        <v>#N/A</v>
      </c>
      <c r="C500" s="124" t="e">
        <f ca="1">VLOOKUP(A500,Generators!$A$2:$AZ$516,16,FALSE)</f>
        <v>#N/A</v>
      </c>
      <c r="D500" s="124" t="e">
        <f t="shared" ca="1" si="14"/>
        <v>#N/A</v>
      </c>
      <c r="E500" s="158" t="e">
        <f ca="1">IF(VLOOKUP(A500,Generators!$A$2:$AZ$516,20,FALSE)=0,"",VLOOKUP(A500,Generators!$A$2:$AZ$516,20,FALSE))</f>
        <v>#N/A</v>
      </c>
      <c r="F500" s="124" t="e">
        <f ca="1">IF(VLOOKUP(A500,Generators!$A$2:$AZ$516,17,FALSE)=0,"",VLOOKUP(A500,Generators!$A$2:$AZ$516,17,FALSE))</f>
        <v>#N/A</v>
      </c>
      <c r="G500" s="164" t="str">
        <f t="shared" ca="1" si="15"/>
        <v/>
      </c>
    </row>
  </sheetData>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C228"/>
  <sheetViews>
    <sheetView topLeftCell="H70" workbookViewId="0">
      <selection activeCell="AB2" sqref="AB2:AB101"/>
    </sheetView>
  </sheetViews>
  <sheetFormatPr defaultColWidth="8.81640625" defaultRowHeight="14.5" x14ac:dyDescent="0.35"/>
  <cols>
    <col min="2" max="2" width="22.81640625" bestFit="1" customWidth="1"/>
    <col min="9" max="9" width="34.81640625" bestFit="1" customWidth="1"/>
    <col min="28" max="28" width="25" bestFit="1" customWidth="1"/>
  </cols>
  <sheetData>
    <row r="1" spans="1:29" x14ac:dyDescent="0.35">
      <c r="A1" s="94" t="s">
        <v>2909</v>
      </c>
      <c r="B1" s="94" t="s">
        <v>2988</v>
      </c>
      <c r="I1" s="94" t="s">
        <v>2989</v>
      </c>
      <c r="Q1" s="214" t="s">
        <v>3189</v>
      </c>
    </row>
    <row r="2" spans="1:29" x14ac:dyDescent="0.35">
      <c r="A2" t="s">
        <v>2840</v>
      </c>
      <c r="B2" s="148" t="s">
        <v>1518</v>
      </c>
      <c r="I2" s="148" t="s">
        <v>1518</v>
      </c>
      <c r="Q2" t="s">
        <v>3089</v>
      </c>
      <c r="Z2" t="str">
        <f>MID(Q2,60,30)</f>
        <v>Affoldener See.csv</v>
      </c>
      <c r="AB2" t="s">
        <v>2397</v>
      </c>
      <c r="AC2" t="s">
        <v>3190</v>
      </c>
    </row>
    <row r="3" spans="1:29" x14ac:dyDescent="0.35">
      <c r="A3" t="s">
        <v>2840</v>
      </c>
      <c r="B3" s="148" t="s">
        <v>2058</v>
      </c>
      <c r="I3" s="148" t="s">
        <v>2058</v>
      </c>
      <c r="Q3" t="s">
        <v>3090</v>
      </c>
      <c r="Z3" t="str">
        <f t="shared" ref="Z3:Z66" si="0">MID(Q3,60,30)</f>
        <v>Alcantara.csv</v>
      </c>
      <c r="AB3" t="s">
        <v>2226</v>
      </c>
      <c r="AC3" t="s">
        <v>3190</v>
      </c>
    </row>
    <row r="4" spans="1:29" x14ac:dyDescent="0.35">
      <c r="A4" t="s">
        <v>2840</v>
      </c>
      <c r="B4" s="148" t="s">
        <v>2077</v>
      </c>
      <c r="I4" s="148" t="s">
        <v>2077</v>
      </c>
      <c r="Q4" t="s">
        <v>3091</v>
      </c>
      <c r="Z4" t="str">
        <f t="shared" si="0"/>
        <v>Aldeadavila.csv</v>
      </c>
      <c r="AB4" t="s">
        <v>1854</v>
      </c>
      <c r="AC4" t="s">
        <v>3190</v>
      </c>
    </row>
    <row r="5" spans="1:29" x14ac:dyDescent="0.35">
      <c r="A5" t="s">
        <v>2840</v>
      </c>
      <c r="B5" s="148" t="s">
        <v>2088</v>
      </c>
      <c r="I5" s="148" t="s">
        <v>2088</v>
      </c>
      <c r="Q5" t="s">
        <v>3092</v>
      </c>
      <c r="Z5" t="str">
        <f t="shared" si="0"/>
        <v>Almendra dam reservoir.csv</v>
      </c>
      <c r="AB5" t="s">
        <v>2744</v>
      </c>
      <c r="AC5" t="s">
        <v>3190</v>
      </c>
    </row>
    <row r="6" spans="1:29" x14ac:dyDescent="0.35">
      <c r="A6" t="s">
        <v>2840</v>
      </c>
      <c r="B6" s="148" t="s">
        <v>1854</v>
      </c>
      <c r="I6" s="148" t="s">
        <v>1854</v>
      </c>
      <c r="Q6" t="s">
        <v>3093</v>
      </c>
      <c r="Z6" t="str">
        <f t="shared" si="0"/>
        <v>Alqueva.csv</v>
      </c>
      <c r="AB6" t="s">
        <v>1732</v>
      </c>
      <c r="AC6" t="s">
        <v>3190</v>
      </c>
    </row>
    <row r="7" spans="1:29" x14ac:dyDescent="0.35">
      <c r="A7" t="s">
        <v>2840</v>
      </c>
      <c r="B7" s="148" t="s">
        <v>2109</v>
      </c>
      <c r="I7" s="148" t="s">
        <v>2109</v>
      </c>
      <c r="Q7" t="s">
        <v>3094</v>
      </c>
      <c r="Z7" t="str">
        <f t="shared" si="0"/>
        <v>Alto Lindoso.csv</v>
      </c>
      <c r="AB7" t="s">
        <v>2308</v>
      </c>
      <c r="AC7" t="s">
        <v>3190</v>
      </c>
    </row>
    <row r="8" spans="1:29" x14ac:dyDescent="0.35">
      <c r="A8" t="s">
        <v>2840</v>
      </c>
      <c r="B8" s="148" t="s">
        <v>2073</v>
      </c>
      <c r="I8" s="148" t="s">
        <v>2073</v>
      </c>
      <c r="Q8" t="s">
        <v>3095</v>
      </c>
      <c r="Z8" t="str">
        <f t="shared" si="0"/>
        <v>Anapo lower reservoir.csv</v>
      </c>
      <c r="AB8" t="s">
        <v>2723</v>
      </c>
      <c r="AC8" t="s">
        <v>3190</v>
      </c>
    </row>
    <row r="9" spans="1:29" x14ac:dyDescent="0.35">
      <c r="A9" t="s">
        <v>2840</v>
      </c>
      <c r="B9" s="148" t="s">
        <v>1771</v>
      </c>
      <c r="I9" s="148" t="s">
        <v>1771</v>
      </c>
      <c r="Q9" t="s">
        <v>3096</v>
      </c>
      <c r="Z9" t="str">
        <f t="shared" si="0"/>
        <v>Anapo upper reservoir.csv</v>
      </c>
      <c r="AB9" t="s">
        <v>2722</v>
      </c>
      <c r="AC9" t="s">
        <v>3190</v>
      </c>
    </row>
    <row r="10" spans="1:29" x14ac:dyDescent="0.35">
      <c r="A10" t="s">
        <v>2840</v>
      </c>
      <c r="B10" s="148" t="s">
        <v>2188</v>
      </c>
      <c r="I10" s="148" t="s">
        <v>2188</v>
      </c>
      <c r="Q10" t="s">
        <v>3097</v>
      </c>
      <c r="Z10" t="str">
        <f t="shared" si="0"/>
        <v>Avio, Benedetto.csv</v>
      </c>
      <c r="AB10" t="s">
        <v>2714</v>
      </c>
      <c r="AC10" t="s">
        <v>3190</v>
      </c>
    </row>
    <row r="11" spans="1:29" x14ac:dyDescent="0.35">
      <c r="A11" t="s">
        <v>2840</v>
      </c>
      <c r="B11" s="148" t="s">
        <v>2709</v>
      </c>
      <c r="I11" s="148" t="s">
        <v>2709</v>
      </c>
      <c r="Q11" t="s">
        <v>3098</v>
      </c>
      <c r="Z11" t="str">
        <f t="shared" si="0"/>
        <v>Bemposta.csv</v>
      </c>
      <c r="AB11" t="s">
        <v>1733</v>
      </c>
      <c r="AC11" t="s">
        <v>3190</v>
      </c>
    </row>
    <row r="12" spans="1:29" x14ac:dyDescent="0.35">
      <c r="A12" t="s">
        <v>2840</v>
      </c>
      <c r="B12" s="152" t="s">
        <v>2711</v>
      </c>
      <c r="I12" s="152" t="s">
        <v>2711</v>
      </c>
      <c r="Q12" t="s">
        <v>3099</v>
      </c>
      <c r="Z12" t="str">
        <f t="shared" si="0"/>
        <v>Bissorte.csv</v>
      </c>
      <c r="AB12" t="s">
        <v>1548</v>
      </c>
      <c r="AC12" t="s">
        <v>3190</v>
      </c>
    </row>
    <row r="13" spans="1:29" x14ac:dyDescent="0.35">
      <c r="A13" t="s">
        <v>2840</v>
      </c>
      <c r="B13" s="152" t="s">
        <v>2712</v>
      </c>
      <c r="I13" s="152" t="s">
        <v>2712</v>
      </c>
      <c r="Q13" t="s">
        <v>3100</v>
      </c>
      <c r="Z13" t="str">
        <f t="shared" si="0"/>
        <v>Canal Donzere-Mondragon.csv</v>
      </c>
      <c r="AB13" t="s">
        <v>2703</v>
      </c>
      <c r="AC13" t="s">
        <v>3190</v>
      </c>
    </row>
    <row r="14" spans="1:29" x14ac:dyDescent="0.35">
      <c r="A14" t="s">
        <v>2840</v>
      </c>
      <c r="B14" s="148" t="s">
        <v>2713</v>
      </c>
      <c r="I14" s="148" t="s">
        <v>2713</v>
      </c>
      <c r="Q14" t="s">
        <v>3101</v>
      </c>
      <c r="Z14" t="str">
        <f t="shared" si="0"/>
        <v>Cancano_San Giacomo.csv</v>
      </c>
      <c r="AB14" t="s">
        <v>2770</v>
      </c>
      <c r="AC14" t="s">
        <v>3190</v>
      </c>
    </row>
    <row r="15" spans="1:29" x14ac:dyDescent="0.35">
      <c r="A15" t="s">
        <v>2840</v>
      </c>
      <c r="B15" s="148" t="s">
        <v>2177</v>
      </c>
      <c r="I15" s="148" t="s">
        <v>2177</v>
      </c>
      <c r="Q15" t="s">
        <v>3102</v>
      </c>
      <c r="Z15" t="str">
        <f t="shared" si="0"/>
        <v>Cedillo.csv</v>
      </c>
      <c r="AB15" t="s">
        <v>1919</v>
      </c>
      <c r="AC15" t="s">
        <v>3190</v>
      </c>
    </row>
    <row r="16" spans="1:29" x14ac:dyDescent="0.35">
      <c r="A16" t="s">
        <v>2840</v>
      </c>
      <c r="B16" s="148" t="s">
        <v>2183</v>
      </c>
      <c r="I16" s="148" t="s">
        <v>2183</v>
      </c>
      <c r="Q16" t="s">
        <v>3103</v>
      </c>
      <c r="Z16" t="str">
        <f t="shared" si="0"/>
        <v>Cesima.csv</v>
      </c>
      <c r="AB16" t="s">
        <v>2196</v>
      </c>
      <c r="AC16" t="s">
        <v>3190</v>
      </c>
    </row>
    <row r="17" spans="1:29" x14ac:dyDescent="0.35">
      <c r="A17" t="s">
        <v>2840</v>
      </c>
      <c r="B17" s="148" t="s">
        <v>2714</v>
      </c>
      <c r="I17" s="148" t="s">
        <v>2714</v>
      </c>
      <c r="Q17" t="s">
        <v>3104</v>
      </c>
      <c r="Z17" t="str">
        <f t="shared" si="0"/>
        <v>Chevril.csv</v>
      </c>
      <c r="AB17" t="s">
        <v>2424</v>
      </c>
      <c r="AC17" t="s">
        <v>3190</v>
      </c>
    </row>
    <row r="18" spans="1:29" x14ac:dyDescent="0.35">
      <c r="A18" t="s">
        <v>2840</v>
      </c>
      <c r="B18" s="148" t="s">
        <v>2196</v>
      </c>
      <c r="I18" s="148" t="s">
        <v>2196</v>
      </c>
      <c r="Q18" t="s">
        <v>3105</v>
      </c>
      <c r="Z18" t="str">
        <f t="shared" si="0"/>
        <v>Cheylas.csv</v>
      </c>
      <c r="AB18" t="s">
        <v>2649</v>
      </c>
      <c r="AC18" t="s">
        <v>3190</v>
      </c>
    </row>
    <row r="19" spans="1:29" x14ac:dyDescent="0.35">
      <c r="A19" t="s">
        <v>2840</v>
      </c>
      <c r="B19" s="148" t="s">
        <v>2612</v>
      </c>
      <c r="I19" s="148" t="s">
        <v>2612</v>
      </c>
      <c r="Q19" t="s">
        <v>3106</v>
      </c>
      <c r="Z19" t="str">
        <f t="shared" si="0"/>
        <v>Coo 1, Coo 2.csv</v>
      </c>
      <c r="AB19" t="s">
        <v>2188</v>
      </c>
      <c r="AC19" t="s">
        <v>3190</v>
      </c>
    </row>
    <row r="20" spans="1:29" x14ac:dyDescent="0.35">
      <c r="A20" t="s">
        <v>2840</v>
      </c>
      <c r="B20" s="148" t="s">
        <v>2206</v>
      </c>
      <c r="I20" s="148" t="s">
        <v>2206</v>
      </c>
      <c r="Q20" t="s">
        <v>3107</v>
      </c>
      <c r="Z20" t="str">
        <f t="shared" si="0"/>
        <v>Coo Beneden.csv</v>
      </c>
      <c r="AB20" t="s">
        <v>2130</v>
      </c>
      <c r="AC20" t="s">
        <v>3190</v>
      </c>
    </row>
    <row r="21" spans="1:29" x14ac:dyDescent="0.35">
      <c r="A21" t="s">
        <v>2840</v>
      </c>
      <c r="B21" s="148" t="s">
        <v>2212</v>
      </c>
      <c r="I21" s="148" t="s">
        <v>2212</v>
      </c>
      <c r="Q21" t="s">
        <v>3108</v>
      </c>
      <c r="Z21" t="str">
        <f t="shared" si="0"/>
        <v>Cortes de Pallas.csv</v>
      </c>
      <c r="AB21" t="s">
        <v>1863</v>
      </c>
      <c r="AC21" t="s">
        <v>3190</v>
      </c>
    </row>
    <row r="22" spans="1:29" x14ac:dyDescent="0.35">
      <c r="A22" t="s">
        <v>2840</v>
      </c>
      <c r="B22" s="148" t="s">
        <v>2226</v>
      </c>
      <c r="I22" s="148" t="s">
        <v>2226</v>
      </c>
      <c r="Q22" t="s">
        <v>3109</v>
      </c>
      <c r="Z22" t="str">
        <f t="shared" si="0"/>
        <v>Couesques.csv</v>
      </c>
      <c r="AB22" t="s">
        <v>2617</v>
      </c>
      <c r="AC22" t="s">
        <v>3190</v>
      </c>
    </row>
    <row r="23" spans="1:29" x14ac:dyDescent="0.35">
      <c r="A23" t="s">
        <v>2840</v>
      </c>
      <c r="B23" s="148" t="s">
        <v>2769</v>
      </c>
      <c r="I23" s="148" t="s">
        <v>2769</v>
      </c>
      <c r="Q23" t="s">
        <v>3110</v>
      </c>
      <c r="Z23" t="str">
        <f t="shared" si="0"/>
        <v>Cruachan.csv</v>
      </c>
      <c r="AB23" t="s">
        <v>2400</v>
      </c>
      <c r="AC23" t="s">
        <v>3190</v>
      </c>
    </row>
    <row r="24" spans="1:29" x14ac:dyDescent="0.35">
      <c r="A24" t="s">
        <v>2840</v>
      </c>
      <c r="B24" s="148" t="s">
        <v>2683</v>
      </c>
      <c r="I24" s="148" t="s">
        <v>2683</v>
      </c>
      <c r="Q24" t="s">
        <v>3111</v>
      </c>
      <c r="Z24" t="str">
        <f t="shared" si="0"/>
        <v>Eggbergbecken.csv</v>
      </c>
      <c r="AB24" t="s">
        <v>2357</v>
      </c>
      <c r="AC24" t="s">
        <v>3190</v>
      </c>
    </row>
    <row r="25" spans="1:29" x14ac:dyDescent="0.35">
      <c r="A25" t="s">
        <v>2840</v>
      </c>
      <c r="B25" s="148" t="s">
        <v>2250</v>
      </c>
      <c r="I25" s="148" t="s">
        <v>2250</v>
      </c>
      <c r="Q25" t="s">
        <v>3112</v>
      </c>
      <c r="Z25" t="str">
        <f t="shared" si="0"/>
        <v>Finstertal.csv</v>
      </c>
      <c r="AB25" t="s">
        <v>35</v>
      </c>
      <c r="AC25" t="s">
        <v>3190</v>
      </c>
    </row>
    <row r="26" spans="1:29" x14ac:dyDescent="0.35">
      <c r="A26" t="s">
        <v>2840</v>
      </c>
      <c r="B26" s="148" t="s">
        <v>46</v>
      </c>
      <c r="I26" s="148" t="s">
        <v>46</v>
      </c>
      <c r="Q26" t="s">
        <v>3113</v>
      </c>
      <c r="Z26" t="str">
        <f t="shared" si="0"/>
        <v>Flumet.csv</v>
      </c>
      <c r="AB26" t="s">
        <v>2647</v>
      </c>
      <c r="AC26" t="s">
        <v>3190</v>
      </c>
    </row>
    <row r="27" spans="1:29" x14ac:dyDescent="0.35">
      <c r="A27" t="s">
        <v>2840</v>
      </c>
      <c r="B27" s="148" t="s">
        <v>2618</v>
      </c>
      <c r="I27" s="148" t="s">
        <v>2618</v>
      </c>
      <c r="Q27" t="s">
        <v>3114</v>
      </c>
      <c r="Z27" t="str">
        <f t="shared" si="0"/>
        <v>Galgenbichl.csv</v>
      </c>
      <c r="AB27" t="s">
        <v>27</v>
      </c>
      <c r="AC27" t="s">
        <v>3190</v>
      </c>
    </row>
    <row r="28" spans="1:29" x14ac:dyDescent="0.35">
      <c r="A28" t="s">
        <v>2840</v>
      </c>
      <c r="B28" s="148" t="s">
        <v>2157</v>
      </c>
      <c r="I28" s="148" t="s">
        <v>2157</v>
      </c>
      <c r="Q28" t="s">
        <v>3115</v>
      </c>
      <c r="Z28" t="str">
        <f t="shared" si="0"/>
        <v>Gelmersee.csv</v>
      </c>
      <c r="AB28" t="s">
        <v>2731</v>
      </c>
      <c r="AC28" t="s">
        <v>3190</v>
      </c>
    </row>
    <row r="29" spans="1:29" x14ac:dyDescent="0.35">
      <c r="A29" t="s">
        <v>2840</v>
      </c>
      <c r="B29" s="148" t="s">
        <v>2744</v>
      </c>
      <c r="I29" s="148" t="s">
        <v>2744</v>
      </c>
      <c r="Q29" t="s">
        <v>3116</v>
      </c>
      <c r="Z29" t="str">
        <f t="shared" si="0"/>
        <v>Genissiat.csv</v>
      </c>
      <c r="AB29" t="s">
        <v>1527</v>
      </c>
      <c r="AC29" t="s">
        <v>3190</v>
      </c>
    </row>
    <row r="30" spans="1:29" x14ac:dyDescent="0.35">
      <c r="A30" t="s">
        <v>2840</v>
      </c>
      <c r="B30" s="148" t="s">
        <v>1548</v>
      </c>
      <c r="I30" s="148" t="s">
        <v>1548</v>
      </c>
      <c r="Q30" t="s">
        <v>3117</v>
      </c>
      <c r="Z30" t="str">
        <f t="shared" si="0"/>
        <v>Gento.csv</v>
      </c>
      <c r="AB30" t="s">
        <v>2656</v>
      </c>
      <c r="AC30" t="s">
        <v>3190</v>
      </c>
    </row>
    <row r="31" spans="1:29" x14ac:dyDescent="0.35">
      <c r="A31" t="s">
        <v>2840</v>
      </c>
      <c r="B31" s="148" t="s">
        <v>2289</v>
      </c>
      <c r="I31" s="148" t="s">
        <v>2289</v>
      </c>
      <c r="Q31" t="s">
        <v>3118</v>
      </c>
      <c r="Z31" t="str">
        <f t="shared" si="0"/>
        <v>Gepatsch.csv</v>
      </c>
      <c r="AB31" t="s">
        <v>1425</v>
      </c>
      <c r="AC31" t="s">
        <v>3190</v>
      </c>
    </row>
    <row r="32" spans="1:29" x14ac:dyDescent="0.35">
      <c r="A32" t="s">
        <v>2840</v>
      </c>
      <c r="B32" s="148" t="s">
        <v>2181</v>
      </c>
      <c r="I32" s="148" t="s">
        <v>2181</v>
      </c>
      <c r="Q32" t="s">
        <v>3119</v>
      </c>
      <c r="Z32" t="str">
        <f t="shared" si="0"/>
        <v>Gibidum.csv</v>
      </c>
      <c r="AB32" t="s">
        <v>2727</v>
      </c>
      <c r="AC32" t="s">
        <v>3190</v>
      </c>
    </row>
    <row r="33" spans="1:29" x14ac:dyDescent="0.35">
      <c r="A33" t="s">
        <v>2840</v>
      </c>
      <c r="B33" s="148" t="s">
        <v>27</v>
      </c>
      <c r="I33" s="148" t="s">
        <v>27</v>
      </c>
      <c r="Q33" t="s">
        <v>3120</v>
      </c>
      <c r="Z33" t="str">
        <f t="shared" si="0"/>
        <v>Goldisthal-oberbecken.csv</v>
      </c>
      <c r="AB33" t="s">
        <v>2713</v>
      </c>
      <c r="AC33" t="s">
        <v>3190</v>
      </c>
    </row>
    <row r="34" spans="1:29" x14ac:dyDescent="0.35">
      <c r="A34" t="s">
        <v>2840</v>
      </c>
      <c r="B34" s="148" t="s">
        <v>2976</v>
      </c>
      <c r="I34" s="148" t="s">
        <v>2976</v>
      </c>
      <c r="Q34" t="s">
        <v>3121</v>
      </c>
      <c r="Z34" t="str">
        <f t="shared" si="0"/>
        <v>Goldisthal-Oberes S.csv</v>
      </c>
      <c r="AB34" t="s">
        <v>2772</v>
      </c>
      <c r="AC34" t="s">
        <v>3190</v>
      </c>
    </row>
    <row r="35" spans="1:29" x14ac:dyDescent="0.35">
      <c r="A35" t="s">
        <v>2840</v>
      </c>
      <c r="B35" s="148" t="s">
        <v>2264</v>
      </c>
      <c r="I35" s="148" t="s">
        <v>2264</v>
      </c>
      <c r="Q35" t="s">
        <v>3122</v>
      </c>
      <c r="Z35" t="str">
        <f t="shared" si="0"/>
        <v>Grand Dixence reservoir.csv</v>
      </c>
      <c r="AB35" t="s">
        <v>2088</v>
      </c>
      <c r="AC35" t="s">
        <v>3190</v>
      </c>
    </row>
    <row r="36" spans="1:29" x14ac:dyDescent="0.35">
      <c r="A36" t="s">
        <v>2840</v>
      </c>
      <c r="B36" s="148" t="s">
        <v>2760</v>
      </c>
      <c r="I36" s="148" t="s">
        <v>2760</v>
      </c>
      <c r="Q36" t="s">
        <v>3123</v>
      </c>
      <c r="Z36" t="str">
        <f t="shared" si="0"/>
        <v>Grand Maison.csv</v>
      </c>
      <c r="AB36" t="s">
        <v>1518</v>
      </c>
      <c r="AC36" t="s">
        <v>3190</v>
      </c>
    </row>
    <row r="37" spans="1:29" x14ac:dyDescent="0.35">
      <c r="A37" t="s">
        <v>2840</v>
      </c>
      <c r="B37" s="148" t="s">
        <v>2630</v>
      </c>
      <c r="I37" s="148" t="s">
        <v>2630</v>
      </c>
      <c r="Q37" t="s">
        <v>3124</v>
      </c>
      <c r="Z37" t="str">
        <f t="shared" si="0"/>
        <v>Grimsel.csv</v>
      </c>
      <c r="AB37" t="s">
        <v>2066</v>
      </c>
      <c r="AC37" t="s">
        <v>3190</v>
      </c>
    </row>
    <row r="38" spans="1:29" x14ac:dyDescent="0.35">
      <c r="A38" t="s">
        <v>2840</v>
      </c>
      <c r="B38" s="148" t="s">
        <v>2109</v>
      </c>
      <c r="I38" s="148" t="s">
        <v>2308</v>
      </c>
      <c r="Q38" t="s">
        <v>3125</v>
      </c>
      <c r="Z38" t="str">
        <f t="shared" si="0"/>
        <v>Hornbergbecken.csv</v>
      </c>
      <c r="AB38" t="s">
        <v>2612</v>
      </c>
      <c r="AC38" t="s">
        <v>3190</v>
      </c>
    </row>
    <row r="39" spans="1:29" x14ac:dyDescent="0.35">
      <c r="A39" t="s">
        <v>2840</v>
      </c>
      <c r="B39" s="148" t="s">
        <v>2308</v>
      </c>
      <c r="I39" s="148" t="s">
        <v>2304</v>
      </c>
      <c r="Q39" t="s">
        <v>3126</v>
      </c>
      <c r="Z39" t="str">
        <f t="shared" si="0"/>
        <v>Kops.csv</v>
      </c>
      <c r="AB39" t="s">
        <v>2366</v>
      </c>
      <c r="AC39" t="s">
        <v>3190</v>
      </c>
    </row>
    <row r="40" spans="1:29" x14ac:dyDescent="0.35">
      <c r="A40" t="s">
        <v>2840</v>
      </c>
      <c r="B40" s="148" t="s">
        <v>2618</v>
      </c>
      <c r="I40" s="148" t="s">
        <v>2315</v>
      </c>
      <c r="Q40" t="s">
        <v>3127</v>
      </c>
      <c r="Z40" t="str">
        <f t="shared" si="0"/>
        <v>Laengental.csv</v>
      </c>
      <c r="AB40" t="s">
        <v>2277</v>
      </c>
      <c r="AC40" t="s">
        <v>3190</v>
      </c>
    </row>
    <row r="41" spans="1:29" x14ac:dyDescent="0.35">
      <c r="A41" t="s">
        <v>2840</v>
      </c>
      <c r="B41" s="148" t="s">
        <v>2304</v>
      </c>
      <c r="I41" s="148" t="s">
        <v>2322</v>
      </c>
      <c r="Q41" t="s">
        <v>3128</v>
      </c>
      <c r="Z41" t="str">
        <f t="shared" si="0"/>
        <v>Lago d'Arno.csv</v>
      </c>
      <c r="AB41" t="s">
        <v>1687</v>
      </c>
      <c r="AC41" t="s">
        <v>3190</v>
      </c>
    </row>
    <row r="42" spans="1:29" x14ac:dyDescent="0.35">
      <c r="A42" t="s">
        <v>2840</v>
      </c>
      <c r="B42" s="148" t="s">
        <v>2315</v>
      </c>
      <c r="I42" s="148" t="s">
        <v>2633</v>
      </c>
      <c r="Q42" t="s">
        <v>3129</v>
      </c>
      <c r="Z42" t="str">
        <f t="shared" si="0"/>
        <v>Lago del Chiotas.csv</v>
      </c>
      <c r="AB42" t="s">
        <v>2073</v>
      </c>
      <c r="AC42" t="s">
        <v>3190</v>
      </c>
    </row>
    <row r="43" spans="1:29" x14ac:dyDescent="0.35">
      <c r="A43" t="s">
        <v>2840</v>
      </c>
      <c r="B43" s="148" t="s">
        <v>2322</v>
      </c>
      <c r="I43" s="148" t="s">
        <v>1687</v>
      </c>
      <c r="Q43" t="s">
        <v>3130</v>
      </c>
      <c r="Z43" t="str">
        <f t="shared" si="0"/>
        <v>Lago Delio.csv</v>
      </c>
      <c r="AB43" t="s">
        <v>2183</v>
      </c>
      <c r="AC43" t="s">
        <v>3190</v>
      </c>
    </row>
    <row r="44" spans="1:29" x14ac:dyDescent="0.35">
      <c r="A44" t="s">
        <v>2840</v>
      </c>
      <c r="B44" s="148" t="s">
        <v>2633</v>
      </c>
      <c r="I44" s="148" t="s">
        <v>1520</v>
      </c>
      <c r="Q44" t="s">
        <v>3131</v>
      </c>
      <c r="Z44" t="str">
        <f t="shared" si="0"/>
        <v>Lago della Piastra.csv</v>
      </c>
      <c r="AB44" t="s">
        <v>2072</v>
      </c>
      <c r="AC44" t="s">
        <v>3190</v>
      </c>
    </row>
    <row r="45" spans="1:29" x14ac:dyDescent="0.35">
      <c r="A45" t="s">
        <v>2840</v>
      </c>
      <c r="B45" s="148" t="s">
        <v>1687</v>
      </c>
      <c r="I45" s="148" t="s">
        <v>2366</v>
      </c>
      <c r="Q45" t="s">
        <v>3132</v>
      </c>
      <c r="Z45" t="str">
        <f t="shared" si="0"/>
        <v>Lago della Rovina.csv</v>
      </c>
      <c r="AB45" t="s">
        <v>2074</v>
      </c>
      <c r="AC45" t="s">
        <v>3190</v>
      </c>
    </row>
    <row r="46" spans="1:29" x14ac:dyDescent="0.35">
      <c r="A46" t="s">
        <v>2840</v>
      </c>
      <c r="B46" s="148" t="s">
        <v>1520</v>
      </c>
      <c r="I46" s="148" t="s">
        <v>1889</v>
      </c>
      <c r="Q46" t="s">
        <v>3133</v>
      </c>
      <c r="Z46" t="str">
        <f t="shared" si="0"/>
        <v>Lago di Campotosto.csv</v>
      </c>
      <c r="AB46" t="s">
        <v>2382</v>
      </c>
      <c r="AC46" t="s">
        <v>3190</v>
      </c>
    </row>
    <row r="47" spans="1:29" x14ac:dyDescent="0.35">
      <c r="A47" t="s">
        <v>2840</v>
      </c>
      <c r="B47" s="148" t="s">
        <v>2366</v>
      </c>
      <c r="I47" s="148" t="s">
        <v>1732</v>
      </c>
      <c r="Q47" t="s">
        <v>3134</v>
      </c>
      <c r="Z47" t="str">
        <f t="shared" si="0"/>
        <v>Lago Edolo.csv</v>
      </c>
      <c r="AB47" t="s">
        <v>2189</v>
      </c>
      <c r="AC47" t="s">
        <v>3190</v>
      </c>
    </row>
    <row r="48" spans="1:29" x14ac:dyDescent="0.35">
      <c r="A48" t="s">
        <v>2840</v>
      </c>
      <c r="B48" s="148" t="s">
        <v>1889</v>
      </c>
      <c r="I48" s="148" t="s">
        <v>2271</v>
      </c>
      <c r="Q48" t="s">
        <v>3135</v>
      </c>
      <c r="Z48" t="str">
        <f t="shared" si="0"/>
        <v>Lago Maggiore.csv</v>
      </c>
      <c r="AB48" t="s">
        <v>2185</v>
      </c>
      <c r="AC48" t="s">
        <v>3190</v>
      </c>
    </row>
    <row r="49" spans="1:29" x14ac:dyDescent="0.35">
      <c r="A49" t="s">
        <v>2840</v>
      </c>
      <c r="B49" s="148" t="s">
        <v>1732</v>
      </c>
      <c r="I49" s="148" t="s">
        <v>2277</v>
      </c>
      <c r="Q49" t="s">
        <v>3136</v>
      </c>
      <c r="Z49" t="str">
        <f t="shared" si="0"/>
        <v>Lago Santa Massenza.csv</v>
      </c>
      <c r="AB49" t="s">
        <v>2706</v>
      </c>
      <c r="AC49" t="s">
        <v>3190</v>
      </c>
    </row>
    <row r="50" spans="1:29" x14ac:dyDescent="0.35">
      <c r="A50" t="s">
        <v>2840</v>
      </c>
      <c r="B50" s="148" t="s">
        <v>2271</v>
      </c>
      <c r="I50" s="148" t="s">
        <v>2722</v>
      </c>
      <c r="Q50" t="s">
        <v>3137</v>
      </c>
      <c r="Z50" t="str">
        <f t="shared" si="0"/>
        <v>Latschau.csv</v>
      </c>
      <c r="AB50" t="s">
        <v>2470</v>
      </c>
      <c r="AC50" t="s">
        <v>3190</v>
      </c>
    </row>
    <row r="51" spans="1:29" x14ac:dyDescent="0.35">
      <c r="A51" t="s">
        <v>2840</v>
      </c>
      <c r="B51" s="148" t="s">
        <v>2277</v>
      </c>
      <c r="I51" s="148" t="s">
        <v>2638</v>
      </c>
      <c r="Q51" t="s">
        <v>3138</v>
      </c>
      <c r="Z51" t="str">
        <f t="shared" si="0"/>
        <v>Le Mont Cenis.csv</v>
      </c>
      <c r="AB51" t="s">
        <v>1525</v>
      </c>
      <c r="AC51" t="s">
        <v>3190</v>
      </c>
    </row>
    <row r="52" spans="1:29" x14ac:dyDescent="0.35">
      <c r="A52" t="s">
        <v>2840</v>
      </c>
      <c r="B52" s="148" t="s">
        <v>2722</v>
      </c>
      <c r="I52" s="148" t="s">
        <v>2470</v>
      </c>
      <c r="Q52" t="s">
        <v>3139</v>
      </c>
      <c r="Z52" t="str">
        <f t="shared" si="0"/>
        <v>Limmern.csv</v>
      </c>
      <c r="AB52" t="s">
        <v>2029</v>
      </c>
      <c r="AC52" t="s">
        <v>3190</v>
      </c>
    </row>
    <row r="53" spans="1:29" x14ac:dyDescent="0.35">
      <c r="A53" t="s">
        <v>2840</v>
      </c>
      <c r="B53" s="148" t="s">
        <v>2638</v>
      </c>
      <c r="I53" s="148" t="s">
        <v>2347</v>
      </c>
      <c r="Q53" t="s">
        <v>3140</v>
      </c>
      <c r="Z53" t="str">
        <f t="shared" si="0"/>
        <v>Llyn Peris.csv</v>
      </c>
      <c r="AB53" t="s">
        <v>2084</v>
      </c>
      <c r="AC53" t="s">
        <v>3190</v>
      </c>
    </row>
    <row r="54" spans="1:29" x14ac:dyDescent="0.35">
      <c r="A54" t="s">
        <v>2840</v>
      </c>
      <c r="B54" s="148" t="s">
        <v>2470</v>
      </c>
      <c r="I54" s="148" t="s">
        <v>2336</v>
      </c>
      <c r="Q54" t="s">
        <v>3141</v>
      </c>
      <c r="Z54" t="str">
        <f t="shared" si="0"/>
        <v>Loch Awe.csv</v>
      </c>
      <c r="AB54" t="s">
        <v>2402</v>
      </c>
      <c r="AC54" t="s">
        <v>3190</v>
      </c>
    </row>
    <row r="55" spans="1:29" x14ac:dyDescent="0.35">
      <c r="A55" t="s">
        <v>2840</v>
      </c>
      <c r="B55" s="148" t="s">
        <v>2347</v>
      </c>
      <c r="I55" s="152" t="s">
        <v>2338</v>
      </c>
      <c r="Q55" t="s">
        <v>3142</v>
      </c>
      <c r="Z55" t="str">
        <f t="shared" si="0"/>
        <v>Longefan.csv</v>
      </c>
      <c r="AB55" t="s">
        <v>2652</v>
      </c>
      <c r="AC55" t="s">
        <v>3190</v>
      </c>
    </row>
    <row r="56" spans="1:29" x14ac:dyDescent="0.35">
      <c r="A56" t="s">
        <v>2840</v>
      </c>
      <c r="B56" s="148" t="s">
        <v>2336</v>
      </c>
      <c r="I56" s="152" t="s">
        <v>2339</v>
      </c>
      <c r="Q56" t="s">
        <v>3143</v>
      </c>
      <c r="Z56" t="str">
        <f t="shared" si="0"/>
        <v>Marchlyn Mawr.csv</v>
      </c>
      <c r="AB56" t="s">
        <v>2058</v>
      </c>
      <c r="AC56" t="s">
        <v>3190</v>
      </c>
    </row>
    <row r="57" spans="1:29" x14ac:dyDescent="0.35">
      <c r="A57" t="s">
        <v>2840</v>
      </c>
      <c r="B57" s="152" t="s">
        <v>2338</v>
      </c>
      <c r="I57" s="152" t="s">
        <v>2716</v>
      </c>
      <c r="Q57" t="s">
        <v>3144</v>
      </c>
      <c r="Z57" t="str">
        <f t="shared" si="0"/>
        <v>Markersbach-oberbecken.csv</v>
      </c>
      <c r="AB57" t="s">
        <v>2177</v>
      </c>
      <c r="AC57" t="s">
        <v>3190</v>
      </c>
    </row>
    <row r="58" spans="1:29" x14ac:dyDescent="0.35">
      <c r="A58" t="s">
        <v>2840</v>
      </c>
      <c r="B58" s="152" t="s">
        <v>2339</v>
      </c>
      <c r="I58" s="148" t="s">
        <v>2396</v>
      </c>
      <c r="Q58" t="s">
        <v>3145</v>
      </c>
      <c r="Z58" t="str">
        <f t="shared" si="0"/>
        <v>Markersbach-unterbecken.csv</v>
      </c>
      <c r="AB58" t="s">
        <v>2178</v>
      </c>
      <c r="AC58" t="s">
        <v>3190</v>
      </c>
    </row>
    <row r="59" spans="1:29" x14ac:dyDescent="0.35">
      <c r="A59" t="s">
        <v>2840</v>
      </c>
      <c r="B59" s="152" t="s">
        <v>2716</v>
      </c>
      <c r="I59" s="148" t="s">
        <v>1919</v>
      </c>
      <c r="Q59" t="s">
        <v>3146</v>
      </c>
      <c r="Z59" t="str">
        <f t="shared" si="0"/>
        <v>Marquisades.csv</v>
      </c>
      <c r="AB59" t="s">
        <v>2264</v>
      </c>
      <c r="AC59" t="s">
        <v>3190</v>
      </c>
    </row>
    <row r="60" spans="1:29" x14ac:dyDescent="0.35">
      <c r="A60" t="s">
        <v>2840</v>
      </c>
      <c r="B60" s="148" t="s">
        <v>2396</v>
      </c>
      <c r="I60" s="148" t="s">
        <v>968</v>
      </c>
      <c r="Q60" t="s">
        <v>3147</v>
      </c>
      <c r="Z60" t="str">
        <f t="shared" si="0"/>
        <v>Mequinenza.csv</v>
      </c>
      <c r="AB60" t="s">
        <v>934</v>
      </c>
      <c r="AC60" t="s">
        <v>3190</v>
      </c>
    </row>
    <row r="61" spans="1:29" x14ac:dyDescent="0.35">
      <c r="A61" t="s">
        <v>2840</v>
      </c>
      <c r="B61" s="148" t="s">
        <v>1919</v>
      </c>
      <c r="I61" s="152" t="s">
        <v>2652</v>
      </c>
      <c r="Q61" t="s">
        <v>3148</v>
      </c>
      <c r="Z61" t="str">
        <f t="shared" si="0"/>
        <v>Miranda.csv</v>
      </c>
      <c r="AB61" t="s">
        <v>1734</v>
      </c>
      <c r="AC61" t="s">
        <v>3190</v>
      </c>
    </row>
    <row r="62" spans="1:29" x14ac:dyDescent="0.35">
      <c r="A62" t="s">
        <v>2840</v>
      </c>
      <c r="B62" s="148" t="s">
        <v>968</v>
      </c>
      <c r="I62" s="148" t="s">
        <v>2361</v>
      </c>
      <c r="Q62" t="s">
        <v>3149</v>
      </c>
      <c r="Z62" t="str">
        <f t="shared" si="0"/>
        <v>Moell.csv</v>
      </c>
      <c r="AB62" t="s">
        <v>2740</v>
      </c>
      <c r="AC62" t="s">
        <v>3190</v>
      </c>
    </row>
    <row r="63" spans="1:29" x14ac:dyDescent="0.35">
      <c r="A63" t="s">
        <v>2840</v>
      </c>
      <c r="B63" s="152" t="s">
        <v>2652</v>
      </c>
      <c r="I63" s="148" t="s">
        <v>2647</v>
      </c>
      <c r="Q63" t="s">
        <v>3150</v>
      </c>
      <c r="Z63" t="str">
        <f t="shared" si="0"/>
        <v>Molveno.csv</v>
      </c>
      <c r="AB63" t="s">
        <v>2705</v>
      </c>
      <c r="AC63" t="s">
        <v>3190</v>
      </c>
    </row>
    <row r="64" spans="1:29" x14ac:dyDescent="0.35">
      <c r="A64" t="s">
        <v>2840</v>
      </c>
      <c r="B64" s="148" t="s">
        <v>2361</v>
      </c>
      <c r="I64" s="148" t="s">
        <v>984</v>
      </c>
      <c r="Q64" t="s">
        <v>3151</v>
      </c>
      <c r="Z64" t="str">
        <f t="shared" si="0"/>
        <v>Monnes_l'Etang.csv</v>
      </c>
      <c r="AB64" t="s">
        <v>2769</v>
      </c>
      <c r="AC64" t="s">
        <v>3190</v>
      </c>
    </row>
    <row r="65" spans="1:29" x14ac:dyDescent="0.35">
      <c r="A65" t="s">
        <v>2840</v>
      </c>
      <c r="B65" s="148" t="s">
        <v>2647</v>
      </c>
      <c r="I65" s="148" t="s">
        <v>1483</v>
      </c>
      <c r="Q65" t="s">
        <v>3152</v>
      </c>
      <c r="Z65" t="str">
        <f t="shared" si="0"/>
        <v>Monteynard.csv</v>
      </c>
      <c r="AB65" t="s">
        <v>1519</v>
      </c>
      <c r="AC65" t="s">
        <v>3190</v>
      </c>
    </row>
    <row r="66" spans="1:29" x14ac:dyDescent="0.35">
      <c r="A66" t="s">
        <v>2840</v>
      </c>
      <c r="B66" s="148" t="s">
        <v>984</v>
      </c>
      <c r="I66" s="148" t="s">
        <v>524</v>
      </c>
      <c r="Q66" t="s">
        <v>3153</v>
      </c>
      <c r="Z66" t="str">
        <f t="shared" si="0"/>
        <v>Mooserboden.csv</v>
      </c>
      <c r="AB66" t="s">
        <v>2633</v>
      </c>
      <c r="AC66" t="s">
        <v>3190</v>
      </c>
    </row>
    <row r="67" spans="1:29" x14ac:dyDescent="0.35">
      <c r="A67" t="s">
        <v>2840</v>
      </c>
      <c r="B67" s="148" t="s">
        <v>1483</v>
      </c>
      <c r="I67" s="148" t="s">
        <v>2656</v>
      </c>
      <c r="Q67" t="s">
        <v>3154</v>
      </c>
      <c r="Z67" t="str">
        <f t="shared" ref="Z67:Z101" si="1">MID(Q67,60,30)</f>
        <v>Muela upper reservoir.csv</v>
      </c>
      <c r="AB67" t="s">
        <v>2618</v>
      </c>
      <c r="AC67" t="s">
        <v>3190</v>
      </c>
    </row>
    <row r="68" spans="1:29" x14ac:dyDescent="0.35">
      <c r="A68" t="s">
        <v>2840</v>
      </c>
      <c r="B68" s="148" t="s">
        <v>524</v>
      </c>
      <c r="I68" s="148" t="s">
        <v>1731</v>
      </c>
      <c r="Q68" t="s">
        <v>3155</v>
      </c>
      <c r="Z68" t="str">
        <f t="shared" si="1"/>
        <v>Oberaar.csv</v>
      </c>
      <c r="AB68" t="s">
        <v>2041</v>
      </c>
      <c r="AC68" t="s">
        <v>3190</v>
      </c>
    </row>
    <row r="69" spans="1:29" x14ac:dyDescent="0.35">
      <c r="A69" t="s">
        <v>2840</v>
      </c>
      <c r="B69" s="148" t="s">
        <v>2656</v>
      </c>
      <c r="I69" s="152" t="s">
        <v>1563</v>
      </c>
      <c r="Q69" t="s">
        <v>3156</v>
      </c>
      <c r="Z69" t="str">
        <f t="shared" si="1"/>
        <v>Oberbecken Waldeck II.csv</v>
      </c>
      <c r="AB69" t="s">
        <v>2396</v>
      </c>
      <c r="AC69" t="s">
        <v>3190</v>
      </c>
    </row>
    <row r="70" spans="1:29" x14ac:dyDescent="0.35">
      <c r="A70" t="s">
        <v>2840</v>
      </c>
      <c r="B70" s="148" t="s">
        <v>1731</v>
      </c>
      <c r="I70" s="148" t="s">
        <v>2029</v>
      </c>
      <c r="Q70" t="s">
        <v>3157</v>
      </c>
      <c r="Z70" t="str">
        <f t="shared" si="1"/>
        <v>Pareloup.csv</v>
      </c>
      <c r="AB70" t="s">
        <v>1563</v>
      </c>
      <c r="AC70" t="s">
        <v>3190</v>
      </c>
    </row>
    <row r="71" spans="1:29" x14ac:dyDescent="0.35">
      <c r="A71" t="s">
        <v>2840</v>
      </c>
      <c r="B71" s="152" t="s">
        <v>1563</v>
      </c>
      <c r="I71" s="148" t="s">
        <v>2385</v>
      </c>
      <c r="Q71" t="s">
        <v>3158</v>
      </c>
      <c r="Z71" t="str">
        <f t="shared" si="1"/>
        <v>Pedrogao.csv</v>
      </c>
      <c r="AB71" t="s">
        <v>2333</v>
      </c>
      <c r="AC71" t="s">
        <v>3190</v>
      </c>
    </row>
    <row r="72" spans="1:29" x14ac:dyDescent="0.35">
      <c r="A72" t="s">
        <v>2840</v>
      </c>
      <c r="B72" s="148" t="s">
        <v>2029</v>
      </c>
      <c r="I72" s="148" t="s">
        <v>2405</v>
      </c>
      <c r="Q72" t="s">
        <v>3159</v>
      </c>
      <c r="Z72" t="str">
        <f t="shared" si="1"/>
        <v>Piaganini.csv</v>
      </c>
      <c r="AB72" t="s">
        <v>2386</v>
      </c>
      <c r="AC72" t="s">
        <v>3190</v>
      </c>
    </row>
    <row r="73" spans="1:29" x14ac:dyDescent="0.35">
      <c r="A73" t="s">
        <v>2840</v>
      </c>
      <c r="B73" s="148" t="s">
        <v>2385</v>
      </c>
      <c r="I73" s="148" t="s">
        <v>2413</v>
      </c>
      <c r="Q73" t="s">
        <v>3160</v>
      </c>
      <c r="Z73" t="str">
        <f t="shared" si="1"/>
        <v>Picote.csv</v>
      </c>
      <c r="AB73" t="s">
        <v>1731</v>
      </c>
      <c r="AC73" t="s">
        <v>3190</v>
      </c>
    </row>
    <row r="74" spans="1:29" x14ac:dyDescent="0.35">
      <c r="A74" t="s">
        <v>2840</v>
      </c>
      <c r="B74" s="148" t="s">
        <v>2405</v>
      </c>
      <c r="I74" s="148" t="s">
        <v>1733</v>
      </c>
      <c r="Q74" t="s">
        <v>3161</v>
      </c>
      <c r="Z74" t="str">
        <f t="shared" si="1"/>
        <v>Pont des Chevres.csv</v>
      </c>
      <c r="AB74" t="s">
        <v>2624</v>
      </c>
      <c r="AC74" t="s">
        <v>3190</v>
      </c>
    </row>
    <row r="75" spans="1:29" x14ac:dyDescent="0.35">
      <c r="A75" t="s">
        <v>2840</v>
      </c>
      <c r="B75" s="148" t="s">
        <v>2413</v>
      </c>
      <c r="I75" s="148" t="s">
        <v>2431</v>
      </c>
      <c r="Q75" t="s">
        <v>3162</v>
      </c>
      <c r="Z75" t="str">
        <f t="shared" si="1"/>
        <v>Presenzano Lower.csv</v>
      </c>
      <c r="AB75" t="s">
        <v>2197</v>
      </c>
      <c r="AC75" t="s">
        <v>3190</v>
      </c>
    </row>
    <row r="76" spans="1:29" x14ac:dyDescent="0.35">
      <c r="A76" t="s">
        <v>2840</v>
      </c>
      <c r="B76" s="148" t="s">
        <v>1733</v>
      </c>
      <c r="I76" s="148" t="s">
        <v>1527</v>
      </c>
      <c r="Q76" t="s">
        <v>3163</v>
      </c>
      <c r="Z76" t="str">
        <f t="shared" si="1"/>
        <v>Provvidenza.csv</v>
      </c>
      <c r="AB76" t="s">
        <v>524</v>
      </c>
      <c r="AC76" t="s">
        <v>3190</v>
      </c>
    </row>
    <row r="77" spans="1:29" x14ac:dyDescent="0.35">
      <c r="A77" t="s">
        <v>2840</v>
      </c>
      <c r="B77" s="148" t="s">
        <v>2431</v>
      </c>
      <c r="I77" s="148" t="s">
        <v>1695</v>
      </c>
      <c r="Q77" t="s">
        <v>3164</v>
      </c>
      <c r="Z77" t="str">
        <f t="shared" si="1"/>
        <v>Raeterichsboden.csv</v>
      </c>
      <c r="AB77" t="s">
        <v>2732</v>
      </c>
      <c r="AC77" t="s">
        <v>3190</v>
      </c>
    </row>
    <row r="78" spans="1:29" x14ac:dyDescent="0.35">
      <c r="A78" t="s">
        <v>2840</v>
      </c>
      <c r="B78" s="148" t="s">
        <v>1527</v>
      </c>
      <c r="I78" s="148" t="s">
        <v>2400</v>
      </c>
      <c r="Q78" t="s">
        <v>3165</v>
      </c>
      <c r="Z78" t="str">
        <f t="shared" si="1"/>
        <v>Ribarroja.csv</v>
      </c>
      <c r="AB78" t="s">
        <v>1936</v>
      </c>
      <c r="AC78" t="s">
        <v>3190</v>
      </c>
    </row>
    <row r="79" spans="1:29" x14ac:dyDescent="0.35">
      <c r="A79" t="s">
        <v>2840</v>
      </c>
      <c r="B79" s="148" t="s">
        <v>1695</v>
      </c>
      <c r="I79" s="148" t="s">
        <v>1425</v>
      </c>
      <c r="Q79" t="s">
        <v>3166</v>
      </c>
      <c r="Z79" t="str">
        <f t="shared" si="1"/>
        <v>Rifa.csv</v>
      </c>
      <c r="AB79" t="s">
        <v>2469</v>
      </c>
      <c r="AC79" t="s">
        <v>3190</v>
      </c>
    </row>
    <row r="80" spans="1:29" x14ac:dyDescent="0.35">
      <c r="A80" t="s">
        <v>2840</v>
      </c>
      <c r="B80" s="148" t="s">
        <v>2400</v>
      </c>
      <c r="I80" s="148" t="s">
        <v>2458</v>
      </c>
      <c r="Q80" t="s">
        <v>3167</v>
      </c>
      <c r="Z80" t="str">
        <f t="shared" si="1"/>
        <v>Rodund.csv</v>
      </c>
      <c r="AB80" t="s">
        <v>2472</v>
      </c>
      <c r="AC80" t="s">
        <v>3190</v>
      </c>
    </row>
    <row r="81" spans="1:29" x14ac:dyDescent="0.35">
      <c r="A81" t="s">
        <v>2840</v>
      </c>
      <c r="B81" s="148" t="s">
        <v>1425</v>
      </c>
      <c r="I81" s="148" t="s">
        <v>2662</v>
      </c>
      <c r="Q81" t="s">
        <v>3168</v>
      </c>
      <c r="Z81" t="str">
        <f t="shared" si="1"/>
        <v>Roselend.csv</v>
      </c>
      <c r="AB81" t="s">
        <v>1520</v>
      </c>
      <c r="AC81" t="s">
        <v>3190</v>
      </c>
    </row>
    <row r="82" spans="1:29" x14ac:dyDescent="0.35">
      <c r="A82" t="s">
        <v>2840</v>
      </c>
      <c r="B82" s="148" t="s">
        <v>2088</v>
      </c>
      <c r="I82" s="148" t="s">
        <v>2663</v>
      </c>
      <c r="Q82" t="s">
        <v>3169</v>
      </c>
      <c r="Z82" t="str">
        <f t="shared" si="1"/>
        <v>Sallente.csv</v>
      </c>
      <c r="AB82" t="s">
        <v>2480</v>
      </c>
      <c r="AC82" t="s">
        <v>3190</v>
      </c>
    </row>
    <row r="83" spans="1:29" x14ac:dyDescent="0.35">
      <c r="A83" t="s">
        <v>2840</v>
      </c>
      <c r="B83" s="148" t="s">
        <v>2458</v>
      </c>
      <c r="I83" s="148" t="s">
        <v>2771</v>
      </c>
      <c r="Q83" t="s">
        <v>3170</v>
      </c>
      <c r="Z83" t="str">
        <f t="shared" si="1"/>
        <v>Saucelle.csv</v>
      </c>
      <c r="AB83" t="s">
        <v>1889</v>
      </c>
      <c r="AC83" t="s">
        <v>3190</v>
      </c>
    </row>
    <row r="84" spans="1:29" x14ac:dyDescent="0.35">
      <c r="A84" t="s">
        <v>2840</v>
      </c>
      <c r="B84" s="148" t="s">
        <v>2662</v>
      </c>
      <c r="I84" s="148" t="s">
        <v>1734</v>
      </c>
      <c r="Q84" t="s">
        <v>3171</v>
      </c>
      <c r="Z84" t="str">
        <f t="shared" si="1"/>
        <v>Sellero.csv</v>
      </c>
      <c r="AB84" t="s">
        <v>521</v>
      </c>
      <c r="AC84" t="s">
        <v>3190</v>
      </c>
    </row>
    <row r="85" spans="1:29" x14ac:dyDescent="0.35">
      <c r="A85" t="s">
        <v>2840</v>
      </c>
      <c r="B85" s="148" t="s">
        <v>2663</v>
      </c>
      <c r="I85" s="148" t="s">
        <v>1484</v>
      </c>
      <c r="Q85" t="s">
        <v>3172</v>
      </c>
      <c r="Z85" t="str">
        <f t="shared" si="1"/>
        <v>Serre-Poncon.csv</v>
      </c>
      <c r="AB85" t="s">
        <v>2662</v>
      </c>
      <c r="AC85" t="s">
        <v>3190</v>
      </c>
    </row>
    <row r="86" spans="1:29" x14ac:dyDescent="0.35">
      <c r="A86" t="s">
        <v>2840</v>
      </c>
      <c r="B86" s="148" t="s">
        <v>2771</v>
      </c>
      <c r="I86" s="148" t="s">
        <v>1519</v>
      </c>
      <c r="Q86" t="s">
        <v>3173</v>
      </c>
      <c r="Z86" t="str">
        <f t="shared" si="1"/>
        <v>Stillup.csv</v>
      </c>
      <c r="AB86" t="s">
        <v>2283</v>
      </c>
      <c r="AC86" t="s">
        <v>3190</v>
      </c>
    </row>
    <row r="87" spans="1:29" x14ac:dyDescent="0.35">
      <c r="A87" t="s">
        <v>2840</v>
      </c>
      <c r="B87" s="148" t="s">
        <v>1734</v>
      </c>
      <c r="I87" s="148" t="s">
        <v>38</v>
      </c>
      <c r="Q87" t="s">
        <v>3174</v>
      </c>
      <c r="Z87" t="str">
        <f t="shared" si="1"/>
        <v>Stwlan.csv</v>
      </c>
      <c r="AB87" t="s">
        <v>2694</v>
      </c>
      <c r="AC87" t="s">
        <v>3190</v>
      </c>
    </row>
    <row r="88" spans="1:29" x14ac:dyDescent="0.35">
      <c r="A88" t="s">
        <v>2840</v>
      </c>
      <c r="B88" s="148" t="s">
        <v>1484</v>
      </c>
      <c r="I88" s="148" t="s">
        <v>1525</v>
      </c>
      <c r="Q88" t="s">
        <v>3175</v>
      </c>
      <c r="Z88" t="str">
        <f t="shared" si="1"/>
        <v>Tajo de la Encantada upper.csv</v>
      </c>
      <c r="AB88" t="s">
        <v>2771</v>
      </c>
      <c r="AC88" t="s">
        <v>3190</v>
      </c>
    </row>
    <row r="89" spans="1:29" x14ac:dyDescent="0.35">
      <c r="A89" t="s">
        <v>2840</v>
      </c>
      <c r="B89" s="148" t="s">
        <v>1519</v>
      </c>
      <c r="I89" s="148" t="s">
        <v>2357</v>
      </c>
      <c r="Q89" t="s">
        <v>3176</v>
      </c>
      <c r="Z89" t="str">
        <f t="shared" si="1"/>
        <v>Tajo de la Encantada.csv</v>
      </c>
      <c r="AB89" t="s">
        <v>2677</v>
      </c>
      <c r="AC89" t="s">
        <v>3190</v>
      </c>
    </row>
    <row r="90" spans="1:29" x14ac:dyDescent="0.35">
      <c r="A90" t="s">
        <v>2840</v>
      </c>
      <c r="B90" s="148" t="s">
        <v>38</v>
      </c>
      <c r="I90" s="148" t="s">
        <v>2694</v>
      </c>
      <c r="Q90" t="s">
        <v>3177</v>
      </c>
      <c r="Z90" t="str">
        <f t="shared" si="1"/>
        <v>Tan-y-Grisiau.csv</v>
      </c>
      <c r="AB90" t="s">
        <v>2695</v>
      </c>
      <c r="AC90" t="s">
        <v>3190</v>
      </c>
    </row>
    <row r="91" spans="1:29" x14ac:dyDescent="0.35">
      <c r="A91" t="s">
        <v>2840</v>
      </c>
      <c r="B91" s="148" t="s">
        <v>1525</v>
      </c>
      <c r="I91" s="148" t="s">
        <v>2705</v>
      </c>
      <c r="Q91" t="s">
        <v>3178</v>
      </c>
      <c r="Z91" t="str">
        <f t="shared" si="1"/>
        <v>Tierfehd.csv</v>
      </c>
      <c r="AB91" t="s">
        <v>2353</v>
      </c>
      <c r="AC91" t="s">
        <v>3190</v>
      </c>
    </row>
    <row r="92" spans="1:29" x14ac:dyDescent="0.35">
      <c r="A92" t="s">
        <v>2840</v>
      </c>
      <c r="B92" s="148" t="s">
        <v>2357</v>
      </c>
      <c r="I92" s="148" t="s">
        <v>2703</v>
      </c>
      <c r="Q92" t="s">
        <v>3179</v>
      </c>
      <c r="Z92" t="str">
        <f t="shared" si="1"/>
        <v>Touvedo.csv</v>
      </c>
      <c r="AB92" t="s">
        <v>2309</v>
      </c>
      <c r="AC92" t="s">
        <v>3190</v>
      </c>
    </row>
    <row r="93" spans="1:29" x14ac:dyDescent="0.35">
      <c r="A93" t="s">
        <v>2840</v>
      </c>
      <c r="B93" s="148" t="s">
        <v>2694</v>
      </c>
      <c r="I93" s="148" t="s">
        <v>2041</v>
      </c>
      <c r="Q93" t="s">
        <v>3180</v>
      </c>
      <c r="Z93" t="str">
        <f t="shared" si="1"/>
        <v>Val Grosina.csv</v>
      </c>
      <c r="AB93" t="s">
        <v>2431</v>
      </c>
      <c r="AC93" t="s">
        <v>3190</v>
      </c>
    </row>
    <row r="94" spans="1:29" x14ac:dyDescent="0.35">
      <c r="A94" t="s">
        <v>2840</v>
      </c>
      <c r="B94" s="148" t="s">
        <v>2705</v>
      </c>
      <c r="I94" s="148" t="s">
        <v>2727</v>
      </c>
      <c r="Q94" t="s">
        <v>3181</v>
      </c>
      <c r="Z94" t="str">
        <f t="shared" si="1"/>
        <v>Verney.csv</v>
      </c>
      <c r="AB94" t="s">
        <v>2083</v>
      </c>
      <c r="AC94" t="s">
        <v>3190</v>
      </c>
    </row>
    <row r="95" spans="1:29" x14ac:dyDescent="0.35">
      <c r="A95" t="s">
        <v>2840</v>
      </c>
      <c r="B95" s="148" t="s">
        <v>2703</v>
      </c>
      <c r="I95" s="148" t="s">
        <v>2424</v>
      </c>
      <c r="Q95" t="s">
        <v>3182</v>
      </c>
      <c r="Z95" t="str">
        <f t="shared" si="1"/>
        <v>Vianden lower.csv</v>
      </c>
      <c r="AB95" t="s">
        <v>2078</v>
      </c>
      <c r="AC95" t="s">
        <v>3190</v>
      </c>
    </row>
    <row r="96" spans="1:29" x14ac:dyDescent="0.35">
      <c r="A96" t="s">
        <v>2840</v>
      </c>
      <c r="B96" s="148" t="s">
        <v>2041</v>
      </c>
      <c r="I96" s="148" t="s">
        <v>934</v>
      </c>
      <c r="Q96" t="s">
        <v>3183</v>
      </c>
      <c r="Z96" t="str">
        <f t="shared" si="1"/>
        <v>Vianden upper.csv</v>
      </c>
      <c r="AB96" t="s">
        <v>2077</v>
      </c>
      <c r="AC96" t="s">
        <v>3190</v>
      </c>
    </row>
    <row r="97" spans="1:29" x14ac:dyDescent="0.35">
      <c r="A97" t="s">
        <v>2840</v>
      </c>
      <c r="B97" s="148" t="s">
        <v>2727</v>
      </c>
      <c r="I97" s="148" t="s">
        <v>1773</v>
      </c>
      <c r="Q97" t="s">
        <v>3184</v>
      </c>
      <c r="Z97" t="str">
        <f t="shared" si="1"/>
        <v>Villefranche-de-Panat.csv</v>
      </c>
      <c r="AB97" t="s">
        <v>2385</v>
      </c>
      <c r="AC97" t="s">
        <v>3190</v>
      </c>
    </row>
    <row r="98" spans="1:29" x14ac:dyDescent="0.35">
      <c r="A98" t="s">
        <v>2840</v>
      </c>
      <c r="B98" s="148" t="s">
        <v>2424</v>
      </c>
      <c r="I98" s="148" t="s">
        <v>2419</v>
      </c>
      <c r="Q98" t="s">
        <v>3185</v>
      </c>
      <c r="Z98" t="str">
        <f t="shared" si="1"/>
        <v>Wasserfallboden.csv</v>
      </c>
      <c r="AB98" t="s">
        <v>2471</v>
      </c>
      <c r="AC98" t="s">
        <v>3190</v>
      </c>
    </row>
    <row r="99" spans="1:29" x14ac:dyDescent="0.35">
      <c r="A99" t="s">
        <v>2840</v>
      </c>
      <c r="B99" s="148" t="s">
        <v>934</v>
      </c>
      <c r="I99" s="148" t="s">
        <v>2441</v>
      </c>
      <c r="Q99" t="s">
        <v>3186</v>
      </c>
      <c r="Z99" t="str">
        <f t="shared" si="1"/>
        <v>Wehrabecken.csv</v>
      </c>
      <c r="AB99" t="s">
        <v>2613</v>
      </c>
      <c r="AC99" t="s">
        <v>3190</v>
      </c>
    </row>
    <row r="100" spans="1:29" x14ac:dyDescent="0.35">
      <c r="A100" t="s">
        <v>2840</v>
      </c>
      <c r="B100" s="148" t="s">
        <v>1773</v>
      </c>
      <c r="I100" s="148" t="s">
        <v>35</v>
      </c>
      <c r="Q100" t="s">
        <v>3187</v>
      </c>
      <c r="Z100" t="str">
        <f t="shared" si="1"/>
        <v>Whitaker.csv</v>
      </c>
      <c r="AB100" t="s">
        <v>2265</v>
      </c>
      <c r="AC100" t="s">
        <v>3190</v>
      </c>
    </row>
    <row r="101" spans="1:29" x14ac:dyDescent="0.35">
      <c r="A101" t="s">
        <v>2840</v>
      </c>
      <c r="B101" s="148" t="s">
        <v>2419</v>
      </c>
      <c r="I101" s="148" t="s">
        <v>2158</v>
      </c>
      <c r="Q101" t="s">
        <v>3188</v>
      </c>
      <c r="Z101" t="str">
        <f t="shared" si="1"/>
        <v>Zillergruendel.csv</v>
      </c>
      <c r="AB101" t="s">
        <v>38</v>
      </c>
      <c r="AC101" t="s">
        <v>3190</v>
      </c>
    </row>
    <row r="102" spans="1:29" x14ac:dyDescent="0.35">
      <c r="A102" t="s">
        <v>2840</v>
      </c>
      <c r="B102" s="148" t="s">
        <v>2441</v>
      </c>
      <c r="I102" s="148" t="s">
        <v>1696</v>
      </c>
    </row>
    <row r="103" spans="1:29" x14ac:dyDescent="0.35">
      <c r="A103" t="s">
        <v>2840</v>
      </c>
      <c r="B103" s="148" t="s">
        <v>2088</v>
      </c>
      <c r="I103" s="213" t="s">
        <v>2732</v>
      </c>
    </row>
    <row r="104" spans="1:29" x14ac:dyDescent="0.35">
      <c r="A104" t="s">
        <v>2840</v>
      </c>
      <c r="B104" s="148" t="s">
        <v>35</v>
      </c>
      <c r="I104" s="213" t="s">
        <v>2066</v>
      </c>
    </row>
    <row r="105" spans="1:29" x14ac:dyDescent="0.35">
      <c r="A105" t="s">
        <v>2840</v>
      </c>
      <c r="B105" s="148" t="s">
        <v>2158</v>
      </c>
      <c r="I105" s="148" t="s">
        <v>1936</v>
      </c>
    </row>
    <row r="106" spans="1:29" x14ac:dyDescent="0.35">
      <c r="A106" t="s">
        <v>2840</v>
      </c>
      <c r="B106" s="148" t="s">
        <v>1696</v>
      </c>
      <c r="I106" s="148" t="s">
        <v>2731</v>
      </c>
    </row>
    <row r="107" spans="1:29" x14ac:dyDescent="0.35">
      <c r="A107" t="s">
        <v>2840</v>
      </c>
      <c r="B107" s="213" t="s">
        <v>2732</v>
      </c>
      <c r="I107" s="214" t="s">
        <v>2483</v>
      </c>
    </row>
    <row r="108" spans="1:29" x14ac:dyDescent="0.35">
      <c r="A108" t="s">
        <v>2840</v>
      </c>
      <c r="B108" s="213" t="s">
        <v>2066</v>
      </c>
      <c r="I108" s="214" t="s">
        <v>2733</v>
      </c>
    </row>
    <row r="109" spans="1:29" x14ac:dyDescent="0.35">
      <c r="A109" t="s">
        <v>2840</v>
      </c>
      <c r="B109" s="148" t="s">
        <v>1936</v>
      </c>
      <c r="I109" s="214" t="s">
        <v>2734</v>
      </c>
    </row>
    <row r="110" spans="1:29" x14ac:dyDescent="0.35">
      <c r="A110" t="s">
        <v>2840</v>
      </c>
      <c r="B110" s="148" t="s">
        <v>2731</v>
      </c>
      <c r="I110" s="214" t="s">
        <v>2735</v>
      </c>
    </row>
    <row r="111" spans="1:29" x14ac:dyDescent="0.35">
      <c r="A111" t="s">
        <v>2840</v>
      </c>
      <c r="B111" s="214" t="s">
        <v>2483</v>
      </c>
      <c r="I111" s="214" t="s">
        <v>2154</v>
      </c>
    </row>
    <row r="112" spans="1:29" x14ac:dyDescent="0.35">
      <c r="A112" t="s">
        <v>2840</v>
      </c>
      <c r="B112" s="214" t="s">
        <v>2709</v>
      </c>
      <c r="I112" s="148" t="s">
        <v>2770</v>
      </c>
    </row>
    <row r="113" spans="1:9" x14ac:dyDescent="0.35">
      <c r="A113" t="s">
        <v>2840</v>
      </c>
      <c r="B113" s="214" t="s">
        <v>2733</v>
      </c>
      <c r="I113" s="148" t="s">
        <v>2736</v>
      </c>
    </row>
    <row r="114" spans="1:9" x14ac:dyDescent="0.35">
      <c r="A114" t="s">
        <v>2840</v>
      </c>
      <c r="B114" s="214" t="s">
        <v>2734</v>
      </c>
      <c r="I114" s="148" t="s">
        <v>2113</v>
      </c>
    </row>
    <row r="115" spans="1:9" x14ac:dyDescent="0.35">
      <c r="A115" t="s">
        <v>2840</v>
      </c>
      <c r="B115" s="214" t="s">
        <v>2735</v>
      </c>
      <c r="I115" s="148" t="s">
        <v>2382</v>
      </c>
    </row>
    <row r="116" spans="1:9" x14ac:dyDescent="0.35">
      <c r="A116" t="s">
        <v>2840</v>
      </c>
      <c r="B116" s="214" t="s">
        <v>2154</v>
      </c>
      <c r="I116" s="148" t="s">
        <v>2074</v>
      </c>
    </row>
    <row r="117" spans="1:9" x14ac:dyDescent="0.35">
      <c r="A117" t="s">
        <v>2840</v>
      </c>
      <c r="B117" s="148" t="s">
        <v>2770</v>
      </c>
      <c r="I117" t="s">
        <v>2083</v>
      </c>
    </row>
    <row r="118" spans="1:9" x14ac:dyDescent="0.35">
      <c r="A118" t="s">
        <v>2840</v>
      </c>
      <c r="B118" s="148" t="s">
        <v>2736</v>
      </c>
      <c r="I118" t="s">
        <v>2084</v>
      </c>
    </row>
    <row r="119" spans="1:9" x14ac:dyDescent="0.35">
      <c r="A119" t="s">
        <v>2840</v>
      </c>
      <c r="B119" s="148" t="s">
        <v>2113</v>
      </c>
      <c r="I119" t="s">
        <v>2078</v>
      </c>
    </row>
    <row r="120" spans="1:9" x14ac:dyDescent="0.35">
      <c r="A120" t="s">
        <v>2840</v>
      </c>
      <c r="B120" s="148" t="s">
        <v>2382</v>
      </c>
      <c r="I120" t="s">
        <v>2091</v>
      </c>
    </row>
    <row r="121" spans="1:9" x14ac:dyDescent="0.35">
      <c r="A121" t="s">
        <v>2840</v>
      </c>
      <c r="B121" s="148" t="s">
        <v>2074</v>
      </c>
      <c r="I121" t="s">
        <v>2919</v>
      </c>
    </row>
    <row r="122" spans="1:9" x14ac:dyDescent="0.35">
      <c r="A122" t="s">
        <v>2840</v>
      </c>
      <c r="B122" s="213" t="s">
        <v>2424</v>
      </c>
      <c r="I122" t="s">
        <v>2922</v>
      </c>
    </row>
    <row r="123" spans="1:9" x14ac:dyDescent="0.35">
      <c r="A123" t="s">
        <v>2840</v>
      </c>
      <c r="B123" t="s">
        <v>2083</v>
      </c>
      <c r="I123" t="s">
        <v>2072</v>
      </c>
    </row>
    <row r="124" spans="1:9" x14ac:dyDescent="0.35">
      <c r="A124" t="s">
        <v>2840</v>
      </c>
      <c r="B124" t="s">
        <v>2084</v>
      </c>
      <c r="I124" t="s">
        <v>2923</v>
      </c>
    </row>
    <row r="125" spans="1:9" x14ac:dyDescent="0.35">
      <c r="A125" t="s">
        <v>2840</v>
      </c>
      <c r="B125" t="s">
        <v>2078</v>
      </c>
      <c r="I125" t="s">
        <v>2130</v>
      </c>
    </row>
    <row r="126" spans="1:9" x14ac:dyDescent="0.35">
      <c r="A126" t="s">
        <v>2840</v>
      </c>
      <c r="B126" t="s">
        <v>2091</v>
      </c>
      <c r="I126" t="s">
        <v>747</v>
      </c>
    </row>
    <row r="127" spans="1:9" x14ac:dyDescent="0.35">
      <c r="A127" t="s">
        <v>2840</v>
      </c>
      <c r="B127" t="s">
        <v>2919</v>
      </c>
      <c r="I127" t="s">
        <v>2772</v>
      </c>
    </row>
    <row r="128" spans="1:9" x14ac:dyDescent="0.35">
      <c r="A128" t="s">
        <v>2840</v>
      </c>
      <c r="B128" t="s">
        <v>2922</v>
      </c>
      <c r="I128" t="s">
        <v>2178</v>
      </c>
    </row>
    <row r="129" spans="1:9" x14ac:dyDescent="0.35">
      <c r="A129" t="s">
        <v>2840</v>
      </c>
      <c r="B129" t="s">
        <v>2072</v>
      </c>
      <c r="I129" t="s">
        <v>2185</v>
      </c>
    </row>
    <row r="130" spans="1:9" x14ac:dyDescent="0.35">
      <c r="A130" t="s">
        <v>2840</v>
      </c>
      <c r="B130" t="s">
        <v>2923</v>
      </c>
      <c r="I130" t="s">
        <v>2189</v>
      </c>
    </row>
    <row r="131" spans="1:9" x14ac:dyDescent="0.35">
      <c r="A131" t="s">
        <v>2840</v>
      </c>
      <c r="B131" t="s">
        <v>2130</v>
      </c>
      <c r="I131" t="s">
        <v>2197</v>
      </c>
    </row>
    <row r="132" spans="1:9" x14ac:dyDescent="0.35">
      <c r="A132" t="s">
        <v>2840</v>
      </c>
      <c r="B132" t="s">
        <v>747</v>
      </c>
      <c r="I132" t="s">
        <v>2613</v>
      </c>
    </row>
    <row r="133" spans="1:9" x14ac:dyDescent="0.35">
      <c r="A133" t="s">
        <v>2840</v>
      </c>
      <c r="B133" t="s">
        <v>2772</v>
      </c>
      <c r="I133" t="s">
        <v>2203</v>
      </c>
    </row>
    <row r="134" spans="1:9" x14ac:dyDescent="0.35">
      <c r="A134" t="s">
        <v>2840</v>
      </c>
      <c r="B134" t="s">
        <v>2178</v>
      </c>
      <c r="I134" t="s">
        <v>2215</v>
      </c>
    </row>
    <row r="135" spans="1:9" x14ac:dyDescent="0.35">
      <c r="A135" t="s">
        <v>2840</v>
      </c>
      <c r="B135" t="s">
        <v>2185</v>
      </c>
      <c r="I135" t="s">
        <v>2225</v>
      </c>
    </row>
    <row r="136" spans="1:9" x14ac:dyDescent="0.35">
      <c r="A136" t="s">
        <v>2840</v>
      </c>
      <c r="B136" t="s">
        <v>2189</v>
      </c>
      <c r="I136" t="s">
        <v>2617</v>
      </c>
    </row>
    <row r="137" spans="1:9" x14ac:dyDescent="0.35">
      <c r="A137" t="s">
        <v>2840</v>
      </c>
      <c r="B137" t="s">
        <v>2197</v>
      </c>
      <c r="I137" t="s">
        <v>2233</v>
      </c>
    </row>
    <row r="138" spans="1:9" x14ac:dyDescent="0.35">
      <c r="A138" t="s">
        <v>2840</v>
      </c>
      <c r="B138" t="s">
        <v>2613</v>
      </c>
      <c r="I138" t="s">
        <v>2248</v>
      </c>
    </row>
    <row r="139" spans="1:9" x14ac:dyDescent="0.35">
      <c r="A139" t="s">
        <v>2840</v>
      </c>
      <c r="B139" t="s">
        <v>2203</v>
      </c>
      <c r="I139" t="s">
        <v>45</v>
      </c>
    </row>
    <row r="140" spans="1:9" x14ac:dyDescent="0.35">
      <c r="A140" t="s">
        <v>2840</v>
      </c>
      <c r="B140" t="s">
        <v>2215</v>
      </c>
      <c r="I140" t="s">
        <v>1863</v>
      </c>
    </row>
    <row r="141" spans="1:9" x14ac:dyDescent="0.35">
      <c r="A141" t="s">
        <v>2840</v>
      </c>
      <c r="B141" t="s">
        <v>2225</v>
      </c>
      <c r="I141" t="s">
        <v>2155</v>
      </c>
    </row>
    <row r="142" spans="1:9" x14ac:dyDescent="0.35">
      <c r="A142" t="s">
        <v>2840</v>
      </c>
      <c r="B142" t="s">
        <v>2617</v>
      </c>
      <c r="I142" t="s">
        <v>2252</v>
      </c>
    </row>
    <row r="143" spans="1:9" x14ac:dyDescent="0.35">
      <c r="A143" t="s">
        <v>2840</v>
      </c>
      <c r="B143" t="s">
        <v>2233</v>
      </c>
      <c r="I143" t="s">
        <v>2624</v>
      </c>
    </row>
    <row r="144" spans="1:9" x14ac:dyDescent="0.35">
      <c r="A144" t="s">
        <v>2840</v>
      </c>
      <c r="B144" t="s">
        <v>2248</v>
      </c>
      <c r="I144" t="s">
        <v>2290</v>
      </c>
    </row>
    <row r="145" spans="1:9" x14ac:dyDescent="0.35">
      <c r="A145" t="s">
        <v>2840</v>
      </c>
      <c r="B145" t="s">
        <v>45</v>
      </c>
      <c r="I145" t="s">
        <v>2740</v>
      </c>
    </row>
    <row r="146" spans="1:9" x14ac:dyDescent="0.35">
      <c r="A146" t="s">
        <v>2840</v>
      </c>
      <c r="B146" t="s">
        <v>1863</v>
      </c>
      <c r="I146" t="s">
        <v>2977</v>
      </c>
    </row>
    <row r="147" spans="1:9" x14ac:dyDescent="0.35">
      <c r="A147" t="s">
        <v>2840</v>
      </c>
      <c r="B147" t="s">
        <v>2155</v>
      </c>
      <c r="I147" t="s">
        <v>2265</v>
      </c>
    </row>
    <row r="148" spans="1:9" x14ac:dyDescent="0.35">
      <c r="A148" t="s">
        <v>2840</v>
      </c>
      <c r="B148" t="s">
        <v>2252</v>
      </c>
      <c r="I148" t="s">
        <v>2924</v>
      </c>
    </row>
    <row r="149" spans="1:9" x14ac:dyDescent="0.35">
      <c r="A149" t="s">
        <v>2840</v>
      </c>
      <c r="B149" t="s">
        <v>2624</v>
      </c>
      <c r="I149" t="s">
        <v>2479</v>
      </c>
    </row>
    <row r="150" spans="1:9" x14ac:dyDescent="0.35">
      <c r="A150" t="s">
        <v>2840</v>
      </c>
      <c r="B150" t="s">
        <v>2290</v>
      </c>
      <c r="I150" t="s">
        <v>2309</v>
      </c>
    </row>
    <row r="151" spans="1:9" x14ac:dyDescent="0.35">
      <c r="A151" t="s">
        <v>2840</v>
      </c>
      <c r="B151" t="s">
        <v>27</v>
      </c>
      <c r="I151" t="s">
        <v>2305</v>
      </c>
    </row>
    <row r="152" spans="1:9" x14ac:dyDescent="0.35">
      <c r="A152" t="s">
        <v>2840</v>
      </c>
      <c r="B152" t="s">
        <v>2740</v>
      </c>
      <c r="I152" t="s">
        <v>2925</v>
      </c>
    </row>
    <row r="153" spans="1:9" x14ac:dyDescent="0.35">
      <c r="A153" t="s">
        <v>2840</v>
      </c>
      <c r="B153" t="s">
        <v>2977</v>
      </c>
      <c r="I153" t="s">
        <v>2926</v>
      </c>
    </row>
    <row r="154" spans="1:9" x14ac:dyDescent="0.35">
      <c r="A154" t="s">
        <v>2840</v>
      </c>
      <c r="B154" t="s">
        <v>2265</v>
      </c>
      <c r="I154" t="s">
        <v>2471</v>
      </c>
    </row>
    <row r="155" spans="1:9" x14ac:dyDescent="0.35">
      <c r="A155" t="s">
        <v>2840</v>
      </c>
      <c r="B155" t="s">
        <v>2924</v>
      </c>
      <c r="I155" t="s">
        <v>521</v>
      </c>
    </row>
    <row r="156" spans="1:9" x14ac:dyDescent="0.35">
      <c r="A156" t="s">
        <v>2840</v>
      </c>
      <c r="B156" t="s">
        <v>2479</v>
      </c>
      <c r="I156" t="s">
        <v>2927</v>
      </c>
    </row>
    <row r="157" spans="1:9" x14ac:dyDescent="0.35">
      <c r="A157" t="s">
        <v>2840</v>
      </c>
      <c r="B157" t="s">
        <v>2113</v>
      </c>
      <c r="I157" t="s">
        <v>2469</v>
      </c>
    </row>
    <row r="158" spans="1:9" x14ac:dyDescent="0.35">
      <c r="A158" t="s">
        <v>2840</v>
      </c>
      <c r="B158" t="s">
        <v>2309</v>
      </c>
      <c r="I158" t="s">
        <v>2928</v>
      </c>
    </row>
    <row r="159" spans="1:9" x14ac:dyDescent="0.35">
      <c r="A159" t="s">
        <v>2840</v>
      </c>
      <c r="B159" t="s">
        <v>1863</v>
      </c>
      <c r="I159" t="s">
        <v>2333</v>
      </c>
    </row>
    <row r="160" spans="1:9" x14ac:dyDescent="0.35">
      <c r="A160" t="s">
        <v>2840</v>
      </c>
      <c r="B160" t="s">
        <v>2305</v>
      </c>
      <c r="I160" t="s">
        <v>2929</v>
      </c>
    </row>
    <row r="161" spans="1:9" x14ac:dyDescent="0.35">
      <c r="A161" t="s">
        <v>2840</v>
      </c>
      <c r="B161" t="s">
        <v>2925</v>
      </c>
      <c r="I161" t="s">
        <v>2930</v>
      </c>
    </row>
    <row r="162" spans="1:9" x14ac:dyDescent="0.35">
      <c r="A162" t="s">
        <v>2840</v>
      </c>
      <c r="B162" t="s">
        <v>2926</v>
      </c>
      <c r="I162" t="s">
        <v>2723</v>
      </c>
    </row>
    <row r="163" spans="1:9" x14ac:dyDescent="0.35">
      <c r="A163" t="s">
        <v>2840</v>
      </c>
      <c r="B163" t="s">
        <v>2471</v>
      </c>
      <c r="I163" t="s">
        <v>2637</v>
      </c>
    </row>
    <row r="164" spans="1:9" x14ac:dyDescent="0.35">
      <c r="A164" t="s">
        <v>2840</v>
      </c>
      <c r="B164" t="s">
        <v>521</v>
      </c>
      <c r="I164" t="s">
        <v>2472</v>
      </c>
    </row>
    <row r="165" spans="1:9" x14ac:dyDescent="0.35">
      <c r="A165" t="s">
        <v>2840</v>
      </c>
      <c r="B165" t="s">
        <v>2927</v>
      </c>
      <c r="I165" t="s">
        <v>2931</v>
      </c>
    </row>
    <row r="166" spans="1:9" x14ac:dyDescent="0.35">
      <c r="A166" t="s">
        <v>2840</v>
      </c>
      <c r="B166" t="s">
        <v>2469</v>
      </c>
      <c r="I166" t="s">
        <v>2932</v>
      </c>
    </row>
    <row r="167" spans="1:9" x14ac:dyDescent="0.35">
      <c r="A167" t="s">
        <v>2840</v>
      </c>
      <c r="B167" t="s">
        <v>2928</v>
      </c>
      <c r="I167" t="s">
        <v>2397</v>
      </c>
    </row>
    <row r="168" spans="1:9" x14ac:dyDescent="0.35">
      <c r="A168" t="s">
        <v>2840</v>
      </c>
      <c r="B168" t="s">
        <v>2333</v>
      </c>
      <c r="I168" t="s">
        <v>2933</v>
      </c>
    </row>
    <row r="169" spans="1:9" x14ac:dyDescent="0.35">
      <c r="A169" t="s">
        <v>2840</v>
      </c>
      <c r="B169" t="s">
        <v>2929</v>
      </c>
      <c r="I169" t="s">
        <v>2934</v>
      </c>
    </row>
    <row r="170" spans="1:9" x14ac:dyDescent="0.35">
      <c r="A170" t="s">
        <v>2840</v>
      </c>
      <c r="B170" t="s">
        <v>2930</v>
      </c>
      <c r="I170" t="s">
        <v>2935</v>
      </c>
    </row>
    <row r="171" spans="1:9" x14ac:dyDescent="0.35">
      <c r="A171" t="s">
        <v>2840</v>
      </c>
      <c r="B171" t="s">
        <v>2723</v>
      </c>
      <c r="I171" t="s">
        <v>2649</v>
      </c>
    </row>
    <row r="172" spans="1:9" x14ac:dyDescent="0.35">
      <c r="A172" t="s">
        <v>2840</v>
      </c>
      <c r="B172" t="s">
        <v>2637</v>
      </c>
      <c r="I172" t="s">
        <v>2936</v>
      </c>
    </row>
    <row r="173" spans="1:9" x14ac:dyDescent="0.35">
      <c r="A173" t="s">
        <v>2840</v>
      </c>
      <c r="B173" t="s">
        <v>2472</v>
      </c>
      <c r="I173" t="s">
        <v>1495</v>
      </c>
    </row>
    <row r="174" spans="1:9" x14ac:dyDescent="0.35">
      <c r="A174" t="s">
        <v>2840</v>
      </c>
      <c r="B174" t="s">
        <v>2931</v>
      </c>
      <c r="I174" t="s">
        <v>2386</v>
      </c>
    </row>
    <row r="175" spans="1:9" x14ac:dyDescent="0.35">
      <c r="A175" t="s">
        <v>2840</v>
      </c>
      <c r="B175" t="s">
        <v>2932</v>
      </c>
      <c r="I175" t="s">
        <v>2480</v>
      </c>
    </row>
    <row r="176" spans="1:9" x14ac:dyDescent="0.35">
      <c r="A176" t="s">
        <v>2840</v>
      </c>
      <c r="B176" t="s">
        <v>2397</v>
      </c>
      <c r="I176" t="s">
        <v>2937</v>
      </c>
    </row>
    <row r="177" spans="1:9" x14ac:dyDescent="0.35">
      <c r="A177" t="s">
        <v>2840</v>
      </c>
      <c r="B177" t="s">
        <v>2933</v>
      </c>
      <c r="I177" t="s">
        <v>2353</v>
      </c>
    </row>
    <row r="178" spans="1:9" x14ac:dyDescent="0.35">
      <c r="A178" t="s">
        <v>2840</v>
      </c>
      <c r="B178" t="s">
        <v>2934</v>
      </c>
      <c r="I178" t="s">
        <v>2938</v>
      </c>
    </row>
    <row r="179" spans="1:9" x14ac:dyDescent="0.35">
      <c r="A179" t="s">
        <v>2840</v>
      </c>
      <c r="B179" t="s">
        <v>2935</v>
      </c>
      <c r="I179" t="s">
        <v>2939</v>
      </c>
    </row>
    <row r="180" spans="1:9" x14ac:dyDescent="0.35">
      <c r="A180" t="s">
        <v>2840</v>
      </c>
      <c r="B180" t="s">
        <v>2649</v>
      </c>
      <c r="I180" t="s">
        <v>2414</v>
      </c>
    </row>
    <row r="181" spans="1:9" x14ac:dyDescent="0.35">
      <c r="A181" t="s">
        <v>2840</v>
      </c>
      <c r="B181" t="s">
        <v>2936</v>
      </c>
      <c r="I181" t="s">
        <v>2940</v>
      </c>
    </row>
    <row r="182" spans="1:9" x14ac:dyDescent="0.35">
      <c r="A182" t="s">
        <v>2840</v>
      </c>
      <c r="B182" t="s">
        <v>1495</v>
      </c>
      <c r="I182" t="s">
        <v>2941</v>
      </c>
    </row>
    <row r="183" spans="1:9" x14ac:dyDescent="0.35">
      <c r="A183" t="s">
        <v>2840</v>
      </c>
      <c r="B183" t="s">
        <v>2386</v>
      </c>
      <c r="I183" t="s">
        <v>2942</v>
      </c>
    </row>
    <row r="184" spans="1:9" x14ac:dyDescent="0.35">
      <c r="A184" t="s">
        <v>2840</v>
      </c>
      <c r="B184" t="s">
        <v>2480</v>
      </c>
      <c r="I184" t="s">
        <v>2402</v>
      </c>
    </row>
    <row r="185" spans="1:9" x14ac:dyDescent="0.35">
      <c r="A185" t="s">
        <v>2840</v>
      </c>
      <c r="B185" t="s">
        <v>2937</v>
      </c>
      <c r="I185" t="s">
        <v>2943</v>
      </c>
    </row>
    <row r="186" spans="1:9" x14ac:dyDescent="0.35">
      <c r="A186" t="s">
        <v>2840</v>
      </c>
      <c r="B186" t="s">
        <v>2353</v>
      </c>
      <c r="I186" t="s">
        <v>2944</v>
      </c>
    </row>
    <row r="187" spans="1:9" x14ac:dyDescent="0.35">
      <c r="A187" t="s">
        <v>2840</v>
      </c>
      <c r="B187" t="s">
        <v>2938</v>
      </c>
      <c r="I187" t="s">
        <v>2460</v>
      </c>
    </row>
    <row r="188" spans="1:9" x14ac:dyDescent="0.35">
      <c r="A188" t="s">
        <v>2840</v>
      </c>
      <c r="B188" t="s">
        <v>2939</v>
      </c>
      <c r="I188" t="s">
        <v>2945</v>
      </c>
    </row>
    <row r="189" spans="1:9" x14ac:dyDescent="0.35">
      <c r="A189" t="s">
        <v>2840</v>
      </c>
      <c r="B189" t="s">
        <v>2414</v>
      </c>
      <c r="I189" t="s">
        <v>2670</v>
      </c>
    </row>
    <row r="190" spans="1:9" x14ac:dyDescent="0.35">
      <c r="A190" t="s">
        <v>2840</v>
      </c>
      <c r="B190" t="s">
        <v>2940</v>
      </c>
      <c r="I190" t="s">
        <v>2677</v>
      </c>
    </row>
    <row r="191" spans="1:9" x14ac:dyDescent="0.35">
      <c r="A191" t="s">
        <v>2840</v>
      </c>
      <c r="B191" t="s">
        <v>2941</v>
      </c>
      <c r="I191" t="s">
        <v>2946</v>
      </c>
    </row>
    <row r="192" spans="1:9" x14ac:dyDescent="0.35">
      <c r="A192" t="s">
        <v>2840</v>
      </c>
      <c r="B192" t="s">
        <v>2942</v>
      </c>
      <c r="I192" t="s">
        <v>2947</v>
      </c>
    </row>
    <row r="193" spans="1:9" x14ac:dyDescent="0.35">
      <c r="A193" t="s">
        <v>2840</v>
      </c>
      <c r="B193" t="s">
        <v>2248</v>
      </c>
      <c r="I193" t="s">
        <v>2948</v>
      </c>
    </row>
    <row r="194" spans="1:9" x14ac:dyDescent="0.35">
      <c r="A194" t="s">
        <v>2840</v>
      </c>
      <c r="B194" t="s">
        <v>2402</v>
      </c>
      <c r="I194" t="s">
        <v>2283</v>
      </c>
    </row>
    <row r="195" spans="1:9" x14ac:dyDescent="0.35">
      <c r="A195" t="s">
        <v>2840</v>
      </c>
      <c r="B195" t="s">
        <v>2943</v>
      </c>
      <c r="I195" t="s">
        <v>2949</v>
      </c>
    </row>
    <row r="196" spans="1:9" x14ac:dyDescent="0.35">
      <c r="A196" t="s">
        <v>2840</v>
      </c>
      <c r="B196" t="s">
        <v>2944</v>
      </c>
      <c r="I196" t="s">
        <v>2920</v>
      </c>
    </row>
    <row r="197" spans="1:9" x14ac:dyDescent="0.35">
      <c r="A197" t="s">
        <v>2840</v>
      </c>
      <c r="B197" t="s">
        <v>2460</v>
      </c>
      <c r="I197" t="s">
        <v>2695</v>
      </c>
    </row>
    <row r="198" spans="1:9" x14ac:dyDescent="0.35">
      <c r="A198" t="s">
        <v>2840</v>
      </c>
      <c r="B198" t="s">
        <v>2945</v>
      </c>
      <c r="I198" t="s">
        <v>2706</v>
      </c>
    </row>
    <row r="199" spans="1:9" x14ac:dyDescent="0.35">
      <c r="A199" t="s">
        <v>2840</v>
      </c>
      <c r="B199" t="s">
        <v>2670</v>
      </c>
      <c r="I199" t="s">
        <v>2950</v>
      </c>
    </row>
    <row r="200" spans="1:9" x14ac:dyDescent="0.35">
      <c r="A200" t="s">
        <v>2840</v>
      </c>
      <c r="B200" t="s">
        <v>2677</v>
      </c>
      <c r="I200" t="s">
        <v>2951</v>
      </c>
    </row>
    <row r="201" spans="1:9" x14ac:dyDescent="0.35">
      <c r="A201" t="s">
        <v>2840</v>
      </c>
      <c r="B201" t="s">
        <v>2946</v>
      </c>
      <c r="I201" t="s">
        <v>2952</v>
      </c>
    </row>
    <row r="202" spans="1:9" x14ac:dyDescent="0.35">
      <c r="A202" t="s">
        <v>2840</v>
      </c>
      <c r="B202" t="s">
        <v>2947</v>
      </c>
      <c r="I202" t="s">
        <v>2953</v>
      </c>
    </row>
    <row r="203" spans="1:9" x14ac:dyDescent="0.35">
      <c r="A203" t="s">
        <v>2840</v>
      </c>
      <c r="B203" t="s">
        <v>2948</v>
      </c>
      <c r="I203" t="s">
        <v>2954</v>
      </c>
    </row>
    <row r="204" spans="1:9" x14ac:dyDescent="0.35">
      <c r="A204" t="s">
        <v>2840</v>
      </c>
      <c r="B204" t="s">
        <v>2283</v>
      </c>
      <c r="I204" t="s">
        <v>2921</v>
      </c>
    </row>
    <row r="205" spans="1:9" x14ac:dyDescent="0.35">
      <c r="A205" t="s">
        <v>2840</v>
      </c>
      <c r="B205" t="s">
        <v>2949</v>
      </c>
      <c r="I205" t="s">
        <v>2955</v>
      </c>
    </row>
    <row r="206" spans="1:9" x14ac:dyDescent="0.35">
      <c r="A206" t="s">
        <v>2840</v>
      </c>
      <c r="B206" t="s">
        <v>2920</v>
      </c>
      <c r="I206" t="s">
        <v>2956</v>
      </c>
    </row>
    <row r="207" spans="1:9" x14ac:dyDescent="0.35">
      <c r="A207" t="s">
        <v>2840</v>
      </c>
      <c r="B207" t="s">
        <v>2695</v>
      </c>
      <c r="I207" t="s">
        <v>2957</v>
      </c>
    </row>
    <row r="208" spans="1:9" x14ac:dyDescent="0.35">
      <c r="A208" t="s">
        <v>2840</v>
      </c>
      <c r="B208" t="s">
        <v>2706</v>
      </c>
      <c r="I208" t="s">
        <v>2958</v>
      </c>
    </row>
    <row r="209" spans="1:9" x14ac:dyDescent="0.35">
      <c r="A209" t="s">
        <v>2840</v>
      </c>
      <c r="B209" t="s">
        <v>2950</v>
      </c>
      <c r="I209" t="s">
        <v>2987</v>
      </c>
    </row>
    <row r="210" spans="1:9" x14ac:dyDescent="0.35">
      <c r="A210" t="s">
        <v>2840</v>
      </c>
      <c r="B210" t="s">
        <v>2066</v>
      </c>
    </row>
    <row r="211" spans="1:9" x14ac:dyDescent="0.35">
      <c r="A211" t="s">
        <v>2840</v>
      </c>
      <c r="B211" t="s">
        <v>2951</v>
      </c>
    </row>
    <row r="212" spans="1:9" x14ac:dyDescent="0.35">
      <c r="A212" t="s">
        <v>2840</v>
      </c>
      <c r="B212" t="s">
        <v>2952</v>
      </c>
    </row>
    <row r="213" spans="1:9" x14ac:dyDescent="0.35">
      <c r="A213" t="s">
        <v>2840</v>
      </c>
      <c r="B213" t="s">
        <v>2953</v>
      </c>
    </row>
    <row r="214" spans="1:9" x14ac:dyDescent="0.35">
      <c r="A214" t="s">
        <v>2840</v>
      </c>
      <c r="B214" t="s">
        <v>2954</v>
      </c>
    </row>
    <row r="215" spans="1:9" x14ac:dyDescent="0.35">
      <c r="A215" t="s">
        <v>2840</v>
      </c>
      <c r="B215" t="s">
        <v>2413</v>
      </c>
    </row>
    <row r="216" spans="1:9" x14ac:dyDescent="0.35">
      <c r="A216" t="s">
        <v>2840</v>
      </c>
      <c r="B216" t="s">
        <v>2921</v>
      </c>
    </row>
    <row r="217" spans="1:9" x14ac:dyDescent="0.35">
      <c r="A217" t="s">
        <v>2840</v>
      </c>
      <c r="B217" t="s">
        <v>2955</v>
      </c>
    </row>
    <row r="218" spans="1:9" x14ac:dyDescent="0.35">
      <c r="A218" t="s">
        <v>2840</v>
      </c>
      <c r="B218" t="s">
        <v>2277</v>
      </c>
    </row>
    <row r="219" spans="1:9" x14ac:dyDescent="0.35">
      <c r="A219" t="s">
        <v>2840</v>
      </c>
      <c r="B219" t="s">
        <v>2154</v>
      </c>
    </row>
    <row r="220" spans="1:9" x14ac:dyDescent="0.35">
      <c r="A220" t="s">
        <v>2840</v>
      </c>
      <c r="B220" t="s">
        <v>2248</v>
      </c>
    </row>
    <row r="221" spans="1:9" x14ac:dyDescent="0.35">
      <c r="A221" t="s">
        <v>2840</v>
      </c>
      <c r="B221" t="s">
        <v>2956</v>
      </c>
    </row>
    <row r="222" spans="1:9" x14ac:dyDescent="0.35">
      <c r="A222" t="s">
        <v>2840</v>
      </c>
      <c r="B222" t="s">
        <v>2957</v>
      </c>
    </row>
    <row r="223" spans="1:9" x14ac:dyDescent="0.35">
      <c r="A223" t="s">
        <v>2840</v>
      </c>
      <c r="B223" t="s">
        <v>2431</v>
      </c>
    </row>
    <row r="224" spans="1:9" x14ac:dyDescent="0.35">
      <c r="A224" t="s">
        <v>2840</v>
      </c>
      <c r="B224" t="s">
        <v>2157</v>
      </c>
    </row>
    <row r="225" spans="1:2" x14ac:dyDescent="0.35">
      <c r="A225" t="s">
        <v>2840</v>
      </c>
      <c r="B225" t="s">
        <v>2958</v>
      </c>
    </row>
    <row r="226" spans="1:2" x14ac:dyDescent="0.35">
      <c r="A226" t="s">
        <v>2840</v>
      </c>
      <c r="B226" t="s">
        <v>524</v>
      </c>
    </row>
    <row r="227" spans="1:2" x14ac:dyDescent="0.35">
      <c r="A227" t="s">
        <v>2840</v>
      </c>
      <c r="B227" t="s">
        <v>2072</v>
      </c>
    </row>
    <row r="228" spans="1:2" x14ac:dyDescent="0.35">
      <c r="A228" t="s">
        <v>2840</v>
      </c>
      <c r="B228" t="s">
        <v>2987</v>
      </c>
    </row>
  </sheetData>
  <pageMargins left="0.7" right="0.7" top="0.75" bottom="0.75" header="0.3" footer="0.3"/>
  <pageSetup paperSize="9" orientation="portrait" horizontalDpi="300" verticalDpi="300"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4">
    <tabColor rgb="FFFFFF00"/>
  </sheetPr>
  <dimension ref="A1:G209"/>
  <sheetViews>
    <sheetView workbookViewId="0">
      <selection activeCell="R39" sqref="R39"/>
    </sheetView>
  </sheetViews>
  <sheetFormatPr defaultColWidth="8.81640625" defaultRowHeight="14.5" x14ac:dyDescent="0.35"/>
  <cols>
    <col min="1" max="1" width="25" bestFit="1" customWidth="1"/>
    <col min="3" max="3" width="20.81640625" style="124" customWidth="1"/>
    <col min="4" max="5" width="27.6328125" style="124" customWidth="1"/>
    <col min="6" max="6" width="11.81640625" customWidth="1"/>
  </cols>
  <sheetData>
    <row r="1" spans="1:7" s="96" customFormat="1" x14ac:dyDescent="0.35">
      <c r="A1" s="153" t="s">
        <v>2908</v>
      </c>
      <c r="B1" s="154" t="s">
        <v>2880</v>
      </c>
      <c r="C1" s="153" t="s">
        <v>2886</v>
      </c>
      <c r="D1" s="153" t="s">
        <v>2885</v>
      </c>
      <c r="E1" s="153" t="s">
        <v>2992</v>
      </c>
      <c r="F1" s="153" t="s">
        <v>2906</v>
      </c>
      <c r="G1" s="155" t="s">
        <v>2907</v>
      </c>
    </row>
    <row r="2" spans="1:7" x14ac:dyDescent="0.35">
      <c r="A2" s="148" t="s">
        <v>1518</v>
      </c>
      <c r="B2" t="s">
        <v>1056</v>
      </c>
      <c r="C2" s="124" t="s">
        <v>2887</v>
      </c>
      <c r="G2" t="s">
        <v>2959</v>
      </c>
    </row>
    <row r="3" spans="1:7" x14ac:dyDescent="0.35">
      <c r="A3" s="148" t="s">
        <v>2058</v>
      </c>
      <c r="B3" t="s">
        <v>1056</v>
      </c>
      <c r="C3" s="124" t="s">
        <v>2887</v>
      </c>
      <c r="G3" t="s">
        <v>2959</v>
      </c>
    </row>
    <row r="4" spans="1:7" x14ac:dyDescent="0.35">
      <c r="A4" s="148" t="s">
        <v>2077</v>
      </c>
      <c r="B4" t="s">
        <v>1056</v>
      </c>
      <c r="C4" s="124" t="s">
        <v>2887</v>
      </c>
      <c r="G4" t="s">
        <v>2959</v>
      </c>
    </row>
    <row r="5" spans="1:7" x14ac:dyDescent="0.35">
      <c r="A5" s="148" t="s">
        <v>2088</v>
      </c>
      <c r="B5" t="s">
        <v>1056</v>
      </c>
      <c r="C5" s="124" t="s">
        <v>2887</v>
      </c>
      <c r="G5" t="s">
        <v>2959</v>
      </c>
    </row>
    <row r="6" spans="1:7" x14ac:dyDescent="0.35">
      <c r="A6" s="148" t="s">
        <v>1854</v>
      </c>
      <c r="B6" t="s">
        <v>1056</v>
      </c>
      <c r="C6" s="124" t="s">
        <v>2887</v>
      </c>
      <c r="G6" t="s">
        <v>2959</v>
      </c>
    </row>
    <row r="7" spans="1:7" x14ac:dyDescent="0.35">
      <c r="A7" s="148" t="s">
        <v>2109</v>
      </c>
      <c r="B7" t="s">
        <v>1056</v>
      </c>
      <c r="C7" s="124" t="s">
        <v>2887</v>
      </c>
      <c r="G7" t="s">
        <v>2959</v>
      </c>
    </row>
    <row r="8" spans="1:7" x14ac:dyDescent="0.35">
      <c r="A8" s="148" t="s">
        <v>2073</v>
      </c>
      <c r="B8" t="s">
        <v>1056</v>
      </c>
      <c r="C8" s="124" t="s">
        <v>2887</v>
      </c>
      <c r="G8" t="s">
        <v>2959</v>
      </c>
    </row>
    <row r="9" spans="1:7" x14ac:dyDescent="0.35">
      <c r="A9" s="148" t="s">
        <v>1771</v>
      </c>
      <c r="B9" t="s">
        <v>1056</v>
      </c>
      <c r="C9" s="124" t="s">
        <v>2887</v>
      </c>
      <c r="G9" t="s">
        <v>2959</v>
      </c>
    </row>
    <row r="10" spans="1:7" x14ac:dyDescent="0.35">
      <c r="A10" s="148" t="s">
        <v>2188</v>
      </c>
      <c r="B10" t="s">
        <v>1056</v>
      </c>
      <c r="C10" s="124" t="s">
        <v>2887</v>
      </c>
      <c r="G10" t="s">
        <v>2959</v>
      </c>
    </row>
    <row r="11" spans="1:7" x14ac:dyDescent="0.35">
      <c r="A11" s="148" t="s">
        <v>2709</v>
      </c>
      <c r="B11" t="s">
        <v>1056</v>
      </c>
      <c r="C11" s="124" t="s">
        <v>2887</v>
      </c>
      <c r="G11" t="s">
        <v>2959</v>
      </c>
    </row>
    <row r="12" spans="1:7" x14ac:dyDescent="0.35">
      <c r="A12" s="148" t="s">
        <v>2711</v>
      </c>
      <c r="B12" t="s">
        <v>1056</v>
      </c>
      <c r="C12" s="124" t="s">
        <v>2887</v>
      </c>
      <c r="G12" t="s">
        <v>2959</v>
      </c>
    </row>
    <row r="13" spans="1:7" x14ac:dyDescent="0.35">
      <c r="A13" s="148" t="s">
        <v>2712</v>
      </c>
      <c r="B13" t="s">
        <v>1056</v>
      </c>
      <c r="C13" s="124" t="s">
        <v>2887</v>
      </c>
      <c r="G13" t="s">
        <v>2959</v>
      </c>
    </row>
    <row r="14" spans="1:7" x14ac:dyDescent="0.35">
      <c r="A14" s="148" t="s">
        <v>2713</v>
      </c>
      <c r="B14" t="s">
        <v>1056</v>
      </c>
      <c r="C14" s="124" t="s">
        <v>2887</v>
      </c>
      <c r="G14" t="s">
        <v>2959</v>
      </c>
    </row>
    <row r="15" spans="1:7" x14ac:dyDescent="0.35">
      <c r="A15" s="148" t="s">
        <v>2177</v>
      </c>
      <c r="B15" t="s">
        <v>1056</v>
      </c>
      <c r="C15" s="124" t="s">
        <v>2887</v>
      </c>
      <c r="G15" t="s">
        <v>2959</v>
      </c>
    </row>
    <row r="16" spans="1:7" x14ac:dyDescent="0.35">
      <c r="A16" s="148" t="s">
        <v>2183</v>
      </c>
      <c r="B16" t="s">
        <v>1056</v>
      </c>
      <c r="C16" s="124" t="s">
        <v>2887</v>
      </c>
      <c r="G16" t="s">
        <v>2959</v>
      </c>
    </row>
    <row r="17" spans="1:7" x14ac:dyDescent="0.35">
      <c r="A17" s="148" t="s">
        <v>2714</v>
      </c>
      <c r="B17" t="s">
        <v>1056</v>
      </c>
      <c r="C17" s="124" t="s">
        <v>2887</v>
      </c>
      <c r="G17" t="s">
        <v>2959</v>
      </c>
    </row>
    <row r="18" spans="1:7" x14ac:dyDescent="0.35">
      <c r="A18" s="148" t="s">
        <v>2196</v>
      </c>
      <c r="B18" t="s">
        <v>1056</v>
      </c>
      <c r="C18" s="124" t="s">
        <v>2887</v>
      </c>
      <c r="G18" t="s">
        <v>2959</v>
      </c>
    </row>
    <row r="19" spans="1:7" x14ac:dyDescent="0.35">
      <c r="A19" s="148" t="s">
        <v>2612</v>
      </c>
      <c r="B19" t="s">
        <v>1056</v>
      </c>
      <c r="C19" s="124" t="s">
        <v>2887</v>
      </c>
      <c r="G19" t="s">
        <v>2959</v>
      </c>
    </row>
    <row r="20" spans="1:7" x14ac:dyDescent="0.35">
      <c r="A20" s="148" t="s">
        <v>2206</v>
      </c>
      <c r="B20" t="s">
        <v>1056</v>
      </c>
      <c r="C20" s="124" t="s">
        <v>2887</v>
      </c>
      <c r="G20" t="s">
        <v>2959</v>
      </c>
    </row>
    <row r="21" spans="1:7" x14ac:dyDescent="0.35">
      <c r="A21" s="148" t="s">
        <v>2212</v>
      </c>
      <c r="B21" t="s">
        <v>1056</v>
      </c>
      <c r="C21" s="124" t="s">
        <v>2887</v>
      </c>
      <c r="G21" t="s">
        <v>2959</v>
      </c>
    </row>
    <row r="22" spans="1:7" x14ac:dyDescent="0.35">
      <c r="A22" s="148" t="s">
        <v>2226</v>
      </c>
      <c r="B22" t="s">
        <v>1056</v>
      </c>
      <c r="C22" s="124" t="s">
        <v>2887</v>
      </c>
      <c r="G22" t="s">
        <v>2959</v>
      </c>
    </row>
    <row r="23" spans="1:7" x14ac:dyDescent="0.35">
      <c r="A23" s="148" t="s">
        <v>2769</v>
      </c>
      <c r="B23" t="s">
        <v>1056</v>
      </c>
      <c r="C23" s="124" t="s">
        <v>2887</v>
      </c>
      <c r="G23" t="s">
        <v>2959</v>
      </c>
    </row>
    <row r="24" spans="1:7" x14ac:dyDescent="0.35">
      <c r="A24" s="148" t="s">
        <v>2683</v>
      </c>
      <c r="B24" t="s">
        <v>1056</v>
      </c>
      <c r="C24" s="124" t="s">
        <v>2887</v>
      </c>
      <c r="G24" t="s">
        <v>2959</v>
      </c>
    </row>
    <row r="25" spans="1:7" x14ac:dyDescent="0.35">
      <c r="A25" s="148" t="s">
        <v>2250</v>
      </c>
      <c r="B25" t="s">
        <v>1056</v>
      </c>
      <c r="C25" s="124" t="s">
        <v>2887</v>
      </c>
      <c r="G25" t="s">
        <v>2959</v>
      </c>
    </row>
    <row r="26" spans="1:7" x14ac:dyDescent="0.35">
      <c r="A26" s="148" t="s">
        <v>46</v>
      </c>
      <c r="B26" t="s">
        <v>1056</v>
      </c>
      <c r="C26" s="124" t="s">
        <v>2887</v>
      </c>
      <c r="G26" t="s">
        <v>2959</v>
      </c>
    </row>
    <row r="27" spans="1:7" x14ac:dyDescent="0.35">
      <c r="A27" s="148" t="s">
        <v>2618</v>
      </c>
      <c r="B27" t="s">
        <v>1056</v>
      </c>
      <c r="C27" s="124" t="s">
        <v>2887</v>
      </c>
      <c r="G27" t="s">
        <v>2959</v>
      </c>
    </row>
    <row r="28" spans="1:7" x14ac:dyDescent="0.35">
      <c r="A28" s="148" t="s">
        <v>2157</v>
      </c>
      <c r="B28" t="s">
        <v>1056</v>
      </c>
      <c r="C28" s="124" t="s">
        <v>2887</v>
      </c>
      <c r="G28" t="s">
        <v>2959</v>
      </c>
    </row>
    <row r="29" spans="1:7" x14ac:dyDescent="0.35">
      <c r="A29" s="148" t="s">
        <v>2744</v>
      </c>
      <c r="B29" t="s">
        <v>1056</v>
      </c>
      <c r="C29" s="124" t="s">
        <v>2887</v>
      </c>
      <c r="G29" t="s">
        <v>2959</v>
      </c>
    </row>
    <row r="30" spans="1:7" x14ac:dyDescent="0.35">
      <c r="A30" s="148" t="s">
        <v>1548</v>
      </c>
      <c r="B30" t="s">
        <v>1056</v>
      </c>
      <c r="C30" s="124" t="s">
        <v>2887</v>
      </c>
      <c r="G30" t="s">
        <v>2959</v>
      </c>
    </row>
    <row r="31" spans="1:7" x14ac:dyDescent="0.35">
      <c r="A31" s="148" t="s">
        <v>2289</v>
      </c>
      <c r="B31" t="s">
        <v>1056</v>
      </c>
      <c r="C31" s="124" t="s">
        <v>2887</v>
      </c>
      <c r="G31" t="s">
        <v>2959</v>
      </c>
    </row>
    <row r="32" spans="1:7" x14ac:dyDescent="0.35">
      <c r="A32" s="148" t="s">
        <v>2181</v>
      </c>
      <c r="B32" t="s">
        <v>1056</v>
      </c>
      <c r="C32" s="124" t="s">
        <v>2887</v>
      </c>
      <c r="G32" t="s">
        <v>2959</v>
      </c>
    </row>
    <row r="33" spans="1:7" x14ac:dyDescent="0.35">
      <c r="A33" s="148" t="s">
        <v>27</v>
      </c>
      <c r="B33" t="s">
        <v>1056</v>
      </c>
      <c r="C33" s="124" t="s">
        <v>2887</v>
      </c>
      <c r="G33" t="s">
        <v>2959</v>
      </c>
    </row>
    <row r="34" spans="1:7" x14ac:dyDescent="0.35">
      <c r="A34" s="148" t="s">
        <v>2976</v>
      </c>
      <c r="B34" t="s">
        <v>1056</v>
      </c>
      <c r="C34" s="124" t="s">
        <v>2887</v>
      </c>
      <c r="G34" t="s">
        <v>2959</v>
      </c>
    </row>
    <row r="35" spans="1:7" x14ac:dyDescent="0.35">
      <c r="A35" s="148" t="s">
        <v>2264</v>
      </c>
      <c r="B35" t="s">
        <v>1056</v>
      </c>
      <c r="C35" s="124" t="s">
        <v>2887</v>
      </c>
      <c r="G35" t="s">
        <v>2959</v>
      </c>
    </row>
    <row r="36" spans="1:7" x14ac:dyDescent="0.35">
      <c r="A36" s="148" t="s">
        <v>2760</v>
      </c>
      <c r="B36" t="s">
        <v>1056</v>
      </c>
      <c r="C36" s="124" t="s">
        <v>2887</v>
      </c>
      <c r="G36" t="s">
        <v>2959</v>
      </c>
    </row>
    <row r="37" spans="1:7" x14ac:dyDescent="0.35">
      <c r="A37" s="148" t="s">
        <v>2630</v>
      </c>
      <c r="B37" t="s">
        <v>1056</v>
      </c>
      <c r="C37" s="124" t="s">
        <v>2887</v>
      </c>
      <c r="G37" t="s">
        <v>2959</v>
      </c>
    </row>
    <row r="38" spans="1:7" x14ac:dyDescent="0.35">
      <c r="A38" s="148" t="s">
        <v>2308</v>
      </c>
      <c r="B38" t="s">
        <v>1056</v>
      </c>
      <c r="C38" s="124" t="s">
        <v>2887</v>
      </c>
      <c r="G38" t="s">
        <v>2959</v>
      </c>
    </row>
    <row r="39" spans="1:7" x14ac:dyDescent="0.35">
      <c r="A39" s="148" t="s">
        <v>2304</v>
      </c>
      <c r="B39" t="s">
        <v>1056</v>
      </c>
      <c r="C39" s="124" t="s">
        <v>2887</v>
      </c>
      <c r="G39" t="s">
        <v>2959</v>
      </c>
    </row>
    <row r="40" spans="1:7" x14ac:dyDescent="0.35">
      <c r="A40" s="148" t="s">
        <v>2315</v>
      </c>
      <c r="B40" t="s">
        <v>1056</v>
      </c>
      <c r="C40" s="124" t="s">
        <v>2887</v>
      </c>
      <c r="G40" t="s">
        <v>2959</v>
      </c>
    </row>
    <row r="41" spans="1:7" x14ac:dyDescent="0.35">
      <c r="A41" s="148" t="s">
        <v>2322</v>
      </c>
      <c r="B41" t="s">
        <v>1056</v>
      </c>
      <c r="C41" s="124" t="s">
        <v>2887</v>
      </c>
      <c r="G41" t="s">
        <v>2959</v>
      </c>
    </row>
    <row r="42" spans="1:7" x14ac:dyDescent="0.35">
      <c r="A42" s="148" t="s">
        <v>2633</v>
      </c>
      <c r="B42" t="s">
        <v>1056</v>
      </c>
      <c r="C42" s="124" t="s">
        <v>2887</v>
      </c>
      <c r="G42" t="s">
        <v>2959</v>
      </c>
    </row>
    <row r="43" spans="1:7" x14ac:dyDescent="0.35">
      <c r="A43" s="148" t="s">
        <v>1687</v>
      </c>
      <c r="B43" t="s">
        <v>1056</v>
      </c>
      <c r="C43" s="124" t="s">
        <v>2887</v>
      </c>
      <c r="G43" t="s">
        <v>2959</v>
      </c>
    </row>
    <row r="44" spans="1:7" x14ac:dyDescent="0.35">
      <c r="A44" s="148" t="s">
        <v>1520</v>
      </c>
      <c r="B44" t="s">
        <v>1056</v>
      </c>
      <c r="C44" s="124" t="s">
        <v>2887</v>
      </c>
      <c r="G44" t="s">
        <v>2959</v>
      </c>
    </row>
    <row r="45" spans="1:7" x14ac:dyDescent="0.35">
      <c r="A45" s="148" t="s">
        <v>2366</v>
      </c>
      <c r="B45" t="s">
        <v>1056</v>
      </c>
      <c r="C45" s="124" t="s">
        <v>2887</v>
      </c>
      <c r="G45" t="s">
        <v>2959</v>
      </c>
    </row>
    <row r="46" spans="1:7" x14ac:dyDescent="0.35">
      <c r="A46" s="148" t="s">
        <v>1889</v>
      </c>
      <c r="B46" t="s">
        <v>1056</v>
      </c>
      <c r="C46" s="124" t="s">
        <v>2887</v>
      </c>
      <c r="G46" t="s">
        <v>2959</v>
      </c>
    </row>
    <row r="47" spans="1:7" x14ac:dyDescent="0.35">
      <c r="A47" s="148" t="s">
        <v>1732</v>
      </c>
      <c r="B47" t="s">
        <v>1056</v>
      </c>
      <c r="C47" s="124" t="s">
        <v>2887</v>
      </c>
      <c r="G47" t="s">
        <v>2959</v>
      </c>
    </row>
    <row r="48" spans="1:7" x14ac:dyDescent="0.35">
      <c r="A48" s="148" t="s">
        <v>2271</v>
      </c>
      <c r="B48" t="s">
        <v>1056</v>
      </c>
      <c r="C48" s="124" t="s">
        <v>2887</v>
      </c>
      <c r="G48" t="s">
        <v>2959</v>
      </c>
    </row>
    <row r="49" spans="1:7" x14ac:dyDescent="0.35">
      <c r="A49" s="148" t="s">
        <v>2277</v>
      </c>
      <c r="B49" t="s">
        <v>1056</v>
      </c>
      <c r="C49" s="124" t="s">
        <v>2887</v>
      </c>
      <c r="G49" t="s">
        <v>2959</v>
      </c>
    </row>
    <row r="50" spans="1:7" x14ac:dyDescent="0.35">
      <c r="A50" s="148" t="s">
        <v>2722</v>
      </c>
      <c r="B50" t="s">
        <v>1056</v>
      </c>
      <c r="C50" s="124" t="s">
        <v>2887</v>
      </c>
      <c r="G50" t="s">
        <v>2959</v>
      </c>
    </row>
    <row r="51" spans="1:7" x14ac:dyDescent="0.35">
      <c r="A51" s="148" t="s">
        <v>2638</v>
      </c>
      <c r="B51" t="s">
        <v>1056</v>
      </c>
      <c r="C51" s="124" t="s">
        <v>2887</v>
      </c>
      <c r="G51" t="s">
        <v>2959</v>
      </c>
    </row>
    <row r="52" spans="1:7" x14ac:dyDescent="0.35">
      <c r="A52" s="148" t="s">
        <v>2470</v>
      </c>
      <c r="B52" t="s">
        <v>1056</v>
      </c>
      <c r="C52" s="124" t="s">
        <v>2887</v>
      </c>
      <c r="G52" t="s">
        <v>2959</v>
      </c>
    </row>
    <row r="53" spans="1:7" x14ac:dyDescent="0.35">
      <c r="A53" s="148" t="s">
        <v>2347</v>
      </c>
      <c r="B53" t="s">
        <v>1056</v>
      </c>
      <c r="C53" s="124" t="s">
        <v>2887</v>
      </c>
      <c r="G53" t="s">
        <v>2959</v>
      </c>
    </row>
    <row r="54" spans="1:7" x14ac:dyDescent="0.35">
      <c r="A54" s="148" t="s">
        <v>2336</v>
      </c>
      <c r="B54" t="s">
        <v>1056</v>
      </c>
      <c r="C54" s="124" t="s">
        <v>2887</v>
      </c>
      <c r="G54" t="s">
        <v>2959</v>
      </c>
    </row>
    <row r="55" spans="1:7" x14ac:dyDescent="0.35">
      <c r="A55" s="152" t="s">
        <v>2338</v>
      </c>
      <c r="B55" t="s">
        <v>1056</v>
      </c>
      <c r="C55" s="124" t="s">
        <v>2887</v>
      </c>
      <c r="G55" t="s">
        <v>2959</v>
      </c>
    </row>
    <row r="56" spans="1:7" x14ac:dyDescent="0.35">
      <c r="A56" s="152" t="s">
        <v>2339</v>
      </c>
      <c r="B56" t="s">
        <v>1056</v>
      </c>
      <c r="C56" s="124" t="s">
        <v>2887</v>
      </c>
      <c r="G56" t="s">
        <v>2959</v>
      </c>
    </row>
    <row r="57" spans="1:7" x14ac:dyDescent="0.35">
      <c r="A57" s="152" t="s">
        <v>2716</v>
      </c>
      <c r="B57" t="s">
        <v>1056</v>
      </c>
      <c r="C57" s="124" t="s">
        <v>2887</v>
      </c>
      <c r="G57" t="s">
        <v>2959</v>
      </c>
    </row>
    <row r="58" spans="1:7" x14ac:dyDescent="0.35">
      <c r="A58" s="148" t="s">
        <v>2396</v>
      </c>
      <c r="B58" t="s">
        <v>1056</v>
      </c>
      <c r="C58" s="124" t="s">
        <v>2887</v>
      </c>
      <c r="G58" t="s">
        <v>2959</v>
      </c>
    </row>
    <row r="59" spans="1:7" x14ac:dyDescent="0.35">
      <c r="A59" s="148" t="s">
        <v>1919</v>
      </c>
      <c r="B59" t="s">
        <v>1056</v>
      </c>
      <c r="C59" s="124" t="s">
        <v>2887</v>
      </c>
      <c r="G59" t="s">
        <v>2959</v>
      </c>
    </row>
    <row r="60" spans="1:7" x14ac:dyDescent="0.35">
      <c r="A60" s="148" t="s">
        <v>968</v>
      </c>
      <c r="B60" t="s">
        <v>1056</v>
      </c>
      <c r="C60" s="124" t="s">
        <v>2887</v>
      </c>
      <c r="G60" t="s">
        <v>2959</v>
      </c>
    </row>
    <row r="61" spans="1:7" x14ac:dyDescent="0.35">
      <c r="A61" s="148" t="s">
        <v>2652</v>
      </c>
      <c r="B61" t="s">
        <v>1056</v>
      </c>
      <c r="C61" s="124" t="s">
        <v>2887</v>
      </c>
      <c r="G61" t="s">
        <v>2959</v>
      </c>
    </row>
    <row r="62" spans="1:7" x14ac:dyDescent="0.35">
      <c r="A62" s="148" t="s">
        <v>2361</v>
      </c>
      <c r="B62" t="s">
        <v>1056</v>
      </c>
      <c r="C62" s="124" t="s">
        <v>2887</v>
      </c>
      <c r="G62" t="s">
        <v>2959</v>
      </c>
    </row>
    <row r="63" spans="1:7" x14ac:dyDescent="0.35">
      <c r="A63" s="148" t="s">
        <v>2647</v>
      </c>
      <c r="B63" t="s">
        <v>1056</v>
      </c>
      <c r="C63" s="124" t="s">
        <v>2887</v>
      </c>
      <c r="G63" t="s">
        <v>2959</v>
      </c>
    </row>
    <row r="64" spans="1:7" x14ac:dyDescent="0.35">
      <c r="A64" s="148" t="s">
        <v>984</v>
      </c>
      <c r="B64" t="s">
        <v>1056</v>
      </c>
      <c r="C64" s="124" t="s">
        <v>2887</v>
      </c>
      <c r="G64" t="s">
        <v>2959</v>
      </c>
    </row>
    <row r="65" spans="1:7" x14ac:dyDescent="0.35">
      <c r="A65" s="148" t="s">
        <v>1483</v>
      </c>
      <c r="B65" t="s">
        <v>1056</v>
      </c>
      <c r="C65" s="124" t="s">
        <v>2887</v>
      </c>
      <c r="G65" t="s">
        <v>2959</v>
      </c>
    </row>
    <row r="66" spans="1:7" x14ac:dyDescent="0.35">
      <c r="A66" s="148" t="s">
        <v>524</v>
      </c>
      <c r="B66" t="s">
        <v>1056</v>
      </c>
      <c r="C66" s="124" t="s">
        <v>2887</v>
      </c>
      <c r="G66" t="s">
        <v>2959</v>
      </c>
    </row>
    <row r="67" spans="1:7" x14ac:dyDescent="0.35">
      <c r="A67" s="148" t="s">
        <v>2656</v>
      </c>
      <c r="B67" t="s">
        <v>1056</v>
      </c>
      <c r="C67" s="124" t="s">
        <v>2887</v>
      </c>
      <c r="G67" t="s">
        <v>2959</v>
      </c>
    </row>
    <row r="68" spans="1:7" x14ac:dyDescent="0.35">
      <c r="A68" s="148" t="s">
        <v>1731</v>
      </c>
      <c r="B68" t="s">
        <v>1056</v>
      </c>
      <c r="C68" s="124" t="s">
        <v>2887</v>
      </c>
      <c r="G68" t="s">
        <v>2959</v>
      </c>
    </row>
    <row r="69" spans="1:7" x14ac:dyDescent="0.35">
      <c r="A69" s="148" t="s">
        <v>1563</v>
      </c>
      <c r="B69" t="s">
        <v>1056</v>
      </c>
      <c r="C69" s="124" t="s">
        <v>2887</v>
      </c>
      <c r="G69" t="s">
        <v>2959</v>
      </c>
    </row>
    <row r="70" spans="1:7" x14ac:dyDescent="0.35">
      <c r="A70" s="148" t="s">
        <v>2029</v>
      </c>
      <c r="B70" t="s">
        <v>1056</v>
      </c>
      <c r="C70" s="124" t="s">
        <v>2887</v>
      </c>
      <c r="G70" t="s">
        <v>2959</v>
      </c>
    </row>
    <row r="71" spans="1:7" x14ac:dyDescent="0.35">
      <c r="A71" s="148" t="s">
        <v>2385</v>
      </c>
      <c r="B71" t="s">
        <v>1056</v>
      </c>
      <c r="C71" s="124" t="s">
        <v>2887</v>
      </c>
      <c r="G71" t="s">
        <v>2959</v>
      </c>
    </row>
    <row r="72" spans="1:7" x14ac:dyDescent="0.35">
      <c r="A72" s="148" t="s">
        <v>2405</v>
      </c>
      <c r="B72" t="s">
        <v>1056</v>
      </c>
      <c r="C72" s="124" t="s">
        <v>2887</v>
      </c>
      <c r="G72" t="s">
        <v>2959</v>
      </c>
    </row>
    <row r="73" spans="1:7" x14ac:dyDescent="0.35">
      <c r="A73" s="148" t="s">
        <v>2413</v>
      </c>
      <c r="B73" t="s">
        <v>1056</v>
      </c>
      <c r="C73" s="124" t="s">
        <v>2887</v>
      </c>
      <c r="G73" t="s">
        <v>2959</v>
      </c>
    </row>
    <row r="74" spans="1:7" x14ac:dyDescent="0.35">
      <c r="A74" s="148" t="s">
        <v>1733</v>
      </c>
      <c r="B74" t="s">
        <v>1056</v>
      </c>
      <c r="C74" s="124" t="s">
        <v>2887</v>
      </c>
      <c r="G74" t="s">
        <v>2959</v>
      </c>
    </row>
    <row r="75" spans="1:7" x14ac:dyDescent="0.35">
      <c r="A75" s="148" t="s">
        <v>2431</v>
      </c>
      <c r="B75" t="s">
        <v>1056</v>
      </c>
      <c r="C75" s="124" t="s">
        <v>2887</v>
      </c>
      <c r="G75" t="s">
        <v>2959</v>
      </c>
    </row>
    <row r="76" spans="1:7" x14ac:dyDescent="0.35">
      <c r="A76" s="148" t="s">
        <v>1527</v>
      </c>
      <c r="B76" t="s">
        <v>1056</v>
      </c>
      <c r="C76" s="124" t="s">
        <v>2887</v>
      </c>
      <c r="G76" t="s">
        <v>2959</v>
      </c>
    </row>
    <row r="77" spans="1:7" x14ac:dyDescent="0.35">
      <c r="A77" s="148" t="s">
        <v>1695</v>
      </c>
      <c r="B77" t="s">
        <v>1056</v>
      </c>
      <c r="C77" s="124" t="s">
        <v>2887</v>
      </c>
      <c r="G77" t="s">
        <v>2959</v>
      </c>
    </row>
    <row r="78" spans="1:7" x14ac:dyDescent="0.35">
      <c r="A78" s="148" t="s">
        <v>2400</v>
      </c>
      <c r="B78" t="s">
        <v>1056</v>
      </c>
      <c r="C78" s="124" t="s">
        <v>2887</v>
      </c>
      <c r="G78" t="s">
        <v>2959</v>
      </c>
    </row>
    <row r="79" spans="1:7" x14ac:dyDescent="0.35">
      <c r="A79" s="148" t="s">
        <v>1425</v>
      </c>
      <c r="B79" t="s">
        <v>1056</v>
      </c>
      <c r="C79" s="124" t="s">
        <v>2887</v>
      </c>
      <c r="G79" t="s">
        <v>2959</v>
      </c>
    </row>
    <row r="80" spans="1:7" x14ac:dyDescent="0.35">
      <c r="A80" s="148" t="s">
        <v>2458</v>
      </c>
      <c r="B80" t="s">
        <v>1056</v>
      </c>
      <c r="C80" s="124" t="s">
        <v>2887</v>
      </c>
      <c r="G80" t="s">
        <v>2959</v>
      </c>
    </row>
    <row r="81" spans="1:7" x14ac:dyDescent="0.35">
      <c r="A81" s="148" t="s">
        <v>2662</v>
      </c>
      <c r="B81" t="s">
        <v>1056</v>
      </c>
      <c r="C81" s="124" t="s">
        <v>2887</v>
      </c>
      <c r="G81" t="s">
        <v>2959</v>
      </c>
    </row>
    <row r="82" spans="1:7" x14ac:dyDescent="0.35">
      <c r="A82" s="148" t="s">
        <v>2663</v>
      </c>
      <c r="B82" t="s">
        <v>1056</v>
      </c>
      <c r="C82" s="124" t="s">
        <v>2887</v>
      </c>
      <c r="G82" t="s">
        <v>2959</v>
      </c>
    </row>
    <row r="83" spans="1:7" x14ac:dyDescent="0.35">
      <c r="A83" s="148" t="s">
        <v>2771</v>
      </c>
      <c r="B83" t="s">
        <v>1056</v>
      </c>
      <c r="C83" s="124" t="s">
        <v>2887</v>
      </c>
      <c r="G83" t="s">
        <v>2959</v>
      </c>
    </row>
    <row r="84" spans="1:7" x14ac:dyDescent="0.35">
      <c r="A84" s="148" t="s">
        <v>1734</v>
      </c>
      <c r="B84" t="s">
        <v>1056</v>
      </c>
      <c r="C84" s="124" t="s">
        <v>2887</v>
      </c>
      <c r="G84" t="s">
        <v>2959</v>
      </c>
    </row>
    <row r="85" spans="1:7" x14ac:dyDescent="0.35">
      <c r="A85" s="148" t="s">
        <v>1484</v>
      </c>
      <c r="B85" t="s">
        <v>1056</v>
      </c>
      <c r="C85" s="124" t="s">
        <v>2887</v>
      </c>
      <c r="G85" t="s">
        <v>2959</v>
      </c>
    </row>
    <row r="86" spans="1:7" x14ac:dyDescent="0.35">
      <c r="A86" s="148" t="s">
        <v>1519</v>
      </c>
      <c r="B86" t="s">
        <v>1056</v>
      </c>
      <c r="C86" s="124" t="s">
        <v>2887</v>
      </c>
      <c r="G86" t="s">
        <v>2959</v>
      </c>
    </row>
    <row r="87" spans="1:7" x14ac:dyDescent="0.35">
      <c r="A87" s="148" t="s">
        <v>38</v>
      </c>
      <c r="B87" t="s">
        <v>1056</v>
      </c>
      <c r="C87" s="124" t="s">
        <v>2887</v>
      </c>
      <c r="G87" t="s">
        <v>2959</v>
      </c>
    </row>
    <row r="88" spans="1:7" x14ac:dyDescent="0.35">
      <c r="A88" s="148" t="s">
        <v>1525</v>
      </c>
      <c r="B88" t="s">
        <v>1056</v>
      </c>
      <c r="C88" s="124" t="s">
        <v>2887</v>
      </c>
      <c r="G88" t="s">
        <v>2959</v>
      </c>
    </row>
    <row r="89" spans="1:7" x14ac:dyDescent="0.35">
      <c r="A89" s="148" t="s">
        <v>2357</v>
      </c>
      <c r="B89" t="s">
        <v>1056</v>
      </c>
      <c r="C89" s="124" t="s">
        <v>2887</v>
      </c>
      <c r="G89" t="s">
        <v>2959</v>
      </c>
    </row>
    <row r="90" spans="1:7" x14ac:dyDescent="0.35">
      <c r="A90" s="148" t="s">
        <v>2694</v>
      </c>
      <c r="B90" t="s">
        <v>1056</v>
      </c>
      <c r="C90" s="124" t="s">
        <v>2887</v>
      </c>
      <c r="G90" t="s">
        <v>2959</v>
      </c>
    </row>
    <row r="91" spans="1:7" x14ac:dyDescent="0.35">
      <c r="A91" s="148" t="s">
        <v>2705</v>
      </c>
      <c r="B91" t="s">
        <v>1056</v>
      </c>
      <c r="C91" s="124" t="s">
        <v>2887</v>
      </c>
      <c r="G91" t="s">
        <v>2959</v>
      </c>
    </row>
    <row r="92" spans="1:7" x14ac:dyDescent="0.35">
      <c r="A92" s="148" t="s">
        <v>2703</v>
      </c>
      <c r="B92" t="s">
        <v>1056</v>
      </c>
      <c r="C92" s="124" t="s">
        <v>2887</v>
      </c>
      <c r="G92" t="s">
        <v>2959</v>
      </c>
    </row>
    <row r="93" spans="1:7" x14ac:dyDescent="0.35">
      <c r="A93" s="148" t="s">
        <v>2041</v>
      </c>
      <c r="B93" t="s">
        <v>1056</v>
      </c>
      <c r="C93" s="124" t="s">
        <v>2887</v>
      </c>
      <c r="G93" t="s">
        <v>2959</v>
      </c>
    </row>
    <row r="94" spans="1:7" x14ac:dyDescent="0.35">
      <c r="A94" s="148" t="s">
        <v>2727</v>
      </c>
      <c r="B94" t="s">
        <v>1056</v>
      </c>
      <c r="C94" s="124" t="s">
        <v>2887</v>
      </c>
      <c r="G94" t="s">
        <v>2959</v>
      </c>
    </row>
    <row r="95" spans="1:7" x14ac:dyDescent="0.35">
      <c r="A95" s="148" t="s">
        <v>2424</v>
      </c>
      <c r="B95" t="s">
        <v>1056</v>
      </c>
      <c r="C95" s="124" t="s">
        <v>2887</v>
      </c>
      <c r="G95" t="s">
        <v>2959</v>
      </c>
    </row>
    <row r="96" spans="1:7" x14ac:dyDescent="0.35">
      <c r="A96" s="148" t="s">
        <v>934</v>
      </c>
      <c r="B96" t="s">
        <v>1056</v>
      </c>
      <c r="C96" s="124" t="s">
        <v>2887</v>
      </c>
      <c r="G96" t="s">
        <v>2959</v>
      </c>
    </row>
    <row r="97" spans="1:7" x14ac:dyDescent="0.35">
      <c r="A97" s="148" t="s">
        <v>1773</v>
      </c>
      <c r="B97" t="s">
        <v>1056</v>
      </c>
      <c r="C97" s="124" t="s">
        <v>2887</v>
      </c>
      <c r="G97" t="s">
        <v>2959</v>
      </c>
    </row>
    <row r="98" spans="1:7" x14ac:dyDescent="0.35">
      <c r="A98" s="148" t="s">
        <v>2419</v>
      </c>
      <c r="B98" t="s">
        <v>1056</v>
      </c>
      <c r="C98" s="124" t="s">
        <v>2887</v>
      </c>
      <c r="G98" t="s">
        <v>2959</v>
      </c>
    </row>
    <row r="99" spans="1:7" x14ac:dyDescent="0.35">
      <c r="A99" s="148" t="s">
        <v>2441</v>
      </c>
      <c r="B99" t="s">
        <v>1056</v>
      </c>
      <c r="C99" s="124" t="s">
        <v>2887</v>
      </c>
      <c r="G99" t="s">
        <v>2959</v>
      </c>
    </row>
    <row r="100" spans="1:7" x14ac:dyDescent="0.35">
      <c r="A100" s="148" t="s">
        <v>35</v>
      </c>
      <c r="B100" t="s">
        <v>1056</v>
      </c>
      <c r="C100" s="124" t="s">
        <v>2887</v>
      </c>
      <c r="G100" t="s">
        <v>2959</v>
      </c>
    </row>
    <row r="101" spans="1:7" x14ac:dyDescent="0.35">
      <c r="A101" s="148" t="s">
        <v>2158</v>
      </c>
      <c r="B101" t="s">
        <v>1056</v>
      </c>
      <c r="C101" s="124" t="s">
        <v>2887</v>
      </c>
      <c r="G101" t="s">
        <v>2959</v>
      </c>
    </row>
    <row r="102" spans="1:7" x14ac:dyDescent="0.35">
      <c r="A102" s="148" t="s">
        <v>1696</v>
      </c>
      <c r="B102" t="s">
        <v>1056</v>
      </c>
      <c r="C102" s="124" t="s">
        <v>2887</v>
      </c>
      <c r="G102" t="s">
        <v>2959</v>
      </c>
    </row>
    <row r="103" spans="1:7" x14ac:dyDescent="0.35">
      <c r="A103" s="148" t="s">
        <v>2732</v>
      </c>
      <c r="B103" t="s">
        <v>1056</v>
      </c>
      <c r="C103" s="124" t="s">
        <v>2887</v>
      </c>
      <c r="G103" t="s">
        <v>2959</v>
      </c>
    </row>
    <row r="104" spans="1:7" x14ac:dyDescent="0.35">
      <c r="A104" s="148" t="s">
        <v>2066</v>
      </c>
      <c r="B104" t="s">
        <v>1056</v>
      </c>
      <c r="C104" s="124" t="s">
        <v>2887</v>
      </c>
      <c r="G104" t="s">
        <v>2959</v>
      </c>
    </row>
    <row r="105" spans="1:7" x14ac:dyDescent="0.35">
      <c r="A105" s="152" t="s">
        <v>1936</v>
      </c>
      <c r="B105" t="s">
        <v>1056</v>
      </c>
      <c r="C105" s="124" t="s">
        <v>2887</v>
      </c>
      <c r="G105" t="s">
        <v>2959</v>
      </c>
    </row>
    <row r="106" spans="1:7" x14ac:dyDescent="0.35">
      <c r="A106" s="152" t="s">
        <v>2731</v>
      </c>
      <c r="B106" t="s">
        <v>1056</v>
      </c>
      <c r="C106" s="124" t="s">
        <v>2887</v>
      </c>
      <c r="G106" t="s">
        <v>2959</v>
      </c>
    </row>
    <row r="107" spans="1:7" x14ac:dyDescent="0.35">
      <c r="A107" s="152" t="s">
        <v>2483</v>
      </c>
      <c r="B107" t="s">
        <v>1056</v>
      </c>
      <c r="C107" s="124" t="s">
        <v>2887</v>
      </c>
      <c r="G107" t="s">
        <v>2959</v>
      </c>
    </row>
    <row r="108" spans="1:7" x14ac:dyDescent="0.35">
      <c r="A108" s="152" t="s">
        <v>2733</v>
      </c>
      <c r="B108" t="s">
        <v>1056</v>
      </c>
      <c r="C108" s="124" t="s">
        <v>2887</v>
      </c>
      <c r="G108" t="s">
        <v>2959</v>
      </c>
    </row>
    <row r="109" spans="1:7" x14ac:dyDescent="0.35">
      <c r="A109" s="152" t="s">
        <v>2734</v>
      </c>
      <c r="B109" t="s">
        <v>1056</v>
      </c>
      <c r="C109" s="124" t="s">
        <v>2887</v>
      </c>
      <c r="G109" t="s">
        <v>2959</v>
      </c>
    </row>
    <row r="110" spans="1:7" x14ac:dyDescent="0.35">
      <c r="A110" s="152" t="s">
        <v>2735</v>
      </c>
      <c r="B110" t="s">
        <v>1056</v>
      </c>
      <c r="C110" s="124" t="s">
        <v>2887</v>
      </c>
      <c r="G110" t="s">
        <v>2959</v>
      </c>
    </row>
    <row r="111" spans="1:7" x14ac:dyDescent="0.35">
      <c r="A111" s="152" t="s">
        <v>2154</v>
      </c>
      <c r="B111" t="s">
        <v>1056</v>
      </c>
      <c r="C111" s="124" t="s">
        <v>2887</v>
      </c>
      <c r="G111" t="s">
        <v>2959</v>
      </c>
    </row>
    <row r="112" spans="1:7" x14ac:dyDescent="0.35">
      <c r="A112" s="152" t="s">
        <v>2770</v>
      </c>
      <c r="B112" t="s">
        <v>1056</v>
      </c>
      <c r="C112" s="124" t="s">
        <v>2887</v>
      </c>
      <c r="G112" t="s">
        <v>2959</v>
      </c>
    </row>
    <row r="113" spans="1:7" x14ac:dyDescent="0.35">
      <c r="A113" s="152" t="s">
        <v>2736</v>
      </c>
      <c r="B113" t="s">
        <v>1056</v>
      </c>
      <c r="C113" s="124" t="s">
        <v>2887</v>
      </c>
      <c r="G113" t="s">
        <v>2959</v>
      </c>
    </row>
    <row r="114" spans="1:7" x14ac:dyDescent="0.35">
      <c r="A114" s="152" t="s">
        <v>2113</v>
      </c>
      <c r="B114" t="s">
        <v>1056</v>
      </c>
      <c r="C114" s="124" t="s">
        <v>2887</v>
      </c>
      <c r="G114" t="s">
        <v>2959</v>
      </c>
    </row>
    <row r="115" spans="1:7" x14ac:dyDescent="0.35">
      <c r="A115" s="152" t="s">
        <v>2382</v>
      </c>
      <c r="B115" t="s">
        <v>1056</v>
      </c>
      <c r="C115" s="124" t="s">
        <v>2887</v>
      </c>
      <c r="G115" t="s">
        <v>2959</v>
      </c>
    </row>
    <row r="116" spans="1:7" x14ac:dyDescent="0.35">
      <c r="A116" s="152" t="s">
        <v>2074</v>
      </c>
      <c r="B116" t="s">
        <v>1056</v>
      </c>
      <c r="C116" s="124" t="s">
        <v>2887</v>
      </c>
      <c r="G116" t="s">
        <v>2959</v>
      </c>
    </row>
    <row r="117" spans="1:7" x14ac:dyDescent="0.35">
      <c r="A117" s="152" t="s">
        <v>2083</v>
      </c>
      <c r="B117" t="s">
        <v>1056</v>
      </c>
      <c r="C117" s="124" t="s">
        <v>2887</v>
      </c>
      <c r="G117" t="s">
        <v>2959</v>
      </c>
    </row>
    <row r="118" spans="1:7" x14ac:dyDescent="0.35">
      <c r="A118" s="152" t="s">
        <v>2084</v>
      </c>
      <c r="B118" t="s">
        <v>1056</v>
      </c>
      <c r="C118" s="124" t="s">
        <v>2887</v>
      </c>
      <c r="G118" t="s">
        <v>2959</v>
      </c>
    </row>
    <row r="119" spans="1:7" x14ac:dyDescent="0.35">
      <c r="A119" s="149" t="s">
        <v>2078</v>
      </c>
      <c r="B119" t="s">
        <v>1056</v>
      </c>
      <c r="C119" s="124" t="s">
        <v>2887</v>
      </c>
      <c r="G119" t="s">
        <v>2959</v>
      </c>
    </row>
    <row r="120" spans="1:7" x14ac:dyDescent="0.35">
      <c r="A120" s="149" t="s">
        <v>2091</v>
      </c>
      <c r="B120" t="s">
        <v>1056</v>
      </c>
      <c r="C120" s="124" t="s">
        <v>2887</v>
      </c>
      <c r="G120" t="s">
        <v>2959</v>
      </c>
    </row>
    <row r="121" spans="1:7" x14ac:dyDescent="0.35">
      <c r="A121" s="149" t="s">
        <v>2919</v>
      </c>
      <c r="B121" t="s">
        <v>1056</v>
      </c>
      <c r="C121" s="124" t="s">
        <v>2887</v>
      </c>
      <c r="G121" t="s">
        <v>2959</v>
      </c>
    </row>
    <row r="122" spans="1:7" x14ac:dyDescent="0.35">
      <c r="A122" s="149" t="s">
        <v>2922</v>
      </c>
      <c r="B122" t="s">
        <v>1056</v>
      </c>
      <c r="C122" s="124" t="s">
        <v>2887</v>
      </c>
      <c r="G122" t="s">
        <v>2959</v>
      </c>
    </row>
    <row r="123" spans="1:7" x14ac:dyDescent="0.35">
      <c r="A123" s="149" t="s">
        <v>2072</v>
      </c>
      <c r="B123" t="s">
        <v>1056</v>
      </c>
      <c r="C123" s="124" t="s">
        <v>2887</v>
      </c>
      <c r="G123" t="s">
        <v>2959</v>
      </c>
    </row>
    <row r="124" spans="1:7" x14ac:dyDescent="0.35">
      <c r="A124" s="149" t="s">
        <v>2923</v>
      </c>
      <c r="B124" t="s">
        <v>1056</v>
      </c>
      <c r="C124" s="124" t="s">
        <v>2887</v>
      </c>
      <c r="G124" t="s">
        <v>2959</v>
      </c>
    </row>
    <row r="125" spans="1:7" x14ac:dyDescent="0.35">
      <c r="A125" s="149" t="s">
        <v>2130</v>
      </c>
      <c r="B125" t="s">
        <v>1056</v>
      </c>
      <c r="C125" s="124" t="s">
        <v>2887</v>
      </c>
      <c r="G125" t="s">
        <v>2959</v>
      </c>
    </row>
    <row r="126" spans="1:7" x14ac:dyDescent="0.35">
      <c r="A126" s="149" t="s">
        <v>747</v>
      </c>
      <c r="B126" t="s">
        <v>1056</v>
      </c>
      <c r="C126" s="124" t="s">
        <v>2887</v>
      </c>
      <c r="G126" t="s">
        <v>2959</v>
      </c>
    </row>
    <row r="127" spans="1:7" x14ac:dyDescent="0.35">
      <c r="A127" s="149" t="s">
        <v>2772</v>
      </c>
      <c r="B127" t="s">
        <v>1056</v>
      </c>
      <c r="C127" s="124" t="s">
        <v>2887</v>
      </c>
      <c r="G127" t="s">
        <v>2959</v>
      </c>
    </row>
    <row r="128" spans="1:7" x14ac:dyDescent="0.35">
      <c r="A128" s="149" t="s">
        <v>2178</v>
      </c>
      <c r="B128" t="s">
        <v>1056</v>
      </c>
      <c r="C128" s="124" t="s">
        <v>2887</v>
      </c>
      <c r="G128" t="s">
        <v>2959</v>
      </c>
    </row>
    <row r="129" spans="1:7" x14ac:dyDescent="0.35">
      <c r="A129" s="149" t="s">
        <v>2185</v>
      </c>
      <c r="B129" t="s">
        <v>1056</v>
      </c>
      <c r="C129" s="124" t="s">
        <v>2887</v>
      </c>
      <c r="G129" t="s">
        <v>2959</v>
      </c>
    </row>
    <row r="130" spans="1:7" x14ac:dyDescent="0.35">
      <c r="A130" s="149" t="s">
        <v>2189</v>
      </c>
      <c r="B130" t="s">
        <v>1056</v>
      </c>
      <c r="C130" s="124" t="s">
        <v>2887</v>
      </c>
      <c r="G130" t="s">
        <v>2959</v>
      </c>
    </row>
    <row r="131" spans="1:7" x14ac:dyDescent="0.35">
      <c r="A131" s="149" t="s">
        <v>2197</v>
      </c>
      <c r="B131" t="s">
        <v>1056</v>
      </c>
      <c r="C131" s="124" t="s">
        <v>2887</v>
      </c>
      <c r="G131" t="s">
        <v>2959</v>
      </c>
    </row>
    <row r="132" spans="1:7" x14ac:dyDescent="0.35">
      <c r="A132" s="149" t="s">
        <v>2613</v>
      </c>
      <c r="B132" t="s">
        <v>1056</v>
      </c>
      <c r="C132" s="124" t="s">
        <v>2887</v>
      </c>
      <c r="G132" t="s">
        <v>2959</v>
      </c>
    </row>
    <row r="133" spans="1:7" x14ac:dyDescent="0.35">
      <c r="A133" s="149" t="s">
        <v>2203</v>
      </c>
      <c r="B133" t="s">
        <v>1056</v>
      </c>
      <c r="C133" s="124" t="s">
        <v>2887</v>
      </c>
      <c r="G133" t="s">
        <v>2959</v>
      </c>
    </row>
    <row r="134" spans="1:7" x14ac:dyDescent="0.35">
      <c r="A134" s="149" t="s">
        <v>2215</v>
      </c>
      <c r="B134" t="s">
        <v>1056</v>
      </c>
      <c r="C134" s="124" t="s">
        <v>2887</v>
      </c>
      <c r="G134" t="s">
        <v>2959</v>
      </c>
    </row>
    <row r="135" spans="1:7" x14ac:dyDescent="0.35">
      <c r="A135" s="149" t="s">
        <v>2225</v>
      </c>
      <c r="B135" t="s">
        <v>1056</v>
      </c>
      <c r="C135" s="124" t="s">
        <v>2887</v>
      </c>
      <c r="G135" t="s">
        <v>2959</v>
      </c>
    </row>
    <row r="136" spans="1:7" x14ac:dyDescent="0.35">
      <c r="A136" s="149" t="s">
        <v>2617</v>
      </c>
      <c r="B136" t="s">
        <v>1056</v>
      </c>
      <c r="C136" s="124" t="s">
        <v>2887</v>
      </c>
      <c r="G136" t="s">
        <v>2959</v>
      </c>
    </row>
    <row r="137" spans="1:7" x14ac:dyDescent="0.35">
      <c r="A137" s="149" t="s">
        <v>2233</v>
      </c>
      <c r="B137" t="s">
        <v>1056</v>
      </c>
      <c r="C137" s="124" t="s">
        <v>2887</v>
      </c>
      <c r="G137" t="s">
        <v>2959</v>
      </c>
    </row>
    <row r="138" spans="1:7" x14ac:dyDescent="0.35">
      <c r="A138" s="149" t="s">
        <v>2248</v>
      </c>
      <c r="B138" t="s">
        <v>1056</v>
      </c>
      <c r="C138" s="124" t="s">
        <v>2887</v>
      </c>
      <c r="G138" t="s">
        <v>2959</v>
      </c>
    </row>
    <row r="139" spans="1:7" x14ac:dyDescent="0.35">
      <c r="A139" s="149" t="s">
        <v>45</v>
      </c>
      <c r="B139" t="s">
        <v>1056</v>
      </c>
      <c r="C139" s="124" t="s">
        <v>2887</v>
      </c>
      <c r="G139" t="s">
        <v>2959</v>
      </c>
    </row>
    <row r="140" spans="1:7" x14ac:dyDescent="0.35">
      <c r="A140" s="149" t="s">
        <v>1863</v>
      </c>
      <c r="B140" t="s">
        <v>1056</v>
      </c>
      <c r="C140" s="124" t="s">
        <v>2887</v>
      </c>
      <c r="G140" t="s">
        <v>2959</v>
      </c>
    </row>
    <row r="141" spans="1:7" x14ac:dyDescent="0.35">
      <c r="A141" s="149" t="s">
        <v>2155</v>
      </c>
      <c r="B141" t="s">
        <v>1056</v>
      </c>
      <c r="C141" s="124" t="s">
        <v>2887</v>
      </c>
      <c r="G141" t="s">
        <v>2959</v>
      </c>
    </row>
    <row r="142" spans="1:7" x14ac:dyDescent="0.35">
      <c r="A142" s="149" t="s">
        <v>2252</v>
      </c>
      <c r="B142" t="s">
        <v>1056</v>
      </c>
      <c r="C142" s="124" t="s">
        <v>2887</v>
      </c>
      <c r="G142" t="s">
        <v>2959</v>
      </c>
    </row>
    <row r="143" spans="1:7" x14ac:dyDescent="0.35">
      <c r="A143" s="149" t="s">
        <v>2624</v>
      </c>
      <c r="B143" t="s">
        <v>1056</v>
      </c>
      <c r="C143" s="124" t="s">
        <v>2887</v>
      </c>
      <c r="G143" t="s">
        <v>2959</v>
      </c>
    </row>
    <row r="144" spans="1:7" x14ac:dyDescent="0.35">
      <c r="A144" s="149" t="s">
        <v>2290</v>
      </c>
      <c r="B144" t="s">
        <v>1056</v>
      </c>
      <c r="C144" s="124" t="s">
        <v>2887</v>
      </c>
      <c r="G144" t="s">
        <v>2959</v>
      </c>
    </row>
    <row r="145" spans="1:7" x14ac:dyDescent="0.35">
      <c r="A145" s="149" t="s">
        <v>2740</v>
      </c>
      <c r="B145" t="s">
        <v>1056</v>
      </c>
      <c r="C145" s="124" t="s">
        <v>2887</v>
      </c>
      <c r="G145" t="s">
        <v>2959</v>
      </c>
    </row>
    <row r="146" spans="1:7" x14ac:dyDescent="0.35">
      <c r="A146" s="149" t="s">
        <v>2977</v>
      </c>
      <c r="B146" t="s">
        <v>1056</v>
      </c>
      <c r="C146" s="124" t="s">
        <v>2887</v>
      </c>
      <c r="G146" t="s">
        <v>2959</v>
      </c>
    </row>
    <row r="147" spans="1:7" x14ac:dyDescent="0.35">
      <c r="A147" s="149" t="s">
        <v>2265</v>
      </c>
      <c r="B147" t="s">
        <v>1056</v>
      </c>
      <c r="C147" s="124" t="s">
        <v>2887</v>
      </c>
      <c r="G147" t="s">
        <v>2959</v>
      </c>
    </row>
    <row r="148" spans="1:7" x14ac:dyDescent="0.35">
      <c r="A148" s="149" t="s">
        <v>2924</v>
      </c>
      <c r="B148" t="s">
        <v>1056</v>
      </c>
      <c r="C148" s="124" t="s">
        <v>2887</v>
      </c>
      <c r="G148" t="s">
        <v>2959</v>
      </c>
    </row>
    <row r="149" spans="1:7" x14ac:dyDescent="0.35">
      <c r="A149" s="149" t="s">
        <v>2479</v>
      </c>
      <c r="B149" t="s">
        <v>1056</v>
      </c>
      <c r="C149" s="124" t="s">
        <v>2887</v>
      </c>
      <c r="G149" t="s">
        <v>2959</v>
      </c>
    </row>
    <row r="150" spans="1:7" x14ac:dyDescent="0.35">
      <c r="A150" s="149" t="s">
        <v>2309</v>
      </c>
      <c r="B150" t="s">
        <v>1056</v>
      </c>
      <c r="C150" s="124" t="s">
        <v>2887</v>
      </c>
      <c r="G150" t="s">
        <v>2959</v>
      </c>
    </row>
    <row r="151" spans="1:7" x14ac:dyDescent="0.35">
      <c r="A151" s="149" t="s">
        <v>2305</v>
      </c>
      <c r="B151" t="s">
        <v>1056</v>
      </c>
      <c r="C151" s="124" t="s">
        <v>2887</v>
      </c>
      <c r="G151" t="s">
        <v>2959</v>
      </c>
    </row>
    <row r="152" spans="1:7" x14ac:dyDescent="0.35">
      <c r="A152" s="149" t="s">
        <v>2925</v>
      </c>
      <c r="B152" t="s">
        <v>1056</v>
      </c>
      <c r="C152" s="124" t="s">
        <v>2887</v>
      </c>
      <c r="G152" t="s">
        <v>2959</v>
      </c>
    </row>
    <row r="153" spans="1:7" x14ac:dyDescent="0.35">
      <c r="A153" s="149" t="s">
        <v>2926</v>
      </c>
      <c r="B153" t="s">
        <v>1056</v>
      </c>
      <c r="C153" s="124" t="s">
        <v>2887</v>
      </c>
      <c r="G153" t="s">
        <v>2959</v>
      </c>
    </row>
    <row r="154" spans="1:7" x14ac:dyDescent="0.35">
      <c r="A154" s="149" t="s">
        <v>2471</v>
      </c>
      <c r="B154" t="s">
        <v>1056</v>
      </c>
      <c r="C154" s="124" t="s">
        <v>2887</v>
      </c>
      <c r="G154" t="s">
        <v>2959</v>
      </c>
    </row>
    <row r="155" spans="1:7" x14ac:dyDescent="0.35">
      <c r="A155" s="149" t="s">
        <v>521</v>
      </c>
      <c r="B155" t="s">
        <v>1056</v>
      </c>
      <c r="C155" s="124" t="s">
        <v>2887</v>
      </c>
      <c r="G155" t="s">
        <v>2959</v>
      </c>
    </row>
    <row r="156" spans="1:7" x14ac:dyDescent="0.35">
      <c r="A156" s="149" t="s">
        <v>2927</v>
      </c>
      <c r="B156" t="s">
        <v>1056</v>
      </c>
      <c r="C156" s="124" t="s">
        <v>2887</v>
      </c>
      <c r="G156" t="s">
        <v>2959</v>
      </c>
    </row>
    <row r="157" spans="1:7" x14ac:dyDescent="0.35">
      <c r="A157" s="149" t="s">
        <v>2469</v>
      </c>
      <c r="B157" t="s">
        <v>1056</v>
      </c>
      <c r="C157" s="124" t="s">
        <v>2887</v>
      </c>
      <c r="G157" t="s">
        <v>2959</v>
      </c>
    </row>
    <row r="158" spans="1:7" x14ac:dyDescent="0.35">
      <c r="A158" s="149" t="s">
        <v>2928</v>
      </c>
      <c r="B158" t="s">
        <v>1056</v>
      </c>
      <c r="C158" s="124" t="s">
        <v>2887</v>
      </c>
      <c r="G158" t="s">
        <v>2959</v>
      </c>
    </row>
    <row r="159" spans="1:7" x14ac:dyDescent="0.35">
      <c r="A159" s="149" t="s">
        <v>2333</v>
      </c>
      <c r="B159" t="s">
        <v>1056</v>
      </c>
      <c r="C159" s="124" t="s">
        <v>2887</v>
      </c>
      <c r="G159" t="s">
        <v>2959</v>
      </c>
    </row>
    <row r="160" spans="1:7" x14ac:dyDescent="0.35">
      <c r="A160" s="149" t="s">
        <v>2929</v>
      </c>
      <c r="B160" t="s">
        <v>1056</v>
      </c>
      <c r="C160" s="124" t="s">
        <v>2887</v>
      </c>
      <c r="G160" t="s">
        <v>2959</v>
      </c>
    </row>
    <row r="161" spans="1:7" x14ac:dyDescent="0.35">
      <c r="A161" s="149" t="s">
        <v>2930</v>
      </c>
      <c r="B161" t="s">
        <v>1056</v>
      </c>
      <c r="C161" s="124" t="s">
        <v>2887</v>
      </c>
      <c r="G161" t="s">
        <v>2959</v>
      </c>
    </row>
    <row r="162" spans="1:7" x14ac:dyDescent="0.35">
      <c r="A162" s="149" t="s">
        <v>2723</v>
      </c>
      <c r="B162" t="s">
        <v>1056</v>
      </c>
      <c r="C162" s="124" t="s">
        <v>2887</v>
      </c>
      <c r="G162" t="s">
        <v>2959</v>
      </c>
    </row>
    <row r="163" spans="1:7" x14ac:dyDescent="0.35">
      <c r="A163" s="149" t="s">
        <v>2637</v>
      </c>
      <c r="B163" t="s">
        <v>1056</v>
      </c>
      <c r="C163" s="124" t="s">
        <v>2887</v>
      </c>
      <c r="G163" t="s">
        <v>2959</v>
      </c>
    </row>
    <row r="164" spans="1:7" x14ac:dyDescent="0.35">
      <c r="A164" s="149" t="s">
        <v>2472</v>
      </c>
      <c r="B164" t="s">
        <v>1056</v>
      </c>
      <c r="C164" s="124" t="s">
        <v>2887</v>
      </c>
      <c r="G164" t="s">
        <v>2959</v>
      </c>
    </row>
    <row r="165" spans="1:7" x14ac:dyDescent="0.35">
      <c r="A165" s="149" t="s">
        <v>2931</v>
      </c>
      <c r="B165" t="s">
        <v>1056</v>
      </c>
      <c r="C165" s="124" t="s">
        <v>2887</v>
      </c>
      <c r="G165" t="s">
        <v>2959</v>
      </c>
    </row>
    <row r="166" spans="1:7" x14ac:dyDescent="0.35">
      <c r="A166" s="149" t="s">
        <v>2932</v>
      </c>
      <c r="B166" t="s">
        <v>1056</v>
      </c>
      <c r="C166" s="124" t="s">
        <v>2887</v>
      </c>
      <c r="G166" t="s">
        <v>2959</v>
      </c>
    </row>
    <row r="167" spans="1:7" x14ac:dyDescent="0.35">
      <c r="A167" s="149" t="s">
        <v>2397</v>
      </c>
      <c r="B167" t="s">
        <v>1056</v>
      </c>
      <c r="C167" s="124" t="s">
        <v>2887</v>
      </c>
      <c r="G167" t="s">
        <v>2959</v>
      </c>
    </row>
    <row r="168" spans="1:7" x14ac:dyDescent="0.35">
      <c r="A168" s="149" t="s">
        <v>2933</v>
      </c>
      <c r="B168" t="s">
        <v>1056</v>
      </c>
      <c r="C168" s="124" t="s">
        <v>2887</v>
      </c>
      <c r="G168" t="s">
        <v>2959</v>
      </c>
    </row>
    <row r="169" spans="1:7" x14ac:dyDescent="0.35">
      <c r="A169" s="149" t="s">
        <v>2934</v>
      </c>
      <c r="B169" t="s">
        <v>1056</v>
      </c>
      <c r="C169" s="124" t="s">
        <v>2887</v>
      </c>
      <c r="G169" t="s">
        <v>2959</v>
      </c>
    </row>
    <row r="170" spans="1:7" x14ac:dyDescent="0.35">
      <c r="A170" s="149" t="s">
        <v>2935</v>
      </c>
      <c r="B170" t="s">
        <v>1056</v>
      </c>
      <c r="C170" s="124" t="s">
        <v>2887</v>
      </c>
      <c r="G170" t="s">
        <v>2959</v>
      </c>
    </row>
    <row r="171" spans="1:7" x14ac:dyDescent="0.35">
      <c r="A171" s="149" t="s">
        <v>2649</v>
      </c>
      <c r="B171" t="s">
        <v>1056</v>
      </c>
      <c r="C171" s="124" t="s">
        <v>2887</v>
      </c>
      <c r="G171" t="s">
        <v>2959</v>
      </c>
    </row>
    <row r="172" spans="1:7" x14ac:dyDescent="0.35">
      <c r="A172" s="149" t="s">
        <v>2936</v>
      </c>
      <c r="B172" t="s">
        <v>1056</v>
      </c>
      <c r="C172" s="124" t="s">
        <v>2887</v>
      </c>
      <c r="G172" t="s">
        <v>2959</v>
      </c>
    </row>
    <row r="173" spans="1:7" x14ac:dyDescent="0.35">
      <c r="A173" s="149" t="s">
        <v>1495</v>
      </c>
      <c r="B173" t="s">
        <v>1056</v>
      </c>
      <c r="C173" s="124" t="s">
        <v>2887</v>
      </c>
      <c r="G173" t="s">
        <v>2959</v>
      </c>
    </row>
    <row r="174" spans="1:7" x14ac:dyDescent="0.35">
      <c r="A174" s="149" t="s">
        <v>2386</v>
      </c>
      <c r="B174" t="s">
        <v>1056</v>
      </c>
      <c r="C174" s="124" t="s">
        <v>2887</v>
      </c>
      <c r="G174" t="s">
        <v>2959</v>
      </c>
    </row>
    <row r="175" spans="1:7" x14ac:dyDescent="0.35">
      <c r="A175" s="149" t="s">
        <v>2480</v>
      </c>
      <c r="B175" t="s">
        <v>1056</v>
      </c>
      <c r="C175" s="124" t="s">
        <v>2887</v>
      </c>
      <c r="G175" t="s">
        <v>2959</v>
      </c>
    </row>
    <row r="176" spans="1:7" x14ac:dyDescent="0.35">
      <c r="A176" s="149" t="s">
        <v>2937</v>
      </c>
      <c r="B176" t="s">
        <v>1056</v>
      </c>
      <c r="C176" s="124" t="s">
        <v>2887</v>
      </c>
      <c r="G176" t="s">
        <v>2959</v>
      </c>
    </row>
    <row r="177" spans="1:7" x14ac:dyDescent="0.35">
      <c r="A177" s="149" t="s">
        <v>2353</v>
      </c>
      <c r="B177" t="s">
        <v>1056</v>
      </c>
      <c r="C177" s="124" t="s">
        <v>2887</v>
      </c>
      <c r="G177" t="s">
        <v>2959</v>
      </c>
    </row>
    <row r="178" spans="1:7" x14ac:dyDescent="0.35">
      <c r="A178" s="149" t="s">
        <v>2938</v>
      </c>
      <c r="B178" t="s">
        <v>1056</v>
      </c>
      <c r="C178" s="124" t="s">
        <v>2887</v>
      </c>
      <c r="G178" t="s">
        <v>2959</v>
      </c>
    </row>
    <row r="179" spans="1:7" x14ac:dyDescent="0.35">
      <c r="A179" s="149" t="s">
        <v>2939</v>
      </c>
      <c r="B179" t="s">
        <v>1056</v>
      </c>
      <c r="C179" s="124" t="s">
        <v>2887</v>
      </c>
      <c r="G179" t="s">
        <v>2959</v>
      </c>
    </row>
    <row r="180" spans="1:7" x14ac:dyDescent="0.35">
      <c r="A180" s="149" t="s">
        <v>2414</v>
      </c>
      <c r="B180" t="s">
        <v>1056</v>
      </c>
      <c r="C180" s="124" t="s">
        <v>2887</v>
      </c>
      <c r="G180" t="s">
        <v>2959</v>
      </c>
    </row>
    <row r="181" spans="1:7" x14ac:dyDescent="0.35">
      <c r="A181" s="149" t="s">
        <v>2940</v>
      </c>
      <c r="B181" t="s">
        <v>1056</v>
      </c>
      <c r="C181" s="124" t="s">
        <v>2887</v>
      </c>
      <c r="G181" t="s">
        <v>2959</v>
      </c>
    </row>
    <row r="182" spans="1:7" x14ac:dyDescent="0.35">
      <c r="A182" s="149" t="s">
        <v>2941</v>
      </c>
      <c r="B182" t="s">
        <v>1056</v>
      </c>
      <c r="C182" s="124" t="s">
        <v>2887</v>
      </c>
      <c r="G182" t="s">
        <v>2959</v>
      </c>
    </row>
    <row r="183" spans="1:7" x14ac:dyDescent="0.35">
      <c r="A183" s="149" t="s">
        <v>2942</v>
      </c>
      <c r="B183" t="s">
        <v>1056</v>
      </c>
      <c r="C183" s="124" t="s">
        <v>2887</v>
      </c>
      <c r="G183" t="s">
        <v>2959</v>
      </c>
    </row>
    <row r="184" spans="1:7" x14ac:dyDescent="0.35">
      <c r="A184" s="149" t="s">
        <v>2402</v>
      </c>
      <c r="B184" t="s">
        <v>1056</v>
      </c>
      <c r="C184" s="124" t="s">
        <v>2887</v>
      </c>
      <c r="G184" t="s">
        <v>2959</v>
      </c>
    </row>
    <row r="185" spans="1:7" x14ac:dyDescent="0.35">
      <c r="A185" s="149" t="s">
        <v>2943</v>
      </c>
      <c r="B185" t="s">
        <v>1056</v>
      </c>
      <c r="C185" s="124" t="s">
        <v>2887</v>
      </c>
      <c r="G185" t="s">
        <v>2959</v>
      </c>
    </row>
    <row r="186" spans="1:7" x14ac:dyDescent="0.35">
      <c r="A186" s="149" t="s">
        <v>2944</v>
      </c>
      <c r="B186" t="s">
        <v>1056</v>
      </c>
      <c r="C186" s="124" t="s">
        <v>2887</v>
      </c>
      <c r="G186" t="s">
        <v>2959</v>
      </c>
    </row>
    <row r="187" spans="1:7" x14ac:dyDescent="0.35">
      <c r="A187" s="149" t="s">
        <v>2460</v>
      </c>
      <c r="B187" t="s">
        <v>1056</v>
      </c>
      <c r="C187" s="124" t="s">
        <v>2887</v>
      </c>
      <c r="G187" t="s">
        <v>2959</v>
      </c>
    </row>
    <row r="188" spans="1:7" x14ac:dyDescent="0.35">
      <c r="A188" s="149" t="s">
        <v>2945</v>
      </c>
      <c r="B188" t="s">
        <v>1056</v>
      </c>
      <c r="C188" s="124" t="s">
        <v>2887</v>
      </c>
      <c r="G188" t="s">
        <v>2959</v>
      </c>
    </row>
    <row r="189" spans="1:7" x14ac:dyDescent="0.35">
      <c r="A189" s="149" t="s">
        <v>2670</v>
      </c>
      <c r="B189" t="s">
        <v>1056</v>
      </c>
      <c r="C189" s="124" t="s">
        <v>2887</v>
      </c>
      <c r="G189" t="s">
        <v>2959</v>
      </c>
    </row>
    <row r="190" spans="1:7" x14ac:dyDescent="0.35">
      <c r="A190" s="149" t="s">
        <v>2677</v>
      </c>
      <c r="B190" t="s">
        <v>1056</v>
      </c>
      <c r="C190" s="124" t="s">
        <v>2887</v>
      </c>
      <c r="G190" t="s">
        <v>2959</v>
      </c>
    </row>
    <row r="191" spans="1:7" x14ac:dyDescent="0.35">
      <c r="A191" s="149" t="s">
        <v>2946</v>
      </c>
      <c r="B191" t="s">
        <v>1056</v>
      </c>
      <c r="C191" s="124" t="s">
        <v>2887</v>
      </c>
      <c r="G191" t="s">
        <v>2959</v>
      </c>
    </row>
    <row r="192" spans="1:7" x14ac:dyDescent="0.35">
      <c r="A192" s="149" t="s">
        <v>2947</v>
      </c>
      <c r="B192" t="s">
        <v>1056</v>
      </c>
      <c r="C192" s="124" t="s">
        <v>2887</v>
      </c>
      <c r="G192" t="s">
        <v>2959</v>
      </c>
    </row>
    <row r="193" spans="1:7" x14ac:dyDescent="0.35">
      <c r="A193" s="149" t="s">
        <v>2948</v>
      </c>
      <c r="B193" t="s">
        <v>1056</v>
      </c>
      <c r="C193" s="124" t="s">
        <v>2887</v>
      </c>
      <c r="G193" t="s">
        <v>2959</v>
      </c>
    </row>
    <row r="194" spans="1:7" x14ac:dyDescent="0.35">
      <c r="A194" s="149" t="s">
        <v>2283</v>
      </c>
      <c r="B194" t="s">
        <v>1056</v>
      </c>
      <c r="C194" s="124" t="s">
        <v>2887</v>
      </c>
      <c r="G194" t="s">
        <v>2959</v>
      </c>
    </row>
    <row r="195" spans="1:7" x14ac:dyDescent="0.35">
      <c r="A195" s="149" t="s">
        <v>2949</v>
      </c>
      <c r="B195" t="s">
        <v>1056</v>
      </c>
      <c r="C195" s="124" t="s">
        <v>2887</v>
      </c>
      <c r="G195" t="s">
        <v>2959</v>
      </c>
    </row>
    <row r="196" spans="1:7" x14ac:dyDescent="0.35">
      <c r="A196" s="149" t="s">
        <v>2920</v>
      </c>
      <c r="B196" t="s">
        <v>1056</v>
      </c>
      <c r="C196" s="124" t="s">
        <v>2887</v>
      </c>
      <c r="G196" t="s">
        <v>2959</v>
      </c>
    </row>
    <row r="197" spans="1:7" x14ac:dyDescent="0.35">
      <c r="A197" s="149" t="s">
        <v>2695</v>
      </c>
      <c r="B197" t="s">
        <v>1056</v>
      </c>
      <c r="C197" s="124" t="s">
        <v>2887</v>
      </c>
      <c r="G197" t="s">
        <v>2959</v>
      </c>
    </row>
    <row r="198" spans="1:7" x14ac:dyDescent="0.35">
      <c r="A198" s="149" t="s">
        <v>2706</v>
      </c>
      <c r="B198" t="s">
        <v>1056</v>
      </c>
      <c r="C198" s="124" t="s">
        <v>2887</v>
      </c>
      <c r="G198" t="s">
        <v>2959</v>
      </c>
    </row>
    <row r="199" spans="1:7" x14ac:dyDescent="0.35">
      <c r="A199" s="149" t="s">
        <v>2950</v>
      </c>
      <c r="B199" t="s">
        <v>1056</v>
      </c>
      <c r="C199" s="124" t="s">
        <v>2887</v>
      </c>
      <c r="G199" t="s">
        <v>2959</v>
      </c>
    </row>
    <row r="200" spans="1:7" x14ac:dyDescent="0.35">
      <c r="A200" s="149" t="s">
        <v>2951</v>
      </c>
      <c r="B200" t="s">
        <v>1056</v>
      </c>
      <c r="C200" s="124" t="s">
        <v>2887</v>
      </c>
      <c r="G200" t="s">
        <v>2959</v>
      </c>
    </row>
    <row r="201" spans="1:7" x14ac:dyDescent="0.35">
      <c r="A201" s="149" t="s">
        <v>2952</v>
      </c>
      <c r="B201" t="s">
        <v>1056</v>
      </c>
      <c r="C201" s="124" t="s">
        <v>2887</v>
      </c>
      <c r="G201" t="s">
        <v>2959</v>
      </c>
    </row>
    <row r="202" spans="1:7" x14ac:dyDescent="0.35">
      <c r="A202" s="149" t="s">
        <v>2953</v>
      </c>
      <c r="B202" t="s">
        <v>1056</v>
      </c>
      <c r="C202" s="124" t="s">
        <v>2887</v>
      </c>
      <c r="G202" t="s">
        <v>2959</v>
      </c>
    </row>
    <row r="203" spans="1:7" x14ac:dyDescent="0.35">
      <c r="A203" s="149" t="s">
        <v>2954</v>
      </c>
      <c r="B203" t="s">
        <v>1056</v>
      </c>
      <c r="C203" s="124" t="s">
        <v>2887</v>
      </c>
      <c r="G203" t="s">
        <v>2959</v>
      </c>
    </row>
    <row r="204" spans="1:7" x14ac:dyDescent="0.35">
      <c r="A204" s="149" t="s">
        <v>2921</v>
      </c>
      <c r="B204" t="s">
        <v>1056</v>
      </c>
      <c r="C204" s="124" t="s">
        <v>2887</v>
      </c>
      <c r="G204" t="s">
        <v>2959</v>
      </c>
    </row>
    <row r="205" spans="1:7" x14ac:dyDescent="0.35">
      <c r="A205" s="149" t="s">
        <v>2955</v>
      </c>
      <c r="B205" t="s">
        <v>1056</v>
      </c>
      <c r="C205" s="124" t="s">
        <v>2887</v>
      </c>
      <c r="G205" t="s">
        <v>2959</v>
      </c>
    </row>
    <row r="206" spans="1:7" x14ac:dyDescent="0.35">
      <c r="A206" s="149" t="s">
        <v>2956</v>
      </c>
      <c r="B206" t="s">
        <v>1056</v>
      </c>
      <c r="C206" s="124" t="s">
        <v>2887</v>
      </c>
      <c r="G206" t="s">
        <v>2959</v>
      </c>
    </row>
    <row r="207" spans="1:7" x14ac:dyDescent="0.35">
      <c r="A207" s="149" t="s">
        <v>2957</v>
      </c>
      <c r="B207" t="s">
        <v>1056</v>
      </c>
      <c r="C207" s="124" t="s">
        <v>2887</v>
      </c>
      <c r="G207" t="s">
        <v>2959</v>
      </c>
    </row>
    <row r="208" spans="1:7" x14ac:dyDescent="0.35">
      <c r="A208" s="149" t="s">
        <v>2958</v>
      </c>
      <c r="B208" t="s">
        <v>1056</v>
      </c>
      <c r="C208" s="124" t="s">
        <v>2887</v>
      </c>
      <c r="G208" t="s">
        <v>2959</v>
      </c>
    </row>
    <row r="209" spans="1:7" x14ac:dyDescent="0.35">
      <c r="A209" s="149" t="s">
        <v>2987</v>
      </c>
      <c r="B209" t="s">
        <v>1056</v>
      </c>
      <c r="C209" s="124" t="s">
        <v>2887</v>
      </c>
      <c r="G209" t="s">
        <v>2959</v>
      </c>
    </row>
  </sheetData>
  <conditionalFormatting sqref="G2:G209">
    <cfRule type="cellIs" dxfId="1" priority="2" operator="equal">
      <formula>"Yes"</formula>
    </cfRule>
  </conditionalFormatting>
  <conditionalFormatting sqref="G2:G209">
    <cfRule type="cellIs" dxfId="0" priority="1" operator="equal">
      <formula>"No"</formula>
    </cfRule>
  </conditionalFormatting>
  <pageMargins left="0.7" right="0.7" top="0.75" bottom="0.75" header="0.3" footer="0.3"/>
  <pageSetup orientation="portrait"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A00-000000000000}">
          <x14:formula1>
            <xm:f>'\Users\4019547\Library\Containers\com.microsoft.Excel\Data\Documents\C:\Drive\University\100% RES Feasibility Study\[Power System Model Base Input_v37.xlsx]Codes'!#REF!</xm:f>
          </x14:formula1>
          <xm:sqref>G2:G209</xm:sqref>
        </x14:dataValidation>
      </x14:dataValidations>
    </ext>
  </extLst>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11">
    <tabColor rgb="FFFFFF00"/>
  </sheetPr>
  <dimension ref="A1:F209"/>
  <sheetViews>
    <sheetView workbookViewId="0">
      <selection activeCell="E56" sqref="E56"/>
    </sheetView>
  </sheetViews>
  <sheetFormatPr defaultColWidth="8.81640625" defaultRowHeight="14.5" x14ac:dyDescent="0.35"/>
  <cols>
    <col min="1" max="1" width="25" bestFit="1" customWidth="1"/>
    <col min="2" max="3" width="27.6328125" style="124" bestFit="1" customWidth="1"/>
    <col min="5" max="6" width="26.453125" style="159" bestFit="1" customWidth="1"/>
  </cols>
  <sheetData>
    <row r="1" spans="1:6" s="96" customFormat="1" x14ac:dyDescent="0.35">
      <c r="A1" s="95" t="s">
        <v>2908</v>
      </c>
      <c r="B1" s="122" t="s">
        <v>2991</v>
      </c>
      <c r="C1" s="122" t="s">
        <v>2990</v>
      </c>
      <c r="E1" s="215" t="s">
        <v>2994</v>
      </c>
      <c r="F1" s="215" t="s">
        <v>2993</v>
      </c>
    </row>
    <row r="2" spans="1:6" x14ac:dyDescent="0.35">
      <c r="A2" s="148" t="str">
        <f>'Unique Storage Objects'!A2</f>
        <v>Grand Maison</v>
      </c>
      <c r="B2" s="124">
        <f>IFERROR(VLOOKUP(A2,Generators!$AG$2:$BB$131,5,FALSE),"")</f>
        <v>132</v>
      </c>
      <c r="C2" s="124">
        <f>IFERROR(VLOOKUP(A2,Generators!$AG$2:$BB$131,18,FALSE),"")</f>
        <v>0</v>
      </c>
      <c r="E2" s="159" t="str">
        <f ca="1">OFFSET(INDIRECT(CELL("address",INDEX('Generator-Storage Assignment'!$B$2:$B$107,MATCH(A2,'Generator-Storage Assignment'!$B$2:$B$107,0),1))),0,-1)</f>
        <v>Grand Maison Dam</v>
      </c>
      <c r="F2" s="159">
        <f ca="1">IFERROR(VLOOKUP(E2,'Unique Generator Properties'!$A$2:$B$107,2,FALSE),100)</f>
        <v>8</v>
      </c>
    </row>
    <row r="3" spans="1:6" x14ac:dyDescent="0.35">
      <c r="A3" s="148" t="str">
        <f>'Unique Storage Objects'!A3</f>
        <v>Marchlyn Mawr</v>
      </c>
      <c r="B3" s="124">
        <f>IFERROR(VLOOKUP(A3,Generators!$AG$2:$BB$131,5,FALSE),"")</f>
        <v>6.7</v>
      </c>
      <c r="C3" s="124">
        <f>IFERROR(VLOOKUP(A3,Generators!$AG$2:$BB$131,18,FALSE),"")</f>
        <v>0</v>
      </c>
      <c r="E3" s="159" t="str">
        <f ca="1">OFFSET(INDIRECT(CELL("address",INDEX('Generator-Storage Assignment'!$B$2:$B$107,MATCH(A3,'Generator-Storage Assignment'!$B$2:$B$107,0),1))),0,-1)</f>
        <v>Dinorwig</v>
      </c>
      <c r="F3" s="159">
        <f ca="1">IFERROR(VLOOKUP(E3,'Unique Generator Properties'!$A$2:$B$107,2,FALSE),100)</f>
        <v>6</v>
      </c>
    </row>
    <row r="4" spans="1:6" x14ac:dyDescent="0.35">
      <c r="A4" s="148" t="str">
        <f>'Unique Storage Objects'!A4</f>
        <v>Vianden upper</v>
      </c>
      <c r="B4" s="124">
        <f>IFERROR(VLOOKUP(A4,Generators!$AG$2:$BB$131,5,FALSE),"")</f>
        <v>10.8</v>
      </c>
      <c r="C4" s="124">
        <f>IFERROR(VLOOKUP(A4,Generators!$AG$2:$BB$131,18,FALSE),"")</f>
        <v>0</v>
      </c>
      <c r="E4" s="159" t="str">
        <f ca="1">OFFSET(INDIRECT(CELL("address",INDEX('Generator-Storage Assignment'!$B$2:$B$107,MATCH(A4,'Generator-Storage Assignment'!$B$2:$B$107,0),1))),0,-1)</f>
        <v>Vianden</v>
      </c>
      <c r="F4" s="159">
        <f ca="1">IFERROR(VLOOKUP(E4,'Unique Generator Properties'!$A$2:$B$107,2,FALSE),100)</f>
        <v>11</v>
      </c>
    </row>
    <row r="5" spans="1:6" x14ac:dyDescent="0.35">
      <c r="A5" s="148" t="str">
        <f>'Unique Storage Objects'!A5</f>
        <v>Grand Dixence reservoir</v>
      </c>
      <c r="B5" s="124">
        <f>IFERROR(VLOOKUP(A5,Generators!$AG$2:$BB$131,5,FALSE),"")</f>
        <v>400</v>
      </c>
      <c r="C5" s="124">
        <f>IFERROR(VLOOKUP(A5,Generators!$AG$2:$BB$131,18,FALSE),"")</f>
        <v>0</v>
      </c>
      <c r="E5" s="159" t="str">
        <f ca="1">OFFSET(INDIRECT(CELL("address",INDEX('Generator-Storage Assignment'!$B$2:$B$107,MATCH(A5,'Generator-Storage Assignment'!$B$2:$B$107,0),1))),0,-1)</f>
        <v>Bieudron</v>
      </c>
      <c r="F5" s="159">
        <f ca="1">IFERROR(VLOOKUP(E5,'Unique Generator Properties'!$A$2:$B$107,2,FALSE),100)</f>
        <v>0</v>
      </c>
    </row>
    <row r="6" spans="1:6" x14ac:dyDescent="0.35">
      <c r="A6" s="148" t="str">
        <f>'Unique Storage Objects'!A6</f>
        <v>Aldeadavila</v>
      </c>
      <c r="B6" s="124">
        <f>IFERROR(VLOOKUP(A6,Generators!$AG$2:$BB$131,5,FALSE),"")</f>
        <v>56.6</v>
      </c>
      <c r="C6" s="124">
        <f>IFERROR(VLOOKUP(A6,Generators!$AG$2:$BB$131,18,FALSE),"")</f>
        <v>0</v>
      </c>
      <c r="E6" s="159" t="str">
        <f ca="1">OFFSET(INDIRECT(CELL("address",INDEX('Generator-Storage Assignment'!$B$2:$B$107,MATCH(A6,'Generator-Storage Assignment'!$B$2:$B$107,0),1))),0,-1)</f>
        <v>Aldeadavila</v>
      </c>
      <c r="F6" s="159">
        <f ca="1">IFERROR(VLOOKUP(E6,'Unique Generator Properties'!$A$2:$B$107,2,FALSE),100)</f>
        <v>8</v>
      </c>
    </row>
    <row r="7" spans="1:6" x14ac:dyDescent="0.35">
      <c r="A7" s="148" t="str">
        <f>'Unique Storage Objects'!A7</f>
        <v>Lake Blasjo</v>
      </c>
      <c r="B7" s="124">
        <f>IFERROR(VLOOKUP(A7,Generators!$AG$2:$BB$131,5,FALSE),"")</f>
        <v>2325</v>
      </c>
      <c r="C7" s="124">
        <f>IFERROR(VLOOKUP(A7,Generators!$AG$2:$BB$131,18,FALSE),"")</f>
        <v>0</v>
      </c>
      <c r="E7" s="159" t="str">
        <f ca="1">OFFSET(INDIRECT(CELL("address",INDEX('Generator-Storage Assignment'!$B$2:$B$107,MATCH(A7,'Generator-Storage Assignment'!$B$2:$B$107,0),1))),0,-1)</f>
        <v>Kvilldal</v>
      </c>
      <c r="F7" s="159">
        <f ca="1">IFERROR(VLOOKUP(E7,'Unique Generator Properties'!$A$2:$B$107,2,FALSE),100)</f>
        <v>0</v>
      </c>
    </row>
    <row r="8" spans="1:6" x14ac:dyDescent="0.35">
      <c r="A8" s="148" t="str">
        <f>'Unique Storage Objects'!A8</f>
        <v>Lago del Chiotas</v>
      </c>
      <c r="B8" s="124">
        <f>IFERROR(VLOOKUP(A8,Generators!$AG$2:$BB$131,5,FALSE),"")</f>
        <v>27.3</v>
      </c>
      <c r="C8" s="124">
        <f>IFERROR(VLOOKUP(A8,Generators!$AG$2:$BB$131,18,FALSE),"")</f>
        <v>0</v>
      </c>
      <c r="E8" s="159" t="str">
        <f ca="1">OFFSET(INDIRECT(CELL("address",INDEX('Generator-Storage Assignment'!$B$2:$B$107,MATCH(A8,'Generator-Storage Assignment'!$B$2:$B$107,0),1))),0,-1)</f>
        <v>Chiotas Piastra</v>
      </c>
      <c r="F8" s="159">
        <f ca="1">IFERROR(VLOOKUP(E8,'Unique Generator Properties'!$A$2:$B$107,2,FALSE),100)</f>
        <v>8</v>
      </c>
    </row>
    <row r="9" spans="1:6" x14ac:dyDescent="0.35">
      <c r="A9" s="148" t="str">
        <f>'Unique Storage Objects'!A9</f>
        <v>Iron Gate 1</v>
      </c>
      <c r="B9" s="124">
        <f>IFERROR(VLOOKUP(A9,Generators!$AG$2:$BB$131,5,FALSE),"")</f>
        <v>2550</v>
      </c>
      <c r="C9" s="124">
        <f>IFERROR(VLOOKUP(A9,Generators!$AG$2:$BB$131,18,FALSE),"")</f>
        <v>0</v>
      </c>
      <c r="E9" s="159" t="str">
        <f ca="1">OFFSET(INDIRECT(CELL("address",INDEX('Generator-Storage Assignment'!$B$2:$B$107,MATCH(A9,'Generator-Storage Assignment'!$B$2:$B$107,0),1))),0,-1)</f>
        <v>Iron Gate I</v>
      </c>
      <c r="F9" s="159">
        <f ca="1">IFERROR(VLOOKUP(E9,'Unique Generator Properties'!$A$2:$B$107,2,FALSE),100)</f>
        <v>0</v>
      </c>
    </row>
    <row r="10" spans="1:6" x14ac:dyDescent="0.35">
      <c r="A10" s="148" t="str">
        <f>'Unique Storage Objects'!A10</f>
        <v>Coo 1, Coo 2</v>
      </c>
      <c r="B10" s="124">
        <f>IFERROR(VLOOKUP(A10,Generators!$AG$2:$BB$131,5,FALSE),"")</f>
        <v>8.5</v>
      </c>
      <c r="C10" s="124">
        <f>IFERROR(VLOOKUP(A10,Generators!$AG$2:$BB$131,18,FALSE),"")</f>
        <v>0</v>
      </c>
      <c r="E10" s="159" t="str">
        <f ca="1">OFFSET(INDIRECT(CELL("address",INDEX('Generator-Storage Assignment'!$B$2:$B$107,MATCH(A10,'Generator-Storage Assignment'!$B$2:$B$107,0),1))),0,-1)</f>
        <v>Coo-Trois-Ponts</v>
      </c>
      <c r="F10" s="159">
        <f ca="1">IFERROR(VLOOKUP(E10,'Unique Generator Properties'!$A$2:$B$107,2,FALSE),100)</f>
        <v>6</v>
      </c>
    </row>
    <row r="11" spans="1:6" x14ac:dyDescent="0.35">
      <c r="A11" s="148" t="str">
        <f>'Unique Storage Objects'!A11</f>
        <v>Langavatn</v>
      </c>
      <c r="B11" s="124">
        <f>IFERROR(VLOOKUP(A11,Generators!$AG$2:$BB$131,5,FALSE),"")</f>
        <v>142.30000000000001</v>
      </c>
      <c r="C11" s="124">
        <f>IFERROR(VLOOKUP(A11,Generators!$AG$2:$BB$131,18,FALSE),"")</f>
        <v>0</v>
      </c>
      <c r="E11" s="159" t="str">
        <f ca="1">OFFSET(INDIRECT(CELL("address",INDEX('Generator-Storage Assignment'!$B$2:$B$107,MATCH(A11,'Generator-Storage Assignment'!$B$2:$B$107,0),1))),0,-1)</f>
        <v>Sima</v>
      </c>
      <c r="F11" s="159">
        <f ca="1">IFERROR(VLOOKUP(E11,'Unique Generator Properties'!$A$2:$B$107,2,FALSE),100)</f>
        <v>0</v>
      </c>
    </row>
    <row r="12" spans="1:6" x14ac:dyDescent="0.35">
      <c r="A12" s="148" t="str">
        <f>'Unique Storage Objects'!A12</f>
        <v>Rembesdalsvatn</v>
      </c>
      <c r="B12" s="124">
        <f>IFERROR(VLOOKUP(A12,Generators!$AG$2:$BB$131,5,FALSE),"")</f>
        <v>27.6</v>
      </c>
      <c r="C12" s="124">
        <f>IFERROR(VLOOKUP(A12,Generators!$AG$2:$BB$131,18,FALSE),"")</f>
        <v>0</v>
      </c>
      <c r="E12" s="159" t="e">
        <f ca="1">OFFSET(INDIRECT(CELL("address",INDEX('Generator-Storage Assignment'!$B$2:$B$107,MATCH(A12,'Generator-Storage Assignment'!$B$2:$B$107,0),1))),0,-1)</f>
        <v>#N/A</v>
      </c>
      <c r="F12" s="159">
        <f ca="1">IFERROR(VLOOKUP(E12,'Unique Generator Properties'!$A$2:$B$107,2,FALSE),100)</f>
        <v>100</v>
      </c>
    </row>
    <row r="13" spans="1:6" x14ac:dyDescent="0.35">
      <c r="A13" s="148" t="str">
        <f>'Unique Storage Objects'!A13</f>
        <v>Sysenvatn</v>
      </c>
      <c r="B13" s="124">
        <f>IFERROR(VLOOKUP(A13,Generators!$AG$2:$BB$131,5,FALSE),"")</f>
        <v>427</v>
      </c>
      <c r="C13" s="124">
        <f>IFERROR(VLOOKUP(A13,Generators!$AG$2:$BB$131,18,FALSE),"")</f>
        <v>0</v>
      </c>
      <c r="E13" s="159" t="e">
        <f ca="1">OFFSET(INDIRECT(CELL("address",INDEX('Generator-Storage Assignment'!$B$2:$B$107,MATCH(A13,'Generator-Storage Assignment'!$B$2:$B$107,0),1))),0,-1)</f>
        <v>#N/A</v>
      </c>
      <c r="F13" s="159">
        <f ca="1">IFERROR(VLOOKUP(E13,'Unique Generator Properties'!$A$2:$B$107,2,FALSE),100)</f>
        <v>100</v>
      </c>
    </row>
    <row r="14" spans="1:6" x14ac:dyDescent="0.35">
      <c r="A14" s="148" t="str">
        <f>'Unique Storage Objects'!A14</f>
        <v>Goldisthal-oberbecken</v>
      </c>
      <c r="B14" s="124">
        <f>IFERROR(VLOOKUP(A14,Generators!$AG$2:$BB$131,5,FALSE),"")</f>
        <v>12</v>
      </c>
      <c r="C14" s="124">
        <f>IFERROR(VLOOKUP(A14,Generators!$AG$2:$BB$131,18,FALSE),"")</f>
        <v>0</v>
      </c>
      <c r="E14" s="159" t="str">
        <f ca="1">OFFSET(INDIRECT(CELL("address",INDEX('Generator-Storage Assignment'!$B$2:$B$107,MATCH(A14,'Generator-Storage Assignment'!$B$2:$B$107,0),1))),0,-1)</f>
        <v xml:space="preserve">Goldisthal  </v>
      </c>
      <c r="F14" s="159">
        <f ca="1">IFERROR(VLOOKUP(E14,'Unique Generator Properties'!$A$2:$B$107,2,FALSE),100)</f>
        <v>4</v>
      </c>
    </row>
    <row r="15" spans="1:6" x14ac:dyDescent="0.35">
      <c r="A15" s="148" t="str">
        <f>'Unique Storage Objects'!A15</f>
        <v>Markersbach-oberbecken</v>
      </c>
      <c r="B15" s="124">
        <f>IFERROR(VLOOKUP(A15,Generators!$AG$2:$BB$131,5,FALSE),"")</f>
        <v>6.3</v>
      </c>
      <c r="C15" s="124">
        <f>IFERROR(VLOOKUP(A15,Generators!$AG$2:$BB$131,18,FALSE),"")</f>
        <v>0</v>
      </c>
      <c r="E15" s="159" t="str">
        <f ca="1">OFFSET(INDIRECT(CELL("address",INDEX('Generator-Storage Assignment'!$B$2:$B$107,MATCH(A15,'Generator-Storage Assignment'!$B$2:$B$107,0),1))),0,-1)</f>
        <v>Markersbach</v>
      </c>
      <c r="F15" s="159">
        <f ca="1">IFERROR(VLOOKUP(E15,'Unique Generator Properties'!$A$2:$B$107,2,FALSE),100)</f>
        <v>7</v>
      </c>
    </row>
    <row r="16" spans="1:6" x14ac:dyDescent="0.35">
      <c r="A16" s="148" t="str">
        <f>'Unique Storage Objects'!A16</f>
        <v>Lago Delio</v>
      </c>
      <c r="B16" s="124">
        <f>IFERROR(VLOOKUP(A16,Generators!$AG$2:$BB$131,5,FALSE),"")</f>
        <v>10</v>
      </c>
      <c r="C16" s="124">
        <f>IFERROR(VLOOKUP(A16,Generators!$AG$2:$BB$131,18,FALSE),"")</f>
        <v>0</v>
      </c>
      <c r="E16" s="159" t="str">
        <f ca="1">OFFSET(INDIRECT(CELL("address",INDEX('Generator-Storage Assignment'!$B$2:$B$107,MATCH(A16,'Generator-Storage Assignment'!$B$2:$B$107,0),1))),0,-1)</f>
        <v>Roncovalgrande (Delio)</v>
      </c>
      <c r="F16" s="159">
        <f ca="1">IFERROR(VLOOKUP(E16,'Unique Generator Properties'!$A$2:$B$107,2,FALSE),100)</f>
        <v>8</v>
      </c>
    </row>
    <row r="17" spans="1:6" x14ac:dyDescent="0.35">
      <c r="A17" s="148" t="str">
        <f>'Unique Storage Objects'!A17</f>
        <v>Avio, Benedetto</v>
      </c>
      <c r="B17" s="124">
        <f>IFERROR(VLOOKUP(A17,Generators!$AG$2:$BB$131,5,FALSE),"")</f>
        <v>17.04</v>
      </c>
      <c r="C17" s="124">
        <f>IFERROR(VLOOKUP(A17,Generators!$AG$2:$BB$131,18,FALSE),"")</f>
        <v>0</v>
      </c>
      <c r="E17" s="159" t="str">
        <f ca="1">OFFSET(INDIRECT(CELL("address",INDEX('Generator-Storage Assignment'!$B$2:$B$107,MATCH(A17,'Generator-Storage Assignment'!$B$2:$B$107,0),1))),0,-1)</f>
        <v>Edolo</v>
      </c>
      <c r="F17" s="159">
        <f ca="1">IFERROR(VLOOKUP(E17,'Unique Generator Properties'!$A$2:$B$107,2,FALSE),100)</f>
        <v>8</v>
      </c>
    </row>
    <row r="18" spans="1:6" x14ac:dyDescent="0.35">
      <c r="A18" s="148" t="str">
        <f>'Unique Storage Objects'!A18</f>
        <v>Cesima</v>
      </c>
      <c r="B18" s="124">
        <f>IFERROR(VLOOKUP(A18,Generators!$AG$2:$BB$131,5,FALSE),"")</f>
        <v>6</v>
      </c>
      <c r="C18" s="124">
        <f>IFERROR(VLOOKUP(A18,Generators!$AG$2:$BB$131,18,FALSE),"")</f>
        <v>0</v>
      </c>
      <c r="E18" s="159" t="str">
        <f ca="1">OFFSET(INDIRECT(CELL("address",INDEX('Generator-Storage Assignment'!$B$2:$B$107,MATCH(A18,'Generator-Storage Assignment'!$B$2:$B$107,0),1))),0,-1)</f>
        <v>Domenico Cimarosa (Presenzano)</v>
      </c>
      <c r="F18" s="159">
        <f ca="1">IFERROR(VLOOKUP(E18,'Unique Generator Properties'!$A$2:$B$107,2,FALSE),100)</f>
        <v>4</v>
      </c>
    </row>
    <row r="19" spans="1:6" x14ac:dyDescent="0.35">
      <c r="A19" s="148" t="str">
        <f>'Unique Storage Objects'!A19</f>
        <v>Hornbergbecken</v>
      </c>
      <c r="B19" s="124">
        <f>IFERROR(VLOOKUP(A19,Generators!$AG$2:$BB$131,5,FALSE),"")</f>
        <v>4.4000000000000004</v>
      </c>
      <c r="C19" s="124">
        <f>IFERROR(VLOOKUP(A19,Generators!$AG$2:$BB$131,18,FALSE),"")</f>
        <v>0</v>
      </c>
      <c r="E19" s="159" t="str">
        <f ca="1">OFFSET(INDIRECT(CELL("address",INDEX('Generator-Storage Assignment'!$B$2:$B$107,MATCH(A19,'Generator-Storage Assignment'!$B$2:$B$107,0),1))),0,-1)</f>
        <v>Wehr (Hornbergstufe)</v>
      </c>
      <c r="F19" s="159">
        <f ca="1">IFERROR(VLOOKUP(E19,'Unique Generator Properties'!$A$2:$B$107,2,FALSE),100)</f>
        <v>4</v>
      </c>
    </row>
    <row r="20" spans="1:6" x14ac:dyDescent="0.35">
      <c r="A20" s="148" t="str">
        <f>'Unique Storage Objects'!A20</f>
        <v>Harspranget</v>
      </c>
      <c r="B20" s="124">
        <f>IFERROR(VLOOKUP(A20,Generators!$AG$2:$BB$131,5,FALSE),"")</f>
        <v>6.4</v>
      </c>
      <c r="C20" s="124">
        <f>IFERROR(VLOOKUP(A20,Generators!$AG$2:$BB$131,18,FALSE),"")</f>
        <v>0</v>
      </c>
      <c r="E20" s="159" t="str">
        <f ca="1">OFFSET(INDIRECT(CELL("address",INDEX('Generator-Storage Assignment'!$B$2:$B$107,MATCH(A20,'Generator-Storage Assignment'!$B$2:$B$107,0),1))),0,-1)</f>
        <v>Harspranget</v>
      </c>
      <c r="F20" s="159">
        <f ca="1">IFERROR(VLOOKUP(E20,'Unique Generator Properties'!$A$2:$B$107,2,FALSE),100)</f>
        <v>0</v>
      </c>
    </row>
    <row r="21" spans="1:6" x14ac:dyDescent="0.35">
      <c r="A21" s="148" t="str">
        <f>'Unique Storage Objects'!A21</f>
        <v>Homstolvatnet</v>
      </c>
      <c r="B21" s="124">
        <f>IFERROR(VLOOKUP(A21,Generators!$AG$2:$BB$131,5,FALSE),"")</f>
        <v>5.5</v>
      </c>
      <c r="C21" s="124">
        <f>IFERROR(VLOOKUP(A21,Generators!$AG$2:$BB$131,18,FALSE),"")</f>
        <v>0</v>
      </c>
      <c r="E21" s="159" t="str">
        <f ca="1">OFFSET(INDIRECT(CELL("address",INDEX('Generator-Storage Assignment'!$B$2:$B$107,MATCH(A21,'Generator-Storage Assignment'!$B$2:$B$107,0),1))),0,-1)</f>
        <v>Tonstad (Sira-Kvina)</v>
      </c>
      <c r="F21" s="159">
        <f ca="1">IFERROR(VLOOKUP(E21,'Unique Generator Properties'!$A$2:$B$107,2,FALSE),100)</f>
        <v>0</v>
      </c>
    </row>
    <row r="22" spans="1:6" x14ac:dyDescent="0.35">
      <c r="A22" s="148" t="str">
        <f>'Unique Storage Objects'!A22</f>
        <v>Alcantara</v>
      </c>
      <c r="B22" s="124">
        <f>IFERROR(VLOOKUP(A22,Generators!$AG$2:$BB$131,5,FALSE),"")</f>
        <v>3162</v>
      </c>
      <c r="C22" s="124">
        <f>IFERROR(VLOOKUP(A22,Generators!$AG$2:$BB$131,18,FALSE),"")</f>
        <v>0</v>
      </c>
      <c r="E22" s="159" t="str">
        <f ca="1">OFFSET(INDIRECT(CELL("address",INDEX('Generator-Storage Assignment'!$B$2:$B$107,MATCH(A22,'Generator-Storage Assignment'!$B$2:$B$107,0),1))),0,-1)</f>
        <v>Oriol (Alcantara II)</v>
      </c>
      <c r="F22" s="159">
        <f ca="1">IFERROR(VLOOKUP(E22,'Unique Generator Properties'!$A$2:$B$107,2,FALSE),100)</f>
        <v>0</v>
      </c>
    </row>
    <row r="23" spans="1:6" x14ac:dyDescent="0.35">
      <c r="A23" s="148" t="str">
        <f>'Unique Storage Objects'!A23</f>
        <v>Monnes_l'Etang</v>
      </c>
      <c r="B23" s="124">
        <f>IFERROR(VLOOKUP(A23,Generators!$AG$2:$BB$131,5,FALSE),"")</f>
        <v>30</v>
      </c>
      <c r="C23" s="124">
        <f>IFERROR(VLOOKUP(A23,Generators!$AG$2:$BB$131,18,FALSE),"")</f>
        <v>0</v>
      </c>
      <c r="E23" s="159" t="str">
        <f ca="1">OFFSET(INDIRECT(CELL("address",INDEX('Generator-Storage Assignment'!$B$2:$B$107,MATCH(A23,'Generator-Storage Assignment'!$B$2:$B$107,0),1))),0,-1)</f>
        <v>Montezic</v>
      </c>
      <c r="F23" s="159">
        <f ca="1">IFERROR(VLOOKUP(E23,'Unique Generator Properties'!$A$2:$B$107,2,FALSE),100)</f>
        <v>4</v>
      </c>
    </row>
    <row r="24" spans="1:6" x14ac:dyDescent="0.35">
      <c r="A24" s="148" t="str">
        <f>'Unique Storage Objects'!A24</f>
        <v>Kruonis upper</v>
      </c>
      <c r="B24" s="124">
        <f>IFERROR(VLOOKUP(A24,Generators!$AG$2:$BB$131,5,FALSE),"")</f>
        <v>41</v>
      </c>
      <c r="C24" s="124">
        <f>IFERROR(VLOOKUP(A24,Generators!$AG$2:$BB$131,18,FALSE),"")</f>
        <v>0</v>
      </c>
      <c r="E24" s="159" t="str">
        <f ca="1">OFFSET(INDIRECT(CELL("address",INDEX('Generator-Storage Assignment'!$B$2:$B$107,MATCH(A24,'Generator-Storage Assignment'!$B$2:$B$107,0),1))),0,-1)</f>
        <v>Kruonis Pumped Storage Plant</v>
      </c>
      <c r="F24" s="159">
        <f ca="1">IFERROR(VLOOKUP(E24,'Unique Generator Properties'!$A$2:$B$107,2,FALSE),100)</f>
        <v>4</v>
      </c>
    </row>
    <row r="25" spans="1:6" x14ac:dyDescent="0.35">
      <c r="A25" s="148" t="str">
        <f>'Unique Storage Objects'!A25</f>
        <v>Plavinas Reservoir</v>
      </c>
      <c r="B25" s="124">
        <f>IFERROR(VLOOKUP(A25,Generators!$AG$2:$BB$131,5,FALSE),"")</f>
        <v>500</v>
      </c>
      <c r="C25" s="124">
        <f>IFERROR(VLOOKUP(A25,Generators!$AG$2:$BB$131,18,FALSE),"")</f>
        <v>0</v>
      </c>
      <c r="E25" s="159" t="str">
        <f ca="1">OFFSET(INDIRECT(CELL("address",INDEX('Generator-Storage Assignment'!$B$2:$B$107,MATCH(A25,'Generator-Storage Assignment'!$B$2:$B$107,0),1))),0,-1)</f>
        <v>Pļaviņas</v>
      </c>
      <c r="F25" s="159">
        <f ca="1">IFERROR(VLOOKUP(E25,'Unique Generator Properties'!$A$2:$B$107,2,FALSE),100)</f>
        <v>0</v>
      </c>
    </row>
    <row r="26" spans="1:6" x14ac:dyDescent="0.35">
      <c r="A26" s="148" t="str">
        <f>'Unique Storage Objects'!A26</f>
        <v>Belmeken</v>
      </c>
      <c r="B26" s="124">
        <f>IFERROR(VLOOKUP(A26,Generators!$AG$2:$BB$131,5,FALSE),"")</f>
        <v>141.16</v>
      </c>
      <c r="C26" s="124">
        <f>IFERROR(VLOOKUP(A26,Generators!$AG$2:$BB$131,18,FALSE),"")</f>
        <v>0</v>
      </c>
      <c r="E26" s="159" t="str">
        <f ca="1">OFFSET(INDIRECT(CELL("address",INDEX('Generator-Storage Assignment'!$B$2:$B$107,MATCH(A26,'Generator-Storage Assignment'!$B$2:$B$107,0),1))),0,-1)</f>
        <v>Chaira</v>
      </c>
      <c r="F26" s="159">
        <f ca="1">IFERROR(VLOOKUP(E26,'Unique Generator Properties'!$A$2:$B$107,2,FALSE),100)</f>
        <v>4</v>
      </c>
    </row>
    <row r="27" spans="1:6" x14ac:dyDescent="0.35">
      <c r="A27" s="148" t="str">
        <f>'Unique Storage Objects'!A27</f>
        <v>Muela upper reservoir</v>
      </c>
      <c r="B27" s="124">
        <f>IFERROR(VLOOKUP(A27,Generators!$AG$2:$BB$131,5,FALSE),"")</f>
        <v>20</v>
      </c>
      <c r="C27" s="124">
        <f>IFERROR(VLOOKUP(A27,Generators!$AG$2:$BB$131,18,FALSE),"")</f>
        <v>0</v>
      </c>
      <c r="E27" s="159" t="str">
        <f ca="1">OFFSET(INDIRECT(CELL("address",INDEX('Generator-Storage Assignment'!$B$2:$B$107,MATCH(A27,'Generator-Storage Assignment'!$B$2:$B$107,0),1))),0,-1)</f>
        <v>La Muela II</v>
      </c>
      <c r="F27" s="159">
        <f ca="1">IFERROR(VLOOKUP(E27,'Unique Generator Properties'!$A$2:$B$107,2,FALSE),100)</f>
        <v>4</v>
      </c>
    </row>
    <row r="28" spans="1:6" x14ac:dyDescent="0.35">
      <c r="A28" s="148" t="str">
        <f>'Unique Storage Objects'!A28</f>
        <v>Viddalsvatn</v>
      </c>
      <c r="B28" s="124">
        <f>IFERROR(VLOOKUP(A28,Generators!$AG$2:$BB$131,5,FALSE),"")</f>
        <v>196</v>
      </c>
      <c r="C28" s="124">
        <f>IFERROR(VLOOKUP(A28,Generators!$AG$2:$BB$131,18,FALSE),"")</f>
        <v>0</v>
      </c>
      <c r="E28" s="159" t="str">
        <f ca="1">OFFSET(INDIRECT(CELL("address",INDEX('Generator-Storage Assignment'!$B$2:$B$107,MATCH(A28,'Generator-Storage Assignment'!$B$2:$B$107,0),1))),0,-1)</f>
        <v>Aurland I</v>
      </c>
      <c r="F28" s="159">
        <f ca="1">IFERROR(VLOOKUP(E28,'Unique Generator Properties'!$A$2:$B$107,2,FALSE),100)</f>
        <v>0</v>
      </c>
    </row>
    <row r="29" spans="1:6" x14ac:dyDescent="0.35">
      <c r="A29" s="148" t="str">
        <f>'Unique Storage Objects'!A29</f>
        <v>Almendra dam reservoir</v>
      </c>
      <c r="B29" s="124">
        <f>IFERROR(VLOOKUP(A29,Generators!$AG$2:$BB$131,5,FALSE),"")</f>
        <v>2648.6</v>
      </c>
      <c r="C29" s="124">
        <f>IFERROR(VLOOKUP(A29,Generators!$AG$2:$BB$131,18,FALSE),"")</f>
        <v>0</v>
      </c>
      <c r="E29" s="159" t="str">
        <f ca="1">OFFSET(INDIRECT(CELL("address",INDEX('Generator-Storage Assignment'!$B$2:$B$107,MATCH(A29,'Generator-Storage Assignment'!$B$2:$B$107,0),1))),0,-1)</f>
        <v>Almendra (Villarino)</v>
      </c>
      <c r="F29" s="159">
        <f ca="1">IFERROR(VLOOKUP(E29,'Unique Generator Properties'!$A$2:$B$107,2,FALSE),100)</f>
        <v>6</v>
      </c>
    </row>
    <row r="30" spans="1:6" x14ac:dyDescent="0.35">
      <c r="A30" s="148" t="str">
        <f>'Unique Storage Objects'!A30</f>
        <v>Bissorte</v>
      </c>
      <c r="B30" s="124">
        <f>IFERROR(VLOOKUP(A30,Generators!$AG$2:$BB$131,5,FALSE),"")</f>
        <v>39.5</v>
      </c>
      <c r="C30" s="124">
        <f>IFERROR(VLOOKUP(A30,Generators!$AG$2:$BB$131,18,FALSE),"")</f>
        <v>0</v>
      </c>
      <c r="E30" s="159" t="str">
        <f ca="1">OFFSET(INDIRECT(CELL("address",INDEX('Generator-Storage Assignment'!$B$2:$B$107,MATCH(A30,'Generator-Storage Assignment'!$B$2:$B$107,0),1))),0,-1)</f>
        <v>Super-Bissorte</v>
      </c>
      <c r="F30" s="159">
        <f ca="1">IFERROR(VLOOKUP(E30,'Unique Generator Properties'!$A$2:$B$107,2,FALSE),100)</f>
        <v>4</v>
      </c>
    </row>
    <row r="31" spans="1:6" x14ac:dyDescent="0.35">
      <c r="A31" s="148" t="str">
        <f>'Unique Storage Objects'!A31</f>
        <v xml:space="preserve">Cierny Vah upper </v>
      </c>
      <c r="B31" s="124">
        <f>IFERROR(VLOOKUP(A31,Generators!$AG$2:$BB$131,5,FALSE),"")</f>
        <v>3.7</v>
      </c>
      <c r="C31" s="124">
        <f>IFERROR(VLOOKUP(A31,Generators!$AG$2:$BB$131,18,FALSE),"")</f>
        <v>0</v>
      </c>
      <c r="E31" s="159" t="str">
        <f ca="1">OFFSET(INDIRECT(CELL("address",INDEX('Generator-Storage Assignment'!$B$2:$B$107,MATCH(A31,'Generator-Storage Assignment'!$B$2:$B$107,0),1))),0,-1)</f>
        <v>Cierny Vah</v>
      </c>
      <c r="F31" s="159">
        <f ca="1">IFERROR(VLOOKUP(E31,'Unique Generator Properties'!$A$2:$B$107,2,FALSE),100)</f>
        <v>7</v>
      </c>
    </row>
    <row r="32" spans="1:6" x14ac:dyDescent="0.35">
      <c r="A32" s="148" t="str">
        <f>'Unique Storage Objects'!A32</f>
        <v xml:space="preserve">Koelnbrein  </v>
      </c>
      <c r="B32" s="124">
        <f>IFERROR(VLOOKUP(A32,Generators!$AG$2:$BB$131,5,FALSE),"")</f>
        <v>205</v>
      </c>
      <c r="C32" s="124">
        <f>IFERROR(VLOOKUP(A32,Generators!$AG$2:$BB$131,18,FALSE),"")</f>
        <v>0</v>
      </c>
      <c r="E32" s="159" t="str">
        <f ca="1">OFFSET(INDIRECT(CELL("address",INDEX('Generator-Storage Assignment'!$B$2:$B$107,MATCH(A32,'Generator-Storage Assignment'!$B$2:$B$107,0),1))),0,-1)</f>
        <v>Galgenbichl</v>
      </c>
      <c r="F32" s="159">
        <f ca="1">IFERROR(VLOOKUP(E32,'Unique Generator Properties'!$A$2:$B$107,2,FALSE),100)</f>
        <v>2</v>
      </c>
    </row>
    <row r="33" spans="1:6" x14ac:dyDescent="0.35">
      <c r="A33" s="148" t="str">
        <f>'Unique Storage Objects'!A33</f>
        <v>Galgenbichl</v>
      </c>
      <c r="B33" s="124">
        <f>IFERROR(VLOOKUP(A33,Generators!$AG$2:$BB$131,5,FALSE),"")</f>
        <v>4.4000000000000004</v>
      </c>
      <c r="C33" s="124">
        <f>IFERROR(VLOOKUP(A33,Generators!$AG$2:$BB$131,18,FALSE),"")</f>
        <v>0</v>
      </c>
      <c r="E33" s="159" t="str">
        <f ca="1">OFFSET(INDIRECT(CELL("address",INDEX('Generator-Storage Assignment'!$B$2:$B$107,MATCH(A33,'Generator-Storage Assignment'!$B$2:$B$107,0),1))),0,-1)</f>
        <v>Rottau</v>
      </c>
      <c r="F33" s="159">
        <f ca="1">IFERROR(VLOOKUP(E33,'Unique Generator Properties'!$A$2:$B$107,2,FALSE),100)</f>
        <v>4</v>
      </c>
    </row>
    <row r="34" spans="1:6" x14ac:dyDescent="0.35">
      <c r="A34" s="148" t="str">
        <f>'Unique Storage Objects'!A34</f>
        <v>Grosser Mühldorfer</v>
      </c>
      <c r="B34" s="124">
        <f>IFERROR(VLOOKUP(A34,Generators!$AG$2:$BB$131,5,FALSE),"")</f>
        <v>7.8</v>
      </c>
      <c r="C34" s="124">
        <f>IFERROR(VLOOKUP(A34,Generators!$AG$2:$BB$131,18,FALSE),"")</f>
        <v>0</v>
      </c>
      <c r="E34" s="159" t="str">
        <f ca="1">OFFSET(INDIRECT(CELL("address",INDEX('Generator-Storage Assignment'!$B$2:$B$107,MATCH(A34,'Generator-Storage Assignment'!$B$2:$B$107,0),1))),0,-1)</f>
        <v xml:space="preserve">Reisseck II </v>
      </c>
      <c r="F34" s="159">
        <f ca="1">IFERROR(VLOOKUP(E34,'Unique Generator Properties'!$A$2:$B$107,2,FALSE),100)</f>
        <v>2</v>
      </c>
    </row>
    <row r="35" spans="1:6" x14ac:dyDescent="0.35">
      <c r="A35" s="148" t="str">
        <f>'Unique Storage Objects'!A35</f>
        <v>Marquisades</v>
      </c>
      <c r="B35" s="124">
        <f>IFERROR(VLOOKUP(A35,Generators!$AG$2:$BB$131,5,FALSE),"")</f>
        <v>8.3000000000000007</v>
      </c>
      <c r="C35" s="124">
        <f>IFERROR(VLOOKUP(A35,Generators!$AG$2:$BB$131,18,FALSE),"")</f>
        <v>0</v>
      </c>
      <c r="E35" s="159" t="str">
        <f ca="1">OFFSET(INDIRECT(CELL("address",INDEX('Generator-Storage Assignment'!$B$2:$B$107,MATCH(A35,'Generator-Storage Assignment'!$B$2:$B$107,0),1))),0,-1)</f>
        <v>Revin Pumped Storage</v>
      </c>
      <c r="F35" s="159">
        <f ca="1">IFERROR(VLOOKUP(E35,'Unique Generator Properties'!$A$2:$B$107,2,FALSE),100)</f>
        <v>4</v>
      </c>
    </row>
    <row r="36" spans="1:6" x14ac:dyDescent="0.35">
      <c r="A36" s="148" t="str">
        <f>'Unique Storage Objects'!A36</f>
        <v>Gabcikovo</v>
      </c>
      <c r="B36" s="124">
        <f>IFERROR(VLOOKUP(A36,Generators!$AG$2:$BB$131,5,FALSE),"")</f>
        <v>197</v>
      </c>
      <c r="C36" s="124">
        <f>IFERROR(VLOOKUP(A36,Generators!$AG$2:$BB$131,18,FALSE),"")</f>
        <v>0</v>
      </c>
      <c r="E36" s="159" t="str">
        <f ca="1">OFFSET(INDIRECT(CELL("address",INDEX('Generator-Storage Assignment'!$B$2:$B$107,MATCH(A36,'Generator-Storage Assignment'!$B$2:$B$107,0),1))),0,-1)</f>
        <v>Gabcikovo (Nagymaros Dams)</v>
      </c>
      <c r="F36" s="159">
        <f ca="1">IFERROR(VLOOKUP(E36,'Unique Generator Properties'!$A$2:$B$107,2,FALSE),100)</f>
        <v>0</v>
      </c>
    </row>
    <row r="37" spans="1:6" x14ac:dyDescent="0.35">
      <c r="A37" s="148" t="str">
        <f>'Unique Storage Objects'!A37</f>
        <v>Czymanowo</v>
      </c>
      <c r="B37" s="124">
        <f>IFERROR(VLOOKUP(A37,Generators!$AG$2:$BB$131,5,FALSE),"")</f>
        <v>13</v>
      </c>
      <c r="C37" s="124">
        <f>IFERROR(VLOOKUP(A37,Generators!$AG$2:$BB$131,18,FALSE),"")</f>
        <v>0</v>
      </c>
      <c r="E37" s="159" t="str">
        <f ca="1">OFFSET(INDIRECT(CELL("address",INDEX('Generator-Storage Assignment'!$B$2:$B$107,MATCH(A37,'Generator-Storage Assignment'!$B$2:$B$107,0),1))),0,-1)</f>
        <v>Zarnowiec</v>
      </c>
      <c r="F37" s="159">
        <f ca="1">IFERROR(VLOOKUP(E37,'Unique Generator Properties'!$A$2:$B$107,2,FALSE),100)</f>
        <v>4</v>
      </c>
    </row>
    <row r="38" spans="1:6" x14ac:dyDescent="0.35">
      <c r="A38" s="148" t="str">
        <f>'Unique Storage Objects'!A38</f>
        <v>Alto Lindoso</v>
      </c>
      <c r="B38" s="124">
        <f>IFERROR(VLOOKUP(A38,Generators!$AG$2:$BB$131,5,FALSE),"")</f>
        <v>390</v>
      </c>
      <c r="C38" s="124">
        <f>IFERROR(VLOOKUP(A38,Generators!$AG$2:$BB$131,18,FALSE),"")</f>
        <v>0</v>
      </c>
      <c r="E38" s="159" t="str">
        <f ca="1">OFFSET(INDIRECT(CELL("address",INDEX('Generator-Storage Assignment'!$B$2:$B$107,MATCH(A38,'Generator-Storage Assignment'!$B$2:$B$107,0),1))),0,-1)</f>
        <v>Alto Lindoso Dam</v>
      </c>
      <c r="F38" s="159">
        <f ca="1">IFERROR(VLOOKUP(E38,'Unique Generator Properties'!$A$2:$B$107,2,FALSE),100)</f>
        <v>2</v>
      </c>
    </row>
    <row r="39" spans="1:6" x14ac:dyDescent="0.35">
      <c r="A39" s="148" t="str">
        <f>'Unique Storage Objects'!A39</f>
        <v>Dlouhe Strane upper</v>
      </c>
      <c r="B39" s="124">
        <f>IFERROR(VLOOKUP(A39,Generators!$AG$2:$BB$131,5,FALSE),"")</f>
        <v>2.72</v>
      </c>
      <c r="C39" s="124">
        <f>IFERROR(VLOOKUP(A39,Generators!$AG$2:$BB$131,18,FALSE),"")</f>
        <v>0</v>
      </c>
      <c r="E39" s="159" t="str">
        <f ca="1">OFFSET(INDIRECT(CELL("address",INDEX('Generator-Storage Assignment'!$B$2:$B$107,MATCH(A39,'Generator-Storage Assignment'!$B$2:$B$107,0),1))),0,-1)</f>
        <v>Dlouhe Strane</v>
      </c>
      <c r="F39" s="159">
        <f ca="1">IFERROR(VLOOKUP(E39,'Unique Generator Properties'!$A$2:$B$107,2,FALSE),100)</f>
        <v>2</v>
      </c>
    </row>
    <row r="40" spans="1:6" x14ac:dyDescent="0.35">
      <c r="A40" s="148" t="str">
        <f>'Unique Storage Objects'!A40</f>
        <v>Storglomvatn</v>
      </c>
      <c r="B40" s="124" t="str">
        <f>IFERROR(VLOOKUP(A40,Generators!$AG$2:$BB$131,5,FALSE),"")</f>
        <v/>
      </c>
      <c r="C40" s="124" t="str">
        <f>IFERROR(VLOOKUP(A40,Generators!$AG$2:$BB$131,18,FALSE),"")</f>
        <v/>
      </c>
      <c r="E40" s="159" t="e">
        <f ca="1">OFFSET(INDIRECT(CELL("address",INDEX('Generator-Storage Assignment'!$B$2:$B$107,MATCH(A40,'Generator-Storage Assignment'!$B$2:$B$107,0),1))),0,-1)</f>
        <v>#N/A</v>
      </c>
      <c r="F40" s="159">
        <f ca="1">IFERROR(VLOOKUP(E40,'Unique Generator Properties'!$A$2:$B$107,2,FALSE),100)</f>
        <v>100</v>
      </c>
    </row>
    <row r="41" spans="1:6" x14ac:dyDescent="0.35">
      <c r="A41" s="148" t="str">
        <f>'Unique Storage Objects'!A41</f>
        <v>Stornorrfors dam</v>
      </c>
      <c r="B41" s="124">
        <f>IFERROR(VLOOKUP(A41,Generators!$AG$2:$BB$131,5,FALSE),"")</f>
        <v>0</v>
      </c>
      <c r="C41" s="124">
        <f>IFERROR(VLOOKUP(A41,Generators!$AG$2:$BB$131,18,FALSE),"")</f>
        <v>0</v>
      </c>
      <c r="E41" s="159" t="str">
        <f ca="1">OFFSET(INDIRECT(CELL("address",INDEX('Generator-Storage Assignment'!$B$2:$B$107,MATCH(A41,'Generator-Storage Assignment'!$B$2:$B$107,0),1))),0,-1)</f>
        <v>Stornorrfors</v>
      </c>
      <c r="F41" s="159">
        <f ca="1">IFERROR(VLOOKUP(E41,'Unique Generator Properties'!$A$2:$B$107,2,FALSE),100)</f>
        <v>0</v>
      </c>
    </row>
    <row r="42" spans="1:6" x14ac:dyDescent="0.35">
      <c r="A42" s="148" t="str">
        <f>'Unique Storage Objects'!A42</f>
        <v>Mooserboden</v>
      </c>
      <c r="B42" s="124">
        <f>IFERROR(VLOOKUP(A42,Generators!$AG$2:$BB$131,5,FALSE),"")</f>
        <v>85.4</v>
      </c>
      <c r="C42" s="124">
        <f>IFERROR(VLOOKUP(A42,Generators!$AG$2:$BB$131,18,FALSE),"")</f>
        <v>0</v>
      </c>
      <c r="E42" s="159" t="str">
        <f ca="1">OFFSET(INDIRECT(CELL("address",INDEX('Generator-Storage Assignment'!$B$2:$B$107,MATCH(A42,'Generator-Storage Assignment'!$B$2:$B$107,0),1))),0,-1)</f>
        <v>Limberg I II</v>
      </c>
      <c r="F42" s="159">
        <f ca="1">IFERROR(VLOOKUP(E42,'Unique Generator Properties'!$A$2:$B$107,2,FALSE),100)</f>
        <v>4</v>
      </c>
    </row>
    <row r="43" spans="1:6" x14ac:dyDescent="0.35">
      <c r="A43" s="148" t="str">
        <f>'Unique Storage Objects'!A43</f>
        <v>Lago d'Arno</v>
      </c>
      <c r="B43" s="124">
        <f>IFERROR(VLOOKUP(A43,Generators!$AG$2:$BB$131,5,FALSE),"")</f>
        <v>38.799999999999997</v>
      </c>
      <c r="C43" s="124">
        <f>IFERROR(VLOOKUP(A43,Generators!$AG$2:$BB$131,18,FALSE),"")</f>
        <v>0</v>
      </c>
      <c r="E43" s="159" t="str">
        <f ca="1">OFFSET(INDIRECT(CELL("address",INDEX('Generator-Storage Assignment'!$B$2:$B$107,MATCH(A43,'Generator-Storage Assignment'!$B$2:$B$107,0),1))),0,-1)</f>
        <v>San Fiorano</v>
      </c>
      <c r="F43" s="159">
        <f ca="1">IFERROR(VLOOKUP(E43,'Unique Generator Properties'!$A$2:$B$107,2,FALSE),100)</f>
        <v>2</v>
      </c>
    </row>
    <row r="44" spans="1:6" x14ac:dyDescent="0.35">
      <c r="A44" s="148" t="str">
        <f>'Unique Storage Objects'!A44</f>
        <v>Roselend</v>
      </c>
      <c r="B44" s="124">
        <f>IFERROR(VLOOKUP(A44,Generators!$AG$2:$BB$131,5,FALSE),"")</f>
        <v>187</v>
      </c>
      <c r="C44" s="124">
        <f>IFERROR(VLOOKUP(A44,Generators!$AG$2:$BB$131,18,FALSE),"")</f>
        <v>0</v>
      </c>
      <c r="E44" s="159" t="str">
        <f ca="1">OFFSET(INDIRECT(CELL("address",INDEX('Generator-Storage Assignment'!$B$2:$B$107,MATCH(A44,'Generator-Storage Assignment'!$B$2:$B$107,0),1))),0,-1)</f>
        <v>La Bathie</v>
      </c>
      <c r="F44" s="159">
        <f ca="1">IFERROR(VLOOKUP(E44,'Unique Generator Properties'!$A$2:$B$107,2,FALSE),100)</f>
        <v>0</v>
      </c>
    </row>
    <row r="45" spans="1:6" x14ac:dyDescent="0.35">
      <c r="A45" s="148" t="str">
        <f>'Unique Storage Objects'!A45</f>
        <v>Kops</v>
      </c>
      <c r="B45" s="124">
        <f>IFERROR(VLOOKUP(A45,Generators!$AG$2:$BB$131,5,FALSE),"")</f>
        <v>42</v>
      </c>
      <c r="C45" s="124">
        <f>IFERROR(VLOOKUP(A45,Generators!$AG$2:$BB$131,18,FALSE),"")</f>
        <v>0</v>
      </c>
      <c r="E45" s="159" t="str">
        <f ca="1">OFFSET(INDIRECT(CELL("address",INDEX('Generator-Storage Assignment'!$B$2:$B$107,MATCH(A45,'Generator-Storage Assignment'!$B$2:$B$107,0),1))),0,-1)</f>
        <v>Kops II</v>
      </c>
      <c r="F45" s="159">
        <f ca="1">IFERROR(VLOOKUP(E45,'Unique Generator Properties'!$A$2:$B$107,2,FALSE),100)</f>
        <v>3</v>
      </c>
    </row>
    <row r="46" spans="1:6" x14ac:dyDescent="0.35">
      <c r="A46" s="148" t="str">
        <f>'Unique Storage Objects'!A46</f>
        <v>Saucelle</v>
      </c>
      <c r="B46" s="124">
        <f>IFERROR(VLOOKUP(A46,Generators!$AG$2:$BB$131,5,FALSE),"")</f>
        <v>181.5</v>
      </c>
      <c r="C46" s="124">
        <f>IFERROR(VLOOKUP(A46,Generators!$AG$2:$BB$131,18,FALSE),"")</f>
        <v>0</v>
      </c>
      <c r="E46" s="159" t="str">
        <f ca="1">OFFSET(INDIRECT(CELL("address",INDEX('Generator-Storage Assignment'!$B$2:$B$107,MATCH(A46,'Generator-Storage Assignment'!$B$2:$B$107,0),1))),0,-1)</f>
        <v>Saucelle</v>
      </c>
      <c r="F46" s="159">
        <f ca="1">IFERROR(VLOOKUP(E46,'Unique Generator Properties'!$A$2:$B$107,2,FALSE),100)</f>
        <v>0</v>
      </c>
    </row>
    <row r="47" spans="1:6" x14ac:dyDescent="0.35">
      <c r="A47" s="148" t="str">
        <f>'Unique Storage Objects'!A47</f>
        <v>Alqueva</v>
      </c>
      <c r="B47" s="124">
        <f>IFERROR(VLOOKUP(A47,Generators!$AG$2:$BB$131,5,FALSE),"")</f>
        <v>3150</v>
      </c>
      <c r="C47" s="124">
        <f>IFERROR(VLOOKUP(A47,Generators!$AG$2:$BB$131,18,FALSE),"")</f>
        <v>0</v>
      </c>
      <c r="E47" s="159" t="str">
        <f ca="1">OFFSET(INDIRECT(CELL("address",INDEX('Generator-Storage Assignment'!$B$2:$B$107,MATCH(A47,'Generator-Storage Assignment'!$B$2:$B$107,0),1))),0,-1)</f>
        <v>Alqueva I II</v>
      </c>
      <c r="F47" s="159">
        <f ca="1">IFERROR(VLOOKUP(E47,'Unique Generator Properties'!$A$2:$B$107,2,FALSE),100)</f>
        <v>4</v>
      </c>
    </row>
    <row r="48" spans="1:6" x14ac:dyDescent="0.35">
      <c r="A48" s="148" t="str">
        <f>'Unique Storage Objects'!A48</f>
        <v xml:space="preserve">Vidra </v>
      </c>
      <c r="B48" s="124">
        <f>IFERROR(VLOOKUP(A48,Generators!$AG$2:$BB$131,5,FALSE),"")</f>
        <v>340</v>
      </c>
      <c r="C48" s="124">
        <f>IFERROR(VLOOKUP(A48,Generators!$AG$2:$BB$131,18,FALSE),"")</f>
        <v>0</v>
      </c>
      <c r="E48" s="159" t="str">
        <f ca="1">OFFSET(INDIRECT(CELL("address",INDEX('Generator-Storage Assignment'!$B$2:$B$107,MATCH(A48,'Generator-Storage Assignment'!$B$2:$B$107,0),1))),0,-1)</f>
        <v>Ciunget</v>
      </c>
      <c r="F48" s="159">
        <f ca="1">IFERROR(VLOOKUP(E48,'Unique Generator Properties'!$A$2:$B$107,2,FALSE),100)</f>
        <v>0</v>
      </c>
    </row>
    <row r="49" spans="1:6" x14ac:dyDescent="0.35">
      <c r="A49" s="148" t="str">
        <f>'Unique Storage Objects'!A49</f>
        <v>Laengental</v>
      </c>
      <c r="B49" s="124">
        <f>IFERROR(VLOOKUP(A49,Generators!$AG$2:$BB$131,5,FALSE),"")</f>
        <v>3</v>
      </c>
      <c r="C49" s="124">
        <f>IFERROR(VLOOKUP(A49,Generators!$AG$2:$BB$131,18,FALSE),"")</f>
        <v>0</v>
      </c>
      <c r="E49" s="159" t="str">
        <f ca="1">OFFSET(INDIRECT(CELL("address",INDEX('Generator-Storage Assignment'!$B$2:$B$107,MATCH(A49,'Generator-Storage Assignment'!$B$2:$B$107,0),1))),0,-1)</f>
        <v>Silz</v>
      </c>
      <c r="F49" s="159">
        <f ca="1">IFERROR(VLOOKUP(E49,'Unique Generator Properties'!$A$2:$B$107,2,FALSE),100)</f>
        <v>0</v>
      </c>
    </row>
    <row r="50" spans="1:6" x14ac:dyDescent="0.35">
      <c r="A50" s="148" t="str">
        <f>'Unique Storage Objects'!A50</f>
        <v>Anapo upper reservoir</v>
      </c>
      <c r="B50" s="124">
        <f>IFERROR(VLOOKUP(A50,Generators!$AG$2:$BB$131,5,FALSE),"")</f>
        <v>5.6</v>
      </c>
      <c r="C50" s="124">
        <f>IFERROR(VLOOKUP(A50,Generators!$AG$2:$BB$131,18,FALSE),"")</f>
        <v>0</v>
      </c>
      <c r="E50" s="159" t="str">
        <f ca="1">OFFSET(INDIRECT(CELL("address",INDEX('Generator-Storage Assignment'!$B$2:$B$107,MATCH(A50,'Generator-Storage Assignment'!$B$2:$B$107,0),1))),0,-1)</f>
        <v>Anapo</v>
      </c>
      <c r="F50" s="159">
        <f ca="1">IFERROR(VLOOKUP(E50,'Unique Generator Properties'!$A$2:$B$107,2,FALSE),100)</f>
        <v>4</v>
      </c>
    </row>
    <row r="51" spans="1:6" x14ac:dyDescent="0.35">
      <c r="A51" s="148" t="str">
        <f>'Unique Storage Objects'!A51</f>
        <v>Zar</v>
      </c>
      <c r="B51" s="124">
        <f>IFERROR(VLOOKUP(A51,Generators!$AG$2:$BB$131,5,FALSE),"")</f>
        <v>2</v>
      </c>
      <c r="C51" s="124">
        <f>IFERROR(VLOOKUP(A51,Generators!$AG$2:$BB$131,18,FALSE),"")</f>
        <v>0</v>
      </c>
      <c r="E51" s="159" t="str">
        <f ca="1">OFFSET(INDIRECT(CELL("address",INDEX('Generator-Storage Assignment'!$B$2:$B$107,MATCH(A51,'Generator-Storage Assignment'!$B$2:$B$107,0),1))),0,-1)</f>
        <v>Porabka-zar</v>
      </c>
      <c r="F51" s="159">
        <f ca="1">IFERROR(VLOOKUP(E51,'Unique Generator Properties'!$A$2:$B$107,2,FALSE),100)</f>
        <v>4</v>
      </c>
    </row>
    <row r="52" spans="1:6" x14ac:dyDescent="0.35">
      <c r="A52" s="148" t="str">
        <f>'Unique Storage Objects'!A52</f>
        <v>Latschau</v>
      </c>
      <c r="B52" s="124">
        <f>IFERROR(VLOOKUP(A52,Generators!$AG$2:$BB$131,5,FALSE),"")</f>
        <v>2.2400000000000002</v>
      </c>
      <c r="C52" s="124">
        <f>IFERROR(VLOOKUP(A52,Generators!$AG$2:$BB$131,18,FALSE),"")</f>
        <v>0</v>
      </c>
      <c r="E52" s="159" t="str">
        <f ca="1">OFFSET(INDIRECT(CELL("address",INDEX('Generator-Storage Assignment'!$B$2:$B$107,MATCH(A52,'Generator-Storage Assignment'!$B$2:$B$107,0),1))),0,-1)</f>
        <v>Rodundwerk I II</v>
      </c>
      <c r="F52" s="159">
        <f ca="1">IFERROR(VLOOKUP(E52,'Unique Generator Properties'!$A$2:$B$107,2,FALSE),100)</f>
        <v>5</v>
      </c>
    </row>
    <row r="53" spans="1:6" x14ac:dyDescent="0.35">
      <c r="A53" s="148" t="str">
        <f>'Unique Storage Objects'!A53</f>
        <v>Zakucac</v>
      </c>
      <c r="B53" s="124">
        <f>IFERROR(VLOOKUP(A53,Generators!$AG$2:$BB$131,5,FALSE),"")</f>
        <v>0</v>
      </c>
      <c r="C53" s="124">
        <f>IFERROR(VLOOKUP(A53,Generators!$AG$2:$BB$131,18,FALSE),"")</f>
        <v>0</v>
      </c>
      <c r="E53" s="159" t="str">
        <f ca="1">OFFSET(INDIRECT(CELL("address",INDEX('Generator-Storage Assignment'!$B$2:$B$107,MATCH(A53,'Generator-Storage Assignment'!$B$2:$B$107,0),1))),0,-1)</f>
        <v xml:space="preserve">Zakucac </v>
      </c>
      <c r="F53" s="159">
        <f ca="1">IFERROR(VLOOKUP(E53,'Unique Generator Properties'!$A$2:$B$107,2,FALSE),100)</f>
        <v>0</v>
      </c>
    </row>
    <row r="54" spans="1:6" x14ac:dyDescent="0.35">
      <c r="A54" s="148" t="str">
        <f>'Unique Storage Objects'!A54</f>
        <v>Akersvatnet</v>
      </c>
      <c r="B54" s="124">
        <f>IFERROR(VLOOKUP(A54,Generators!$AG$2:$BB$131,5,FALSE),"")</f>
        <v>1244.7</v>
      </c>
      <c r="C54" s="124">
        <f>IFERROR(VLOOKUP(A54,Generators!$AG$2:$BB$131,18,FALSE),"")</f>
        <v>0</v>
      </c>
      <c r="E54" s="159" t="str">
        <f ca="1">OFFSET(INDIRECT(CELL("address",INDEX('Generator-Storage Assignment'!$B$2:$B$107,MATCH(A54,'Generator-Storage Assignment'!$B$2:$B$107,0),1))),0,-1)</f>
        <v>Rana</v>
      </c>
      <c r="F54" s="159">
        <f ca="1">IFERROR(VLOOKUP(E54,'Unique Generator Properties'!$A$2:$B$107,2,FALSE),100)</f>
        <v>0</v>
      </c>
    </row>
    <row r="55" spans="1:6" x14ac:dyDescent="0.35">
      <c r="A55" s="152" t="s">
        <v>2338</v>
      </c>
      <c r="B55" s="124">
        <f>IFERROR(VLOOKUP(A55,Generators!$AG$2:$BB$131,5,FALSE),"")</f>
        <v>706</v>
      </c>
      <c r="C55" s="124">
        <f>IFERROR(VLOOKUP(A55,Generators!$AG$2:$BB$131,18,FALSE),"")</f>
        <v>0</v>
      </c>
      <c r="E55" s="159" t="e">
        <f ca="1">OFFSET(INDIRECT(CELL("address",INDEX('Generator-Storage Assignment'!$B$2:$B$107,MATCH(A55,'Generator-Storage Assignment'!$B$2:$B$107,0),1))),0,-1)</f>
        <v>#N/A</v>
      </c>
      <c r="F55" s="159">
        <f ca="1">IFERROR(VLOOKUP(E55,'Unique Generator Properties'!$A$2:$B$107,2,FALSE),100)</f>
        <v>100</v>
      </c>
    </row>
    <row r="56" spans="1:6" x14ac:dyDescent="0.35">
      <c r="A56" s="152" t="s">
        <v>2339</v>
      </c>
      <c r="B56" s="124">
        <f>IFERROR(VLOOKUP(A56,Generators!$AG$2:$BB$131,5,FALSE),"")</f>
        <v>314</v>
      </c>
      <c r="C56" s="124">
        <f>IFERROR(VLOOKUP(A56,Generators!$AG$2:$BB$131,18,FALSE),"")</f>
        <v>0</v>
      </c>
      <c r="E56" s="159" t="e">
        <f ca="1">OFFSET(INDIRECT(CELL("address",INDEX('Generator-Storage Assignment'!$B$2:$B$107,MATCH(A56,'Generator-Storage Assignment'!$B$2:$B$107,0),1))),0,-1)</f>
        <v>#N/A</v>
      </c>
      <c r="F56" s="159">
        <f ca="1">IFERROR(VLOOKUP(E56,'Unique Generator Properties'!$A$2:$B$107,2,FALSE),100)</f>
        <v>100</v>
      </c>
    </row>
    <row r="57" spans="1:6" x14ac:dyDescent="0.35">
      <c r="A57" s="152" t="s">
        <v>2716</v>
      </c>
      <c r="B57" s="124">
        <f>IFERROR(VLOOKUP(A57,Generators!$AG$2:$BB$131,5,FALSE),"")</f>
        <v>28</v>
      </c>
      <c r="C57" s="124">
        <f>IFERROR(VLOOKUP(A57,Generators!$AG$2:$BB$131,18,FALSE),"")</f>
        <v>0</v>
      </c>
      <c r="E57" s="159" t="e">
        <f ca="1">OFFSET(INDIRECT(CELL("address",INDEX('Generator-Storage Assignment'!$B$2:$B$107,MATCH(A57,'Generator-Storage Assignment'!$B$2:$B$107,0),1))),0,-1)</f>
        <v>#N/A</v>
      </c>
      <c r="F57" s="159">
        <f ca="1">IFERROR(VLOOKUP(E57,'Unique Generator Properties'!$A$2:$B$107,2,FALSE),100)</f>
        <v>100</v>
      </c>
    </row>
    <row r="58" spans="1:6" x14ac:dyDescent="0.35">
      <c r="A58" s="148" t="str">
        <f>'Unique Storage Objects'!A58</f>
        <v>Oberbecken Waldeck II</v>
      </c>
      <c r="B58" s="124">
        <f>IFERROR(VLOOKUP(A58,Generators!$AG$2:$BB$131,5,FALSE),"")</f>
        <v>4.4000000000000004</v>
      </c>
      <c r="C58" s="124">
        <f>IFERROR(VLOOKUP(A58,Generators!$AG$2:$BB$131,18,FALSE),"")</f>
        <v>0</v>
      </c>
      <c r="E58" s="159" t="str">
        <f ca="1">OFFSET(INDIRECT(CELL("address",INDEX('Generator-Storage Assignment'!$B$2:$B$107,MATCH(A58,'Generator-Storage Assignment'!$B$2:$B$107,0),1))),0,-1)</f>
        <v>Waldeck II</v>
      </c>
      <c r="F58" s="159">
        <f ca="1">IFERROR(VLOOKUP(E58,'Unique Generator Properties'!$A$2:$B$107,2,FALSE),100)</f>
        <v>2</v>
      </c>
    </row>
    <row r="59" spans="1:6" x14ac:dyDescent="0.35">
      <c r="A59" s="148" t="str">
        <f>'Unique Storage Objects'!A59</f>
        <v>Cedillo</v>
      </c>
      <c r="B59" s="124">
        <f>IFERROR(VLOOKUP(A59,Generators!$AG$2:$BB$131,5,FALSE),"")</f>
        <v>260</v>
      </c>
      <c r="C59" s="124">
        <f>IFERROR(VLOOKUP(A59,Generators!$AG$2:$BB$131,18,FALSE),"")</f>
        <v>0</v>
      </c>
      <c r="E59" s="159" t="str">
        <f ca="1">OFFSET(INDIRECT(CELL("address",INDEX('Generator-Storage Assignment'!$B$2:$B$107,MATCH(A59,'Generator-Storage Assignment'!$B$2:$B$107,0),1))),0,-1)</f>
        <v>Cedillo</v>
      </c>
      <c r="F59" s="159">
        <f ca="1">IFERROR(VLOOKUP(E59,'Unique Generator Properties'!$A$2:$B$107,2,FALSE),100)</f>
        <v>0</v>
      </c>
    </row>
    <row r="60" spans="1:6" x14ac:dyDescent="0.35">
      <c r="A60" s="148" t="str">
        <f>'Unique Storage Objects'!A60</f>
        <v>Porjus</v>
      </c>
      <c r="B60" s="124">
        <f>IFERROR(VLOOKUP(A60,Generators!$AG$2:$BB$131,5,FALSE),"")</f>
        <v>610</v>
      </c>
      <c r="C60" s="124">
        <f>IFERROR(VLOOKUP(A60,Generators!$AG$2:$BB$131,18,FALSE),"")</f>
        <v>0</v>
      </c>
      <c r="E60" s="159" t="str">
        <f ca="1">OFFSET(INDIRECT(CELL("address",INDEX('Generator-Storage Assignment'!$B$2:$B$107,MATCH(A60,'Generator-Storage Assignment'!$B$2:$B$107,0),1))),0,-1)</f>
        <v>Porjus</v>
      </c>
      <c r="F60" s="159">
        <f ca="1">IFERROR(VLOOKUP(E60,'Unique Generator Properties'!$A$2:$B$107,2,FALSE),100)</f>
        <v>0</v>
      </c>
    </row>
    <row r="61" spans="1:6" x14ac:dyDescent="0.35">
      <c r="A61" s="148" t="str">
        <f>'Unique Storage Objects'!A61</f>
        <v>Longefan</v>
      </c>
      <c r="B61" s="124">
        <f>IFERROR(VLOOKUP(A61,Generators!$AG$2:$BB$131,5,FALSE),"")</f>
        <v>1.7</v>
      </c>
      <c r="C61" s="124">
        <f>IFERROR(VLOOKUP(A61,Generators!$AG$2:$BB$131,18,FALSE),"")</f>
        <v>0</v>
      </c>
      <c r="E61" s="159" t="e">
        <f ca="1">OFFSET(INDIRECT(CELL("address",INDEX('Generator-Storage Assignment'!$B$2:$B$107,MATCH(A61,'Generator-Storage Assignment'!$B$2:$B$107,0),1))),0,-1)</f>
        <v>#N/A</v>
      </c>
      <c r="F61" s="159">
        <f ca="1">IFERROR(VLOOKUP(E61,'Unique Generator Properties'!$A$2:$B$107,2,FALSE),100)</f>
        <v>100</v>
      </c>
    </row>
    <row r="62" spans="1:6" x14ac:dyDescent="0.35">
      <c r="A62" s="148" t="str">
        <f>'Unique Storage Objects'!A62</f>
        <v>Messaure dam</v>
      </c>
      <c r="B62" s="124">
        <f>IFERROR(VLOOKUP(A62,Generators!$AG$2:$BB$131,5,FALSE),"")</f>
        <v>54</v>
      </c>
      <c r="C62" s="124">
        <f>IFERROR(VLOOKUP(A62,Generators!$AG$2:$BB$131,18,FALSE),"")</f>
        <v>0</v>
      </c>
      <c r="E62" s="159" t="str">
        <f ca="1">OFFSET(INDIRECT(CELL("address",INDEX('Generator-Storage Assignment'!$B$2:$B$107,MATCH(A62,'Generator-Storage Assignment'!$B$2:$B$107,0),1))),0,-1)</f>
        <v>Messaure</v>
      </c>
      <c r="F62" s="159">
        <f ca="1">IFERROR(VLOOKUP(E62,'Unique Generator Properties'!$A$2:$B$107,2,FALSE),100)</f>
        <v>0</v>
      </c>
    </row>
    <row r="63" spans="1:6" x14ac:dyDescent="0.35">
      <c r="A63" s="148" t="str">
        <f>'Unique Storage Objects'!A63</f>
        <v>Flumet</v>
      </c>
      <c r="B63" s="124">
        <f>IFERROR(VLOOKUP(A63,Generators!$AG$2:$BB$131,5,FALSE),"")</f>
        <v>4.7</v>
      </c>
      <c r="C63" s="124">
        <f>IFERROR(VLOOKUP(A63,Generators!$AG$2:$BB$131,18,FALSE),"")</f>
        <v>0</v>
      </c>
      <c r="E63" s="159" t="str">
        <f ca="1">OFFSET(INDIRECT(CELL("address",INDEX('Generator-Storage Assignment'!$B$2:$B$107,MATCH(A63,'Generator-Storage Assignment'!$B$2:$B$107,0),1))),0,-1)</f>
        <v>Cheylas</v>
      </c>
      <c r="F63" s="159">
        <f ca="1">IFERROR(VLOOKUP(E63,'Unique Generator Properties'!$A$2:$B$107,2,FALSE),100)</f>
        <v>2</v>
      </c>
    </row>
    <row r="64" spans="1:6" x14ac:dyDescent="0.35">
      <c r="A64" s="148" t="str">
        <f>'Unique Storage Objects'!A64</f>
        <v>Letsi</v>
      </c>
      <c r="B64" s="124">
        <f>IFERROR(VLOOKUP(A64,Generators!$AG$2:$BB$131,5,FALSE),"")</f>
        <v>68</v>
      </c>
      <c r="C64" s="124">
        <f>IFERROR(VLOOKUP(A64,Generators!$AG$2:$BB$131,18,FALSE),"")</f>
        <v>0</v>
      </c>
      <c r="E64" s="159" t="str">
        <f ca="1">OFFSET(INDIRECT(CELL("address",INDEX('Generator-Storage Assignment'!$B$2:$B$107,MATCH(A64,'Generator-Storage Assignment'!$B$2:$B$107,0),1))),0,-1)</f>
        <v>Letsi</v>
      </c>
      <c r="F64" s="159">
        <f ca="1">IFERROR(VLOOKUP(E64,'Unique Generator Properties'!$A$2:$B$107,2,FALSE),100)</f>
        <v>0</v>
      </c>
    </row>
    <row r="65" spans="1:6" x14ac:dyDescent="0.35">
      <c r="A65" s="148" t="str">
        <f>'Unique Storage Objects'!A65</f>
        <v>Dalesice</v>
      </c>
      <c r="B65" s="124">
        <f>IFERROR(VLOOKUP(A65,Generators!$AG$2:$BB$131,5,FALSE),"")</f>
        <v>127.3</v>
      </c>
      <c r="C65" s="124">
        <f>IFERROR(VLOOKUP(A65,Generators!$AG$2:$BB$131,18,FALSE),"")</f>
        <v>0</v>
      </c>
      <c r="E65" s="159" t="str">
        <f ca="1">OFFSET(INDIRECT(CELL("address",INDEX('Generator-Storage Assignment'!$B$2:$B$107,MATCH(A65,'Generator-Storage Assignment'!$B$2:$B$107,0),1))),0,-1)</f>
        <v>Dalesice</v>
      </c>
      <c r="F65" s="159">
        <f ca="1">IFERROR(VLOOKUP(E65,'Unique Generator Properties'!$A$2:$B$107,2,FALSE),100)</f>
        <v>4</v>
      </c>
    </row>
    <row r="66" spans="1:6" x14ac:dyDescent="0.35">
      <c r="A66" s="148" t="str">
        <f>'Unique Storage Objects'!A66</f>
        <v>Provvidenza</v>
      </c>
      <c r="B66" s="124">
        <f>IFERROR(VLOOKUP(A66,Generators!$AG$2:$BB$131,5,FALSE),"")</f>
        <v>1.69</v>
      </c>
      <c r="C66" s="124">
        <f>IFERROR(VLOOKUP(A66,Generators!$AG$2:$BB$131,18,FALSE),"")</f>
        <v>0</v>
      </c>
      <c r="E66" s="159" t="str">
        <f ca="1">OFFSET(INDIRECT(CELL("address",INDEX('Generator-Storage Assignment'!$B$2:$B$107,MATCH(A66,'Generator-Storage Assignment'!$B$2:$B$107,0),1))),0,-1)</f>
        <v>San Giacomo</v>
      </c>
      <c r="F66" s="159">
        <f ca="1">IFERROR(VLOOKUP(E66,'Unique Generator Properties'!$A$2:$B$107,2,FALSE),100)</f>
        <v>6</v>
      </c>
    </row>
    <row r="67" spans="1:6" x14ac:dyDescent="0.35">
      <c r="A67" s="148" t="str">
        <f>'Unique Storage Objects'!A67</f>
        <v>Gento</v>
      </c>
      <c r="B67" s="124">
        <f>IFERROR(VLOOKUP(A67,Generators!$AG$2:$BB$131,5,FALSE),"")</f>
        <v>3</v>
      </c>
      <c r="C67" s="124">
        <f>IFERROR(VLOOKUP(A67,Generators!$AG$2:$BB$131,18,FALSE),"")</f>
        <v>0</v>
      </c>
      <c r="E67" s="159" t="str">
        <f ca="1">OFFSET(INDIRECT(CELL("address",INDEX('Generator-Storage Assignment'!$B$2:$B$107,MATCH(A67,'Generator-Storage Assignment'!$B$2:$B$107,0),1))),0,-1)</f>
        <v>Gento-Sallente</v>
      </c>
      <c r="F67" s="159">
        <f ca="1">IFERROR(VLOOKUP(E67,'Unique Generator Properties'!$A$2:$B$107,2,FALSE),100)</f>
        <v>4</v>
      </c>
    </row>
    <row r="68" spans="1:6" x14ac:dyDescent="0.35">
      <c r="A68" s="148" t="str">
        <f>'Unique Storage Objects'!A68</f>
        <v>Picote</v>
      </c>
      <c r="B68" s="124">
        <f>IFERROR(VLOOKUP(A68,Generators!$AG$2:$BB$131,5,FALSE),"")</f>
        <v>13.43</v>
      </c>
      <c r="C68" s="124">
        <f>IFERROR(VLOOKUP(A68,Generators!$AG$2:$BB$131,18,FALSE),"")</f>
        <v>0</v>
      </c>
      <c r="E68" s="159" t="str">
        <f ca="1">OFFSET(INDIRECT(CELL("address",INDEX('Generator-Storage Assignment'!$B$2:$B$107,MATCH(A68,'Generator-Storage Assignment'!$B$2:$B$107,0),1))),0,-1)</f>
        <v>Picote I + II</v>
      </c>
      <c r="F68" s="159">
        <f ca="1">IFERROR(VLOOKUP(E68,'Unique Generator Properties'!$A$2:$B$107,2,FALSE),100)</f>
        <v>0</v>
      </c>
    </row>
    <row r="69" spans="1:6" x14ac:dyDescent="0.35">
      <c r="A69" s="148" t="str">
        <f>'Unique Storage Objects'!A69</f>
        <v>Pareloup</v>
      </c>
      <c r="B69" s="124">
        <f>IFERROR(VLOOKUP(A69,Generators!$AG$2:$BB$131,5,FALSE),"")</f>
        <v>167</v>
      </c>
      <c r="C69" s="124">
        <f>IFERROR(VLOOKUP(A69,Generators!$AG$2:$BB$131,18,FALSE),"")</f>
        <v>0</v>
      </c>
      <c r="E69" s="159" t="e">
        <f ca="1">OFFSET(INDIRECT(CELL("address",INDEX('Generator-Storage Assignment'!$B$2:$B$107,MATCH(A69,'Generator-Storage Assignment'!$B$2:$B$107,0),1))),0,-1)</f>
        <v>#N/A</v>
      </c>
      <c r="F69" s="159">
        <f ca="1">IFERROR(VLOOKUP(E69,'Unique Generator Properties'!$A$2:$B$107,2,FALSE),100)</f>
        <v>100</v>
      </c>
    </row>
    <row r="70" spans="1:6" x14ac:dyDescent="0.35">
      <c r="A70" s="148" t="str">
        <f>'Unique Storage Objects'!A70</f>
        <v>Limmern</v>
      </c>
      <c r="B70" s="124">
        <f>IFERROR(VLOOKUP(A70,Generators!$AG$2:$BB$131,5,FALSE),"")</f>
        <v>92</v>
      </c>
      <c r="C70" s="124">
        <f>IFERROR(VLOOKUP(A70,Generators!$AG$2:$BB$131,18,FALSE),"")</f>
        <v>0</v>
      </c>
      <c r="E70" s="159" t="str">
        <f ca="1">OFFSET(INDIRECT(CELL("address",INDEX('Generator-Storage Assignment'!$B$2:$B$107,MATCH(A70,'Generator-Storage Assignment'!$B$2:$B$107,0),1))),0,-1)</f>
        <v>Tierfehd</v>
      </c>
      <c r="F70" s="159">
        <f ca="1">IFERROR(VLOOKUP(E70,'Unique Generator Properties'!$A$2:$B$107,2,FALSE),100)</f>
        <v>6</v>
      </c>
    </row>
    <row r="71" spans="1:6" x14ac:dyDescent="0.35">
      <c r="A71" s="148" t="str">
        <f>'Unique Storage Objects'!A71</f>
        <v>Villefranche-de-Panat</v>
      </c>
      <c r="B71" s="124">
        <f>IFERROR(VLOOKUP(A71,Generators!$AG$2:$BB$131,5,FALSE),"")</f>
        <v>10.9</v>
      </c>
      <c r="C71" s="124">
        <f>IFERROR(VLOOKUP(A71,Generators!$AG$2:$BB$131,18,FALSE),"")</f>
        <v>0</v>
      </c>
      <c r="E71" s="159" t="str">
        <f ca="1">OFFSET(INDIRECT(CELL("address",INDEX('Generator-Storage Assignment'!$B$2:$B$107,MATCH(A71,'Generator-Storage Assignment'!$B$2:$B$107,0),1))),0,-1)</f>
        <v>Pouget</v>
      </c>
      <c r="F71" s="159">
        <f ca="1">IFERROR(VLOOKUP(E71,'Unique Generator Properties'!$A$2:$B$107,2,FALSE),100)</f>
        <v>1</v>
      </c>
    </row>
    <row r="72" spans="1:6" x14ac:dyDescent="0.35">
      <c r="A72" s="148" t="str">
        <f>'Unique Storage Objects'!A72</f>
        <v>Kremasta</v>
      </c>
      <c r="B72" s="124">
        <f>IFERROR(VLOOKUP(A72,Generators!$AG$2:$BB$131,5,FALSE),"")</f>
        <v>4750</v>
      </c>
      <c r="C72" s="124">
        <f>IFERROR(VLOOKUP(A72,Generators!$AG$2:$BB$131,18,FALSE),"")</f>
        <v>0</v>
      </c>
      <c r="E72" s="159" t="str">
        <f ca="1">OFFSET(INDIRECT(CELL("address",INDEX('Generator-Storage Assignment'!$B$2:$B$107,MATCH(A72,'Generator-Storage Assignment'!$B$2:$B$107,0),1))),0,-1)</f>
        <v>Kremasta</v>
      </c>
      <c r="F72" s="159">
        <f ca="1">IFERROR(VLOOKUP(E72,'Unique Generator Properties'!$A$2:$B$107,2,FALSE),100)</f>
        <v>0</v>
      </c>
    </row>
    <row r="73" spans="1:6" x14ac:dyDescent="0.35">
      <c r="A73" s="148" t="str">
        <f>'Unique Storage Objects'!A73</f>
        <v>Vinjevatn</v>
      </c>
      <c r="B73" s="124">
        <f>IFERROR(VLOOKUP(A73,Generators!$AG$2:$BB$131,5,FALSE),"")</f>
        <v>11.2</v>
      </c>
      <c r="C73" s="124">
        <f>IFERROR(VLOOKUP(A73,Generators!$AG$2:$BB$131,18,FALSE),"")</f>
        <v>0</v>
      </c>
      <c r="E73" s="159" t="str">
        <f ca="1">OFFSET(INDIRECT(CELL("address",INDEX('Generator-Storage Assignment'!$B$2:$B$107,MATCH(A73,'Generator-Storage Assignment'!$B$2:$B$107,0),1))),0,-1)</f>
        <v>Tokke</v>
      </c>
      <c r="F73" s="159">
        <f ca="1">IFERROR(VLOOKUP(E73,'Unique Generator Properties'!$A$2:$B$107,2,FALSE),100)</f>
        <v>0</v>
      </c>
    </row>
    <row r="74" spans="1:6" x14ac:dyDescent="0.35">
      <c r="A74" s="148" t="str">
        <f>'Unique Storage Objects'!A74</f>
        <v>Bemposta</v>
      </c>
      <c r="B74" s="124">
        <f>IFERROR(VLOOKUP(A74,Generators!$AG$2:$BB$131,5,FALSE),"")</f>
        <v>14.43</v>
      </c>
      <c r="C74" s="124">
        <f>IFERROR(VLOOKUP(A74,Generators!$AG$2:$BB$131,18,FALSE),"")</f>
        <v>0</v>
      </c>
      <c r="E74" s="159" t="str">
        <f ca="1">OFFSET(INDIRECT(CELL("address",INDEX('Generator-Storage Assignment'!$B$2:$B$107,MATCH(A74,'Generator-Storage Assignment'!$B$2:$B$107,0),1))),0,-1)</f>
        <v>Bemposta</v>
      </c>
      <c r="F74" s="159">
        <f ca="1">IFERROR(VLOOKUP(E74,'Unique Generator Properties'!$A$2:$B$107,2,FALSE),100)</f>
        <v>0</v>
      </c>
    </row>
    <row r="75" spans="1:6" x14ac:dyDescent="0.35">
      <c r="A75" s="148" t="str">
        <f>'Unique Storage Objects'!A75</f>
        <v>Val Grosina</v>
      </c>
      <c r="B75" s="124">
        <f>IFERROR(VLOOKUP(A75,Generators!$AG$2:$BB$131,5,FALSE),"")</f>
        <v>1.2</v>
      </c>
      <c r="C75" s="124">
        <f>IFERROR(VLOOKUP(A75,Generators!$AG$2:$BB$131,18,FALSE),"")</f>
        <v>0</v>
      </c>
      <c r="E75" s="159" t="str">
        <f ca="1">OFFSET(INDIRECT(CELL("address",INDEX('Generator-Storage Assignment'!$B$2:$B$107,MATCH(A75,'Generator-Storage Assignment'!$B$2:$B$107,0),1))),0,-1)</f>
        <v>Grosio</v>
      </c>
      <c r="F75" s="159">
        <f ca="1">IFERROR(VLOOKUP(E75,'Unique Generator Properties'!$A$2:$B$107,2,FALSE),100)</f>
        <v>0</v>
      </c>
    </row>
    <row r="76" spans="1:6" x14ac:dyDescent="0.35">
      <c r="A76" s="148" t="str">
        <f>'Unique Storage Objects'!A76</f>
        <v>Genissiat</v>
      </c>
      <c r="B76" s="124">
        <f>IFERROR(VLOOKUP(A76,Generators!$AG$2:$BB$131,5,FALSE),"")</f>
        <v>56</v>
      </c>
      <c r="C76" s="124">
        <f>IFERROR(VLOOKUP(A76,Generators!$AG$2:$BB$131,18,FALSE),"")</f>
        <v>0</v>
      </c>
      <c r="E76" s="159" t="str">
        <f ca="1">OFFSET(INDIRECT(CELL("address",INDEX('Generator-Storage Assignment'!$B$2:$B$107,MATCH(A76,'Generator-Storage Assignment'!$B$2:$B$107,0),1))),0,-1)</f>
        <v>Genissiat</v>
      </c>
      <c r="F76" s="159">
        <f ca="1">IFERROR(VLOOKUP(E76,'Unique Generator Properties'!$A$2:$B$107,2,FALSE),100)</f>
        <v>0</v>
      </c>
    </row>
    <row r="77" spans="1:6" x14ac:dyDescent="0.35">
      <c r="A77" s="148" t="str">
        <f>'Unique Storage Objects'!A77</f>
        <v>Riga</v>
      </c>
      <c r="B77" s="124">
        <f>IFERROR(VLOOKUP(A77,Generators!$AG$2:$BB$131,5,FALSE),"")</f>
        <v>340</v>
      </c>
      <c r="C77" s="124">
        <f>IFERROR(VLOOKUP(A77,Generators!$AG$2:$BB$131,18,FALSE),"")</f>
        <v>0</v>
      </c>
      <c r="E77" s="159" t="str">
        <f ca="1">OFFSET(INDIRECT(CELL("address",INDEX('Generator-Storage Assignment'!$B$2:$B$107,MATCH(A77,'Generator-Storage Assignment'!$B$2:$B$107,0),1))),0,-1)</f>
        <v>Riga</v>
      </c>
      <c r="F77" s="159">
        <f ca="1">IFERROR(VLOOKUP(E77,'Unique Generator Properties'!$A$2:$B$107,2,FALSE),100)</f>
        <v>0</v>
      </c>
    </row>
    <row r="78" spans="1:6" x14ac:dyDescent="0.35">
      <c r="A78" s="148" t="str">
        <f>'Unique Storage Objects'!A78</f>
        <v>Cruachan</v>
      </c>
      <c r="B78" s="124">
        <f>IFERROR(VLOOKUP(A78,Generators!$AG$2:$BB$131,5,FALSE),"")</f>
        <v>10</v>
      </c>
      <c r="C78" s="124">
        <f>IFERROR(VLOOKUP(A78,Generators!$AG$2:$BB$131,18,FALSE),"")</f>
        <v>0</v>
      </c>
      <c r="E78" s="159" t="str">
        <f ca="1">OFFSET(INDIRECT(CELL("address",INDEX('Generator-Storage Assignment'!$B$2:$B$107,MATCH(A78,'Generator-Storage Assignment'!$B$2:$B$107,0),1))),0,-1)</f>
        <v>Cruachan</v>
      </c>
      <c r="F78" s="159">
        <f ca="1">IFERROR(VLOOKUP(E78,'Unique Generator Properties'!$A$2:$B$107,2,FALSE),100)</f>
        <v>4</v>
      </c>
    </row>
    <row r="79" spans="1:6" x14ac:dyDescent="0.35">
      <c r="A79" s="148" t="str">
        <f>'Unique Storage Objects'!A79</f>
        <v>Gepatsch</v>
      </c>
      <c r="B79" s="124">
        <f>IFERROR(VLOOKUP(A79,Generators!$AG$2:$BB$131,5,FALSE),"")</f>
        <v>140</v>
      </c>
      <c r="C79" s="124">
        <f>IFERROR(VLOOKUP(A79,Generators!$AG$2:$BB$131,18,FALSE),"")</f>
        <v>0</v>
      </c>
      <c r="E79" s="159" t="str">
        <f ca="1">OFFSET(INDIRECT(CELL("address",INDEX('Generator-Storage Assignment'!$B$2:$B$107,MATCH(A79,'Generator-Storage Assignment'!$B$2:$B$107,0),1))),0,-1)</f>
        <v>Kaunertal</v>
      </c>
      <c r="F79" s="159">
        <f ca="1">IFERROR(VLOOKUP(E79,'Unique Generator Properties'!$A$2:$B$107,2,FALSE),100)</f>
        <v>0</v>
      </c>
    </row>
    <row r="80" spans="1:6" x14ac:dyDescent="0.35">
      <c r="A80" s="148" t="str">
        <f>'Unique Storage Objects'!A80</f>
        <v>Thissavros</v>
      </c>
      <c r="B80" s="124">
        <f>IFERROR(VLOOKUP(A80,Generators!$AG$2:$BB$131,5,FALSE),"")</f>
        <v>565</v>
      </c>
      <c r="C80" s="124">
        <f>IFERROR(VLOOKUP(A80,Generators!$AG$2:$BB$131,18,FALSE),"")</f>
        <v>0</v>
      </c>
      <c r="E80" s="159" t="str">
        <f ca="1">OFFSET(INDIRECT(CELL("address",INDEX('Generator-Storage Assignment'!$B$2:$B$107,MATCH(A80,'Generator-Storage Assignment'!$B$2:$B$107,0),1))),0,-1)</f>
        <v>Thisavros</v>
      </c>
      <c r="F80" s="159">
        <f ca="1">IFERROR(VLOOKUP(E80,'Unique Generator Properties'!$A$2:$B$107,2,FALSE),100)</f>
        <v>3</v>
      </c>
    </row>
    <row r="81" spans="1:6" x14ac:dyDescent="0.35">
      <c r="A81" s="148" t="str">
        <f>'Unique Storage Objects'!A81</f>
        <v>Serre-Poncon</v>
      </c>
      <c r="B81" s="124">
        <f>IFERROR(VLOOKUP(A81,Generators!$AG$2:$BB$131,5,FALSE),"")</f>
        <v>1270</v>
      </c>
      <c r="C81" s="124">
        <f>IFERROR(VLOOKUP(A81,Generators!$AG$2:$BB$131,18,FALSE),"")</f>
        <v>0</v>
      </c>
      <c r="E81" s="159" t="str">
        <f ca="1">OFFSET(INDIRECT(CELL("address",INDEX('Generator-Storage Assignment'!$B$2:$B$107,MATCH(A81,'Generator-Storage Assignment'!$B$2:$B$107,0),1))),0,-1)</f>
        <v>Serre-Poncon</v>
      </c>
      <c r="F81" s="159">
        <f ca="1">IFERROR(VLOOKUP(E81,'Unique Generator Properties'!$A$2:$B$107,2,FALSE),100)</f>
        <v>0</v>
      </c>
    </row>
    <row r="82" spans="1:6" x14ac:dyDescent="0.35">
      <c r="A82" s="148" t="str">
        <f>'Unique Storage Objects'!A82</f>
        <v>Tyin</v>
      </c>
      <c r="B82" s="124">
        <f>IFERROR(VLOOKUP(A82,Generators!$AG$2:$BB$131,5,FALSE),"")</f>
        <v>313</v>
      </c>
      <c r="C82" s="124">
        <f>IFERROR(VLOOKUP(A82,Generators!$AG$2:$BB$131,18,FALSE),"")</f>
        <v>0</v>
      </c>
      <c r="E82" s="159" t="str">
        <f ca="1">OFFSET(INDIRECT(CELL("address",INDEX('Generator-Storage Assignment'!$B$2:$B$107,MATCH(A82,'Generator-Storage Assignment'!$B$2:$B$107,0),1))),0,-1)</f>
        <v>Tyin</v>
      </c>
      <c r="F82" s="159">
        <f ca="1">IFERROR(VLOOKUP(E82,'Unique Generator Properties'!$A$2:$B$107,2,FALSE),100)</f>
        <v>0</v>
      </c>
    </row>
    <row r="83" spans="1:6" x14ac:dyDescent="0.35">
      <c r="A83" s="148" t="str">
        <f>'Unique Storage Objects'!A83</f>
        <v>Tajo de la Encantada upper</v>
      </c>
      <c r="B83" s="124">
        <f>IFERROR(VLOOKUP(A83,Generators!$AG$2:$BB$131,5,FALSE),"")</f>
        <v>4</v>
      </c>
      <c r="C83" s="124">
        <f>IFERROR(VLOOKUP(A83,Generators!$AG$2:$BB$131,18,FALSE),"")</f>
        <v>0</v>
      </c>
      <c r="E83" s="159" t="str">
        <f ca="1">OFFSET(INDIRECT(CELL("address",INDEX('Generator-Storage Assignment'!$B$2:$B$107,MATCH(A83,'Generator-Storage Assignment'!$B$2:$B$107,0),1))),0,-1)</f>
        <v>Tajo De la Encantada (El Chorro)</v>
      </c>
      <c r="F83" s="159">
        <f ca="1">IFERROR(VLOOKUP(E83,'Unique Generator Properties'!$A$2:$B$107,2,FALSE),100)</f>
        <v>4</v>
      </c>
    </row>
    <row r="84" spans="1:6" x14ac:dyDescent="0.35">
      <c r="A84" s="148" t="str">
        <f>'Unique Storage Objects'!A84</f>
        <v>Miranda</v>
      </c>
      <c r="B84" s="124">
        <f>IFERROR(VLOOKUP(A84,Generators!$AG$2:$BB$131,5,FALSE),"")</f>
        <v>6.66</v>
      </c>
      <c r="C84" s="124">
        <f>IFERROR(VLOOKUP(A84,Generators!$AG$2:$BB$131,18,FALSE),"")</f>
        <v>0</v>
      </c>
      <c r="E84" s="159" t="str">
        <f ca="1">OFFSET(INDIRECT(CELL("address",INDEX('Generator-Storage Assignment'!$B$2:$B$107,MATCH(A84,'Generator-Storage Assignment'!$B$2:$B$107,0),1))),0,-1)</f>
        <v>Miranda</v>
      </c>
      <c r="F84" s="159">
        <f ca="1">IFERROR(VLOOKUP(E84,'Unique Generator Properties'!$A$2:$B$107,2,FALSE),100)</f>
        <v>0</v>
      </c>
    </row>
    <row r="85" spans="1:6" x14ac:dyDescent="0.35">
      <c r="A85" s="148" t="str">
        <f>'Unique Storage Objects'!A85</f>
        <v>Orlik</v>
      </c>
      <c r="B85" s="124">
        <f>IFERROR(VLOOKUP(A85,Generators!$AG$2:$BB$131,5,FALSE),"")</f>
        <v>703.8</v>
      </c>
      <c r="C85" s="124">
        <f>IFERROR(VLOOKUP(A85,Generators!$AG$2:$BB$131,18,FALSE),"")</f>
        <v>0</v>
      </c>
      <c r="E85" s="159" t="str">
        <f ca="1">OFFSET(INDIRECT(CELL("address",INDEX('Generator-Storage Assignment'!$B$2:$B$107,MATCH(A85,'Generator-Storage Assignment'!$B$2:$B$107,0),1))),0,-1)</f>
        <v>Orlik</v>
      </c>
      <c r="F85" s="159">
        <f ca="1">IFERROR(VLOOKUP(E85,'Unique Generator Properties'!$A$2:$B$107,2,FALSE),100)</f>
        <v>0</v>
      </c>
    </row>
    <row r="86" spans="1:6" x14ac:dyDescent="0.35">
      <c r="A86" s="148" t="str">
        <f>'Unique Storage Objects'!A86</f>
        <v>Monteynard</v>
      </c>
      <c r="B86" s="124">
        <f>IFERROR(VLOOKUP(A86,Generators!$AG$2:$BB$131,5,FALSE),"")</f>
        <v>275</v>
      </c>
      <c r="C86" s="124">
        <f>IFERROR(VLOOKUP(A86,Generators!$AG$2:$BB$131,18,FALSE),"")</f>
        <v>0</v>
      </c>
      <c r="E86" s="159" t="str">
        <f ca="1">OFFSET(INDIRECT(CELL("address",INDEX('Generator-Storage Assignment'!$B$2:$B$107,MATCH(A86,'Generator-Storage Assignment'!$B$2:$B$107,0),1))),0,-1)</f>
        <v>Monteynard</v>
      </c>
      <c r="F86" s="159">
        <f ca="1">IFERROR(VLOOKUP(E86,'Unique Generator Properties'!$A$2:$B$107,2,FALSE),100)</f>
        <v>0</v>
      </c>
    </row>
    <row r="87" spans="1:6" x14ac:dyDescent="0.35">
      <c r="A87" s="148" t="str">
        <f>'Unique Storage Objects'!A87</f>
        <v>Zillergruendel</v>
      </c>
      <c r="B87" s="124">
        <f>IFERROR(VLOOKUP(A87,Generators!$AG$2:$BB$131,5,FALSE),"")</f>
        <v>68.7</v>
      </c>
      <c r="C87" s="124">
        <f>IFERROR(VLOOKUP(A87,Generators!$AG$2:$BB$131,18,FALSE),"")</f>
        <v>0</v>
      </c>
      <c r="E87" s="159" t="str">
        <f ca="1">OFFSET(INDIRECT(CELL("address",INDEX('Generator-Storage Assignment'!$B$2:$B$107,MATCH(A87,'Generator-Storage Assignment'!$B$2:$B$107,0),1))),0,-1)</f>
        <v>Hausling</v>
      </c>
      <c r="F87" s="159">
        <f ca="1">IFERROR(VLOOKUP(E87,'Unique Generator Properties'!$A$2:$B$107,2,FALSE),100)</f>
        <v>2</v>
      </c>
    </row>
    <row r="88" spans="1:6" x14ac:dyDescent="0.35">
      <c r="A88" s="148" t="str">
        <f>'Unique Storage Objects'!A88</f>
        <v>Le Mont Cenis</v>
      </c>
      <c r="B88" s="124">
        <f>IFERROR(VLOOKUP(A88,Generators!$AG$2:$BB$131,5,FALSE),"")</f>
        <v>332.2</v>
      </c>
      <c r="C88" s="124">
        <f>IFERROR(VLOOKUP(A88,Generators!$AG$2:$BB$131,18,FALSE),"")</f>
        <v>0</v>
      </c>
      <c r="E88" s="159" t="str">
        <f ca="1">OFFSET(INDIRECT(CELL("address",INDEX('Generator-Storage Assignment'!$B$2:$B$107,MATCH(A88,'Generator-Storage Assignment'!$B$2:$B$107,0),1))),0,-1)</f>
        <v>Villarodin</v>
      </c>
      <c r="F88" s="159">
        <f ca="1">IFERROR(VLOOKUP(E88,'Unique Generator Properties'!$A$2:$B$107,2,FALSE),100)</f>
        <v>0</v>
      </c>
    </row>
    <row r="89" spans="1:6" x14ac:dyDescent="0.35">
      <c r="A89" s="148" t="str">
        <f>'Unique Storage Objects'!A89</f>
        <v>Eggbergbecken</v>
      </c>
      <c r="B89" s="124">
        <f>IFERROR(VLOOKUP(A89,Generators!$AG$2:$BB$131,5,FALSE),"")</f>
        <v>2.1</v>
      </c>
      <c r="C89" s="124">
        <f>IFERROR(VLOOKUP(A89,Generators!$AG$2:$BB$131,18,FALSE),"")</f>
        <v>0</v>
      </c>
      <c r="E89" s="159" t="str">
        <f ca="1">OFFSET(INDIRECT(CELL("address",INDEX('Generator-Storage Assignment'!$B$2:$B$107,MATCH(A89,'Generator-Storage Assignment'!$B$2:$B$107,0),1))),0,-1)</f>
        <v>Sackingen</v>
      </c>
      <c r="F89" s="159">
        <f ca="1">IFERROR(VLOOKUP(E89,'Unique Generator Properties'!$A$2:$B$107,2,FALSE),100)</f>
        <v>4</v>
      </c>
    </row>
    <row r="90" spans="1:6" x14ac:dyDescent="0.35">
      <c r="A90" s="148" t="str">
        <f>'Unique Storage Objects'!A90</f>
        <v>Stwlan</v>
      </c>
      <c r="B90" s="124">
        <f>IFERROR(VLOOKUP(A90,Generators!$AG$2:$BB$131,5,FALSE),"")</f>
        <v>1.7</v>
      </c>
      <c r="C90" s="124">
        <f>IFERROR(VLOOKUP(A90,Generators!$AG$2:$BB$131,18,FALSE),"")</f>
        <v>0</v>
      </c>
      <c r="E90" s="159" t="str">
        <f ca="1">OFFSET(INDIRECT(CELL("address",INDEX('Generator-Storage Assignment'!$B$2:$B$107,MATCH(A90,'Generator-Storage Assignment'!$B$2:$B$107,0),1))),0,-1)</f>
        <v>Ffestiniog</v>
      </c>
      <c r="F90" s="159">
        <f ca="1">IFERROR(VLOOKUP(E90,'Unique Generator Properties'!$A$2:$B$107,2,FALSE),100)</f>
        <v>4</v>
      </c>
    </row>
    <row r="91" spans="1:6" x14ac:dyDescent="0.35">
      <c r="A91" s="148" t="str">
        <f>'Unique Storage Objects'!A91</f>
        <v>Molveno</v>
      </c>
      <c r="B91" s="124">
        <f>IFERROR(VLOOKUP(A91,Generators!$AG$2:$BB$131,5,FALSE),"")</f>
        <v>32.700000000000003</v>
      </c>
      <c r="C91" s="124">
        <f>IFERROR(VLOOKUP(A91,Generators!$AG$2:$BB$131,18,FALSE),"")</f>
        <v>0</v>
      </c>
      <c r="E91" s="159" t="str">
        <f ca="1">OFFSET(INDIRECT(CELL("address",INDEX('Generator-Storage Assignment'!$B$2:$B$107,MATCH(A91,'Generator-Storage Assignment'!$B$2:$B$107,0),1))),0,-1)</f>
        <v>San Massenza I</v>
      </c>
      <c r="F91" s="159">
        <f ca="1">IFERROR(VLOOKUP(E91,'Unique Generator Properties'!$A$2:$B$107,2,FALSE),100)</f>
        <v>2</v>
      </c>
    </row>
    <row r="92" spans="1:6" x14ac:dyDescent="0.35">
      <c r="A92" s="148" t="str">
        <f>'Unique Storage Objects'!A92</f>
        <v>Canal Donzere-Mondragon</v>
      </c>
      <c r="B92" s="124">
        <f>IFERROR(VLOOKUP(A92,Generators!$AG$2:$BB$131,5,FALSE),"")</f>
        <v>0.2</v>
      </c>
      <c r="C92" s="124">
        <f>IFERROR(VLOOKUP(A92,Generators!$AG$2:$BB$131,18,FALSE),"")</f>
        <v>0</v>
      </c>
      <c r="E92" s="159" t="str">
        <f ca="1">OFFSET(INDIRECT(CELL("address",INDEX('Generator-Storage Assignment'!$B$2:$B$107,MATCH(A92,'Generator-Storage Assignment'!$B$2:$B$107,0),1))),0,-1)</f>
        <v>Conzere-Mondragon (Bollene)</v>
      </c>
      <c r="F92" s="159">
        <f ca="1">IFERROR(VLOOKUP(E92,'Unique Generator Properties'!$A$2:$B$107,2,FALSE),100)</f>
        <v>0</v>
      </c>
    </row>
    <row r="93" spans="1:6" x14ac:dyDescent="0.35">
      <c r="A93" s="148" t="str">
        <f>'Unique Storage Objects'!A93</f>
        <v>Oberaar</v>
      </c>
      <c r="B93" s="124">
        <f>IFERROR(VLOOKUP(A93,Generators!$AG$2:$BB$131,5,FALSE),"")</f>
        <v>61</v>
      </c>
      <c r="C93" s="124">
        <f>IFERROR(VLOOKUP(A93,Generators!$AG$2:$BB$131,18,FALSE),"")</f>
        <v>0</v>
      </c>
      <c r="E93" s="159" t="str">
        <f ca="1">OFFSET(INDIRECT(CELL("address",INDEX('Generator-Storage Assignment'!$B$2:$B$107,MATCH(A93,'Generator-Storage Assignment'!$B$2:$B$107,0),1))),0,-1)</f>
        <v>Grimsel 2</v>
      </c>
      <c r="F93" s="159">
        <f ca="1">IFERROR(VLOOKUP(E93,'Unique Generator Properties'!$A$2:$B$107,2,FALSE),100)</f>
        <v>4</v>
      </c>
    </row>
    <row r="94" spans="1:6" x14ac:dyDescent="0.35">
      <c r="A94" s="148" t="str">
        <f>'Unique Storage Objects'!A94</f>
        <v>Gibidum</v>
      </c>
      <c r="B94" s="124">
        <f>IFERROR(VLOOKUP(A94,Generators!$AG$2:$BB$131,5,FALSE),"")</f>
        <v>9.1999999999999993</v>
      </c>
      <c r="C94" s="124">
        <f>IFERROR(VLOOKUP(A94,Generators!$AG$2:$BB$131,18,FALSE),"")</f>
        <v>0</v>
      </c>
      <c r="E94" s="159" t="str">
        <f ca="1">OFFSET(INDIRECT(CELL("address",INDEX('Generator-Storage Assignment'!$B$2:$B$107,MATCH(A94,'Generator-Storage Assignment'!$B$2:$B$107,0),1))),0,-1)</f>
        <v>Bitsch (Biel)</v>
      </c>
      <c r="F94" s="159">
        <f ca="1">IFERROR(VLOOKUP(E94,'Unique Generator Properties'!$A$2:$B$107,2,FALSE),100)</f>
        <v>0</v>
      </c>
    </row>
    <row r="95" spans="1:6" x14ac:dyDescent="0.35">
      <c r="A95" s="148" t="str">
        <f>'Unique Storage Objects'!A95</f>
        <v>Chevril</v>
      </c>
      <c r="B95" s="124">
        <f>IFERROR(VLOOKUP(A95,Generators!$AG$2:$BB$131,5,FALSE),"")</f>
        <v>230</v>
      </c>
      <c r="C95" s="124">
        <f>IFERROR(VLOOKUP(A95,Generators!$AG$2:$BB$131,18,FALSE),"")</f>
        <v>0</v>
      </c>
      <c r="E95" s="159" t="str">
        <f ca="1">OFFSET(INDIRECT(CELL("address",INDEX('Generator-Storage Assignment'!$B$2:$B$107,MATCH(A95,'Generator-Storage Assignment'!$B$2:$B$107,0),1))),0,-1)</f>
        <v>Malgovert</v>
      </c>
      <c r="F95" s="159">
        <f ca="1">IFERROR(VLOOKUP(E95,'Unique Generator Properties'!$A$2:$B$107,2,FALSE),100)</f>
        <v>0</v>
      </c>
    </row>
    <row r="96" spans="1:6" x14ac:dyDescent="0.35">
      <c r="A96" s="148" t="str">
        <f>'Unique Storage Objects'!A96</f>
        <v>Mequinenza</v>
      </c>
      <c r="B96" s="124">
        <f>IFERROR(VLOOKUP(A96,Generators!$AG$2:$BB$131,5,FALSE),"")</f>
        <v>1533.8</v>
      </c>
      <c r="C96" s="124">
        <f>IFERROR(VLOOKUP(A96,Generators!$AG$2:$BB$131,18,FALSE),"")</f>
        <v>0</v>
      </c>
      <c r="E96" s="159" t="str">
        <f ca="1">OFFSET(INDIRECT(CELL("address",INDEX('Generator-Storage Assignment'!$B$2:$B$107,MATCH(A96,'Generator-Storage Assignment'!$B$2:$B$107,0),1))),0,-1)</f>
        <v>Mequinenza</v>
      </c>
      <c r="F96" s="159">
        <f ca="1">IFERROR(VLOOKUP(E96,'Unique Generator Properties'!$A$2:$B$107,2,FALSE),100)</f>
        <v>0</v>
      </c>
    </row>
    <row r="97" spans="1:6" x14ac:dyDescent="0.35">
      <c r="A97" s="148" t="str">
        <f>'Unique Storage Objects'!A97</f>
        <v>Iron Gate 2</v>
      </c>
      <c r="B97" s="124">
        <f>IFERROR(VLOOKUP(A97,Generators!$AG$2:$BB$131,5,FALSE),"")</f>
        <v>868</v>
      </c>
      <c r="C97" s="124">
        <f>IFERROR(VLOOKUP(A97,Generators!$AG$2:$BB$131,18,FALSE),"")</f>
        <v>0</v>
      </c>
      <c r="E97" s="159" t="e">
        <f ca="1">OFFSET(INDIRECT(CELL("address",INDEX('Generator-Storage Assignment'!$B$2:$B$107,MATCH(A97,'Generator-Storage Assignment'!$B$2:$B$107,0),1))),0,-1)</f>
        <v>#N/A</v>
      </c>
      <c r="F97" s="159">
        <f ca="1">IFERROR(VLOOKUP(E97,'Unique Generator Properties'!$A$2:$B$107,2,FALSE),100)</f>
        <v>100</v>
      </c>
    </row>
    <row r="98" spans="1:6" x14ac:dyDescent="0.35">
      <c r="A98" s="148" t="str">
        <f>'Unique Storage Objects'!A98</f>
        <v>Totak</v>
      </c>
      <c r="B98" s="124">
        <f>IFERROR(VLOOKUP(A98,Generators!$AG$2:$BB$131,5,FALSE),"")</f>
        <v>2360</v>
      </c>
      <c r="C98" s="124">
        <f>IFERROR(VLOOKUP(A98,Generators!$AG$2:$BB$131,18,FALSE),"")</f>
        <v>0</v>
      </c>
      <c r="E98" s="159" t="str">
        <f ca="1">OFFSET(INDIRECT(CELL("address",INDEX('Generator-Storage Assignment'!$B$2:$B$107,MATCH(A98,'Generator-Storage Assignment'!$B$2:$B$107,0),1))),0,-1)</f>
        <v>Vinje</v>
      </c>
      <c r="F98" s="159">
        <f ca="1">IFERROR(VLOOKUP(E98,'Unique Generator Properties'!$A$2:$B$107,2,FALSE),100)</f>
        <v>0</v>
      </c>
    </row>
    <row r="99" spans="1:6" x14ac:dyDescent="0.35">
      <c r="A99" s="148" t="str">
        <f>'Unique Storage Objects'!A99</f>
        <v>Imnas</v>
      </c>
      <c r="B99" s="124">
        <f>IFERROR(VLOOKUP(A99,Generators!$AG$2:$BB$131,5,FALSE),"")</f>
        <v>0</v>
      </c>
      <c r="C99" s="124">
        <f>IFERROR(VLOOKUP(A99,Generators!$AG$2:$BB$131,18,FALSE),"")</f>
        <v>0</v>
      </c>
      <c r="E99" s="159" t="str">
        <f ca="1">OFFSET(INDIRECT(CELL("address",INDEX('Generator-Storage Assignment'!$B$2:$B$107,MATCH(A99,'Generator-Storage Assignment'!$B$2:$B$107,0),1))),0,-1)</f>
        <v>Kilforsen</v>
      </c>
      <c r="F99" s="159">
        <f ca="1">IFERROR(VLOOKUP(E99,'Unique Generator Properties'!$A$2:$B$107,2,FALSE),100)</f>
        <v>0</v>
      </c>
    </row>
    <row r="100" spans="1:6" x14ac:dyDescent="0.35">
      <c r="A100" s="148" t="str">
        <f>'Unique Storage Objects'!A100</f>
        <v>Finstertal</v>
      </c>
      <c r="B100" s="124">
        <f>IFERROR(VLOOKUP(A100,Generators!$AG$2:$BB$131,5,FALSE),"")</f>
        <v>60</v>
      </c>
      <c r="C100" s="124">
        <f>IFERROR(VLOOKUP(A100,Generators!$AG$2:$BB$131,18,FALSE),"")</f>
        <v>0</v>
      </c>
      <c r="E100" s="159" t="str">
        <f ca="1">OFFSET(INDIRECT(CELL("address",INDEX('Generator-Storage Assignment'!$B$2:$B$107,MATCH(A100,'Generator-Storage Assignment'!$B$2:$B$107,0),1))),0,-1)</f>
        <v>Kuhtai</v>
      </c>
      <c r="F100" s="159">
        <f ca="1">IFERROR(VLOOKUP(E100,'Unique Generator Properties'!$A$2:$B$107,2,FALSE),100)</f>
        <v>2</v>
      </c>
    </row>
    <row r="101" spans="1:6" x14ac:dyDescent="0.35">
      <c r="A101" s="148" t="str">
        <f>'Unique Storage Objects'!A101</f>
        <v>Nyhellervatn</v>
      </c>
      <c r="B101" s="124">
        <f>IFERROR(VLOOKUP(A101,Generators!$AG$2:$BB$131,5,FALSE),"")</f>
        <v>448</v>
      </c>
      <c r="C101" s="124">
        <f>IFERROR(VLOOKUP(A101,Generators!$AG$2:$BB$131,18,FALSE),"")</f>
        <v>0</v>
      </c>
      <c r="E101" s="159" t="str">
        <f ca="1">OFFSET(INDIRECT(CELL("address",INDEX('Generator-Storage Assignment'!$B$2:$B$107,MATCH(A101,'Generator-Storage Assignment'!$B$2:$B$107,0),1))),0,-1)</f>
        <v>Aurland III</v>
      </c>
      <c r="F101" s="159">
        <f ca="1">IFERROR(VLOOKUP(E101,'Unique Generator Properties'!$A$2:$B$107,2,FALSE),100)</f>
        <v>2</v>
      </c>
    </row>
    <row r="102" spans="1:6" x14ac:dyDescent="0.35">
      <c r="A102" s="148" t="str">
        <f>'Unique Storage Objects'!A102</f>
        <v>Kegums</v>
      </c>
      <c r="B102" s="124">
        <f>IFERROR(VLOOKUP(A102,Generators!$AG$2:$BB$131,5,FALSE),"")</f>
        <v>157</v>
      </c>
      <c r="C102" s="124">
        <f>IFERROR(VLOOKUP(A102,Generators!$AG$2:$BB$131,18,FALSE),"")</f>
        <v>0</v>
      </c>
      <c r="E102" s="159" t="str">
        <f ca="1">OFFSET(INDIRECT(CELL("address",INDEX('Generator-Storage Assignment'!$B$2:$B$107,MATCH(A102,'Generator-Storage Assignment'!$B$2:$B$107,0),1))),0,-1)</f>
        <v>Kegums</v>
      </c>
      <c r="F102" s="159">
        <f ca="1">IFERROR(VLOOKUP(E102,'Unique Generator Properties'!$A$2:$B$107,2,FALSE),100)</f>
        <v>0</v>
      </c>
    </row>
    <row r="103" spans="1:6" x14ac:dyDescent="0.35">
      <c r="A103" s="148" t="str">
        <f>'Unique Storage Objects'!A103</f>
        <v>Raeterichsboden</v>
      </c>
      <c r="B103" s="124">
        <f>IFERROR(VLOOKUP(A103,Generators!$AG$2:$BB$131,5,FALSE),"")</f>
        <v>27</v>
      </c>
      <c r="C103" s="124">
        <f>IFERROR(VLOOKUP(A103,Generators!$AG$2:$BB$131,18,FALSE),"")</f>
        <v>0</v>
      </c>
      <c r="E103" s="159" t="e">
        <f ca="1">OFFSET(INDIRECT(CELL("address",INDEX('Generator-Storage Assignment'!$B$2:$B$107,MATCH(A103,'Generator-Storage Assignment'!$B$2:$B$107,0),1))),0,-1)</f>
        <v>#N/A</v>
      </c>
      <c r="F103" s="159">
        <f ca="1">IFERROR(VLOOKUP(E103,'Unique Generator Properties'!$A$2:$B$107,2,FALSE),100)</f>
        <v>100</v>
      </c>
    </row>
    <row r="104" spans="1:6" x14ac:dyDescent="0.35">
      <c r="A104" s="148" t="str">
        <f>'Unique Storage Objects'!A104</f>
        <v>Grimsel</v>
      </c>
      <c r="B104" s="124">
        <f>IFERROR(VLOOKUP(A104,Generators!$AG$2:$BB$131,5,FALSE),"")</f>
        <v>95</v>
      </c>
      <c r="C104" s="124">
        <f>IFERROR(VLOOKUP(A104,Generators!$AG$2:$BB$131,18,FALSE),"")</f>
        <v>0</v>
      </c>
      <c r="E104" s="159" t="e">
        <f ca="1">OFFSET(INDIRECT(CELL("address",INDEX('Generator-Storage Assignment'!$B$2:$B$107,MATCH(A104,'Generator-Storage Assignment'!$B$2:$B$107,0),1))),0,-1)</f>
        <v>#N/A</v>
      </c>
      <c r="F104" s="159">
        <f ca="1">IFERROR(VLOOKUP(E104,'Unique Generator Properties'!$A$2:$B$107,2,FALSE),100)</f>
        <v>100</v>
      </c>
    </row>
    <row r="105" spans="1:6" x14ac:dyDescent="0.35">
      <c r="A105" s="148" t="str">
        <f>'Unique Storage Objects'!A105</f>
        <v>Ribarroja</v>
      </c>
      <c r="B105" s="124">
        <f>IFERROR(VLOOKUP(A105,Generators!$AG$2:$BB$131,5,FALSE),"")</f>
        <v>206.9</v>
      </c>
      <c r="C105" s="124">
        <f>IFERROR(VLOOKUP(A105,Generators!$AG$2:$BB$131,18,FALSE),"")</f>
        <v>0</v>
      </c>
      <c r="E105" s="159" t="str">
        <f ca="1">OFFSET(INDIRECT(CELL("address",INDEX('Generator-Storage Assignment'!$B$2:$B$107,MATCH(A105,'Generator-Storage Assignment'!$B$2:$B$107,0),1))),0,-1)</f>
        <v>Ribarroja</v>
      </c>
      <c r="F105" s="159">
        <f ca="1">IFERROR(VLOOKUP(E105,'Unique Generator Properties'!$A$2:$B$107,2,FALSE),100)</f>
        <v>0</v>
      </c>
    </row>
    <row r="106" spans="1:6" x14ac:dyDescent="0.35">
      <c r="A106" s="148" t="str">
        <f>'Unique Storage Objects'!A106</f>
        <v>Gelmersee</v>
      </c>
      <c r="B106" s="124">
        <f>IFERROR(VLOOKUP(A106,Generators!$AG$2:$BB$131,5,FALSE),"")</f>
        <v>14</v>
      </c>
      <c r="C106" s="124">
        <f>IFERROR(VLOOKUP(A106,Generators!$AG$2:$BB$131,18,FALSE),"")</f>
        <v>0</v>
      </c>
      <c r="E106" s="159" t="str">
        <f ca="1">OFFSET(INDIRECT(CELL("address",INDEX('Generator-Storage Assignment'!$B$2:$B$107,MATCH(A106,'Generator-Storage Assignment'!$B$2:$B$107,0),1))),0,-1)</f>
        <v>Innertkirchen 1</v>
      </c>
      <c r="F106" s="159">
        <f ca="1">IFERROR(VLOOKUP(E106,'Unique Generator Properties'!$A$2:$B$107,2,FALSE),100)</f>
        <v>0</v>
      </c>
    </row>
    <row r="107" spans="1:6" x14ac:dyDescent="0.35">
      <c r="A107" s="148" t="str">
        <f>'Unique Storage Objects'!A107</f>
        <v>Svartevatn</v>
      </c>
      <c r="B107" s="124">
        <f>IFERROR(VLOOKUP(A107,Generators!$AG$2:$BB$131,5,FALSE),"")</f>
        <v>1400</v>
      </c>
      <c r="C107" s="124">
        <f>IFERROR(VLOOKUP(A107,Generators!$AG$2:$BB$131,18,FALSE),"")</f>
        <v>0</v>
      </c>
      <c r="E107" s="159" t="e">
        <f ca="1">OFFSET(INDIRECT(CELL("address",INDEX('Generator-Storage Assignment'!$B$2:$B$107,MATCH(A107,'Generator-Storage Assignment'!$B$2:$B$107,0),1))),0,-1)</f>
        <v>#N/A</v>
      </c>
      <c r="F107" s="159">
        <f ca="1">IFERROR(VLOOKUP(E107,'Unique Generator Properties'!$A$2:$B$107,2,FALSE),100)</f>
        <v>100</v>
      </c>
    </row>
    <row r="108" spans="1:6" x14ac:dyDescent="0.35">
      <c r="A108" s="148" t="str">
        <f>'Unique Storage Objects'!A108</f>
        <v>Katlavatn</v>
      </c>
      <c r="B108" s="124">
        <f>IFERROR(VLOOKUP(A108,Generators!$AG$2:$BB$131,5,FALSE),"")</f>
        <v>4.2500000000000003E-2</v>
      </c>
      <c r="C108" s="124">
        <f>IFERROR(VLOOKUP(A108,Generators!$AG$2:$BB$131,18,FALSE),"")</f>
        <v>0</v>
      </c>
      <c r="E108" s="159" t="e">
        <f ca="1">OFFSET(INDIRECT(CELL("address",INDEX('Generator-Storage Assignment'!$B$2:$B$107,MATCH(A108,'Generator-Storage Assignment'!$B$2:$B$107,0),1))),0,-1)</f>
        <v>#N/A</v>
      </c>
      <c r="F108" s="159">
        <f ca="1">IFERROR(VLOOKUP(E108,'Unique Generator Properties'!$A$2:$B$107,2,FALSE),100)</f>
        <v>100</v>
      </c>
    </row>
    <row r="109" spans="1:6" x14ac:dyDescent="0.35">
      <c r="A109" s="148" t="str">
        <f>'Unique Storage Objects'!A109</f>
        <v>Bergdalsvatn</v>
      </c>
      <c r="B109" s="124">
        <f>IFERROR(VLOOKUP(A109,Generators!$AG$2:$BB$131,5,FALSE),"")</f>
        <v>0</v>
      </c>
      <c r="C109" s="124">
        <f>IFERROR(VLOOKUP(A109,Generators!$AG$2:$BB$131,18,FALSE),"")</f>
        <v>0</v>
      </c>
      <c r="E109" s="159" t="e">
        <f ca="1">OFFSET(INDIRECT(CELL("address",INDEX('Generator-Storage Assignment'!$B$2:$B$107,MATCH(A109,'Generator-Storage Assignment'!$B$2:$B$107,0),1))),0,-1)</f>
        <v>#N/A</v>
      </c>
      <c r="F109" s="159">
        <f ca="1">IFERROR(VLOOKUP(E109,'Unique Generator Properties'!$A$2:$B$107,2,FALSE),100)</f>
        <v>100</v>
      </c>
    </row>
    <row r="110" spans="1:6" x14ac:dyDescent="0.35">
      <c r="A110" s="148" t="str">
        <f>'Unique Storage Objects'!A110</f>
        <v>Vesterdalstjern</v>
      </c>
      <c r="B110" s="124">
        <f>IFERROR(VLOOKUP(A110,Generators!$AG$2:$BB$131,5,FALSE),"")</f>
        <v>0</v>
      </c>
      <c r="C110" s="124">
        <f>IFERROR(VLOOKUP(A110,Generators!$AG$2:$BB$131,18,FALSE),"")</f>
        <v>0</v>
      </c>
      <c r="E110" s="159" t="e">
        <f ca="1">OFFSET(INDIRECT(CELL("address",INDEX('Generator-Storage Assignment'!$B$2:$B$107,MATCH(A110,'Generator-Storage Assignment'!$B$2:$B$107,0),1))),0,-1)</f>
        <v>#N/A</v>
      </c>
      <c r="F110" s="159">
        <f ca="1">IFERROR(VLOOKUP(E110,'Unique Generator Properties'!$A$2:$B$107,2,FALSE),100)</f>
        <v>100</v>
      </c>
    </row>
    <row r="111" spans="1:6" x14ac:dyDescent="0.35">
      <c r="A111" s="148" t="str">
        <f>'Unique Storage Objects'!A111</f>
        <v>Vetlebotnvatn</v>
      </c>
      <c r="B111" s="124">
        <f>IFERROR(VLOOKUP(A111,Generators!$AG$2:$BB$131,5,FALSE),"")</f>
        <v>10</v>
      </c>
      <c r="C111" s="124">
        <f>IFERROR(VLOOKUP(A111,Generators!$AG$2:$BB$131,18,FALSE),"")</f>
        <v>0</v>
      </c>
      <c r="E111" s="159" t="e">
        <f ca="1">OFFSET(INDIRECT(CELL("address",INDEX('Generator-Storage Assignment'!$B$2:$B$107,MATCH(A111,'Generator-Storage Assignment'!$B$2:$B$107,0),1))),0,-1)</f>
        <v>#N/A</v>
      </c>
      <c r="F111" s="159">
        <f ca="1">IFERROR(VLOOKUP(E111,'Unique Generator Properties'!$A$2:$B$107,2,FALSE),100)</f>
        <v>100</v>
      </c>
    </row>
    <row r="112" spans="1:6" x14ac:dyDescent="0.35">
      <c r="A112" s="148" t="str">
        <f>'Unique Storage Objects'!A112</f>
        <v>Cancano_San Giacomo</v>
      </c>
      <c r="B112" s="124">
        <f>IFERROR(VLOOKUP(A112,Generators!$AG$2:$BB$131,5,FALSE),"")</f>
        <v>187</v>
      </c>
      <c r="C112" s="124">
        <f>IFERROR(VLOOKUP(A112,Generators!$AG$2:$BB$131,18,FALSE),"")</f>
        <v>0</v>
      </c>
      <c r="E112" s="159" t="str">
        <f ca="1">OFFSET(INDIRECT(CELL("address",INDEX('Generator-Storage Assignment'!$B$2:$B$107,MATCH(A112,'Generator-Storage Assignment'!$B$2:$B$107,0),1))),0,-1)</f>
        <v>Premadio</v>
      </c>
      <c r="F112" s="159">
        <f ca="1">IFERROR(VLOOKUP(E112,'Unique Generator Properties'!$A$2:$B$107,2,FALSE),100)</f>
        <v>0</v>
      </c>
    </row>
    <row r="113" spans="1:6" x14ac:dyDescent="0.35">
      <c r="A113" s="148" t="str">
        <f>'Unique Storage Objects'!A113</f>
        <v>Vargevatn</v>
      </c>
      <c r="B113" s="124">
        <f>IFERROR(VLOOKUP(A113,Generators!$AG$2:$BB$131,5,FALSE),"")</f>
        <v>199</v>
      </c>
      <c r="C113" s="124">
        <f>IFERROR(VLOOKUP(A113,Generators!$AG$2:$BB$131,18,FALSE),"")</f>
        <v>0</v>
      </c>
      <c r="E113" s="159" t="str">
        <f ca="1">OFFSET(INDIRECT(CELL("address",INDEX('Generator-Storage Assignment'!$B$2:$B$107,MATCH(A113,'Generator-Storage Assignment'!$B$2:$B$107,0),1))),0,-1)</f>
        <v>Aurland II</v>
      </c>
      <c r="F113" s="159">
        <f ca="1">IFERROR(VLOOKUP(E113,'Unique Generator Properties'!$A$2:$B$107,2,FALSE),100)</f>
        <v>0</v>
      </c>
    </row>
    <row r="114" spans="1:6" x14ac:dyDescent="0.35">
      <c r="A114" s="148" t="str">
        <f>'Unique Storage Objects'!A114</f>
        <v>Suldalsvatnet</v>
      </c>
      <c r="B114" s="124">
        <f>IFERROR(VLOOKUP(A114,Generators!$AG$2:$BB$131,5,FALSE),"")</f>
        <v>44</v>
      </c>
      <c r="C114" s="124">
        <f>IFERROR(VLOOKUP(A114,Generators!$AG$2:$BB$131,18,FALSE),"")</f>
        <v>0</v>
      </c>
      <c r="E114" s="159" t="str">
        <f ca="1">OFFSET(INDIRECT(CELL("address",INDEX('Generator-Storage Assignment'!$B$2:$B$107,MATCH(A114,'Generator-Storage Assignment'!$B$2:$B$107,0),1))),0,-1)</f>
        <v>Hylen</v>
      </c>
      <c r="F114" s="159">
        <f ca="1">IFERROR(VLOOKUP(E114,'Unique Generator Properties'!$A$2:$B$107,2,FALSE),100)</f>
        <v>0</v>
      </c>
    </row>
    <row r="115" spans="1:6" x14ac:dyDescent="0.35">
      <c r="A115" s="148" t="str">
        <f>'Unique Storage Objects'!A115</f>
        <v>Lago di Campotosto</v>
      </c>
      <c r="B115" s="124">
        <f>IFERROR(VLOOKUP(A115,Generators!$AG$2:$BB$131,5,FALSE),"")</f>
        <v>217</v>
      </c>
      <c r="C115" s="124">
        <f>IFERROR(VLOOKUP(A115,Generators!$AG$2:$BB$131,18,FALSE),"")</f>
        <v>0</v>
      </c>
      <c r="E115" s="159" t="str">
        <f ca="1">OFFSET(INDIRECT(CELL("address",INDEX('Generator-Storage Assignment'!$B$2:$B$107,MATCH(A115,'Generator-Storage Assignment'!$B$2:$B$107,0),1))),0,-1)</f>
        <v>Provvidenza</v>
      </c>
      <c r="F115" s="159">
        <f ca="1">IFERROR(VLOOKUP(E115,'Unique Generator Properties'!$A$2:$B$107,2,FALSE),100)</f>
        <v>3</v>
      </c>
    </row>
    <row r="116" spans="1:6" x14ac:dyDescent="0.35">
      <c r="A116" s="148" t="str">
        <f>'Unique Storage Objects'!A116</f>
        <v>Lago della Rovina</v>
      </c>
      <c r="B116" s="124">
        <f>IFERROR(VLOOKUP(A116,Generators!$AG$2:$BB$131,5,FALSE),"")</f>
        <v>1.2</v>
      </c>
      <c r="C116" s="124">
        <f>IFERROR(VLOOKUP(A116,Generators!$AG$2:$BB$131,18,FALSE),"")</f>
        <v>0</v>
      </c>
      <c r="E116" s="159" t="str">
        <f ca="1">OFFSET(INDIRECT(CELL("address",INDEX('Generator-Storage Assignment'!$B$2:$B$107,MATCH(A116,'Generator-Storage Assignment'!$B$2:$B$107,0),1))),0,-1)</f>
        <v>Rovinas Piastra</v>
      </c>
      <c r="F116" s="159">
        <f ca="1">IFERROR(VLOOKUP(E116,'Unique Generator Properties'!$A$2:$B$107,2,FALSE),100)</f>
        <v>1</v>
      </c>
    </row>
    <row r="117" spans="1:6" x14ac:dyDescent="0.35">
      <c r="A117" s="148" t="str">
        <f>'Unique Storage Objects'!A117</f>
        <v>Verney</v>
      </c>
      <c r="B117" s="124" t="str">
        <f>IFERROR(VLOOKUP(A117,Generators!$AG$2:$BB$131,5,FALSE),"")</f>
        <v/>
      </c>
      <c r="C117" s="124" t="str">
        <f>IFERROR(VLOOKUP(A117,Generators!$AG$2:$BB$131,18,FALSE),"")</f>
        <v/>
      </c>
      <c r="E117" s="159" t="e">
        <f ca="1">OFFSET(INDIRECT(CELL("address",INDEX('Generator-Storage Assignment'!$B$2:$B$107,MATCH(A117,'Generator-Storage Assignment'!$B$2:$B$107,0),1))),0,-1)</f>
        <v>#N/A</v>
      </c>
      <c r="F117" s="159">
        <f ca="1">IFERROR(VLOOKUP(E117,'Unique Generator Properties'!$A$2:$B$107,2,FALSE),100)</f>
        <v>100</v>
      </c>
    </row>
    <row r="118" spans="1:6" x14ac:dyDescent="0.35">
      <c r="A118" s="148" t="str">
        <f>'Unique Storage Objects'!A118</f>
        <v>Llyn Peris</v>
      </c>
      <c r="B118" s="124" t="str">
        <f>IFERROR(VLOOKUP(A118,Generators!$AG$2:$BB$131,5,FALSE),"")</f>
        <v/>
      </c>
      <c r="C118" s="124" t="str">
        <f>IFERROR(VLOOKUP(A118,Generators!$AG$2:$BB$131,18,FALSE),"")</f>
        <v/>
      </c>
      <c r="E118" s="159" t="e">
        <f ca="1">OFFSET(INDIRECT(CELL("address",INDEX('Generator-Storage Assignment'!$B$2:$B$107,MATCH(A118,'Generator-Storage Assignment'!$B$2:$B$107,0),1))),0,-1)</f>
        <v>#N/A</v>
      </c>
      <c r="F118" s="159">
        <f ca="1">IFERROR(VLOOKUP(E118,'Unique Generator Properties'!$A$2:$B$107,2,FALSE),100)</f>
        <v>100</v>
      </c>
    </row>
    <row r="119" spans="1:6" x14ac:dyDescent="0.35">
      <c r="A119" s="148" t="str">
        <f>'Unique Storage Objects'!A119</f>
        <v>Vianden lower</v>
      </c>
      <c r="B119" s="124" t="str">
        <f>IFERROR(VLOOKUP(A119,Generators!$AG$2:$BB$131,5,FALSE),"")</f>
        <v/>
      </c>
      <c r="C119" s="124" t="str">
        <f>IFERROR(VLOOKUP(A119,Generators!$AG$2:$BB$131,18,FALSE),"")</f>
        <v/>
      </c>
      <c r="E119" s="159" t="e">
        <f ca="1">OFFSET(INDIRECT(CELL("address",INDEX('Generator-Storage Assignment'!$B$2:$B$107,MATCH(A119,'Generator-Storage Assignment'!$B$2:$B$107,0),1))),0,-1)</f>
        <v>#N/A</v>
      </c>
      <c r="F119" s="159">
        <f ca="1">IFERROR(VLOOKUP(E119,'Unique Generator Properties'!$A$2:$B$107,2,FALSE),100)</f>
        <v>100</v>
      </c>
    </row>
    <row r="120" spans="1:6" x14ac:dyDescent="0.35">
      <c r="A120" s="148" t="str">
        <f>'Unique Storage Objects'!A120</f>
        <v>Rhone</v>
      </c>
      <c r="B120" s="124" t="str">
        <f>IFERROR(VLOOKUP(A120,Generators!$AG$2:$BB$131,5,FALSE),"")</f>
        <v/>
      </c>
      <c r="C120" s="124" t="str">
        <f>IFERROR(VLOOKUP(A120,Generators!$AG$2:$BB$131,18,FALSE),"")</f>
        <v/>
      </c>
      <c r="E120" s="159" t="e">
        <f ca="1">OFFSET(INDIRECT(CELL("address",INDEX('Generator-Storage Assignment'!$B$2:$B$107,MATCH(A120,'Generator-Storage Assignment'!$B$2:$B$107,0),1))),0,-1)</f>
        <v>#N/A</v>
      </c>
      <c r="F120" s="159">
        <f ca="1">IFERROR(VLOOKUP(E120,'Unique Generator Properties'!$A$2:$B$107,2,FALSE),100)</f>
        <v>100</v>
      </c>
    </row>
    <row r="121" spans="1:6" x14ac:dyDescent="0.35">
      <c r="A121" s="148" t="str">
        <f>'Unique Storage Objects'!A121</f>
        <v>Dougo</v>
      </c>
      <c r="B121" s="124" t="str">
        <f>IFERROR(VLOOKUP(A121,Generators!$AG$2:$BB$131,5,FALSE),"")</f>
        <v/>
      </c>
      <c r="C121" s="124" t="str">
        <f>IFERROR(VLOOKUP(A121,Generators!$AG$2:$BB$131,18,FALSE),"")</f>
        <v/>
      </c>
      <c r="E121" s="159" t="e">
        <f ca="1">OFFSET(INDIRECT(CELL("address",INDEX('Generator-Storage Assignment'!$B$2:$B$107,MATCH(A121,'Generator-Storage Assignment'!$B$2:$B$107,0),1))),0,-1)</f>
        <v>#N/A</v>
      </c>
      <c r="F121" s="159">
        <f ca="1">IFERROR(VLOOKUP(E121,'Unique Generator Properties'!$A$2:$B$107,2,FALSE),100)</f>
        <v>100</v>
      </c>
    </row>
    <row r="122" spans="1:6" x14ac:dyDescent="0.35">
      <c r="A122" s="148" t="str">
        <f>'Unique Storage Objects'!A122</f>
        <v>Kvilldal_lower</v>
      </c>
      <c r="B122" s="124" t="str">
        <f>IFERROR(VLOOKUP(A122,Generators!$AG$2:$BB$131,5,FALSE),"")</f>
        <v/>
      </c>
      <c r="C122" s="124" t="str">
        <f>IFERROR(VLOOKUP(A122,Generators!$AG$2:$BB$131,18,FALSE),"")</f>
        <v/>
      </c>
      <c r="E122" s="159" t="e">
        <f ca="1">OFFSET(INDIRECT(CELL("address",INDEX('Generator-Storage Assignment'!$B$2:$B$107,MATCH(A122,'Generator-Storage Assignment'!$B$2:$B$107,0),1))),0,-1)</f>
        <v>#N/A</v>
      </c>
      <c r="F122" s="159">
        <f ca="1">IFERROR(VLOOKUP(E122,'Unique Generator Properties'!$A$2:$B$107,2,FALSE),100)</f>
        <v>100</v>
      </c>
    </row>
    <row r="123" spans="1:6" x14ac:dyDescent="0.35">
      <c r="A123" s="148" t="str">
        <f>'Unique Storage Objects'!A123</f>
        <v>Lago della Piastra</v>
      </c>
      <c r="B123" s="124" t="str">
        <f>IFERROR(VLOOKUP(A123,Generators!$AG$2:$BB$131,5,FALSE),"")</f>
        <v/>
      </c>
      <c r="C123" s="124" t="str">
        <f>IFERROR(VLOOKUP(A123,Generators!$AG$2:$BB$131,18,FALSE),"")</f>
        <v/>
      </c>
      <c r="E123" s="159" t="e">
        <f ca="1">OFFSET(INDIRECT(CELL("address",INDEX('Generator-Storage Assignment'!$B$2:$B$107,MATCH(A123,'Generator-Storage Assignment'!$B$2:$B$107,0),1))),0,-1)</f>
        <v>#N/A</v>
      </c>
      <c r="F123" s="159">
        <f ca="1">IFERROR(VLOOKUP(E123,'Unique Generator Properties'!$A$2:$B$107,2,FALSE),100)</f>
        <v>100</v>
      </c>
    </row>
    <row r="124" spans="1:6" x14ac:dyDescent="0.35">
      <c r="A124" s="148" t="str">
        <f>'Unique Storage Objects'!A124</f>
        <v>Iron Gate I_lower</v>
      </c>
      <c r="B124" s="124" t="str">
        <f>IFERROR(VLOOKUP(A124,Generators!$AG$2:$BB$131,5,FALSE),"")</f>
        <v/>
      </c>
      <c r="C124" s="124" t="str">
        <f>IFERROR(VLOOKUP(A124,Generators!$AG$2:$BB$131,18,FALSE),"")</f>
        <v/>
      </c>
      <c r="E124" s="159" t="e">
        <f ca="1">OFFSET(INDIRECT(CELL("address",INDEX('Generator-Storage Assignment'!$B$2:$B$107,MATCH(A124,'Generator-Storage Assignment'!$B$2:$B$107,0),1))),0,-1)</f>
        <v>#N/A</v>
      </c>
      <c r="F124" s="159">
        <f ca="1">IFERROR(VLOOKUP(E124,'Unique Generator Properties'!$A$2:$B$107,2,FALSE),100)</f>
        <v>100</v>
      </c>
    </row>
    <row r="125" spans="1:6" x14ac:dyDescent="0.35">
      <c r="A125" s="148" t="str">
        <f>'Unique Storage Objects'!A125</f>
        <v>Coo Beneden</v>
      </c>
      <c r="B125" s="124" t="str">
        <f>IFERROR(VLOOKUP(A125,Generators!$AG$2:$BB$131,5,FALSE),"")</f>
        <v/>
      </c>
      <c r="C125" s="124" t="str">
        <f>IFERROR(VLOOKUP(A125,Generators!$AG$2:$BB$131,18,FALSE),"")</f>
        <v/>
      </c>
      <c r="E125" s="159" t="e">
        <f ca="1">OFFSET(INDIRECT(CELL("address",INDEX('Generator-Storage Assignment'!$B$2:$B$107,MATCH(A125,'Generator-Storage Assignment'!$B$2:$B$107,0),1))),0,-1)</f>
        <v>#N/A</v>
      </c>
      <c r="F125" s="159">
        <f ca="1">IFERROR(VLOOKUP(E125,'Unique Generator Properties'!$A$2:$B$107,2,FALSE),100)</f>
        <v>100</v>
      </c>
    </row>
    <row r="126" spans="1:6" x14ac:dyDescent="0.35">
      <c r="A126" s="148" t="str">
        <f>'Unique Storage Objects'!A126</f>
        <v>Eidfjord</v>
      </c>
      <c r="B126" s="124" t="str">
        <f>IFERROR(VLOOKUP(A126,Generators!$AG$2:$BB$131,5,FALSE),"")</f>
        <v/>
      </c>
      <c r="C126" s="124" t="str">
        <f>IFERROR(VLOOKUP(A126,Generators!$AG$2:$BB$131,18,FALSE),"")</f>
        <v/>
      </c>
      <c r="E126" s="159" t="e">
        <f ca="1">OFFSET(INDIRECT(CELL("address",INDEX('Generator-Storage Assignment'!$B$2:$B$107,MATCH(A126,'Generator-Storage Assignment'!$B$2:$B$107,0),1))),0,-1)</f>
        <v>#N/A</v>
      </c>
      <c r="F126" s="159">
        <f ca="1">IFERROR(VLOOKUP(E126,'Unique Generator Properties'!$A$2:$B$107,2,FALSE),100)</f>
        <v>100</v>
      </c>
    </row>
    <row r="127" spans="1:6" x14ac:dyDescent="0.35">
      <c r="A127" s="148" t="str">
        <f>'Unique Storage Objects'!A127</f>
        <v>Goldisthal-Oberes S</v>
      </c>
      <c r="B127" s="124" t="str">
        <f>IFERROR(VLOOKUP(A127,Generators!$AG$2:$BB$131,5,FALSE),"")</f>
        <v/>
      </c>
      <c r="C127" s="124" t="str">
        <f>IFERROR(VLOOKUP(A127,Generators!$AG$2:$BB$131,18,FALSE),"")</f>
        <v/>
      </c>
      <c r="E127" s="159" t="e">
        <f ca="1">OFFSET(INDIRECT(CELL("address",INDEX('Generator-Storage Assignment'!$B$2:$B$107,MATCH(A127,'Generator-Storage Assignment'!$B$2:$B$107,0),1))),0,-1)</f>
        <v>#N/A</v>
      </c>
      <c r="F127" s="159">
        <f ca="1">IFERROR(VLOOKUP(E127,'Unique Generator Properties'!$A$2:$B$107,2,FALSE),100)</f>
        <v>100</v>
      </c>
    </row>
    <row r="128" spans="1:6" x14ac:dyDescent="0.35">
      <c r="A128" s="148" t="str">
        <f>'Unique Storage Objects'!A128</f>
        <v>Markersbach-unterbecken</v>
      </c>
      <c r="B128" s="124" t="str">
        <f>IFERROR(VLOOKUP(A128,Generators!$AG$2:$BB$131,5,FALSE),"")</f>
        <v/>
      </c>
      <c r="C128" s="124" t="str">
        <f>IFERROR(VLOOKUP(A128,Generators!$AG$2:$BB$131,18,FALSE),"")</f>
        <v/>
      </c>
      <c r="E128" s="159" t="e">
        <f ca="1">OFFSET(INDIRECT(CELL("address",INDEX('Generator-Storage Assignment'!$B$2:$B$107,MATCH(A128,'Generator-Storage Assignment'!$B$2:$B$107,0),1))),0,-1)</f>
        <v>#N/A</v>
      </c>
      <c r="F128" s="159">
        <f ca="1">IFERROR(VLOOKUP(E128,'Unique Generator Properties'!$A$2:$B$107,2,FALSE),100)</f>
        <v>100</v>
      </c>
    </row>
    <row r="129" spans="1:6" x14ac:dyDescent="0.35">
      <c r="A129" s="148" t="str">
        <f>'Unique Storage Objects'!A129</f>
        <v>Lago Maggiore</v>
      </c>
      <c r="B129" s="124" t="str">
        <f>IFERROR(VLOOKUP(A129,Generators!$AG$2:$BB$131,5,FALSE),"")</f>
        <v/>
      </c>
      <c r="C129" s="124" t="str">
        <f>IFERROR(VLOOKUP(A129,Generators!$AG$2:$BB$131,18,FALSE),"")</f>
        <v/>
      </c>
      <c r="E129" s="159" t="e">
        <f ca="1">OFFSET(INDIRECT(CELL("address",INDEX('Generator-Storage Assignment'!$B$2:$B$107,MATCH(A129,'Generator-Storage Assignment'!$B$2:$B$107,0),1))),0,-1)</f>
        <v>#N/A</v>
      </c>
      <c r="F129" s="159">
        <f ca="1">IFERROR(VLOOKUP(E129,'Unique Generator Properties'!$A$2:$B$107,2,FALSE),100)</f>
        <v>100</v>
      </c>
    </row>
    <row r="130" spans="1:6" x14ac:dyDescent="0.35">
      <c r="A130" s="148" t="str">
        <f>'Unique Storage Objects'!A130</f>
        <v>Lago Edolo</v>
      </c>
      <c r="B130" s="124" t="str">
        <f>IFERROR(VLOOKUP(A130,Generators!$AG$2:$BB$131,5,FALSE),"")</f>
        <v/>
      </c>
      <c r="C130" s="124" t="str">
        <f>IFERROR(VLOOKUP(A130,Generators!$AG$2:$BB$131,18,FALSE),"")</f>
        <v/>
      </c>
      <c r="E130" s="159" t="e">
        <f ca="1">OFFSET(INDIRECT(CELL("address",INDEX('Generator-Storage Assignment'!$B$2:$B$107,MATCH(A130,'Generator-Storage Assignment'!$B$2:$B$107,0),1))),0,-1)</f>
        <v>#N/A</v>
      </c>
      <c r="F130" s="159">
        <f ca="1">IFERROR(VLOOKUP(E130,'Unique Generator Properties'!$A$2:$B$107,2,FALSE),100)</f>
        <v>100</v>
      </c>
    </row>
    <row r="131" spans="1:6" x14ac:dyDescent="0.35">
      <c r="A131" s="148" t="str">
        <f>'Unique Storage Objects'!A131</f>
        <v>Presenzano Lower</v>
      </c>
      <c r="B131" s="124" t="str">
        <f>IFERROR(VLOOKUP(A131,Generators!$AG$2:$BB$131,5,FALSE),"")</f>
        <v/>
      </c>
      <c r="C131" s="124" t="str">
        <f>IFERROR(VLOOKUP(A131,Generators!$AG$2:$BB$131,18,FALSE),"")</f>
        <v/>
      </c>
      <c r="E131" s="159" t="e">
        <f ca="1">OFFSET(INDIRECT(CELL("address",INDEX('Generator-Storage Assignment'!$B$2:$B$107,MATCH(A131,'Generator-Storage Assignment'!$B$2:$B$107,0),1))),0,-1)</f>
        <v>#N/A</v>
      </c>
      <c r="F131" s="159">
        <f ca="1">IFERROR(VLOOKUP(E131,'Unique Generator Properties'!$A$2:$B$107,2,FALSE),100)</f>
        <v>100</v>
      </c>
    </row>
    <row r="132" spans="1:6" x14ac:dyDescent="0.35">
      <c r="A132" s="148" t="str">
        <f>'Unique Storage Objects'!A132</f>
        <v>Wehrabecken</v>
      </c>
      <c r="B132" s="124" t="str">
        <f>IFERROR(VLOOKUP(A132,Generators!$AG$2:$BB$131,5,FALSE),"")</f>
        <v/>
      </c>
      <c r="C132" s="124" t="str">
        <f>IFERROR(VLOOKUP(A132,Generators!$AG$2:$BB$131,18,FALSE),"")</f>
        <v/>
      </c>
      <c r="E132" s="159" t="e">
        <f ca="1">OFFSET(INDIRECT(CELL("address",INDEX('Generator-Storage Assignment'!$B$2:$B$107,MATCH(A132,'Generator-Storage Assignment'!$B$2:$B$107,0),1))),0,-1)</f>
        <v>#N/A</v>
      </c>
      <c r="F132" s="159">
        <f ca="1">IFERROR(VLOOKUP(E132,'Unique Generator Properties'!$A$2:$B$107,2,FALSE),100)</f>
        <v>100</v>
      </c>
    </row>
    <row r="133" spans="1:6" x14ac:dyDescent="0.35">
      <c r="A133" s="148" t="str">
        <f>'Unique Storage Objects'!A133</f>
        <v>Lule</v>
      </c>
      <c r="B133" s="124" t="str">
        <f>IFERROR(VLOOKUP(A133,Generators!$AG$2:$BB$131,5,FALSE),"")</f>
        <v/>
      </c>
      <c r="C133" s="124" t="str">
        <f>IFERROR(VLOOKUP(A133,Generators!$AG$2:$BB$131,18,FALSE),"")</f>
        <v/>
      </c>
      <c r="E133" s="159" t="e">
        <f ca="1">OFFSET(INDIRECT(CELL("address",INDEX('Generator-Storage Assignment'!$B$2:$B$107,MATCH(A133,'Generator-Storage Assignment'!$B$2:$B$107,0),1))),0,-1)</f>
        <v>#N/A</v>
      </c>
      <c r="F133" s="159">
        <f ca="1">IFERROR(VLOOKUP(E133,'Unique Generator Properties'!$A$2:$B$107,2,FALSE),100)</f>
        <v>100</v>
      </c>
    </row>
    <row r="134" spans="1:6" x14ac:dyDescent="0.35">
      <c r="A134" s="148" t="str">
        <f>'Unique Storage Objects'!A134</f>
        <v>Kvina</v>
      </c>
      <c r="B134" s="124" t="str">
        <f>IFERROR(VLOOKUP(A134,Generators!$AG$2:$BB$131,5,FALSE),"")</f>
        <v/>
      </c>
      <c r="C134" s="124" t="str">
        <f>IFERROR(VLOOKUP(A134,Generators!$AG$2:$BB$131,18,FALSE),"")</f>
        <v/>
      </c>
      <c r="E134" s="159" t="e">
        <f ca="1">OFFSET(INDIRECT(CELL("address",INDEX('Generator-Storage Assignment'!$B$2:$B$107,MATCH(A134,'Generator-Storage Assignment'!$B$2:$B$107,0),1))),0,-1)</f>
        <v>#N/A</v>
      </c>
      <c r="F134" s="159">
        <f ca="1">IFERROR(VLOOKUP(E134,'Unique Generator Properties'!$A$2:$B$107,2,FALSE),100)</f>
        <v>100</v>
      </c>
    </row>
    <row r="135" spans="1:6" x14ac:dyDescent="0.35">
      <c r="A135" s="148" t="str">
        <f>'Unique Storage Objects'!A135</f>
        <v>Tagus</v>
      </c>
      <c r="B135" s="124" t="str">
        <f>IFERROR(VLOOKUP(A135,Generators!$AG$2:$BB$131,5,FALSE),"")</f>
        <v/>
      </c>
      <c r="C135" s="124" t="str">
        <f>IFERROR(VLOOKUP(A135,Generators!$AG$2:$BB$131,18,FALSE),"")</f>
        <v/>
      </c>
      <c r="E135" s="159" t="e">
        <f ca="1">OFFSET(INDIRECT(CELL("address",INDEX('Generator-Storage Assignment'!$B$2:$B$107,MATCH(A135,'Generator-Storage Assignment'!$B$2:$B$107,0),1))),0,-1)</f>
        <v>#N/A</v>
      </c>
      <c r="F135" s="159">
        <f ca="1">IFERROR(VLOOKUP(E135,'Unique Generator Properties'!$A$2:$B$107,2,FALSE),100)</f>
        <v>100</v>
      </c>
    </row>
    <row r="136" spans="1:6" x14ac:dyDescent="0.35">
      <c r="A136" s="148" t="str">
        <f>'Unique Storage Objects'!A136</f>
        <v>Couesques</v>
      </c>
      <c r="B136" s="124" t="str">
        <f>IFERROR(VLOOKUP(A136,Generators!$AG$2:$BB$131,5,FALSE),"")</f>
        <v/>
      </c>
      <c r="C136" s="124" t="str">
        <f>IFERROR(VLOOKUP(A136,Generators!$AG$2:$BB$131,18,FALSE),"")</f>
        <v/>
      </c>
      <c r="E136" s="159" t="e">
        <f ca="1">OFFSET(INDIRECT(CELL("address",INDEX('Generator-Storage Assignment'!$B$2:$B$107,MATCH(A136,'Generator-Storage Assignment'!$B$2:$B$107,0),1))),0,-1)</f>
        <v>#N/A</v>
      </c>
      <c r="F136" s="159">
        <f ca="1">IFERROR(VLOOKUP(E136,'Unique Generator Properties'!$A$2:$B$107,2,FALSE),100)</f>
        <v>100</v>
      </c>
    </row>
    <row r="137" spans="1:6" x14ac:dyDescent="0.35">
      <c r="A137" s="148" t="str">
        <f>'Unique Storage Objects'!A137</f>
        <v>Kaunas reservoir</v>
      </c>
      <c r="B137" s="124" t="str">
        <f>IFERROR(VLOOKUP(A137,Generators!$AG$2:$BB$131,5,FALSE),"")</f>
        <v/>
      </c>
      <c r="C137" s="124" t="str">
        <f>IFERROR(VLOOKUP(A137,Generators!$AG$2:$BB$131,18,FALSE),"")</f>
        <v/>
      </c>
      <c r="E137" s="159" t="e">
        <f ca="1">OFFSET(INDIRECT(CELL("address",INDEX('Generator-Storage Assignment'!$B$2:$B$107,MATCH(A137,'Generator-Storage Assignment'!$B$2:$B$107,0),1))),0,-1)</f>
        <v>#N/A</v>
      </c>
      <c r="F137" s="159">
        <f ca="1">IFERROR(VLOOKUP(E137,'Unique Generator Properties'!$A$2:$B$107,2,FALSE),100)</f>
        <v>100</v>
      </c>
    </row>
    <row r="138" spans="1:6" x14ac:dyDescent="0.35">
      <c r="A138" s="148" t="str">
        <f>'Unique Storage Objects'!A138</f>
        <v>Daugava</v>
      </c>
      <c r="B138" s="124" t="str">
        <f>IFERROR(VLOOKUP(A138,Generators!$AG$2:$BB$131,5,FALSE),"")</f>
        <v/>
      </c>
      <c r="C138" s="124" t="str">
        <f>IFERROR(VLOOKUP(A138,Generators!$AG$2:$BB$131,18,FALSE),"")</f>
        <v/>
      </c>
      <c r="E138" s="159" t="e">
        <f ca="1">OFFSET(INDIRECT(CELL("address",INDEX('Generator-Storage Assignment'!$B$2:$B$107,MATCH(A138,'Generator-Storage Assignment'!$B$2:$B$107,0),1))),0,-1)</f>
        <v>#N/A</v>
      </c>
      <c r="F138" s="159">
        <f ca="1">IFERROR(VLOOKUP(E138,'Unique Generator Properties'!$A$2:$B$107,2,FALSE),100)</f>
        <v>100</v>
      </c>
    </row>
    <row r="139" spans="1:6" x14ac:dyDescent="0.35">
      <c r="A139" s="148" t="str">
        <f>'Unique Storage Objects'!A139</f>
        <v>Chaira</v>
      </c>
      <c r="B139" s="124" t="str">
        <f>IFERROR(VLOOKUP(A139,Generators!$AG$2:$BB$131,5,FALSE),"")</f>
        <v/>
      </c>
      <c r="C139" s="124" t="str">
        <f>IFERROR(VLOOKUP(A139,Generators!$AG$2:$BB$131,18,FALSE),"")</f>
        <v/>
      </c>
      <c r="E139" s="159" t="e">
        <f ca="1">OFFSET(INDIRECT(CELL("address",INDEX('Generator-Storage Assignment'!$B$2:$B$107,MATCH(A139,'Generator-Storage Assignment'!$B$2:$B$107,0),1))),0,-1)</f>
        <v>#N/A</v>
      </c>
      <c r="F139" s="159">
        <f ca="1">IFERROR(VLOOKUP(E139,'Unique Generator Properties'!$A$2:$B$107,2,FALSE),100)</f>
        <v>100</v>
      </c>
    </row>
    <row r="140" spans="1:6" x14ac:dyDescent="0.35">
      <c r="A140" s="148" t="str">
        <f>'Unique Storage Objects'!A140</f>
        <v>Cortes de Pallas</v>
      </c>
      <c r="B140" s="124" t="str">
        <f>IFERROR(VLOOKUP(A140,Generators!$AG$2:$BB$131,5,FALSE),"")</f>
        <v/>
      </c>
      <c r="C140" s="124" t="str">
        <f>IFERROR(VLOOKUP(A140,Generators!$AG$2:$BB$131,18,FALSE),"")</f>
        <v/>
      </c>
      <c r="E140" s="159" t="e">
        <f ca="1">OFFSET(INDIRECT(CELL("address",INDEX('Generator-Storage Assignment'!$B$2:$B$107,MATCH(A140,'Generator-Storage Assignment'!$B$2:$B$107,0),1))),0,-1)</f>
        <v>#N/A</v>
      </c>
      <c r="F140" s="159">
        <f ca="1">IFERROR(VLOOKUP(E140,'Unique Generator Properties'!$A$2:$B$107,2,FALSE),100)</f>
        <v>100</v>
      </c>
    </row>
    <row r="141" spans="1:6" x14ac:dyDescent="0.35">
      <c r="A141" s="148" t="str">
        <f>'Unique Storage Objects'!A141</f>
        <v>Vassbygdivatn</v>
      </c>
      <c r="B141" s="124" t="str">
        <f>IFERROR(VLOOKUP(A141,Generators!$AG$2:$BB$131,5,FALSE),"")</f>
        <v/>
      </c>
      <c r="C141" s="124" t="str">
        <f>IFERROR(VLOOKUP(A141,Generators!$AG$2:$BB$131,18,FALSE),"")</f>
        <v/>
      </c>
      <c r="E141" s="159" t="e">
        <f ca="1">OFFSET(INDIRECT(CELL("address",INDEX('Generator-Storage Assignment'!$B$2:$B$107,MATCH(A141,'Generator-Storage Assignment'!$B$2:$B$107,0),1))),0,-1)</f>
        <v>#N/A</v>
      </c>
      <c r="F141" s="159">
        <f ca="1">IFERROR(VLOOKUP(E141,'Unique Generator Properties'!$A$2:$B$107,2,FALSE),100)</f>
        <v>100</v>
      </c>
    </row>
    <row r="142" spans="1:6" x14ac:dyDescent="0.35">
      <c r="A142" s="148" t="str">
        <f>'Unique Storage Objects'!A142</f>
        <v>Tormes</v>
      </c>
      <c r="B142" s="124" t="str">
        <f>IFERROR(VLOOKUP(A142,Generators!$AG$2:$BB$131,5,FALSE),"")</f>
        <v/>
      </c>
      <c r="C142" s="124" t="str">
        <f>IFERROR(VLOOKUP(A142,Generators!$AG$2:$BB$131,18,FALSE),"")</f>
        <v/>
      </c>
      <c r="E142" s="159" t="e">
        <f ca="1">OFFSET(INDIRECT(CELL("address",INDEX('Generator-Storage Assignment'!$B$2:$B$107,MATCH(A142,'Generator-Storage Assignment'!$B$2:$B$107,0),1))),0,-1)</f>
        <v>#N/A</v>
      </c>
      <c r="F142" s="159">
        <f ca="1">IFERROR(VLOOKUP(E142,'Unique Generator Properties'!$A$2:$B$107,2,FALSE),100)</f>
        <v>100</v>
      </c>
    </row>
    <row r="143" spans="1:6" x14ac:dyDescent="0.35">
      <c r="A143" s="148" t="str">
        <f>'Unique Storage Objects'!A143</f>
        <v>Pont des Chevres</v>
      </c>
      <c r="B143" s="124" t="str">
        <f>IFERROR(VLOOKUP(A143,Generators!$AG$2:$BB$131,5,FALSE),"")</f>
        <v/>
      </c>
      <c r="C143" s="124" t="str">
        <f>IFERROR(VLOOKUP(A143,Generators!$AG$2:$BB$131,18,FALSE),"")</f>
        <v/>
      </c>
      <c r="E143" s="159" t="e">
        <f ca="1">OFFSET(INDIRECT(CELL("address",INDEX('Generator-Storage Assignment'!$B$2:$B$107,MATCH(A143,'Generator-Storage Assignment'!$B$2:$B$107,0),1))),0,-1)</f>
        <v>#N/A</v>
      </c>
      <c r="F143" s="159">
        <f ca="1">IFERROR(VLOOKUP(E143,'Unique Generator Properties'!$A$2:$B$107,2,FALSE),100)</f>
        <v>100</v>
      </c>
    </row>
    <row r="144" spans="1:6" x14ac:dyDescent="0.35">
      <c r="A144" s="148" t="str">
        <f>'Unique Storage Objects'!A144</f>
        <v>Cierny Vah lower</v>
      </c>
      <c r="B144" s="124" t="str">
        <f>IFERROR(VLOOKUP(A144,Generators!$AG$2:$BB$131,5,FALSE),"")</f>
        <v/>
      </c>
      <c r="C144" s="124" t="str">
        <f>IFERROR(VLOOKUP(A144,Generators!$AG$2:$BB$131,18,FALSE),"")</f>
        <v/>
      </c>
      <c r="E144" s="159" t="e">
        <f ca="1">OFFSET(INDIRECT(CELL("address",INDEX('Generator-Storage Assignment'!$B$2:$B$107,MATCH(A144,'Generator-Storage Assignment'!$B$2:$B$107,0),1))),0,-1)</f>
        <v>#N/A</v>
      </c>
      <c r="F144" s="159">
        <f ca="1">IFERROR(VLOOKUP(E144,'Unique Generator Properties'!$A$2:$B$107,2,FALSE),100)</f>
        <v>100</v>
      </c>
    </row>
    <row r="145" spans="1:6" x14ac:dyDescent="0.35">
      <c r="A145" s="148" t="str">
        <f>'Unique Storage Objects'!A145</f>
        <v>Moell</v>
      </c>
      <c r="B145" s="124" t="str">
        <f>IFERROR(VLOOKUP(A145,Generators!$AG$2:$BB$131,5,FALSE),"")</f>
        <v/>
      </c>
      <c r="C145" s="124" t="str">
        <f>IFERROR(VLOOKUP(A145,Generators!$AG$2:$BB$131,18,FALSE),"")</f>
        <v/>
      </c>
      <c r="E145" s="159" t="e">
        <f ca="1">OFFSET(INDIRECT(CELL("address",INDEX('Generator-Storage Assignment'!$B$2:$B$107,MATCH(A145,'Generator-Storage Assignment'!$B$2:$B$107,0),1))),0,-1)</f>
        <v>#N/A</v>
      </c>
      <c r="F145" s="159">
        <f ca="1">IFERROR(VLOOKUP(E145,'Unique Generator Properties'!$A$2:$B$107,2,FALSE),100)</f>
        <v>100</v>
      </c>
    </row>
    <row r="146" spans="1:6" x14ac:dyDescent="0.35">
      <c r="A146" s="148" t="str">
        <f>'Unique Storage Objects'!A146</f>
        <v>Goesskarspeicher</v>
      </c>
      <c r="B146" s="124" t="str">
        <f>IFERROR(VLOOKUP(A146,Generators!$AG$2:$BB$131,5,FALSE),"")</f>
        <v/>
      </c>
      <c r="C146" s="124" t="str">
        <f>IFERROR(VLOOKUP(A146,Generators!$AG$2:$BB$131,18,FALSE),"")</f>
        <v/>
      </c>
      <c r="E146" s="159" t="e">
        <f ca="1">OFFSET(INDIRECT(CELL("address",INDEX('Generator-Storage Assignment'!$B$2:$B$107,MATCH(A146,'Generator-Storage Assignment'!$B$2:$B$107,0),1))),0,-1)</f>
        <v>#N/A</v>
      </c>
      <c r="F146" s="159">
        <f ca="1">IFERROR(VLOOKUP(E146,'Unique Generator Properties'!$A$2:$B$107,2,FALSE),100)</f>
        <v>100</v>
      </c>
    </row>
    <row r="147" spans="1:6" x14ac:dyDescent="0.35">
      <c r="A147" s="148" t="str">
        <f>'Unique Storage Objects'!A147</f>
        <v>Whitaker</v>
      </c>
      <c r="B147" s="124" t="str">
        <f>IFERROR(VLOOKUP(A147,Generators!$AG$2:$BB$131,5,FALSE),"")</f>
        <v/>
      </c>
      <c r="C147" s="124" t="str">
        <f>IFERROR(VLOOKUP(A147,Generators!$AG$2:$BB$131,18,FALSE),"")</f>
        <v/>
      </c>
      <c r="E147" s="159" t="e">
        <f ca="1">OFFSET(INDIRECT(CELL("address",INDEX('Generator-Storage Assignment'!$B$2:$B$107,MATCH(A147,'Generator-Storage Assignment'!$B$2:$B$107,0),1))),0,-1)</f>
        <v>#N/A</v>
      </c>
      <c r="F147" s="159">
        <f ca="1">IFERROR(VLOOKUP(E147,'Unique Generator Properties'!$A$2:$B$107,2,FALSE),100)</f>
        <v>100</v>
      </c>
    </row>
    <row r="148" spans="1:6" x14ac:dyDescent="0.35">
      <c r="A148" s="148" t="str">
        <f>'Unique Storage Objects'!A148</f>
        <v>Gabcikovo (Nagymaros Dams)_lower</v>
      </c>
      <c r="B148" s="124" t="str">
        <f>IFERROR(VLOOKUP(A148,Generators!$AG$2:$BB$131,5,FALSE),"")</f>
        <v/>
      </c>
      <c r="C148" s="124" t="str">
        <f>IFERROR(VLOOKUP(A148,Generators!$AG$2:$BB$131,18,FALSE),"")</f>
        <v/>
      </c>
      <c r="E148" s="159" t="e">
        <f ca="1">OFFSET(INDIRECT(CELL("address",INDEX('Generator-Storage Assignment'!$B$2:$B$107,MATCH(A148,'Generator-Storage Assignment'!$B$2:$B$107,0),1))),0,-1)</f>
        <v>#N/A</v>
      </c>
      <c r="F148" s="159">
        <f ca="1">IFERROR(VLOOKUP(E148,'Unique Generator Properties'!$A$2:$B$107,2,FALSE),100)</f>
        <v>100</v>
      </c>
    </row>
    <row r="149" spans="1:6" x14ac:dyDescent="0.35">
      <c r="A149" s="148" t="str">
        <f>'Unique Storage Objects'!A149</f>
        <v>Zarnowiec</v>
      </c>
      <c r="B149" s="124" t="str">
        <f>IFERROR(VLOOKUP(A149,Generators!$AG$2:$BB$131,5,FALSE),"")</f>
        <v/>
      </c>
      <c r="C149" s="124" t="str">
        <f>IFERROR(VLOOKUP(A149,Generators!$AG$2:$BB$131,18,FALSE),"")</f>
        <v/>
      </c>
      <c r="E149" s="159" t="e">
        <f ca="1">OFFSET(INDIRECT(CELL("address",INDEX('Generator-Storage Assignment'!$B$2:$B$107,MATCH(A149,'Generator-Storage Assignment'!$B$2:$B$107,0),1))),0,-1)</f>
        <v>#N/A</v>
      </c>
      <c r="F149" s="159">
        <f ca="1">IFERROR(VLOOKUP(E149,'Unique Generator Properties'!$A$2:$B$107,2,FALSE),100)</f>
        <v>100</v>
      </c>
    </row>
    <row r="150" spans="1:6" x14ac:dyDescent="0.35">
      <c r="A150" s="148" t="str">
        <f>'Unique Storage Objects'!A150</f>
        <v>Touvedo</v>
      </c>
      <c r="B150" s="124" t="str">
        <f>IFERROR(VLOOKUP(A150,Generators!$AG$2:$BB$131,5,FALSE),"")</f>
        <v/>
      </c>
      <c r="C150" s="124" t="str">
        <f>IFERROR(VLOOKUP(A150,Generators!$AG$2:$BB$131,18,FALSE),"")</f>
        <v/>
      </c>
      <c r="E150" s="159" t="e">
        <f ca="1">OFFSET(INDIRECT(CELL("address",INDEX('Generator-Storage Assignment'!$B$2:$B$107,MATCH(A150,'Generator-Storage Assignment'!$B$2:$B$107,0),1))),0,-1)</f>
        <v>#N/A</v>
      </c>
      <c r="F150" s="159">
        <f ca="1">IFERROR(VLOOKUP(E150,'Unique Generator Properties'!$A$2:$B$107,2,FALSE),100)</f>
        <v>100</v>
      </c>
    </row>
    <row r="151" spans="1:6" x14ac:dyDescent="0.35">
      <c r="A151" s="148" t="str">
        <f>'Unique Storage Objects'!A151</f>
        <v>Dlouhe Strane lower</v>
      </c>
      <c r="B151" s="124" t="str">
        <f>IFERROR(VLOOKUP(A151,Generators!$AG$2:$BB$131,5,FALSE),"")</f>
        <v/>
      </c>
      <c r="C151" s="124" t="str">
        <f>IFERROR(VLOOKUP(A151,Generators!$AG$2:$BB$131,18,FALSE),"")</f>
        <v/>
      </c>
      <c r="E151" s="159" t="e">
        <f ca="1">OFFSET(INDIRECT(CELL("address",INDEX('Generator-Storage Assignment'!$B$2:$B$107,MATCH(A151,'Generator-Storage Assignment'!$B$2:$B$107,0),1))),0,-1)</f>
        <v>#N/A</v>
      </c>
      <c r="F151" s="159">
        <f ca="1">IFERROR(VLOOKUP(E151,'Unique Generator Properties'!$A$2:$B$107,2,FALSE),100)</f>
        <v>100</v>
      </c>
    </row>
    <row r="152" spans="1:6" x14ac:dyDescent="0.35">
      <c r="A152" s="148" t="str">
        <f>'Unique Storage Objects'!A152</f>
        <v>Svartisen_lower</v>
      </c>
      <c r="B152" s="124" t="str">
        <f>IFERROR(VLOOKUP(A152,Generators!$AG$2:$BB$131,5,FALSE),"")</f>
        <v/>
      </c>
      <c r="C152" s="124" t="str">
        <f>IFERROR(VLOOKUP(A152,Generators!$AG$2:$BB$131,18,FALSE),"")</f>
        <v/>
      </c>
      <c r="E152" s="159" t="e">
        <f ca="1">OFFSET(INDIRECT(CELL("address",INDEX('Generator-Storage Assignment'!$B$2:$B$107,MATCH(A152,'Generator-Storage Assignment'!$B$2:$B$107,0),1))),0,-1)</f>
        <v>#N/A</v>
      </c>
      <c r="F152" s="159">
        <f ca="1">IFERROR(VLOOKUP(E152,'Unique Generator Properties'!$A$2:$B$107,2,FALSE),100)</f>
        <v>100</v>
      </c>
    </row>
    <row r="153" spans="1:6" x14ac:dyDescent="0.35">
      <c r="A153" s="148" t="str">
        <f>'Unique Storage Objects'!A153</f>
        <v>Stornorrfors_lower</v>
      </c>
      <c r="B153" s="124" t="str">
        <f>IFERROR(VLOOKUP(A153,Generators!$AG$2:$BB$131,5,FALSE),"")</f>
        <v/>
      </c>
      <c r="C153" s="124" t="str">
        <f>IFERROR(VLOOKUP(A153,Generators!$AG$2:$BB$131,18,FALSE),"")</f>
        <v/>
      </c>
      <c r="E153" s="159" t="e">
        <f ca="1">OFFSET(INDIRECT(CELL("address",INDEX('Generator-Storage Assignment'!$B$2:$B$107,MATCH(A153,'Generator-Storage Assignment'!$B$2:$B$107,0),1))),0,-1)</f>
        <v>#N/A</v>
      </c>
      <c r="F153" s="159">
        <f ca="1">IFERROR(VLOOKUP(E153,'Unique Generator Properties'!$A$2:$B$107,2,FALSE),100)</f>
        <v>100</v>
      </c>
    </row>
    <row r="154" spans="1:6" x14ac:dyDescent="0.35">
      <c r="A154" s="148" t="str">
        <f>'Unique Storage Objects'!A154</f>
        <v>Wasserfallboden</v>
      </c>
      <c r="B154" s="124" t="str">
        <f>IFERROR(VLOOKUP(A154,Generators!$AG$2:$BB$131,5,FALSE),"")</f>
        <v/>
      </c>
      <c r="C154" s="124" t="str">
        <f>IFERROR(VLOOKUP(A154,Generators!$AG$2:$BB$131,18,FALSE),"")</f>
        <v/>
      </c>
      <c r="E154" s="159" t="e">
        <f ca="1">OFFSET(INDIRECT(CELL("address",INDEX('Generator-Storage Assignment'!$B$2:$B$107,MATCH(A154,'Generator-Storage Assignment'!$B$2:$B$107,0),1))),0,-1)</f>
        <v>#N/A</v>
      </c>
      <c r="F154" s="159">
        <f ca="1">IFERROR(VLOOKUP(E154,'Unique Generator Properties'!$A$2:$B$107,2,FALSE),100)</f>
        <v>100</v>
      </c>
    </row>
    <row r="155" spans="1:6" x14ac:dyDescent="0.35">
      <c r="A155" s="148" t="str">
        <f>'Unique Storage Objects'!A155</f>
        <v>Sellero</v>
      </c>
      <c r="B155" s="124" t="str">
        <f>IFERROR(VLOOKUP(A155,Generators!$AG$2:$BB$131,5,FALSE),"")</f>
        <v/>
      </c>
      <c r="C155" s="124" t="str">
        <f>IFERROR(VLOOKUP(A155,Generators!$AG$2:$BB$131,18,FALSE),"")</f>
        <v/>
      </c>
      <c r="E155" s="159" t="e">
        <f ca="1">OFFSET(INDIRECT(CELL("address",INDEX('Generator-Storage Assignment'!$B$2:$B$107,MATCH(A155,'Generator-Storage Assignment'!$B$2:$B$107,0),1))),0,-1)</f>
        <v>#N/A</v>
      </c>
      <c r="F155" s="159">
        <f ca="1">IFERROR(VLOOKUP(E155,'Unique Generator Properties'!$A$2:$B$107,2,FALSE),100)</f>
        <v>100</v>
      </c>
    </row>
    <row r="156" spans="1:6" x14ac:dyDescent="0.35">
      <c r="A156" s="148" t="str">
        <f>'Unique Storage Objects'!A156</f>
        <v>La Bathie_lower</v>
      </c>
      <c r="B156" s="124" t="str">
        <f>IFERROR(VLOOKUP(A156,Generators!$AG$2:$BB$131,5,FALSE),"")</f>
        <v/>
      </c>
      <c r="C156" s="124" t="str">
        <f>IFERROR(VLOOKUP(A156,Generators!$AG$2:$BB$131,18,FALSE),"")</f>
        <v/>
      </c>
      <c r="E156" s="159" t="e">
        <f ca="1">OFFSET(INDIRECT(CELL("address",INDEX('Generator-Storage Assignment'!$B$2:$B$107,MATCH(A156,'Generator-Storage Assignment'!$B$2:$B$107,0),1))),0,-1)</f>
        <v>#N/A</v>
      </c>
      <c r="F156" s="159">
        <f ca="1">IFERROR(VLOOKUP(E156,'Unique Generator Properties'!$A$2:$B$107,2,FALSE),100)</f>
        <v>100</v>
      </c>
    </row>
    <row r="157" spans="1:6" x14ac:dyDescent="0.35">
      <c r="A157" s="148" t="str">
        <f>'Unique Storage Objects'!A157</f>
        <v>Rifa</v>
      </c>
      <c r="B157" s="124" t="str">
        <f>IFERROR(VLOOKUP(A157,Generators!$AG$2:$BB$131,5,FALSE),"")</f>
        <v/>
      </c>
      <c r="C157" s="124" t="str">
        <f>IFERROR(VLOOKUP(A157,Generators!$AG$2:$BB$131,18,FALSE),"")</f>
        <v/>
      </c>
      <c r="E157" s="159" t="e">
        <f ca="1">OFFSET(INDIRECT(CELL("address",INDEX('Generator-Storage Assignment'!$B$2:$B$107,MATCH(A157,'Generator-Storage Assignment'!$B$2:$B$107,0),1))),0,-1)</f>
        <v>#N/A</v>
      </c>
      <c r="F157" s="159">
        <f ca="1">IFERROR(VLOOKUP(E157,'Unique Generator Properties'!$A$2:$B$107,2,FALSE),100)</f>
        <v>100</v>
      </c>
    </row>
    <row r="158" spans="1:6" x14ac:dyDescent="0.35">
      <c r="A158" s="148" t="str">
        <f>'Unique Storage Objects'!A158</f>
        <v>Saucelle_lower</v>
      </c>
      <c r="B158" s="124" t="str">
        <f>IFERROR(VLOOKUP(A158,Generators!$AG$2:$BB$131,5,FALSE),"")</f>
        <v/>
      </c>
      <c r="C158" s="124" t="str">
        <f>IFERROR(VLOOKUP(A158,Generators!$AG$2:$BB$131,18,FALSE),"")</f>
        <v/>
      </c>
      <c r="E158" s="159" t="e">
        <f ca="1">OFFSET(INDIRECT(CELL("address",INDEX('Generator-Storage Assignment'!$B$2:$B$107,MATCH(A158,'Generator-Storage Assignment'!$B$2:$B$107,0),1))),0,-1)</f>
        <v>#N/A</v>
      </c>
      <c r="F158" s="159">
        <f ca="1">IFERROR(VLOOKUP(E158,'Unique Generator Properties'!$A$2:$B$107,2,FALSE),100)</f>
        <v>100</v>
      </c>
    </row>
    <row r="159" spans="1:6" x14ac:dyDescent="0.35">
      <c r="A159" s="148" t="str">
        <f>'Unique Storage Objects'!A159</f>
        <v>Pedrogao</v>
      </c>
      <c r="B159" s="124" t="str">
        <f>IFERROR(VLOOKUP(A159,Generators!$AG$2:$BB$131,5,FALSE),"")</f>
        <v/>
      </c>
      <c r="C159" s="124" t="str">
        <f>IFERROR(VLOOKUP(A159,Generators!$AG$2:$BB$131,18,FALSE),"")</f>
        <v/>
      </c>
      <c r="E159" s="159" t="e">
        <f ca="1">OFFSET(INDIRECT(CELL("address",INDEX('Generator-Storage Assignment'!$B$2:$B$107,MATCH(A159,'Generator-Storage Assignment'!$B$2:$B$107,0),1))),0,-1)</f>
        <v>#N/A</v>
      </c>
      <c r="F159" s="159">
        <f ca="1">IFERROR(VLOOKUP(E159,'Unique Generator Properties'!$A$2:$B$107,2,FALSE),100)</f>
        <v>100</v>
      </c>
    </row>
    <row r="160" spans="1:6" x14ac:dyDescent="0.35">
      <c r="A160" s="148" t="str">
        <f>'Unique Storage Objects'!A160</f>
        <v>Ciunget_lower</v>
      </c>
      <c r="B160" s="124" t="str">
        <f>IFERROR(VLOOKUP(A160,Generators!$AG$2:$BB$131,5,FALSE),"")</f>
        <v/>
      </c>
      <c r="C160" s="124" t="str">
        <f>IFERROR(VLOOKUP(A160,Generators!$AG$2:$BB$131,18,FALSE),"")</f>
        <v/>
      </c>
      <c r="E160" s="159" t="e">
        <f ca="1">OFFSET(INDIRECT(CELL("address",INDEX('Generator-Storage Assignment'!$B$2:$B$107,MATCH(A160,'Generator-Storage Assignment'!$B$2:$B$107,0),1))),0,-1)</f>
        <v>#N/A</v>
      </c>
      <c r="F160" s="159">
        <f ca="1">IFERROR(VLOOKUP(E160,'Unique Generator Properties'!$A$2:$B$107,2,FALSE),100)</f>
        <v>100</v>
      </c>
    </row>
    <row r="161" spans="1:6" x14ac:dyDescent="0.35">
      <c r="A161" s="148" t="str">
        <f>'Unique Storage Objects'!A161</f>
        <v>Silz_lower</v>
      </c>
      <c r="B161" s="124" t="str">
        <f>IFERROR(VLOOKUP(A161,Generators!$AG$2:$BB$131,5,FALSE),"")</f>
        <v/>
      </c>
      <c r="C161" s="124" t="str">
        <f>IFERROR(VLOOKUP(A161,Generators!$AG$2:$BB$131,18,FALSE),"")</f>
        <v/>
      </c>
      <c r="E161" s="159" t="e">
        <f ca="1">OFFSET(INDIRECT(CELL("address",INDEX('Generator-Storage Assignment'!$B$2:$B$107,MATCH(A161,'Generator-Storage Assignment'!$B$2:$B$107,0),1))),0,-1)</f>
        <v>#N/A</v>
      </c>
      <c r="F161" s="159">
        <f ca="1">IFERROR(VLOOKUP(E161,'Unique Generator Properties'!$A$2:$B$107,2,FALSE),100)</f>
        <v>100</v>
      </c>
    </row>
    <row r="162" spans="1:6" x14ac:dyDescent="0.35">
      <c r="A162" s="148" t="str">
        <f>'Unique Storage Objects'!A162</f>
        <v>Anapo lower reservoir</v>
      </c>
      <c r="B162" s="124" t="str">
        <f>IFERROR(VLOOKUP(A162,Generators!$AG$2:$BB$131,5,FALSE),"")</f>
        <v/>
      </c>
      <c r="C162" s="124" t="str">
        <f>IFERROR(VLOOKUP(A162,Generators!$AG$2:$BB$131,18,FALSE),"")</f>
        <v/>
      </c>
      <c r="E162" s="159" t="e">
        <f ca="1">OFFSET(INDIRECT(CELL("address",INDEX('Generator-Storage Assignment'!$B$2:$B$107,MATCH(A162,'Generator-Storage Assignment'!$B$2:$B$107,0),1))),0,-1)</f>
        <v>#N/A</v>
      </c>
      <c r="F162" s="159">
        <f ca="1">IFERROR(VLOOKUP(E162,'Unique Generator Properties'!$A$2:$B$107,2,FALSE),100)</f>
        <v>100</v>
      </c>
    </row>
    <row r="163" spans="1:6" x14ac:dyDescent="0.35">
      <c r="A163" s="148" t="str">
        <f>'Unique Storage Objects'!A163</f>
        <v>Miedzybrodzie</v>
      </c>
      <c r="B163" s="124" t="str">
        <f>IFERROR(VLOOKUP(A163,Generators!$AG$2:$BB$131,5,FALSE),"")</f>
        <v/>
      </c>
      <c r="C163" s="124" t="str">
        <f>IFERROR(VLOOKUP(A163,Generators!$AG$2:$BB$131,18,FALSE),"")</f>
        <v/>
      </c>
      <c r="E163" s="159" t="e">
        <f ca="1">OFFSET(INDIRECT(CELL("address",INDEX('Generator-Storage Assignment'!$B$2:$B$107,MATCH(A163,'Generator-Storage Assignment'!$B$2:$B$107,0),1))),0,-1)</f>
        <v>#N/A</v>
      </c>
      <c r="F163" s="159">
        <f ca="1">IFERROR(VLOOKUP(E163,'Unique Generator Properties'!$A$2:$B$107,2,FALSE),100)</f>
        <v>100</v>
      </c>
    </row>
    <row r="164" spans="1:6" x14ac:dyDescent="0.35">
      <c r="A164" s="148" t="str">
        <f>'Unique Storage Objects'!A164</f>
        <v>Rodund</v>
      </c>
      <c r="B164" s="124" t="str">
        <f>IFERROR(VLOOKUP(A164,Generators!$AG$2:$BB$131,5,FALSE),"")</f>
        <v/>
      </c>
      <c r="C164" s="124" t="str">
        <f>IFERROR(VLOOKUP(A164,Generators!$AG$2:$BB$131,18,FALSE),"")</f>
        <v/>
      </c>
      <c r="E164" s="159" t="e">
        <f ca="1">OFFSET(INDIRECT(CELL("address",INDEX('Generator-Storage Assignment'!$B$2:$B$107,MATCH(A164,'Generator-Storage Assignment'!$B$2:$B$107,0),1))),0,-1)</f>
        <v>#N/A</v>
      </c>
      <c r="F164" s="159">
        <f ca="1">IFERROR(VLOOKUP(E164,'Unique Generator Properties'!$A$2:$B$107,2,FALSE),100)</f>
        <v>100</v>
      </c>
    </row>
    <row r="165" spans="1:6" x14ac:dyDescent="0.35">
      <c r="A165" s="148" t="str">
        <f>'Unique Storage Objects'!A165</f>
        <v>Zakucac _lower</v>
      </c>
      <c r="B165" s="124" t="str">
        <f>IFERROR(VLOOKUP(A165,Generators!$AG$2:$BB$131,5,FALSE),"")</f>
        <v/>
      </c>
      <c r="C165" s="124" t="str">
        <f>IFERROR(VLOOKUP(A165,Generators!$AG$2:$BB$131,18,FALSE),"")</f>
        <v/>
      </c>
      <c r="E165" s="159" t="e">
        <f ca="1">OFFSET(INDIRECT(CELL("address",INDEX('Generator-Storage Assignment'!$B$2:$B$107,MATCH(A165,'Generator-Storage Assignment'!$B$2:$B$107,0),1))),0,-1)</f>
        <v>#N/A</v>
      </c>
      <c r="F165" s="159">
        <f ca="1">IFERROR(VLOOKUP(E165,'Unique Generator Properties'!$A$2:$B$107,2,FALSE),100)</f>
        <v>100</v>
      </c>
    </row>
    <row r="166" spans="1:6" x14ac:dyDescent="0.35">
      <c r="A166" s="148" t="str">
        <f>'Unique Storage Objects'!A166</f>
        <v>Rana_lower</v>
      </c>
      <c r="B166" s="124" t="str">
        <f>IFERROR(VLOOKUP(A166,Generators!$AG$2:$BB$131,5,FALSE),"")</f>
        <v/>
      </c>
      <c r="C166" s="124" t="str">
        <f>IFERROR(VLOOKUP(A166,Generators!$AG$2:$BB$131,18,FALSE),"")</f>
        <v/>
      </c>
      <c r="E166" s="159" t="e">
        <f ca="1">OFFSET(INDIRECT(CELL("address",INDEX('Generator-Storage Assignment'!$B$2:$B$107,MATCH(A166,'Generator-Storage Assignment'!$B$2:$B$107,0),1))),0,-1)</f>
        <v>#N/A</v>
      </c>
      <c r="F166" s="159">
        <f ca="1">IFERROR(VLOOKUP(E166,'Unique Generator Properties'!$A$2:$B$107,2,FALSE),100)</f>
        <v>100</v>
      </c>
    </row>
    <row r="167" spans="1:6" x14ac:dyDescent="0.35">
      <c r="A167" s="148" t="str">
        <f>'Unique Storage Objects'!A167</f>
        <v>Affoldener See</v>
      </c>
      <c r="B167" s="124" t="str">
        <f>IFERROR(VLOOKUP(A167,Generators!$AG$2:$BB$131,5,FALSE),"")</f>
        <v/>
      </c>
      <c r="C167" s="124" t="str">
        <f>IFERROR(VLOOKUP(A167,Generators!$AG$2:$BB$131,18,FALSE),"")</f>
        <v/>
      </c>
      <c r="E167" s="159" t="e">
        <f ca="1">OFFSET(INDIRECT(CELL("address",INDEX('Generator-Storage Assignment'!$B$2:$B$107,MATCH(A167,'Generator-Storage Assignment'!$B$2:$B$107,0),1))),0,-1)</f>
        <v>#N/A</v>
      </c>
      <c r="F167" s="159">
        <f ca="1">IFERROR(VLOOKUP(E167,'Unique Generator Properties'!$A$2:$B$107,2,FALSE),100)</f>
        <v>100</v>
      </c>
    </row>
    <row r="168" spans="1:6" x14ac:dyDescent="0.35">
      <c r="A168" s="148" t="str">
        <f>'Unique Storage Objects'!A168</f>
        <v>Cedillo_lower</v>
      </c>
      <c r="B168" s="124" t="str">
        <f>IFERROR(VLOOKUP(A168,Generators!$AG$2:$BB$131,5,FALSE),"")</f>
        <v/>
      </c>
      <c r="C168" s="124" t="str">
        <f>IFERROR(VLOOKUP(A168,Generators!$AG$2:$BB$131,18,FALSE),"")</f>
        <v/>
      </c>
      <c r="E168" s="159" t="e">
        <f ca="1">OFFSET(INDIRECT(CELL("address",INDEX('Generator-Storage Assignment'!$B$2:$B$107,MATCH(A168,'Generator-Storage Assignment'!$B$2:$B$107,0),1))),0,-1)</f>
        <v>#N/A</v>
      </c>
      <c r="F168" s="159">
        <f ca="1">IFERROR(VLOOKUP(E168,'Unique Generator Properties'!$A$2:$B$107,2,FALSE),100)</f>
        <v>100</v>
      </c>
    </row>
    <row r="169" spans="1:6" x14ac:dyDescent="0.35">
      <c r="A169" s="148" t="str">
        <f>'Unique Storage Objects'!A169</f>
        <v>Porjus_lower</v>
      </c>
      <c r="B169" s="124" t="str">
        <f>IFERROR(VLOOKUP(A169,Generators!$AG$2:$BB$131,5,FALSE),"")</f>
        <v/>
      </c>
      <c r="C169" s="124" t="str">
        <f>IFERROR(VLOOKUP(A169,Generators!$AG$2:$BB$131,18,FALSE),"")</f>
        <v/>
      </c>
      <c r="E169" s="159" t="e">
        <f ca="1">OFFSET(INDIRECT(CELL("address",INDEX('Generator-Storage Assignment'!$B$2:$B$107,MATCH(A169,'Generator-Storage Assignment'!$B$2:$B$107,0),1))),0,-1)</f>
        <v>#N/A</v>
      </c>
      <c r="F169" s="159">
        <f ca="1">IFERROR(VLOOKUP(E169,'Unique Generator Properties'!$A$2:$B$107,2,FALSE),100)</f>
        <v>100</v>
      </c>
    </row>
    <row r="170" spans="1:6" x14ac:dyDescent="0.35">
      <c r="A170" s="148" t="str">
        <f>'Unique Storage Objects'!A170</f>
        <v>Messaure_lower</v>
      </c>
      <c r="B170" s="124" t="str">
        <f>IFERROR(VLOOKUP(A170,Generators!$AG$2:$BB$131,5,FALSE),"")</f>
        <v/>
      </c>
      <c r="C170" s="124" t="str">
        <f>IFERROR(VLOOKUP(A170,Generators!$AG$2:$BB$131,18,FALSE),"")</f>
        <v/>
      </c>
      <c r="E170" s="159" t="e">
        <f ca="1">OFFSET(INDIRECT(CELL("address",INDEX('Generator-Storage Assignment'!$B$2:$B$107,MATCH(A170,'Generator-Storage Assignment'!$B$2:$B$107,0),1))),0,-1)</f>
        <v>#N/A</v>
      </c>
      <c r="F170" s="159">
        <f ca="1">IFERROR(VLOOKUP(E170,'Unique Generator Properties'!$A$2:$B$107,2,FALSE),100)</f>
        <v>100</v>
      </c>
    </row>
    <row r="171" spans="1:6" x14ac:dyDescent="0.35">
      <c r="A171" s="148" t="str">
        <f>'Unique Storage Objects'!A171</f>
        <v>Cheylas</v>
      </c>
      <c r="B171" s="124" t="str">
        <f>IFERROR(VLOOKUP(A171,Generators!$AG$2:$BB$131,5,FALSE),"")</f>
        <v/>
      </c>
      <c r="C171" s="124" t="str">
        <f>IFERROR(VLOOKUP(A171,Generators!$AG$2:$BB$131,18,FALSE),"")</f>
        <v/>
      </c>
      <c r="E171" s="159" t="e">
        <f ca="1">OFFSET(INDIRECT(CELL("address",INDEX('Generator-Storage Assignment'!$B$2:$B$107,MATCH(A171,'Generator-Storage Assignment'!$B$2:$B$107,0),1))),0,-1)</f>
        <v>#N/A</v>
      </c>
      <c r="F171" s="159">
        <f ca="1">IFERROR(VLOOKUP(E171,'Unique Generator Properties'!$A$2:$B$107,2,FALSE),100)</f>
        <v>100</v>
      </c>
    </row>
    <row r="172" spans="1:6" x14ac:dyDescent="0.35">
      <c r="A172" s="148" t="str">
        <f>'Unique Storage Objects'!A172</f>
        <v>Letsi_lower</v>
      </c>
      <c r="B172" s="124" t="str">
        <f>IFERROR(VLOOKUP(A172,Generators!$AG$2:$BB$131,5,FALSE),"")</f>
        <v/>
      </c>
      <c r="C172" s="124" t="str">
        <f>IFERROR(VLOOKUP(A172,Generators!$AG$2:$BB$131,18,FALSE),"")</f>
        <v/>
      </c>
      <c r="E172" s="159" t="e">
        <f ca="1">OFFSET(INDIRECT(CELL("address",INDEX('Generator-Storage Assignment'!$B$2:$B$107,MATCH(A172,'Generator-Storage Assignment'!$B$2:$B$107,0),1))),0,-1)</f>
        <v>#N/A</v>
      </c>
      <c r="F172" s="159">
        <f ca="1">IFERROR(VLOOKUP(E172,'Unique Generator Properties'!$A$2:$B$107,2,FALSE),100)</f>
        <v>100</v>
      </c>
    </row>
    <row r="173" spans="1:6" x14ac:dyDescent="0.35">
      <c r="A173" s="148" t="str">
        <f>'Unique Storage Objects'!A173</f>
        <v>Mohelno</v>
      </c>
      <c r="B173" s="124" t="str">
        <f>IFERROR(VLOOKUP(A173,Generators!$AG$2:$BB$131,5,FALSE),"")</f>
        <v/>
      </c>
      <c r="C173" s="124" t="str">
        <f>IFERROR(VLOOKUP(A173,Generators!$AG$2:$BB$131,18,FALSE),"")</f>
        <v/>
      </c>
      <c r="E173" s="159" t="e">
        <f ca="1">OFFSET(INDIRECT(CELL("address",INDEX('Generator-Storage Assignment'!$B$2:$B$107,MATCH(A173,'Generator-Storage Assignment'!$B$2:$B$107,0),1))),0,-1)</f>
        <v>#N/A</v>
      </c>
      <c r="F173" s="159">
        <f ca="1">IFERROR(VLOOKUP(E173,'Unique Generator Properties'!$A$2:$B$107,2,FALSE),100)</f>
        <v>100</v>
      </c>
    </row>
    <row r="174" spans="1:6" x14ac:dyDescent="0.35">
      <c r="A174" s="148" t="str">
        <f>'Unique Storage Objects'!A174</f>
        <v>Piaganini</v>
      </c>
      <c r="B174" s="124" t="str">
        <f>IFERROR(VLOOKUP(A174,Generators!$AG$2:$BB$131,5,FALSE),"")</f>
        <v/>
      </c>
      <c r="C174" s="124" t="str">
        <f>IFERROR(VLOOKUP(A174,Generators!$AG$2:$BB$131,18,FALSE),"")</f>
        <v/>
      </c>
      <c r="E174" s="159" t="e">
        <f ca="1">OFFSET(INDIRECT(CELL("address",INDEX('Generator-Storage Assignment'!$B$2:$B$107,MATCH(A174,'Generator-Storage Assignment'!$B$2:$B$107,0),1))),0,-1)</f>
        <v>#N/A</v>
      </c>
      <c r="F174" s="159">
        <f ca="1">IFERROR(VLOOKUP(E174,'Unique Generator Properties'!$A$2:$B$107,2,FALSE),100)</f>
        <v>100</v>
      </c>
    </row>
    <row r="175" spans="1:6" x14ac:dyDescent="0.35">
      <c r="A175" s="148" t="str">
        <f>'Unique Storage Objects'!A175</f>
        <v>Sallente</v>
      </c>
      <c r="B175" s="124" t="str">
        <f>IFERROR(VLOOKUP(A175,Generators!$AG$2:$BB$131,5,FALSE),"")</f>
        <v/>
      </c>
      <c r="C175" s="124" t="str">
        <f>IFERROR(VLOOKUP(A175,Generators!$AG$2:$BB$131,18,FALSE),"")</f>
        <v/>
      </c>
      <c r="E175" s="159" t="e">
        <f ca="1">OFFSET(INDIRECT(CELL("address",INDEX('Generator-Storage Assignment'!$B$2:$B$107,MATCH(A175,'Generator-Storage Assignment'!$B$2:$B$107,0),1))),0,-1)</f>
        <v>#N/A</v>
      </c>
      <c r="F175" s="159">
        <f ca="1">IFERROR(VLOOKUP(E175,'Unique Generator Properties'!$A$2:$B$107,2,FALSE),100)</f>
        <v>100</v>
      </c>
    </row>
    <row r="176" spans="1:6" x14ac:dyDescent="0.35">
      <c r="A176" s="148" t="str">
        <f>'Unique Storage Objects'!A176</f>
        <v>Picote I + II_lower</v>
      </c>
      <c r="B176" s="124" t="str">
        <f>IFERROR(VLOOKUP(A176,Generators!$AG$2:$BB$131,5,FALSE),"")</f>
        <v/>
      </c>
      <c r="C176" s="124" t="str">
        <f>IFERROR(VLOOKUP(A176,Generators!$AG$2:$BB$131,18,FALSE),"")</f>
        <v/>
      </c>
      <c r="E176" s="159" t="e">
        <f ca="1">OFFSET(INDIRECT(CELL("address",INDEX('Generator-Storage Assignment'!$B$2:$B$107,MATCH(A176,'Generator-Storage Assignment'!$B$2:$B$107,0),1))),0,-1)</f>
        <v>#N/A</v>
      </c>
      <c r="F176" s="159">
        <f ca="1">IFERROR(VLOOKUP(E176,'Unique Generator Properties'!$A$2:$B$107,2,FALSE),100)</f>
        <v>100</v>
      </c>
    </row>
    <row r="177" spans="1:6" x14ac:dyDescent="0.35">
      <c r="A177" s="148" t="str">
        <f>'Unique Storage Objects'!A177</f>
        <v>Tierfehd</v>
      </c>
      <c r="B177" s="124" t="str">
        <f>IFERROR(VLOOKUP(A177,Generators!$AG$2:$BB$131,5,FALSE),"")</f>
        <v/>
      </c>
      <c r="C177" s="124" t="str">
        <f>IFERROR(VLOOKUP(A177,Generators!$AG$2:$BB$131,18,FALSE),"")</f>
        <v/>
      </c>
      <c r="E177" s="159" t="e">
        <f ca="1">OFFSET(INDIRECT(CELL("address",INDEX('Generator-Storage Assignment'!$B$2:$B$107,MATCH(A177,'Generator-Storage Assignment'!$B$2:$B$107,0),1))),0,-1)</f>
        <v>#N/A</v>
      </c>
      <c r="F177" s="159">
        <f ca="1">IFERROR(VLOOKUP(E177,'Unique Generator Properties'!$A$2:$B$107,2,FALSE),100)</f>
        <v>100</v>
      </c>
    </row>
    <row r="178" spans="1:6" x14ac:dyDescent="0.35">
      <c r="A178" s="148" t="str">
        <f>'Unique Storage Objects'!A178</f>
        <v>Pouget_lower</v>
      </c>
      <c r="B178" s="124" t="str">
        <f>IFERROR(VLOOKUP(A178,Generators!$AG$2:$BB$131,5,FALSE),"")</f>
        <v/>
      </c>
      <c r="C178" s="124" t="str">
        <f>IFERROR(VLOOKUP(A178,Generators!$AG$2:$BB$131,18,FALSE),"")</f>
        <v/>
      </c>
      <c r="E178" s="159" t="e">
        <f ca="1">OFFSET(INDIRECT(CELL("address",INDEX('Generator-Storage Assignment'!$B$2:$B$107,MATCH(A178,'Generator-Storage Assignment'!$B$2:$B$107,0),1))),0,-1)</f>
        <v>#N/A</v>
      </c>
      <c r="F178" s="159">
        <f ca="1">IFERROR(VLOOKUP(E178,'Unique Generator Properties'!$A$2:$B$107,2,FALSE),100)</f>
        <v>100</v>
      </c>
    </row>
    <row r="179" spans="1:6" x14ac:dyDescent="0.35">
      <c r="A179" s="148" t="str">
        <f>'Unique Storage Objects'!A179</f>
        <v>Kremasta_lower</v>
      </c>
      <c r="B179" s="124" t="str">
        <f>IFERROR(VLOOKUP(A179,Generators!$AG$2:$BB$131,5,FALSE),"")</f>
        <v/>
      </c>
      <c r="C179" s="124" t="str">
        <f>IFERROR(VLOOKUP(A179,Generators!$AG$2:$BB$131,18,FALSE),"")</f>
        <v/>
      </c>
      <c r="E179" s="159" t="e">
        <f ca="1">OFFSET(INDIRECT(CELL("address",INDEX('Generator-Storage Assignment'!$B$2:$B$107,MATCH(A179,'Generator-Storage Assignment'!$B$2:$B$107,0),1))),0,-1)</f>
        <v>#N/A</v>
      </c>
      <c r="F179" s="159">
        <f ca="1">IFERROR(VLOOKUP(E179,'Unique Generator Properties'!$A$2:$B$107,2,FALSE),100)</f>
        <v>100</v>
      </c>
    </row>
    <row r="180" spans="1:6" x14ac:dyDescent="0.35">
      <c r="A180" s="148" t="str">
        <f>'Unique Storage Objects'!A180</f>
        <v>Bandak</v>
      </c>
      <c r="B180" s="124" t="str">
        <f>IFERROR(VLOOKUP(A180,Generators!$AG$2:$BB$131,5,FALSE),"")</f>
        <v/>
      </c>
      <c r="C180" s="124" t="str">
        <f>IFERROR(VLOOKUP(A180,Generators!$AG$2:$BB$131,18,FALSE),"")</f>
        <v/>
      </c>
      <c r="E180" s="159" t="e">
        <f ca="1">OFFSET(INDIRECT(CELL("address",INDEX('Generator-Storage Assignment'!$B$2:$B$107,MATCH(A180,'Generator-Storage Assignment'!$B$2:$B$107,0),1))),0,-1)</f>
        <v>#N/A</v>
      </c>
      <c r="F180" s="159">
        <f ca="1">IFERROR(VLOOKUP(E180,'Unique Generator Properties'!$A$2:$B$107,2,FALSE),100)</f>
        <v>100</v>
      </c>
    </row>
    <row r="181" spans="1:6" x14ac:dyDescent="0.35">
      <c r="A181" s="148" t="str">
        <f>'Unique Storage Objects'!A181</f>
        <v>Bemposta_lower</v>
      </c>
      <c r="B181" s="124" t="str">
        <f>IFERROR(VLOOKUP(A181,Generators!$AG$2:$BB$131,5,FALSE),"")</f>
        <v/>
      </c>
      <c r="C181" s="124" t="str">
        <f>IFERROR(VLOOKUP(A181,Generators!$AG$2:$BB$131,18,FALSE),"")</f>
        <v/>
      </c>
      <c r="E181" s="159" t="e">
        <f ca="1">OFFSET(INDIRECT(CELL("address",INDEX('Generator-Storage Assignment'!$B$2:$B$107,MATCH(A181,'Generator-Storage Assignment'!$B$2:$B$107,0),1))),0,-1)</f>
        <v>#N/A</v>
      </c>
      <c r="F181" s="159">
        <f ca="1">IFERROR(VLOOKUP(E181,'Unique Generator Properties'!$A$2:$B$107,2,FALSE),100)</f>
        <v>100</v>
      </c>
    </row>
    <row r="182" spans="1:6" x14ac:dyDescent="0.35">
      <c r="A182" s="148" t="str">
        <f>'Unique Storage Objects'!A182</f>
        <v>Grosio_lower</v>
      </c>
      <c r="B182" s="124" t="str">
        <f>IFERROR(VLOOKUP(A182,Generators!$AG$2:$BB$131,5,FALSE),"")</f>
        <v/>
      </c>
      <c r="C182" s="124" t="str">
        <f>IFERROR(VLOOKUP(A182,Generators!$AG$2:$BB$131,18,FALSE),"")</f>
        <v/>
      </c>
      <c r="E182" s="159" t="e">
        <f ca="1">OFFSET(INDIRECT(CELL("address",INDEX('Generator-Storage Assignment'!$B$2:$B$107,MATCH(A182,'Generator-Storage Assignment'!$B$2:$B$107,0),1))),0,-1)</f>
        <v>#N/A</v>
      </c>
      <c r="F182" s="159">
        <f ca="1">IFERROR(VLOOKUP(E182,'Unique Generator Properties'!$A$2:$B$107,2,FALSE),100)</f>
        <v>100</v>
      </c>
    </row>
    <row r="183" spans="1:6" x14ac:dyDescent="0.35">
      <c r="A183" s="148" t="str">
        <f>'Unique Storage Objects'!A183</f>
        <v>Genissiat_lower</v>
      </c>
      <c r="B183" s="124" t="str">
        <f>IFERROR(VLOOKUP(A183,Generators!$AG$2:$BB$131,5,FALSE),"")</f>
        <v/>
      </c>
      <c r="C183" s="124" t="str">
        <f>IFERROR(VLOOKUP(A183,Generators!$AG$2:$BB$131,18,FALSE),"")</f>
        <v/>
      </c>
      <c r="E183" s="159" t="e">
        <f ca="1">OFFSET(INDIRECT(CELL("address",INDEX('Generator-Storage Assignment'!$B$2:$B$107,MATCH(A183,'Generator-Storage Assignment'!$B$2:$B$107,0),1))),0,-1)</f>
        <v>#N/A</v>
      </c>
      <c r="F183" s="159">
        <f ca="1">IFERROR(VLOOKUP(E183,'Unique Generator Properties'!$A$2:$B$107,2,FALSE),100)</f>
        <v>100</v>
      </c>
    </row>
    <row r="184" spans="1:6" x14ac:dyDescent="0.35">
      <c r="A184" s="148" t="str">
        <f>'Unique Storage Objects'!A184</f>
        <v>Loch Awe</v>
      </c>
      <c r="B184" s="124" t="str">
        <f>IFERROR(VLOOKUP(A184,Generators!$AG$2:$BB$131,5,FALSE),"")</f>
        <v/>
      </c>
      <c r="C184" s="124" t="str">
        <f>IFERROR(VLOOKUP(A184,Generators!$AG$2:$BB$131,18,FALSE),"")</f>
        <v/>
      </c>
      <c r="E184" s="159" t="e">
        <f ca="1">OFFSET(INDIRECT(CELL("address",INDEX('Generator-Storage Assignment'!$B$2:$B$107,MATCH(A184,'Generator-Storage Assignment'!$B$2:$B$107,0),1))),0,-1)</f>
        <v>#N/A</v>
      </c>
      <c r="F184" s="159">
        <f ca="1">IFERROR(VLOOKUP(E184,'Unique Generator Properties'!$A$2:$B$107,2,FALSE),100)</f>
        <v>100</v>
      </c>
    </row>
    <row r="185" spans="1:6" x14ac:dyDescent="0.35">
      <c r="A185" s="148" t="str">
        <f>'Unique Storage Objects'!A185</f>
        <v>Kaunertal_lower</v>
      </c>
      <c r="B185" s="124" t="str">
        <f>IFERROR(VLOOKUP(A185,Generators!$AG$2:$BB$131,5,FALSE),"")</f>
        <v/>
      </c>
      <c r="C185" s="124" t="str">
        <f>IFERROR(VLOOKUP(A185,Generators!$AG$2:$BB$131,18,FALSE),"")</f>
        <v/>
      </c>
      <c r="E185" s="159" t="e">
        <f ca="1">OFFSET(INDIRECT(CELL("address",INDEX('Generator-Storage Assignment'!$B$2:$B$107,MATCH(A185,'Generator-Storage Assignment'!$B$2:$B$107,0),1))),0,-1)</f>
        <v>#N/A</v>
      </c>
      <c r="F185" s="159">
        <f ca="1">IFERROR(VLOOKUP(E185,'Unique Generator Properties'!$A$2:$B$107,2,FALSE),100)</f>
        <v>100</v>
      </c>
    </row>
    <row r="186" spans="1:6" x14ac:dyDescent="0.35">
      <c r="A186" s="148" t="str">
        <f>'Unique Storage Objects'!A186</f>
        <v>Nendaz_lower</v>
      </c>
      <c r="B186" s="124" t="str">
        <f>IFERROR(VLOOKUP(A186,Generators!$AG$2:$BB$131,5,FALSE),"")</f>
        <v/>
      </c>
      <c r="C186" s="124" t="str">
        <f>IFERROR(VLOOKUP(A186,Generators!$AG$2:$BB$131,18,FALSE),"")</f>
        <v/>
      </c>
      <c r="E186" s="159" t="e">
        <f ca="1">OFFSET(INDIRECT(CELL("address",INDEX('Generator-Storage Assignment'!$B$2:$B$107,MATCH(A186,'Generator-Storage Assignment'!$B$2:$B$107,0),1))),0,-1)</f>
        <v>#N/A</v>
      </c>
      <c r="F186" s="159">
        <f ca="1">IFERROR(VLOOKUP(E186,'Unique Generator Properties'!$A$2:$B$107,2,FALSE),100)</f>
        <v>100</v>
      </c>
    </row>
    <row r="187" spans="1:6" x14ac:dyDescent="0.35">
      <c r="A187" s="148" t="str">
        <f>'Unique Storage Objects'!A187</f>
        <v>Platanovryssi</v>
      </c>
      <c r="B187" s="124" t="str">
        <f>IFERROR(VLOOKUP(A187,Generators!$AG$2:$BB$131,5,FALSE),"")</f>
        <v/>
      </c>
      <c r="C187" s="124" t="str">
        <f>IFERROR(VLOOKUP(A187,Generators!$AG$2:$BB$131,18,FALSE),"")</f>
        <v/>
      </c>
      <c r="E187" s="159" t="e">
        <f ca="1">OFFSET(INDIRECT(CELL("address",INDEX('Generator-Storage Assignment'!$B$2:$B$107,MATCH(A187,'Generator-Storage Assignment'!$B$2:$B$107,0),1))),0,-1)</f>
        <v>#N/A</v>
      </c>
      <c r="F187" s="159">
        <f ca="1">IFERROR(VLOOKUP(E187,'Unique Generator Properties'!$A$2:$B$107,2,FALSE),100)</f>
        <v>100</v>
      </c>
    </row>
    <row r="188" spans="1:6" x14ac:dyDescent="0.35">
      <c r="A188" s="148" t="str">
        <f>'Unique Storage Objects'!A188</f>
        <v>Serre-Poncon_lower</v>
      </c>
      <c r="B188" s="124" t="str">
        <f>IFERROR(VLOOKUP(A188,Generators!$AG$2:$BB$131,5,FALSE),"")</f>
        <v/>
      </c>
      <c r="C188" s="124" t="str">
        <f>IFERROR(VLOOKUP(A188,Generators!$AG$2:$BB$131,18,FALSE),"")</f>
        <v/>
      </c>
      <c r="E188" s="159" t="e">
        <f ca="1">OFFSET(INDIRECT(CELL("address",INDEX('Generator-Storage Assignment'!$B$2:$B$107,MATCH(A188,'Generator-Storage Assignment'!$B$2:$B$107,0),1))),0,-1)</f>
        <v>#N/A</v>
      </c>
      <c r="F188" s="159">
        <f ca="1">IFERROR(VLOOKUP(E188,'Unique Generator Properties'!$A$2:$B$107,2,FALSE),100)</f>
        <v>100</v>
      </c>
    </row>
    <row r="189" spans="1:6" x14ac:dyDescent="0.35">
      <c r="A189" s="148" t="str">
        <f>'Unique Storage Objects'!A189</f>
        <v>Ardalsvatnet</v>
      </c>
      <c r="B189" s="124" t="str">
        <f>IFERROR(VLOOKUP(A189,Generators!$AG$2:$BB$131,5,FALSE),"")</f>
        <v/>
      </c>
      <c r="C189" s="124" t="str">
        <f>IFERROR(VLOOKUP(A189,Generators!$AG$2:$BB$131,18,FALSE),"")</f>
        <v/>
      </c>
      <c r="E189" s="159" t="e">
        <f ca="1">OFFSET(INDIRECT(CELL("address",INDEX('Generator-Storage Assignment'!$B$2:$B$107,MATCH(A189,'Generator-Storage Assignment'!$B$2:$B$107,0),1))),0,-1)</f>
        <v>#N/A</v>
      </c>
      <c r="F189" s="159">
        <f ca="1">IFERROR(VLOOKUP(E189,'Unique Generator Properties'!$A$2:$B$107,2,FALSE),100)</f>
        <v>100</v>
      </c>
    </row>
    <row r="190" spans="1:6" x14ac:dyDescent="0.35">
      <c r="A190" s="148" t="str">
        <f>'Unique Storage Objects'!A190</f>
        <v>Tajo de la Encantada</v>
      </c>
      <c r="B190" s="124" t="str">
        <f>IFERROR(VLOOKUP(A190,Generators!$AG$2:$BB$131,5,FALSE),"")</f>
        <v/>
      </c>
      <c r="C190" s="124" t="str">
        <f>IFERROR(VLOOKUP(A190,Generators!$AG$2:$BB$131,18,FALSE),"")</f>
        <v/>
      </c>
      <c r="E190" s="159" t="e">
        <f ca="1">OFFSET(INDIRECT(CELL("address",INDEX('Generator-Storage Assignment'!$B$2:$B$107,MATCH(A190,'Generator-Storage Assignment'!$B$2:$B$107,0),1))),0,-1)</f>
        <v>#N/A</v>
      </c>
      <c r="F190" s="159">
        <f ca="1">IFERROR(VLOOKUP(E190,'Unique Generator Properties'!$A$2:$B$107,2,FALSE),100)</f>
        <v>100</v>
      </c>
    </row>
    <row r="191" spans="1:6" x14ac:dyDescent="0.35">
      <c r="A191" s="148" t="str">
        <f>'Unique Storage Objects'!A191</f>
        <v>Miranda_lower</v>
      </c>
      <c r="B191" s="124" t="str">
        <f>IFERROR(VLOOKUP(A191,Generators!$AG$2:$BB$131,5,FALSE),"")</f>
        <v/>
      </c>
      <c r="C191" s="124" t="str">
        <f>IFERROR(VLOOKUP(A191,Generators!$AG$2:$BB$131,18,FALSE),"")</f>
        <v/>
      </c>
      <c r="E191" s="159" t="e">
        <f ca="1">OFFSET(INDIRECT(CELL("address",INDEX('Generator-Storage Assignment'!$B$2:$B$107,MATCH(A191,'Generator-Storage Assignment'!$B$2:$B$107,0),1))),0,-1)</f>
        <v>#N/A</v>
      </c>
      <c r="F191" s="159">
        <f ca="1">IFERROR(VLOOKUP(E191,'Unique Generator Properties'!$A$2:$B$107,2,FALSE),100)</f>
        <v>100</v>
      </c>
    </row>
    <row r="192" spans="1:6" x14ac:dyDescent="0.35">
      <c r="A192" s="148" t="str">
        <f>'Unique Storage Objects'!A192</f>
        <v>Orlik_lower</v>
      </c>
      <c r="B192" s="124" t="str">
        <f>IFERROR(VLOOKUP(A192,Generators!$AG$2:$BB$131,5,FALSE),"")</f>
        <v/>
      </c>
      <c r="C192" s="124" t="str">
        <f>IFERROR(VLOOKUP(A192,Generators!$AG$2:$BB$131,18,FALSE),"")</f>
        <v/>
      </c>
      <c r="E192" s="159" t="e">
        <f ca="1">OFFSET(INDIRECT(CELL("address",INDEX('Generator-Storage Assignment'!$B$2:$B$107,MATCH(A192,'Generator-Storage Assignment'!$B$2:$B$107,0),1))),0,-1)</f>
        <v>#N/A</v>
      </c>
      <c r="F192" s="159">
        <f ca="1">IFERROR(VLOOKUP(E192,'Unique Generator Properties'!$A$2:$B$107,2,FALSE),100)</f>
        <v>100</v>
      </c>
    </row>
    <row r="193" spans="1:6" x14ac:dyDescent="0.35">
      <c r="A193" s="148" t="str">
        <f>'Unique Storage Objects'!A193</f>
        <v>Monteynard_lower</v>
      </c>
      <c r="B193" s="124" t="str">
        <f>IFERROR(VLOOKUP(A193,Generators!$AG$2:$BB$131,5,FALSE),"")</f>
        <v/>
      </c>
      <c r="C193" s="124" t="str">
        <f>IFERROR(VLOOKUP(A193,Generators!$AG$2:$BB$131,18,FALSE),"")</f>
        <v/>
      </c>
      <c r="E193" s="159" t="e">
        <f ca="1">OFFSET(INDIRECT(CELL("address",INDEX('Generator-Storage Assignment'!$B$2:$B$107,MATCH(A193,'Generator-Storage Assignment'!$B$2:$B$107,0),1))),0,-1)</f>
        <v>#N/A</v>
      </c>
      <c r="F193" s="159">
        <f ca="1">IFERROR(VLOOKUP(E193,'Unique Generator Properties'!$A$2:$B$107,2,FALSE),100)</f>
        <v>100</v>
      </c>
    </row>
    <row r="194" spans="1:6" x14ac:dyDescent="0.35">
      <c r="A194" s="148" t="str">
        <f>'Unique Storage Objects'!A194</f>
        <v>Stillup</v>
      </c>
      <c r="B194" s="124" t="str">
        <f>IFERROR(VLOOKUP(A194,Generators!$AG$2:$BB$131,5,FALSE),"")</f>
        <v/>
      </c>
      <c r="C194" s="124" t="str">
        <f>IFERROR(VLOOKUP(A194,Generators!$AG$2:$BB$131,18,FALSE),"")</f>
        <v/>
      </c>
      <c r="E194" s="159" t="e">
        <f ca="1">OFFSET(INDIRECT(CELL("address",INDEX('Generator-Storage Assignment'!$B$2:$B$107,MATCH(A194,'Generator-Storage Assignment'!$B$2:$B$107,0),1))),0,-1)</f>
        <v>#N/A</v>
      </c>
      <c r="F194" s="159">
        <f ca="1">IFERROR(VLOOKUP(E194,'Unique Generator Properties'!$A$2:$B$107,2,FALSE),100)</f>
        <v>100</v>
      </c>
    </row>
    <row r="195" spans="1:6" x14ac:dyDescent="0.35">
      <c r="A195" s="148" t="str">
        <f>'Unique Storage Objects'!A195</f>
        <v>Villarodin_lower</v>
      </c>
      <c r="B195" s="124" t="str">
        <f>IFERROR(VLOOKUP(A195,Generators!$AG$2:$BB$131,5,FALSE),"")</f>
        <v/>
      </c>
      <c r="C195" s="124" t="str">
        <f>IFERROR(VLOOKUP(A195,Generators!$AG$2:$BB$131,18,FALSE),"")</f>
        <v/>
      </c>
      <c r="E195" s="159" t="e">
        <f ca="1">OFFSET(INDIRECT(CELL("address",INDEX('Generator-Storage Assignment'!$B$2:$B$107,MATCH(A195,'Generator-Storage Assignment'!$B$2:$B$107,0),1))),0,-1)</f>
        <v>#N/A</v>
      </c>
      <c r="F195" s="159">
        <f ca="1">IFERROR(VLOOKUP(E195,'Unique Generator Properties'!$A$2:$B$107,2,FALSE),100)</f>
        <v>100</v>
      </c>
    </row>
    <row r="196" spans="1:6" x14ac:dyDescent="0.35">
      <c r="A196" s="148" t="str">
        <f>'Unique Storage Objects'!A196</f>
        <v>Rhein</v>
      </c>
      <c r="B196" s="124" t="str">
        <f>IFERROR(VLOOKUP(A196,Generators!$AG$2:$BB$131,5,FALSE),"")</f>
        <v/>
      </c>
      <c r="C196" s="124" t="str">
        <f>IFERROR(VLOOKUP(A196,Generators!$AG$2:$BB$131,18,FALSE),"")</f>
        <v/>
      </c>
      <c r="E196" s="159" t="e">
        <f ca="1">OFFSET(INDIRECT(CELL("address",INDEX('Generator-Storage Assignment'!$B$2:$B$107,MATCH(A196,'Generator-Storage Assignment'!$B$2:$B$107,0),1))),0,-1)</f>
        <v>#N/A</v>
      </c>
      <c r="F196" s="159">
        <f ca="1">IFERROR(VLOOKUP(E196,'Unique Generator Properties'!$A$2:$B$107,2,FALSE),100)</f>
        <v>100</v>
      </c>
    </row>
    <row r="197" spans="1:6" x14ac:dyDescent="0.35">
      <c r="A197" s="148" t="str">
        <f>'Unique Storage Objects'!A197</f>
        <v>Tan-y-Grisiau</v>
      </c>
      <c r="B197" s="124" t="str">
        <f>IFERROR(VLOOKUP(A197,Generators!$AG$2:$BB$131,5,FALSE),"")</f>
        <v/>
      </c>
      <c r="C197" s="124" t="str">
        <f>IFERROR(VLOOKUP(A197,Generators!$AG$2:$BB$131,18,FALSE),"")</f>
        <v/>
      </c>
      <c r="E197" s="159" t="e">
        <f ca="1">OFFSET(INDIRECT(CELL("address",INDEX('Generator-Storage Assignment'!$B$2:$B$107,MATCH(A197,'Generator-Storage Assignment'!$B$2:$B$107,0),1))),0,-1)</f>
        <v>#N/A</v>
      </c>
      <c r="F197" s="159">
        <f ca="1">IFERROR(VLOOKUP(E197,'Unique Generator Properties'!$A$2:$B$107,2,FALSE),100)</f>
        <v>100</v>
      </c>
    </row>
    <row r="198" spans="1:6" x14ac:dyDescent="0.35">
      <c r="A198" s="148" t="str">
        <f>'Unique Storage Objects'!A198</f>
        <v>Lago Santa Massenza</v>
      </c>
      <c r="B198" s="124" t="str">
        <f>IFERROR(VLOOKUP(A198,Generators!$AG$2:$BB$131,5,FALSE),"")</f>
        <v/>
      </c>
      <c r="C198" s="124" t="str">
        <f>IFERROR(VLOOKUP(A198,Generators!$AG$2:$BB$131,18,FALSE),"")</f>
        <v/>
      </c>
      <c r="E198" s="159" t="e">
        <f ca="1">OFFSET(INDIRECT(CELL("address",INDEX('Generator-Storage Assignment'!$B$2:$B$107,MATCH(A198,'Generator-Storage Assignment'!$B$2:$B$107,0),1))),0,-1)</f>
        <v>#N/A</v>
      </c>
      <c r="F198" s="159">
        <f ca="1">IFERROR(VLOOKUP(E198,'Unique Generator Properties'!$A$2:$B$107,2,FALSE),100)</f>
        <v>100</v>
      </c>
    </row>
    <row r="199" spans="1:6" x14ac:dyDescent="0.35">
      <c r="A199" s="148" t="str">
        <f>'Unique Storage Objects'!A199</f>
        <v>Conzere-Mondragon (Bollene)_lower</v>
      </c>
      <c r="B199" s="124" t="str">
        <f>IFERROR(VLOOKUP(A199,Generators!$AG$2:$BB$131,5,FALSE),"")</f>
        <v/>
      </c>
      <c r="C199" s="124" t="str">
        <f>IFERROR(VLOOKUP(A199,Generators!$AG$2:$BB$131,18,FALSE),"")</f>
        <v/>
      </c>
      <c r="E199" s="159" t="e">
        <f ca="1">OFFSET(INDIRECT(CELL("address",INDEX('Generator-Storage Assignment'!$B$2:$B$107,MATCH(A199,'Generator-Storage Assignment'!$B$2:$B$107,0),1))),0,-1)</f>
        <v>#N/A</v>
      </c>
      <c r="F199" s="159">
        <f ca="1">IFERROR(VLOOKUP(E199,'Unique Generator Properties'!$A$2:$B$107,2,FALSE),100)</f>
        <v>100</v>
      </c>
    </row>
    <row r="200" spans="1:6" x14ac:dyDescent="0.35">
      <c r="A200" s="148" t="str">
        <f>'Unique Storage Objects'!A200</f>
        <v>Bitsch (Biel)_lower</v>
      </c>
      <c r="B200" s="124" t="str">
        <f>IFERROR(VLOOKUP(A200,Generators!$AG$2:$BB$131,5,FALSE),"")</f>
        <v/>
      </c>
      <c r="C200" s="124" t="str">
        <f>IFERROR(VLOOKUP(A200,Generators!$AG$2:$BB$131,18,FALSE),"")</f>
        <v/>
      </c>
      <c r="E200" s="159" t="e">
        <f ca="1">OFFSET(INDIRECT(CELL("address",INDEX('Generator-Storage Assignment'!$B$2:$B$107,MATCH(A200,'Generator-Storage Assignment'!$B$2:$B$107,0),1))),0,-1)</f>
        <v>#N/A</v>
      </c>
      <c r="F200" s="159">
        <f ca="1">IFERROR(VLOOKUP(E200,'Unique Generator Properties'!$A$2:$B$107,2,FALSE),100)</f>
        <v>100</v>
      </c>
    </row>
    <row r="201" spans="1:6" x14ac:dyDescent="0.35">
      <c r="A201" s="148" t="str">
        <f>'Unique Storage Objects'!A201</f>
        <v>Malgovert_lower</v>
      </c>
      <c r="B201" s="124" t="str">
        <f>IFERROR(VLOOKUP(A201,Generators!$AG$2:$BB$131,5,FALSE),"")</f>
        <v/>
      </c>
      <c r="C201" s="124" t="str">
        <f>IFERROR(VLOOKUP(A201,Generators!$AG$2:$BB$131,18,FALSE),"")</f>
        <v/>
      </c>
      <c r="E201" s="159" t="e">
        <f ca="1">OFFSET(INDIRECT(CELL("address",INDEX('Generator-Storage Assignment'!$B$2:$B$107,MATCH(A201,'Generator-Storage Assignment'!$B$2:$B$107,0),1))),0,-1)</f>
        <v>#N/A</v>
      </c>
      <c r="F201" s="159">
        <f ca="1">IFERROR(VLOOKUP(E201,'Unique Generator Properties'!$A$2:$B$107,2,FALSE),100)</f>
        <v>100</v>
      </c>
    </row>
    <row r="202" spans="1:6" x14ac:dyDescent="0.35">
      <c r="A202" s="148" t="str">
        <f>'Unique Storage Objects'!A202</f>
        <v>Mequinenza_lower</v>
      </c>
      <c r="B202" s="124" t="str">
        <f>IFERROR(VLOOKUP(A202,Generators!$AG$2:$BB$131,5,FALSE),"")</f>
        <v/>
      </c>
      <c r="C202" s="124" t="str">
        <f>IFERROR(VLOOKUP(A202,Generators!$AG$2:$BB$131,18,FALSE),"")</f>
        <v/>
      </c>
      <c r="E202" s="159" t="e">
        <f ca="1">OFFSET(INDIRECT(CELL("address",INDEX('Generator-Storage Assignment'!$B$2:$B$107,MATCH(A202,'Generator-Storage Assignment'!$B$2:$B$107,0),1))),0,-1)</f>
        <v>#N/A</v>
      </c>
      <c r="F202" s="159">
        <f ca="1">IFERROR(VLOOKUP(E202,'Unique Generator Properties'!$A$2:$B$107,2,FALSE),100)</f>
        <v>100</v>
      </c>
    </row>
    <row r="203" spans="1:6" x14ac:dyDescent="0.35">
      <c r="A203" s="148" t="str">
        <f>'Unique Storage Objects'!A203</f>
        <v>Iron Gate II_lower</v>
      </c>
      <c r="B203" s="124" t="str">
        <f>IFERROR(VLOOKUP(A203,Generators!$AG$2:$BB$131,5,FALSE),"")</f>
        <v/>
      </c>
      <c r="C203" s="124" t="str">
        <f>IFERROR(VLOOKUP(A203,Generators!$AG$2:$BB$131,18,FALSE),"")</f>
        <v/>
      </c>
      <c r="E203" s="159" t="e">
        <f ca="1">OFFSET(INDIRECT(CELL("address",INDEX('Generator-Storage Assignment'!$B$2:$B$107,MATCH(A203,'Generator-Storage Assignment'!$B$2:$B$107,0),1))),0,-1)</f>
        <v>#N/A</v>
      </c>
      <c r="F203" s="159">
        <f ca="1">IFERROR(VLOOKUP(E203,'Unique Generator Properties'!$A$2:$B$107,2,FALSE),100)</f>
        <v>100</v>
      </c>
    </row>
    <row r="204" spans="1:6" x14ac:dyDescent="0.35">
      <c r="A204" s="148" t="str">
        <f>'Unique Storage Objects'!A204</f>
        <v>Angerman</v>
      </c>
      <c r="B204" s="124" t="str">
        <f>IFERROR(VLOOKUP(A204,Generators!$AG$2:$BB$131,5,FALSE),"")</f>
        <v/>
      </c>
      <c r="C204" s="124" t="str">
        <f>IFERROR(VLOOKUP(A204,Generators!$AG$2:$BB$131,18,FALSE),"")</f>
        <v/>
      </c>
      <c r="E204" s="159" t="e">
        <f ca="1">OFFSET(INDIRECT(CELL("address",INDEX('Generator-Storage Assignment'!$B$2:$B$107,MATCH(A204,'Generator-Storage Assignment'!$B$2:$B$107,0),1))),0,-1)</f>
        <v>#N/A</v>
      </c>
      <c r="F204" s="159">
        <f ca="1">IFERROR(VLOOKUP(E204,'Unique Generator Properties'!$A$2:$B$107,2,FALSE),100)</f>
        <v>100</v>
      </c>
    </row>
    <row r="205" spans="1:6" x14ac:dyDescent="0.35">
      <c r="A205" s="148" t="str">
        <f>'Unique Storage Objects'!A205</f>
        <v>Fionnay (Dixence)_lower</v>
      </c>
      <c r="B205" s="124" t="str">
        <f>IFERROR(VLOOKUP(A205,Generators!$AG$2:$BB$131,5,FALSE),"")</f>
        <v/>
      </c>
      <c r="C205" s="124" t="str">
        <f>IFERROR(VLOOKUP(A205,Generators!$AG$2:$BB$131,18,FALSE),"")</f>
        <v/>
      </c>
      <c r="E205" s="159" t="e">
        <f ca="1">OFFSET(INDIRECT(CELL("address",INDEX('Generator-Storage Assignment'!$B$2:$B$107,MATCH(A205,'Generator-Storage Assignment'!$B$2:$B$107,0),1))),0,-1)</f>
        <v>#N/A</v>
      </c>
      <c r="F205" s="159">
        <f ca="1">IFERROR(VLOOKUP(E205,'Unique Generator Properties'!$A$2:$B$107,2,FALSE),100)</f>
        <v>100</v>
      </c>
    </row>
    <row r="206" spans="1:6" x14ac:dyDescent="0.35">
      <c r="A206" s="148" t="str">
        <f>'Unique Storage Objects'!A206</f>
        <v>Ribarroja_lower</v>
      </c>
      <c r="B206" s="124" t="str">
        <f>IFERROR(VLOOKUP(A206,Generators!$AG$2:$BB$131,5,FALSE),"")</f>
        <v/>
      </c>
      <c r="C206" s="124" t="str">
        <f>IFERROR(VLOOKUP(A206,Generators!$AG$2:$BB$131,18,FALSE),"")</f>
        <v/>
      </c>
      <c r="E206" s="159" t="e">
        <f ca="1">OFFSET(INDIRECT(CELL("address",INDEX('Generator-Storage Assignment'!$B$2:$B$107,MATCH(A206,'Generator-Storage Assignment'!$B$2:$B$107,0),1))),0,-1)</f>
        <v>#N/A</v>
      </c>
      <c r="F206" s="159">
        <f ca="1">IFERROR(VLOOKUP(E206,'Unique Generator Properties'!$A$2:$B$107,2,FALSE),100)</f>
        <v>100</v>
      </c>
    </row>
    <row r="207" spans="1:6" x14ac:dyDescent="0.35">
      <c r="A207" s="148" t="str">
        <f>'Unique Storage Objects'!A207</f>
        <v>Innertkirchen 1_lower</v>
      </c>
      <c r="B207" s="124" t="str">
        <f>IFERROR(VLOOKUP(A207,Generators!$AG$2:$BB$131,5,FALSE),"")</f>
        <v/>
      </c>
      <c r="C207" s="124" t="str">
        <f>IFERROR(VLOOKUP(A207,Generators!$AG$2:$BB$131,18,FALSE),"")</f>
        <v/>
      </c>
      <c r="E207" s="159" t="e">
        <f ca="1">OFFSET(INDIRECT(CELL("address",INDEX('Generator-Storage Assignment'!$B$2:$B$107,MATCH(A207,'Generator-Storage Assignment'!$B$2:$B$107,0),1))),0,-1)</f>
        <v>#N/A</v>
      </c>
      <c r="F207" s="159">
        <f ca="1">IFERROR(VLOOKUP(E207,'Unique Generator Properties'!$A$2:$B$107,2,FALSE),100)</f>
        <v>100</v>
      </c>
    </row>
    <row r="208" spans="1:6" x14ac:dyDescent="0.35">
      <c r="A208" s="148" t="str">
        <f>'Unique Storage Objects'!A208</f>
        <v>Hylen_lower</v>
      </c>
      <c r="B208" s="124" t="str">
        <f>IFERROR(VLOOKUP(A208,Generators!$AG$2:$BB$131,5,FALSE),"")</f>
        <v/>
      </c>
      <c r="C208" s="124" t="str">
        <f>IFERROR(VLOOKUP(A208,Generators!$AG$2:$BB$131,18,FALSE),"")</f>
        <v/>
      </c>
      <c r="E208" s="159" t="e">
        <f ca="1">OFFSET(INDIRECT(CELL("address",INDEX('Generator-Storage Assignment'!$B$2:$B$107,MATCH(A208,'Generator-Storage Assignment'!$B$2:$B$107,0),1))),0,-1)</f>
        <v>#N/A</v>
      </c>
      <c r="F208" s="159">
        <f ca="1">IFERROR(VLOOKUP(E208,'Unique Generator Properties'!$A$2:$B$107,2,FALSE),100)</f>
        <v>100</v>
      </c>
    </row>
    <row r="209" spans="1:6" x14ac:dyDescent="0.35">
      <c r="A209" s="148" t="str">
        <f>'Unique Storage Objects'!A209</f>
        <v>Brevieres_lower</v>
      </c>
      <c r="B209" s="124" t="str">
        <f>IFERROR(VLOOKUP(A209,Generators!$AG$2:$BB$131,5,FALSE),"")</f>
        <v/>
      </c>
      <c r="C209" s="124" t="str">
        <f>IFERROR(VLOOKUP(A209,Generators!$AG$2:$BB$131,18,FALSE),"")</f>
        <v/>
      </c>
      <c r="E209" s="159" t="e">
        <f ca="1">OFFSET(INDIRECT(CELL("address",INDEX('Generator-Storage Assignment'!$B$2:$B$107,MATCH(A209,'Generator-Storage Assignment'!$B$2:$B$107,0),1))),0,-1)</f>
        <v>#N/A</v>
      </c>
      <c r="F209" s="159">
        <f ca="1">IFERROR(VLOOKUP(E209,'Unique Generator Properties'!$A$2:$B$107,2,FALSE),100)</f>
        <v>100</v>
      </c>
    </row>
  </sheetData>
  <dataValidations count="1">
    <dataValidation type="list" allowBlank="1" showInputMessage="1" showErrorMessage="1" sqref="E1:F1" xr:uid="{00000000-0002-0000-0B00-000000000000}">
      <formula1>stoPropList</formula1>
    </dataValidation>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6"/>
  <dimension ref="A1:AL157"/>
  <sheetViews>
    <sheetView topLeftCell="A61" workbookViewId="0">
      <selection activeCell="B63" sqref="B63"/>
    </sheetView>
  </sheetViews>
  <sheetFormatPr defaultColWidth="8.81640625" defaultRowHeight="14.5" x14ac:dyDescent="0.35"/>
  <cols>
    <col min="2" max="2" width="25" style="83" bestFit="1" customWidth="1"/>
  </cols>
  <sheetData>
    <row r="1" spans="1:38" x14ac:dyDescent="0.35">
      <c r="C1" t="s">
        <v>2789</v>
      </c>
      <c r="D1" t="s">
        <v>2789</v>
      </c>
      <c r="E1" t="s">
        <v>2789</v>
      </c>
      <c r="F1" t="s">
        <v>2789</v>
      </c>
      <c r="G1" t="s">
        <v>2789</v>
      </c>
      <c r="H1" t="s">
        <v>2789</v>
      </c>
      <c r="I1" t="s">
        <v>2789</v>
      </c>
      <c r="J1" t="s">
        <v>2789</v>
      </c>
      <c r="K1" t="s">
        <v>2789</v>
      </c>
      <c r="L1" t="s">
        <v>2789</v>
      </c>
      <c r="M1" t="s">
        <v>2789</v>
      </c>
      <c r="N1" t="s">
        <v>2789</v>
      </c>
      <c r="O1" t="s">
        <v>2790</v>
      </c>
      <c r="P1" t="s">
        <v>2790</v>
      </c>
      <c r="Q1" t="s">
        <v>2790</v>
      </c>
      <c r="R1" t="s">
        <v>2790</v>
      </c>
      <c r="S1" t="s">
        <v>2790</v>
      </c>
      <c r="T1" t="s">
        <v>2790</v>
      </c>
      <c r="U1" t="s">
        <v>2790</v>
      </c>
      <c r="V1" t="s">
        <v>2790</v>
      </c>
      <c r="W1" t="s">
        <v>2790</v>
      </c>
      <c r="X1" t="s">
        <v>2790</v>
      </c>
      <c r="Y1" t="s">
        <v>2790</v>
      </c>
      <c r="Z1" t="s">
        <v>2790</v>
      </c>
      <c r="AA1" t="s">
        <v>2791</v>
      </c>
      <c r="AB1" t="s">
        <v>2791</v>
      </c>
      <c r="AC1" t="s">
        <v>2791</v>
      </c>
      <c r="AD1" t="s">
        <v>2791</v>
      </c>
      <c r="AE1" t="s">
        <v>2791</v>
      </c>
      <c r="AF1" t="s">
        <v>2791</v>
      </c>
      <c r="AG1" t="s">
        <v>2791</v>
      </c>
      <c r="AH1" t="s">
        <v>2791</v>
      </c>
      <c r="AI1" t="s">
        <v>2791</v>
      </c>
      <c r="AJ1" t="s">
        <v>2791</v>
      </c>
      <c r="AK1" t="s">
        <v>2791</v>
      </c>
      <c r="AL1" t="s">
        <v>2791</v>
      </c>
    </row>
    <row r="2" spans="1:38" x14ac:dyDescent="0.35">
      <c r="A2" s="82" t="s">
        <v>2792</v>
      </c>
      <c r="B2" s="84" t="s">
        <v>2788</v>
      </c>
      <c r="C2" s="82">
        <v>1</v>
      </c>
      <c r="D2" s="82">
        <v>2</v>
      </c>
      <c r="E2" s="82">
        <v>3</v>
      </c>
      <c r="F2" s="82">
        <v>4</v>
      </c>
      <c r="G2" s="82">
        <v>5</v>
      </c>
      <c r="H2" s="82">
        <v>6</v>
      </c>
      <c r="I2" s="82">
        <v>7</v>
      </c>
      <c r="J2" s="82">
        <v>8</v>
      </c>
      <c r="K2" s="82">
        <v>9</v>
      </c>
      <c r="L2" s="82">
        <v>10</v>
      </c>
      <c r="M2" s="82">
        <v>11</v>
      </c>
      <c r="N2" s="82">
        <v>12</v>
      </c>
      <c r="O2" s="82">
        <v>1</v>
      </c>
      <c r="P2" s="82">
        <v>2</v>
      </c>
      <c r="Q2" s="82">
        <v>3</v>
      </c>
      <c r="R2" s="82">
        <v>4</v>
      </c>
      <c r="S2" s="82">
        <v>5</v>
      </c>
      <c r="T2" s="82">
        <v>6</v>
      </c>
      <c r="U2" s="82">
        <v>7</v>
      </c>
      <c r="V2" s="82">
        <v>8</v>
      </c>
      <c r="W2" s="82">
        <v>9</v>
      </c>
      <c r="X2" s="82">
        <v>10</v>
      </c>
      <c r="Y2" s="82">
        <v>11</v>
      </c>
      <c r="Z2" s="82">
        <v>12</v>
      </c>
      <c r="AA2" s="82">
        <v>1</v>
      </c>
      <c r="AB2" s="82">
        <v>2</v>
      </c>
      <c r="AC2" s="82">
        <v>3</v>
      </c>
      <c r="AD2" s="82">
        <v>4</v>
      </c>
      <c r="AE2" s="82">
        <v>5</v>
      </c>
      <c r="AF2" s="82">
        <v>6</v>
      </c>
      <c r="AG2" s="82">
        <v>7</v>
      </c>
      <c r="AH2" s="82">
        <v>8</v>
      </c>
      <c r="AI2">
        <v>9</v>
      </c>
      <c r="AJ2">
        <v>10</v>
      </c>
      <c r="AK2">
        <v>11</v>
      </c>
      <c r="AL2">
        <v>12</v>
      </c>
    </row>
    <row r="3" spans="1:38" x14ac:dyDescent="0.35">
      <c r="A3">
        <v>1</v>
      </c>
      <c r="B3" s="85" t="s">
        <v>2397</v>
      </c>
      <c r="C3">
        <v>48.761000000000003</v>
      </c>
      <c r="D3">
        <v>29.062000000000001</v>
      </c>
      <c r="E3">
        <v>12.593999999999999</v>
      </c>
      <c r="F3">
        <v>11.097</v>
      </c>
      <c r="G3">
        <v>9.1851000000000003</v>
      </c>
      <c r="H3">
        <v>24.803999999999998</v>
      </c>
      <c r="I3">
        <v>3.101</v>
      </c>
      <c r="J3">
        <v>6.3487999999999998</v>
      </c>
      <c r="K3">
        <v>3.6573000000000002</v>
      </c>
      <c r="L3">
        <v>0.95857999999999999</v>
      </c>
      <c r="M3">
        <v>26.957000000000001</v>
      </c>
      <c r="N3">
        <v>23.007999999999999</v>
      </c>
      <c r="O3">
        <v>52.293433333333333</v>
      </c>
      <c r="P3">
        <v>41.4642135</v>
      </c>
      <c r="Q3">
        <v>41.823799999999999</v>
      </c>
      <c r="R3">
        <v>19.594373333333337</v>
      </c>
      <c r="S3">
        <v>13.273533333333333</v>
      </c>
      <c r="T3">
        <v>14.144509999999999</v>
      </c>
      <c r="U3">
        <v>10.564383333333332</v>
      </c>
      <c r="V3">
        <v>7.515506666666667</v>
      </c>
      <c r="W3">
        <v>13.485870000000002</v>
      </c>
      <c r="X3">
        <v>24.761595999999997</v>
      </c>
      <c r="Y3">
        <v>40.29701666666665</v>
      </c>
      <c r="Z3">
        <v>57.300166666666662</v>
      </c>
      <c r="AA3">
        <v>39.25</v>
      </c>
      <c r="AB3">
        <v>48.290999999999997</v>
      </c>
      <c r="AC3">
        <v>91.031000000000006</v>
      </c>
      <c r="AD3">
        <v>9.8485999999999994</v>
      </c>
      <c r="AE3">
        <v>12.954000000000001</v>
      </c>
      <c r="AF3">
        <v>52.834000000000003</v>
      </c>
      <c r="AG3">
        <v>14.116</v>
      </c>
      <c r="AH3">
        <v>18.164999999999999</v>
      </c>
      <c r="AI3">
        <v>13.305999999999999</v>
      </c>
      <c r="AJ3">
        <v>63.415999999999997</v>
      </c>
      <c r="AK3">
        <v>76.709999999999994</v>
      </c>
      <c r="AL3">
        <v>44.853000000000002</v>
      </c>
    </row>
    <row r="4" spans="1:38" x14ac:dyDescent="0.35">
      <c r="A4">
        <v>2</v>
      </c>
      <c r="B4" s="86" t="s">
        <v>2336</v>
      </c>
    </row>
    <row r="5" spans="1:38" x14ac:dyDescent="0.35">
      <c r="A5">
        <v>3</v>
      </c>
      <c r="B5" s="86" t="s">
        <v>2226</v>
      </c>
      <c r="C5">
        <v>227.96</v>
      </c>
      <c r="D5">
        <v>205.16</v>
      </c>
      <c r="E5">
        <v>76.239000000000004</v>
      </c>
      <c r="F5">
        <v>298.81</v>
      </c>
      <c r="G5">
        <v>129.34</v>
      </c>
      <c r="H5">
        <v>116.31</v>
      </c>
      <c r="I5">
        <v>23.161999999999999</v>
      </c>
      <c r="J5">
        <v>32.183</v>
      </c>
      <c r="K5">
        <v>19.097000000000001</v>
      </c>
      <c r="L5">
        <v>359.15</v>
      </c>
      <c r="M5">
        <v>44.351999999999997</v>
      </c>
      <c r="N5">
        <v>418.2</v>
      </c>
      <c r="O5">
        <v>863.45095159333323</v>
      </c>
      <c r="P5">
        <v>745.22963333333325</v>
      </c>
      <c r="Q5">
        <v>300.61420000000004</v>
      </c>
      <c r="R5">
        <v>367.24329999999998</v>
      </c>
      <c r="S5">
        <v>325.00006666666667</v>
      </c>
      <c r="T5">
        <v>146.07233333333338</v>
      </c>
      <c r="U5">
        <v>42.622201666666669</v>
      </c>
      <c r="V5">
        <v>23.085459000000007</v>
      </c>
      <c r="W5">
        <v>74.963756666666654</v>
      </c>
      <c r="X5">
        <v>339.10367000000002</v>
      </c>
      <c r="Y5">
        <v>631.4531003333334</v>
      </c>
      <c r="Z5">
        <v>1057.0622300000002</v>
      </c>
      <c r="AA5">
        <v>2486.9</v>
      </c>
      <c r="AB5">
        <v>3024.6</v>
      </c>
      <c r="AC5">
        <v>1021</v>
      </c>
      <c r="AD5">
        <v>869.8</v>
      </c>
      <c r="AE5">
        <v>147.13999999999999</v>
      </c>
      <c r="AF5">
        <v>130.87</v>
      </c>
      <c r="AG5">
        <v>72.102000000000004</v>
      </c>
      <c r="AH5">
        <v>10.512</v>
      </c>
      <c r="AI5">
        <v>57.843000000000004</v>
      </c>
      <c r="AJ5">
        <v>1673.7</v>
      </c>
      <c r="AK5">
        <v>134.84</v>
      </c>
      <c r="AL5">
        <v>235.19</v>
      </c>
    </row>
    <row r="6" spans="1:38" x14ac:dyDescent="0.35">
      <c r="A6">
        <v>4</v>
      </c>
      <c r="B6" s="86" t="s">
        <v>1854</v>
      </c>
      <c r="C6">
        <v>254.31</v>
      </c>
      <c r="D6">
        <v>73.673000000000002</v>
      </c>
      <c r="E6">
        <v>339.67</v>
      </c>
      <c r="F6">
        <v>425.59</v>
      </c>
      <c r="G6">
        <v>156.26</v>
      </c>
      <c r="H6">
        <v>250.9</v>
      </c>
      <c r="I6">
        <v>75.716999999999999</v>
      </c>
      <c r="J6">
        <v>66.23</v>
      </c>
      <c r="K6">
        <v>41.75</v>
      </c>
      <c r="L6">
        <v>863.15</v>
      </c>
      <c r="M6">
        <v>62.871000000000002</v>
      </c>
      <c r="N6">
        <v>917.43</v>
      </c>
      <c r="O6">
        <v>989.4059666666667</v>
      </c>
      <c r="P6">
        <v>959.16343333333373</v>
      </c>
      <c r="Q6">
        <v>415.37090333333333</v>
      </c>
      <c r="R6">
        <v>557.43366666666668</v>
      </c>
      <c r="S6">
        <v>451.4186666666667</v>
      </c>
      <c r="T6">
        <v>240.28603333333339</v>
      </c>
      <c r="U6">
        <v>117.16220666666666</v>
      </c>
      <c r="V6">
        <v>68.830903333333339</v>
      </c>
      <c r="W6">
        <v>110.18990000000001</v>
      </c>
      <c r="X6">
        <v>360.2722333333333</v>
      </c>
      <c r="Y6">
        <v>656.72573999999997</v>
      </c>
      <c r="Z6">
        <v>1097.9139</v>
      </c>
      <c r="AA6">
        <v>2197.9</v>
      </c>
      <c r="AB6">
        <v>3950</v>
      </c>
      <c r="AC6">
        <v>1364.9</v>
      </c>
      <c r="AD6">
        <v>856.01</v>
      </c>
      <c r="AE6">
        <v>306.23</v>
      </c>
      <c r="AF6">
        <v>201.71</v>
      </c>
      <c r="AG6">
        <v>152.61000000000001</v>
      </c>
      <c r="AH6">
        <v>36.838000000000001</v>
      </c>
      <c r="AI6">
        <v>84.563999999999993</v>
      </c>
      <c r="AJ6">
        <v>781.26</v>
      </c>
      <c r="AK6">
        <v>574.30999999999995</v>
      </c>
      <c r="AL6">
        <v>687.49</v>
      </c>
    </row>
    <row r="7" spans="1:38" x14ac:dyDescent="0.35">
      <c r="A7">
        <v>5</v>
      </c>
      <c r="B7" s="86" t="s">
        <v>2744</v>
      </c>
      <c r="C7">
        <v>33.902999999999999</v>
      </c>
      <c r="D7">
        <v>14.814</v>
      </c>
      <c r="E7">
        <v>7.1558000000000002</v>
      </c>
      <c r="F7">
        <v>34.075000000000003</v>
      </c>
      <c r="G7">
        <v>11.531000000000001</v>
      </c>
      <c r="H7">
        <v>10.949</v>
      </c>
      <c r="I7">
        <v>2.8376000000000001</v>
      </c>
      <c r="J7">
        <v>3.7686000000000002</v>
      </c>
      <c r="K7">
        <v>2.0367999999999999</v>
      </c>
      <c r="L7">
        <v>90.926000000000002</v>
      </c>
      <c r="M7">
        <v>3.3784999999999998</v>
      </c>
      <c r="N7">
        <v>65.064999999999998</v>
      </c>
      <c r="O7">
        <v>116.219915</v>
      </c>
      <c r="P7">
        <v>111.23143666666665</v>
      </c>
      <c r="Q7">
        <v>43.19675999999999</v>
      </c>
      <c r="R7">
        <v>52.333100000000002</v>
      </c>
      <c r="S7">
        <v>48.991413333333334</v>
      </c>
      <c r="T7">
        <v>20.152040000000003</v>
      </c>
      <c r="U7">
        <v>7.6558340333333339</v>
      </c>
      <c r="V7">
        <v>3.647988999999999</v>
      </c>
      <c r="W7">
        <v>12.061723333333335</v>
      </c>
      <c r="X7">
        <v>46.693730000000002</v>
      </c>
      <c r="Y7">
        <v>81.474250000000026</v>
      </c>
      <c r="Z7">
        <v>139.29405333333335</v>
      </c>
      <c r="AA7">
        <v>257.87</v>
      </c>
      <c r="AB7">
        <v>554.61</v>
      </c>
      <c r="AC7">
        <v>188.89</v>
      </c>
      <c r="AD7">
        <v>118.34</v>
      </c>
      <c r="AE7">
        <v>25.001000000000001</v>
      </c>
      <c r="AF7">
        <v>15.981999999999999</v>
      </c>
      <c r="AG7">
        <v>11.989000000000001</v>
      </c>
      <c r="AH7">
        <v>0.19692999999999999</v>
      </c>
      <c r="AI7">
        <v>6.0852000000000004</v>
      </c>
      <c r="AJ7">
        <v>196.86</v>
      </c>
      <c r="AK7">
        <v>31.556000000000001</v>
      </c>
      <c r="AL7">
        <v>49.896000000000001</v>
      </c>
    </row>
    <row r="8" spans="1:38" x14ac:dyDescent="0.35">
      <c r="A8">
        <v>6</v>
      </c>
      <c r="B8" s="86" t="s">
        <v>1732</v>
      </c>
      <c r="C8">
        <v>92.325999999999993</v>
      </c>
      <c r="D8">
        <v>153.72999999999999</v>
      </c>
      <c r="E8">
        <v>244.23</v>
      </c>
      <c r="F8">
        <v>132.58000000000001</v>
      </c>
      <c r="G8">
        <v>152.08000000000001</v>
      </c>
      <c r="H8">
        <v>44.969000000000001</v>
      </c>
      <c r="I8">
        <v>1.3149</v>
      </c>
      <c r="J8">
        <v>12.542999999999999</v>
      </c>
      <c r="K8">
        <v>17.274000000000001</v>
      </c>
      <c r="L8">
        <v>25.077999999999999</v>
      </c>
      <c r="M8">
        <v>268.56</v>
      </c>
      <c r="N8">
        <v>2.2740999999999998</v>
      </c>
      <c r="O8">
        <v>662.71954600000004</v>
      </c>
      <c r="P8">
        <v>571.8773333333337</v>
      </c>
      <c r="Q8">
        <v>233.83044333333336</v>
      </c>
      <c r="R8">
        <v>258.63109999999995</v>
      </c>
      <c r="S8">
        <v>187.98456666666667</v>
      </c>
      <c r="T8">
        <v>85.741700000000023</v>
      </c>
      <c r="U8">
        <v>20.123562666666668</v>
      </c>
      <c r="V8">
        <v>13.176482833333335</v>
      </c>
      <c r="W8">
        <v>44.87583166666667</v>
      </c>
      <c r="X8">
        <v>195.37384666666665</v>
      </c>
      <c r="Y8">
        <v>444.40284066666669</v>
      </c>
      <c r="Z8">
        <v>824.06763666666666</v>
      </c>
      <c r="AA8">
        <v>2903.8</v>
      </c>
      <c r="AB8">
        <v>556.15</v>
      </c>
      <c r="AC8">
        <v>286.60000000000002</v>
      </c>
      <c r="AD8">
        <v>189.2</v>
      </c>
      <c r="AE8">
        <v>375.25</v>
      </c>
      <c r="AF8">
        <v>62.911000000000001</v>
      </c>
      <c r="AG8">
        <v>11.071</v>
      </c>
      <c r="AH8">
        <v>19.484000000000002</v>
      </c>
      <c r="AI8">
        <v>159</v>
      </c>
      <c r="AJ8">
        <v>64.031999999999996</v>
      </c>
      <c r="AK8">
        <v>199.48</v>
      </c>
      <c r="AL8">
        <v>3455.1</v>
      </c>
    </row>
    <row r="9" spans="1:38" x14ac:dyDescent="0.35">
      <c r="A9">
        <v>7</v>
      </c>
      <c r="B9" s="86" t="s">
        <v>2308</v>
      </c>
      <c r="C9">
        <v>34.481000000000002</v>
      </c>
      <c r="D9">
        <v>17.939</v>
      </c>
      <c r="E9">
        <v>17.641999999999999</v>
      </c>
      <c r="F9">
        <v>43.155999999999999</v>
      </c>
      <c r="G9">
        <v>10.134</v>
      </c>
      <c r="H9">
        <v>6.5114000000000001</v>
      </c>
      <c r="I9">
        <v>0.48499999999999999</v>
      </c>
      <c r="J9">
        <v>3.8086000000000002</v>
      </c>
      <c r="K9">
        <v>6.3685</v>
      </c>
      <c r="L9">
        <v>28.896999999999998</v>
      </c>
      <c r="M9">
        <v>21.617000000000001</v>
      </c>
      <c r="N9">
        <v>100.09</v>
      </c>
      <c r="O9">
        <v>88.864716163333313</v>
      </c>
      <c r="P9">
        <v>82.149586666666664</v>
      </c>
      <c r="Q9">
        <v>32.700493333333341</v>
      </c>
      <c r="R9">
        <v>37.371883333333329</v>
      </c>
      <c r="S9">
        <v>24.201667333333337</v>
      </c>
      <c r="T9">
        <v>8.4993233333333347</v>
      </c>
      <c r="U9">
        <v>2.4165295499999999</v>
      </c>
      <c r="V9">
        <v>1.4083596666666671</v>
      </c>
      <c r="W9">
        <v>8.6220643333333342</v>
      </c>
      <c r="X9">
        <v>41.850944333333338</v>
      </c>
      <c r="Y9">
        <v>59.233660999999998</v>
      </c>
      <c r="Z9">
        <v>103.11818333333332</v>
      </c>
      <c r="AA9">
        <v>100.23</v>
      </c>
      <c r="AB9">
        <v>243.25</v>
      </c>
      <c r="AC9">
        <v>60.865000000000002</v>
      </c>
      <c r="AD9">
        <v>41.386000000000003</v>
      </c>
      <c r="AE9">
        <v>31.33</v>
      </c>
      <c r="AF9">
        <v>8.0213000000000001</v>
      </c>
      <c r="AG9">
        <v>2.7345000000000001E-2</v>
      </c>
      <c r="AH9">
        <v>0</v>
      </c>
      <c r="AI9">
        <v>0.86407</v>
      </c>
      <c r="AJ9">
        <v>0.77083999999999997</v>
      </c>
      <c r="AK9">
        <v>0.71802999999999995</v>
      </c>
      <c r="AL9">
        <v>345.2</v>
      </c>
    </row>
    <row r="10" spans="1:38" x14ac:dyDescent="0.35">
      <c r="A10">
        <v>8</v>
      </c>
      <c r="B10" s="86" t="s">
        <v>2723</v>
      </c>
      <c r="C10">
        <v>0.26343</v>
      </c>
      <c r="D10">
        <v>1.0667</v>
      </c>
      <c r="E10">
        <v>3.7844000000000003E-2</v>
      </c>
      <c r="F10">
        <v>0.1072</v>
      </c>
      <c r="G10">
        <v>5.8882999999999998E-2</v>
      </c>
      <c r="H10">
        <v>3.8238000000000001E-2</v>
      </c>
      <c r="I10">
        <v>0</v>
      </c>
      <c r="J10">
        <v>3.6465999999999998E-2</v>
      </c>
      <c r="K10">
        <v>3.7867999999999999E-3</v>
      </c>
      <c r="L10">
        <v>2.9780000000000001E-2</v>
      </c>
      <c r="M10">
        <v>6.1891000000000002E-2</v>
      </c>
      <c r="N10">
        <v>6.0141E-2</v>
      </c>
      <c r="O10">
        <v>3.6194749666666661</v>
      </c>
      <c r="P10">
        <v>1.9006827999999996</v>
      </c>
      <c r="Q10">
        <v>1.3360280333333334</v>
      </c>
      <c r="R10">
        <v>0.44560380000000005</v>
      </c>
      <c r="S10">
        <v>0.36103826666666661</v>
      </c>
      <c r="T10">
        <v>0.10508627000000002</v>
      </c>
      <c r="U10">
        <v>2.3562566666666666E-2</v>
      </c>
      <c r="V10">
        <v>5.3217899999999999E-2</v>
      </c>
      <c r="W10">
        <v>0.10410675999999998</v>
      </c>
      <c r="X10">
        <v>1.3573508999999997</v>
      </c>
      <c r="Y10">
        <v>2.5704148333333325</v>
      </c>
      <c r="Z10">
        <v>3.3213868899999999</v>
      </c>
      <c r="AA10">
        <v>20.585000000000001</v>
      </c>
      <c r="AB10">
        <v>7.6578999999999997</v>
      </c>
      <c r="AC10">
        <v>4.8935000000000004</v>
      </c>
      <c r="AD10">
        <v>2.2597</v>
      </c>
      <c r="AE10">
        <v>0.17599999999999999</v>
      </c>
      <c r="AF10">
        <v>7.7198000000000003E-2</v>
      </c>
      <c r="AG10">
        <v>0</v>
      </c>
      <c r="AH10">
        <v>2.2162000000000001E-2</v>
      </c>
      <c r="AI10">
        <v>0.20497000000000001</v>
      </c>
      <c r="AJ10">
        <v>4.9520999999999997</v>
      </c>
      <c r="AK10">
        <v>5.2765000000000004</v>
      </c>
      <c r="AL10">
        <v>3.1758999999999999</v>
      </c>
    </row>
    <row r="11" spans="1:38" x14ac:dyDescent="0.35">
      <c r="A11">
        <v>9</v>
      </c>
      <c r="B11" s="86" t="s">
        <v>2722</v>
      </c>
      <c r="C11">
        <v>1.3489000000000001E-3</v>
      </c>
      <c r="D11">
        <v>2.4830999999999998E-3</v>
      </c>
      <c r="E11">
        <v>1.1923E-4</v>
      </c>
      <c r="F11">
        <v>1.5618000000000001E-4</v>
      </c>
      <c r="G11">
        <v>1.0601E-4</v>
      </c>
      <c r="H11">
        <v>3.2155E-5</v>
      </c>
      <c r="I11">
        <v>0</v>
      </c>
      <c r="J11">
        <v>7.9807000000000003E-5</v>
      </c>
      <c r="K11">
        <v>3.3586E-5</v>
      </c>
      <c r="L11">
        <v>5.7695000000000002E-5</v>
      </c>
      <c r="M11">
        <v>1.0826E-4</v>
      </c>
      <c r="N11">
        <v>1.1474E-4</v>
      </c>
      <c r="O11">
        <v>1.2440432666666668E-2</v>
      </c>
      <c r="P11">
        <v>6.0422353666666657E-3</v>
      </c>
      <c r="Q11">
        <v>4.7396443333333335E-3</v>
      </c>
      <c r="R11">
        <v>1.179514666666667E-3</v>
      </c>
      <c r="S11">
        <v>9.0804800000000006E-4</v>
      </c>
      <c r="T11">
        <v>2.1208653333333334E-4</v>
      </c>
      <c r="U11">
        <v>5.3786133333333343E-5</v>
      </c>
      <c r="V11">
        <v>8.7413333333333332E-5</v>
      </c>
      <c r="W11">
        <v>3.1981593333333329E-4</v>
      </c>
      <c r="X11">
        <v>5.0608488666666661E-3</v>
      </c>
      <c r="Y11">
        <v>9.3197638000000003E-3</v>
      </c>
      <c r="Z11">
        <v>1.1925142366666669E-2</v>
      </c>
      <c r="AA11">
        <v>6.5739000000000006E-2</v>
      </c>
      <c r="AB11">
        <v>2.9021999999999999E-2</v>
      </c>
      <c r="AC11">
        <v>2.3087E-2</v>
      </c>
      <c r="AD11">
        <v>8.5167999999999997E-3</v>
      </c>
      <c r="AE11">
        <v>2.9589999999999998E-4</v>
      </c>
      <c r="AF11">
        <v>1.7930999999999999E-4</v>
      </c>
      <c r="AG11">
        <v>0</v>
      </c>
      <c r="AH11">
        <v>1.9656E-4</v>
      </c>
      <c r="AI11">
        <v>5.2974000000000001E-4</v>
      </c>
      <c r="AJ11">
        <v>1.9720999999999999E-2</v>
      </c>
      <c r="AK11">
        <v>1.6562E-2</v>
      </c>
      <c r="AL11">
        <v>9.4692000000000005E-3</v>
      </c>
    </row>
    <row r="12" spans="1:38" x14ac:dyDescent="0.35">
      <c r="A12">
        <v>10</v>
      </c>
      <c r="B12" s="86" t="s">
        <v>2670</v>
      </c>
      <c r="C12">
        <v>5.134E-5</v>
      </c>
      <c r="D12">
        <v>0</v>
      </c>
      <c r="E12">
        <v>0</v>
      </c>
      <c r="F12">
        <v>3.1196000000000002E-3</v>
      </c>
      <c r="G12">
        <v>8.9305999999999999E-4</v>
      </c>
      <c r="H12">
        <v>8.4000999999999998E-4</v>
      </c>
      <c r="I12">
        <v>6.9483999999999995E-4</v>
      </c>
      <c r="J12">
        <v>6.3316000000000002E-4</v>
      </c>
      <c r="K12">
        <v>3.0152999999999999E-4</v>
      </c>
      <c r="L12">
        <v>1.7009E-3</v>
      </c>
      <c r="M12">
        <v>2.2501000000000001E-3</v>
      </c>
      <c r="N12">
        <v>1.7513000000000001E-4</v>
      </c>
      <c r="O12">
        <v>5.0994350000000007E-4</v>
      </c>
      <c r="P12">
        <v>8.0630356666666657E-4</v>
      </c>
      <c r="Q12">
        <v>1.2649567053666668E-3</v>
      </c>
      <c r="R12">
        <v>2.6110721666666665E-3</v>
      </c>
      <c r="S12">
        <v>6.6747743333333337E-3</v>
      </c>
      <c r="T12">
        <v>2.1928359999999997E-3</v>
      </c>
      <c r="U12">
        <v>7.5717366666666684E-4</v>
      </c>
      <c r="V12">
        <v>9.3653433333333342E-4</v>
      </c>
      <c r="W12">
        <v>1.7207519999999997E-3</v>
      </c>
      <c r="X12">
        <v>2.6830329999999996E-3</v>
      </c>
      <c r="Y12">
        <v>2.1291525666666663E-3</v>
      </c>
      <c r="Z12">
        <v>1.5803199966666667E-3</v>
      </c>
      <c r="AA12">
        <v>1.526E-3</v>
      </c>
      <c r="AB12">
        <v>7.2757000000000004E-3</v>
      </c>
      <c r="AC12">
        <v>1.1349E-2</v>
      </c>
      <c r="AD12">
        <v>6.4088000000000001E-3</v>
      </c>
      <c r="AE12">
        <v>1.7723999999999999E-3</v>
      </c>
      <c r="AF12">
        <v>7.3744999999999995E-4</v>
      </c>
      <c r="AG12">
        <v>6.8506999999999997E-4</v>
      </c>
      <c r="AH12">
        <v>7.1944000000000001E-4</v>
      </c>
      <c r="AI12">
        <v>1.3073E-3</v>
      </c>
      <c r="AJ12">
        <v>3.6096000000000001E-3</v>
      </c>
      <c r="AK12">
        <v>1.1927000000000001E-3</v>
      </c>
      <c r="AL12">
        <v>2.6110999999999999E-3</v>
      </c>
    </row>
    <row r="13" spans="1:38" x14ac:dyDescent="0.35">
      <c r="A13">
        <v>11</v>
      </c>
      <c r="B13" s="86" t="s">
        <v>2714</v>
      </c>
      <c r="C13">
        <v>0</v>
      </c>
      <c r="D13">
        <v>9.0255000000000005E-3</v>
      </c>
      <c r="E13">
        <v>0.17318</v>
      </c>
      <c r="F13">
        <v>3.9903000000000001E-2</v>
      </c>
      <c r="G13">
        <v>1.974</v>
      </c>
      <c r="H13">
        <v>1.1271</v>
      </c>
      <c r="I13">
        <v>0.47182000000000002</v>
      </c>
      <c r="J13">
        <v>0.1409</v>
      </c>
      <c r="K13">
        <v>0.11173</v>
      </c>
      <c r="L13">
        <v>0.51897000000000004</v>
      </c>
      <c r="M13">
        <v>0.31043999999999999</v>
      </c>
      <c r="N13">
        <v>0</v>
      </c>
      <c r="O13">
        <v>1.5305940000000001E-3</v>
      </c>
      <c r="P13">
        <v>6.2009166666666662E-3</v>
      </c>
      <c r="Q13">
        <v>5.5094529366666679E-2</v>
      </c>
      <c r="R13">
        <v>0.17504433333333333</v>
      </c>
      <c r="S13">
        <v>1.4925459999999999</v>
      </c>
      <c r="T13">
        <v>2.339515</v>
      </c>
      <c r="U13">
        <v>1.4617630000000001</v>
      </c>
      <c r="V13">
        <v>0.53244199999999997</v>
      </c>
      <c r="W13">
        <v>0.69627869999999992</v>
      </c>
      <c r="X13">
        <v>0.87675263333333342</v>
      </c>
      <c r="Y13">
        <v>0.26228126666666662</v>
      </c>
      <c r="Z13">
        <v>5.2692222050000001E-2</v>
      </c>
      <c r="AA13">
        <v>0</v>
      </c>
      <c r="AB13">
        <v>0</v>
      </c>
      <c r="AC13">
        <v>6.9183999999999996E-2</v>
      </c>
      <c r="AD13">
        <v>0.48531000000000002</v>
      </c>
      <c r="AE13">
        <v>1.4332</v>
      </c>
      <c r="AF13">
        <v>2.9918</v>
      </c>
      <c r="AG13">
        <v>4.1199000000000003</v>
      </c>
      <c r="AH13">
        <v>2.2168000000000001</v>
      </c>
      <c r="AI13">
        <v>0.15307999999999999</v>
      </c>
      <c r="AJ13">
        <v>1.0686</v>
      </c>
      <c r="AK13">
        <v>3.1184E-2</v>
      </c>
      <c r="AL13">
        <v>0</v>
      </c>
    </row>
    <row r="14" spans="1:38" x14ac:dyDescent="0.35">
      <c r="A14">
        <v>12</v>
      </c>
      <c r="B14" s="86" t="s">
        <v>2414</v>
      </c>
      <c r="C14">
        <v>8.4369999999999996E-4</v>
      </c>
      <c r="D14">
        <v>0</v>
      </c>
      <c r="E14">
        <v>1.3244000000000001E-3</v>
      </c>
      <c r="F14">
        <v>1.691E-3</v>
      </c>
      <c r="G14">
        <v>5.4057999999999997E-3</v>
      </c>
      <c r="H14">
        <v>6.2522000000000001E-4</v>
      </c>
      <c r="I14">
        <v>8.0590000000000002E-4</v>
      </c>
      <c r="J14">
        <v>7.7444000000000005E-4</v>
      </c>
      <c r="K14">
        <v>2.2999000000000001E-3</v>
      </c>
      <c r="L14">
        <v>3.8965000000000001E-4</v>
      </c>
      <c r="M14">
        <v>1.3324999999999999E-3</v>
      </c>
      <c r="N14">
        <v>0</v>
      </c>
      <c r="O14">
        <v>4.3524109999999998E-4</v>
      </c>
      <c r="P14">
        <v>2.7376149999999998E-4</v>
      </c>
      <c r="Q14">
        <v>4.0865850000000001E-4</v>
      </c>
      <c r="R14">
        <v>2.437392E-3</v>
      </c>
      <c r="S14">
        <v>7.9944633333333352E-3</v>
      </c>
      <c r="T14">
        <v>2.6989643333333335E-3</v>
      </c>
      <c r="U14">
        <v>1.1834846666666666E-3</v>
      </c>
      <c r="V14">
        <v>1.6071057E-3</v>
      </c>
      <c r="W14">
        <v>2.4707533333333336E-3</v>
      </c>
      <c r="X14">
        <v>3.5995853333333325E-3</v>
      </c>
      <c r="Y14">
        <v>2.5530683333333335E-3</v>
      </c>
      <c r="Z14">
        <v>1.3774438666666667E-3</v>
      </c>
      <c r="AA14">
        <v>2.4153000000000001E-5</v>
      </c>
      <c r="AB14">
        <v>9.9548000000000003E-5</v>
      </c>
      <c r="AC14">
        <v>6.0336000000000005E-4</v>
      </c>
      <c r="AD14">
        <v>5.8002000000000001E-3</v>
      </c>
      <c r="AE14">
        <v>6.1219000000000004E-3</v>
      </c>
      <c r="AF14">
        <v>1.0072E-3</v>
      </c>
      <c r="AG14">
        <v>8.3726999999999998E-4</v>
      </c>
      <c r="AH14">
        <v>1.6563999999999999E-3</v>
      </c>
      <c r="AI14">
        <v>2.5276999999999999E-3</v>
      </c>
      <c r="AJ14">
        <v>9.8822000000000007E-3</v>
      </c>
      <c r="AK14">
        <v>1.2468E-2</v>
      </c>
      <c r="AL14">
        <v>2.8425999999999998E-3</v>
      </c>
    </row>
    <row r="15" spans="1:38" x14ac:dyDescent="0.35">
      <c r="A15">
        <v>13</v>
      </c>
      <c r="B15" s="86" t="s">
        <v>46</v>
      </c>
      <c r="C15">
        <v>6.7432000000000004E-3</v>
      </c>
      <c r="D15">
        <v>1.6985E-2</v>
      </c>
      <c r="E15">
        <v>0.48910999999999999</v>
      </c>
      <c r="F15">
        <v>0.52180000000000004</v>
      </c>
      <c r="G15">
        <v>9.0533000000000002E-2</v>
      </c>
      <c r="H15">
        <v>6.1890000000000001E-2</v>
      </c>
      <c r="I15">
        <v>4.0871999999999999E-2</v>
      </c>
      <c r="J15">
        <v>2.8638E-2</v>
      </c>
      <c r="K15">
        <v>1.5231E-2</v>
      </c>
      <c r="L15">
        <v>8.3608999999999992E-3</v>
      </c>
      <c r="M15">
        <v>0.34261000000000003</v>
      </c>
      <c r="N15">
        <v>0.10017</v>
      </c>
      <c r="O15">
        <v>0.22124307600000007</v>
      </c>
      <c r="P15">
        <v>0.39513576666666655</v>
      </c>
      <c r="Q15">
        <v>0.68941466666666684</v>
      </c>
      <c r="R15">
        <v>0.85387536666666652</v>
      </c>
      <c r="S15">
        <v>0.36947736666666681</v>
      </c>
      <c r="T15">
        <v>0.1731041333333333</v>
      </c>
      <c r="U15">
        <v>0.10525083333333331</v>
      </c>
      <c r="V15">
        <v>6.0777466666666655E-2</v>
      </c>
      <c r="W15">
        <v>6.1719123333333334E-2</v>
      </c>
      <c r="X15">
        <v>8.6836570000000002E-2</v>
      </c>
      <c r="Y15">
        <v>0.22347106333333336</v>
      </c>
      <c r="Z15">
        <v>0.24430762666666672</v>
      </c>
      <c r="AA15">
        <v>0.77939000000000003</v>
      </c>
      <c r="AB15">
        <v>3.1064000000000001E-2</v>
      </c>
      <c r="AC15">
        <v>0.38685999999999998</v>
      </c>
      <c r="AD15">
        <v>1.2818000000000001</v>
      </c>
      <c r="AE15">
        <v>0.71072000000000002</v>
      </c>
      <c r="AF15">
        <v>0.46788999999999997</v>
      </c>
      <c r="AG15">
        <v>0.18604000000000001</v>
      </c>
      <c r="AH15">
        <v>0.29365000000000002</v>
      </c>
      <c r="AI15">
        <v>5.8200000000000002E-2</v>
      </c>
      <c r="AJ15">
        <v>0.22603000000000001</v>
      </c>
      <c r="AK15">
        <v>0.89146000000000003</v>
      </c>
      <c r="AL15">
        <v>0.41481000000000001</v>
      </c>
    </row>
    <row r="16" spans="1:38" x14ac:dyDescent="0.35">
      <c r="A16">
        <v>14</v>
      </c>
      <c r="B16" s="87" t="s">
        <v>1733</v>
      </c>
      <c r="C16">
        <v>770.01</v>
      </c>
      <c r="D16">
        <v>224.29</v>
      </c>
      <c r="E16">
        <v>98.614999999999995</v>
      </c>
      <c r="F16">
        <v>440.36</v>
      </c>
      <c r="G16">
        <v>223.24</v>
      </c>
      <c r="H16">
        <v>182.45</v>
      </c>
      <c r="I16">
        <v>59.942</v>
      </c>
      <c r="J16">
        <v>44.746000000000002</v>
      </c>
      <c r="K16">
        <v>62.853000000000002</v>
      </c>
      <c r="L16">
        <v>287.56</v>
      </c>
      <c r="M16">
        <v>351.25</v>
      </c>
      <c r="N16">
        <v>423.6</v>
      </c>
      <c r="O16">
        <v>852.24206666666691</v>
      </c>
      <c r="P16">
        <v>826.0148999999999</v>
      </c>
      <c r="Q16">
        <v>366.65277000000003</v>
      </c>
      <c r="R16">
        <v>497.81266666666681</v>
      </c>
      <c r="S16">
        <v>396.33466666666658</v>
      </c>
      <c r="T16">
        <v>217.14823333333331</v>
      </c>
      <c r="U16">
        <v>108.31424000000001</v>
      </c>
      <c r="V16">
        <v>64.655233333333328</v>
      </c>
      <c r="W16">
        <v>96.732633333333311</v>
      </c>
      <c r="X16">
        <v>308.66490000000005</v>
      </c>
      <c r="Y16">
        <v>565.71587333333332</v>
      </c>
      <c r="Z16">
        <v>938.25666666666677</v>
      </c>
      <c r="AA16">
        <v>1900.9</v>
      </c>
      <c r="AB16">
        <v>3286.1</v>
      </c>
      <c r="AC16">
        <v>1153</v>
      </c>
      <c r="AD16">
        <v>725.61</v>
      </c>
      <c r="AE16">
        <v>277.01</v>
      </c>
      <c r="AF16">
        <v>183.76</v>
      </c>
      <c r="AG16">
        <v>139.30000000000001</v>
      </c>
      <c r="AH16">
        <v>36.640999999999998</v>
      </c>
      <c r="AI16">
        <v>78.272999999999996</v>
      </c>
      <c r="AJ16">
        <v>572.85</v>
      </c>
      <c r="AK16">
        <v>541.64</v>
      </c>
      <c r="AL16">
        <v>629.98</v>
      </c>
    </row>
    <row r="17" spans="1:38" x14ac:dyDescent="0.35">
      <c r="A17">
        <v>15</v>
      </c>
      <c r="B17" s="86" t="s">
        <v>1548</v>
      </c>
      <c r="C17">
        <v>0</v>
      </c>
      <c r="D17">
        <v>7.9725000000000004E-2</v>
      </c>
      <c r="E17">
        <v>0.51029000000000002</v>
      </c>
      <c r="F17">
        <v>0.48032999999999998</v>
      </c>
      <c r="G17">
        <v>0.43482999999999999</v>
      </c>
      <c r="H17">
        <v>0.14168</v>
      </c>
      <c r="I17">
        <v>9.3967999999999996E-2</v>
      </c>
      <c r="J17">
        <v>6.3519999999999993E-2</v>
      </c>
      <c r="K17">
        <v>3.3043999999999997E-2</v>
      </c>
      <c r="L17">
        <v>1.6458E-2</v>
      </c>
      <c r="M17">
        <v>1.8176000000000001E-2</v>
      </c>
      <c r="N17">
        <v>0.10204000000000001</v>
      </c>
      <c r="O17">
        <v>0.14878205596666672</v>
      </c>
      <c r="P17">
        <v>0.10073725033333333</v>
      </c>
      <c r="Q17">
        <v>0.23477611333333331</v>
      </c>
      <c r="R17">
        <v>0.59851556666666683</v>
      </c>
      <c r="S17">
        <v>1.2056856666666664</v>
      </c>
      <c r="T17">
        <v>0.49778666666666671</v>
      </c>
      <c r="U17">
        <v>0.14102573333333332</v>
      </c>
      <c r="V17">
        <v>0.10616783333333335</v>
      </c>
      <c r="W17">
        <v>0.14380823333333337</v>
      </c>
      <c r="X17">
        <v>0.37816783333333343</v>
      </c>
      <c r="Y17">
        <v>0.29964990000000002</v>
      </c>
      <c r="Z17">
        <v>0.20788836813333333</v>
      </c>
      <c r="AA17">
        <v>0</v>
      </c>
      <c r="AB17">
        <v>0.24456</v>
      </c>
      <c r="AC17">
        <v>0.51322000000000001</v>
      </c>
      <c r="AD17">
        <v>0.90154000000000001</v>
      </c>
      <c r="AE17">
        <v>1.6226</v>
      </c>
      <c r="AF17">
        <v>1.0341</v>
      </c>
      <c r="AG17">
        <v>0.18561</v>
      </c>
      <c r="AH17">
        <v>0.17121</v>
      </c>
      <c r="AI17">
        <v>2.9218000000000001E-2</v>
      </c>
      <c r="AJ17">
        <v>0.43824999999999997</v>
      </c>
      <c r="AK17">
        <v>0.17205999999999999</v>
      </c>
      <c r="AL17">
        <v>0.32673999999999997</v>
      </c>
    </row>
    <row r="18" spans="1:38" x14ac:dyDescent="0.35">
      <c r="A18">
        <v>16</v>
      </c>
      <c r="B18" s="86" t="s">
        <v>2703</v>
      </c>
      <c r="C18">
        <v>1.8145</v>
      </c>
      <c r="D18">
        <v>0.65434999999999999</v>
      </c>
      <c r="E18">
        <v>3.5728</v>
      </c>
      <c r="F18">
        <v>1.7627999999999999</v>
      </c>
      <c r="G18">
        <v>1.6052999999999999</v>
      </c>
      <c r="H18">
        <v>0.88517999999999997</v>
      </c>
      <c r="I18">
        <v>0.48991000000000001</v>
      </c>
      <c r="J18">
        <v>0.30925999999999998</v>
      </c>
      <c r="K18">
        <v>0.24843999999999999</v>
      </c>
      <c r="L18">
        <v>0.99748999999999999</v>
      </c>
      <c r="M18">
        <v>3.0026000000000002</v>
      </c>
      <c r="N18">
        <v>9.5030000000000003E-2</v>
      </c>
      <c r="O18">
        <v>4.9885984284200005</v>
      </c>
      <c r="P18">
        <v>4.6926706666666664</v>
      </c>
      <c r="Q18">
        <v>3.4634690666666654</v>
      </c>
      <c r="R18">
        <v>2.9283956666666668</v>
      </c>
      <c r="S18">
        <v>2.3327006666666672</v>
      </c>
      <c r="T18">
        <v>1.1262279999999998</v>
      </c>
      <c r="U18">
        <v>0.6863962263333333</v>
      </c>
      <c r="V18">
        <v>0.51919316666666659</v>
      </c>
      <c r="W18">
        <v>2.7902616666666669</v>
      </c>
      <c r="X18">
        <v>7.1335789999999983</v>
      </c>
      <c r="Y18">
        <v>4.3350772582000001</v>
      </c>
      <c r="Z18">
        <v>4.1189155666666668</v>
      </c>
      <c r="AA18">
        <v>12.452999999999999</v>
      </c>
      <c r="AB18">
        <v>12.725</v>
      </c>
      <c r="AC18">
        <v>0.61651999999999996</v>
      </c>
      <c r="AD18">
        <v>1.4750000000000001</v>
      </c>
      <c r="AE18">
        <v>1.8169</v>
      </c>
      <c r="AF18">
        <v>0.62966999999999995</v>
      </c>
      <c r="AG18">
        <v>0.5837</v>
      </c>
      <c r="AH18">
        <v>0.26729000000000003</v>
      </c>
      <c r="AI18">
        <v>14.756</v>
      </c>
      <c r="AJ18">
        <v>12.786</v>
      </c>
      <c r="AK18">
        <v>10.304</v>
      </c>
      <c r="AL18">
        <v>0.82669000000000004</v>
      </c>
    </row>
    <row r="19" spans="1:38" x14ac:dyDescent="0.35">
      <c r="A19">
        <v>17</v>
      </c>
      <c r="B19" s="86" t="s">
        <v>2770</v>
      </c>
      <c r="C19">
        <v>0</v>
      </c>
      <c r="D19">
        <v>0</v>
      </c>
      <c r="E19">
        <v>0</v>
      </c>
      <c r="F19">
        <v>0.14105000000000001</v>
      </c>
      <c r="G19">
        <v>0.94184000000000001</v>
      </c>
      <c r="H19">
        <v>2.3043</v>
      </c>
      <c r="I19">
        <v>2.8713000000000002</v>
      </c>
      <c r="J19">
        <v>0.76812000000000002</v>
      </c>
      <c r="K19">
        <v>8.2390000000000005E-2</v>
      </c>
      <c r="L19">
        <v>2.2799E-2</v>
      </c>
      <c r="M19">
        <v>6.6677E-2</v>
      </c>
      <c r="N19">
        <v>0</v>
      </c>
      <c r="O19">
        <v>0</v>
      </c>
      <c r="P19">
        <v>2.5931666666666668E-3</v>
      </c>
      <c r="Q19">
        <v>8.9452933333333332E-3</v>
      </c>
      <c r="R19">
        <v>6.6233966559999996E-2</v>
      </c>
      <c r="S19">
        <v>0.87786893333333327</v>
      </c>
      <c r="T19">
        <v>2.6102933333333329</v>
      </c>
      <c r="U19">
        <v>3.4166976666666664</v>
      </c>
      <c r="V19">
        <v>1.5291043333333336</v>
      </c>
      <c r="W19">
        <v>0.88228566666666652</v>
      </c>
      <c r="X19">
        <v>0.71630130000000003</v>
      </c>
      <c r="Y19">
        <v>0.13595822600000002</v>
      </c>
      <c r="Z19">
        <v>4.1917556666666675E-2</v>
      </c>
      <c r="AA19">
        <v>0</v>
      </c>
      <c r="AB19">
        <v>0</v>
      </c>
      <c r="AC19">
        <v>0</v>
      </c>
      <c r="AD19">
        <v>0.14748</v>
      </c>
      <c r="AE19">
        <v>0.78961000000000003</v>
      </c>
      <c r="AF19">
        <v>2.7421000000000002</v>
      </c>
      <c r="AG19">
        <v>4.8410000000000002</v>
      </c>
      <c r="AH19">
        <v>2.7509999999999999</v>
      </c>
      <c r="AI19">
        <v>1.1293</v>
      </c>
      <c r="AJ19">
        <v>1.3802000000000001</v>
      </c>
      <c r="AK19">
        <v>2.9867000000000001E-2</v>
      </c>
      <c r="AL19">
        <v>0</v>
      </c>
    </row>
    <row r="20" spans="1:38" x14ac:dyDescent="0.35">
      <c r="A20">
        <v>18</v>
      </c>
      <c r="B20" s="88" t="s">
        <v>1919</v>
      </c>
      <c r="C20">
        <v>275.7</v>
      </c>
      <c r="D20">
        <v>222.89</v>
      </c>
      <c r="E20">
        <v>80.590999999999994</v>
      </c>
      <c r="F20">
        <v>366.61</v>
      </c>
      <c r="G20">
        <v>144.91999999999999</v>
      </c>
      <c r="H20">
        <v>126.3</v>
      </c>
      <c r="I20">
        <v>23.161999999999999</v>
      </c>
      <c r="J20">
        <v>34.905000000000001</v>
      </c>
      <c r="K20">
        <v>20.898</v>
      </c>
      <c r="L20">
        <v>374.71</v>
      </c>
      <c r="M20">
        <v>45.633000000000003</v>
      </c>
      <c r="N20">
        <v>497.4</v>
      </c>
      <c r="O20">
        <v>1030.3693536333333</v>
      </c>
      <c r="P20">
        <v>890.54056666666679</v>
      </c>
      <c r="Q20">
        <v>348.30540000000002</v>
      </c>
      <c r="R20">
        <v>414.80540000000002</v>
      </c>
      <c r="S20">
        <v>362.07859999999988</v>
      </c>
      <c r="T20">
        <v>160.15119999999996</v>
      </c>
      <c r="U20">
        <v>46.73123300000001</v>
      </c>
      <c r="V20">
        <v>24.833158333333337</v>
      </c>
      <c r="W20">
        <v>82.982803333333337</v>
      </c>
      <c r="X20">
        <v>392.96520000000004</v>
      </c>
      <c r="Y20">
        <v>758.23138666666648</v>
      </c>
      <c r="Z20">
        <v>1257.7601333333334</v>
      </c>
      <c r="AA20">
        <v>2868.8</v>
      </c>
      <c r="AB20">
        <v>3617</v>
      </c>
      <c r="AC20">
        <v>1156.0999999999999</v>
      </c>
      <c r="AD20">
        <v>1009.5</v>
      </c>
      <c r="AE20">
        <v>157.59</v>
      </c>
      <c r="AF20">
        <v>134.85</v>
      </c>
      <c r="AG20">
        <v>74.73</v>
      </c>
      <c r="AH20">
        <v>10.512</v>
      </c>
      <c r="AI20">
        <v>60.215000000000003</v>
      </c>
      <c r="AJ20">
        <v>1972.9</v>
      </c>
      <c r="AK20">
        <v>140.97</v>
      </c>
      <c r="AL20">
        <v>270.83999999999997</v>
      </c>
    </row>
    <row r="21" spans="1:38" x14ac:dyDescent="0.35">
      <c r="A21">
        <v>19</v>
      </c>
      <c r="B21" s="86" t="s">
        <v>2196</v>
      </c>
      <c r="C21">
        <v>4.8454999999999998E-2</v>
      </c>
      <c r="D21">
        <v>3.3908000000000001E-2</v>
      </c>
      <c r="E21">
        <v>0</v>
      </c>
      <c r="F21">
        <v>1.9042E-2</v>
      </c>
      <c r="G21">
        <v>4.9061E-3</v>
      </c>
      <c r="H21">
        <v>3.1830000000000001E-3</v>
      </c>
      <c r="I21">
        <v>1.3078E-3</v>
      </c>
      <c r="J21">
        <v>1.5911E-3</v>
      </c>
      <c r="K21">
        <v>1.0218E-3</v>
      </c>
      <c r="L21">
        <v>2.4897000000000001E-3</v>
      </c>
      <c r="M21">
        <v>1.6182999999999999E-2</v>
      </c>
      <c r="N21">
        <v>2.6703000000000001E-2</v>
      </c>
      <c r="O21">
        <v>4.052766E-2</v>
      </c>
      <c r="P21">
        <v>3.8518886666666668E-2</v>
      </c>
      <c r="Q21">
        <v>2.4410563333333333E-2</v>
      </c>
      <c r="R21">
        <v>1.9647563333333336E-2</v>
      </c>
      <c r="S21">
        <v>8.3923799999999996E-3</v>
      </c>
      <c r="T21">
        <v>3.1955426666666676E-3</v>
      </c>
      <c r="U21">
        <v>1.5693520000000002E-3</v>
      </c>
      <c r="V21">
        <v>1.4825736666666668E-3</v>
      </c>
      <c r="W21">
        <v>7.0446280000000007E-3</v>
      </c>
      <c r="X21">
        <v>2.5435121666666671E-2</v>
      </c>
      <c r="Y21">
        <v>5.1586993333333338E-2</v>
      </c>
      <c r="Z21">
        <v>4.598633333333333E-2</v>
      </c>
      <c r="AA21">
        <v>7.7374999999999999E-2</v>
      </c>
      <c r="AB21">
        <v>6.2425000000000001E-2</v>
      </c>
      <c r="AC21">
        <v>2.6571999999999998E-2</v>
      </c>
      <c r="AD21">
        <v>2.0191000000000001E-2</v>
      </c>
      <c r="AE21">
        <v>5.9208000000000004E-3</v>
      </c>
      <c r="AF21">
        <v>7.1481000000000001E-3</v>
      </c>
      <c r="AG21">
        <v>1.5977000000000001E-3</v>
      </c>
      <c r="AH21">
        <v>1.9449000000000001E-3</v>
      </c>
      <c r="AI21">
        <v>2.6997000000000002E-3</v>
      </c>
      <c r="AJ21">
        <v>9.5834000000000003E-2</v>
      </c>
      <c r="AK21">
        <v>5.4281999999999997E-2</v>
      </c>
      <c r="AL21">
        <v>6.2858999999999998E-2</v>
      </c>
    </row>
    <row r="22" spans="1:38" x14ac:dyDescent="0.35">
      <c r="A22">
        <v>20</v>
      </c>
      <c r="B22" s="86" t="s">
        <v>45</v>
      </c>
      <c r="C22">
        <v>7.1012000000000002E-3</v>
      </c>
      <c r="D22">
        <v>1.7887E-2</v>
      </c>
      <c r="E22">
        <v>0.51507999999999998</v>
      </c>
      <c r="F22">
        <v>0.54949999999999999</v>
      </c>
      <c r="G22">
        <v>9.5339999999999994E-2</v>
      </c>
      <c r="H22">
        <v>6.5175999999999998E-2</v>
      </c>
      <c r="I22">
        <v>4.3041999999999997E-2</v>
      </c>
      <c r="J22">
        <v>3.0158000000000001E-2</v>
      </c>
      <c r="K22">
        <v>1.6039000000000001E-2</v>
      </c>
      <c r="L22">
        <v>8.8047999999999998E-3</v>
      </c>
      <c r="M22">
        <v>0.36080000000000001</v>
      </c>
      <c r="N22">
        <v>0.10549</v>
      </c>
      <c r="O22">
        <v>0.232990223</v>
      </c>
      <c r="P22">
        <v>0.41611783333333341</v>
      </c>
      <c r="Q22">
        <v>0.72601866666666659</v>
      </c>
      <c r="R22">
        <v>0.89921376666666675</v>
      </c>
      <c r="S22">
        <v>0.38909536666666661</v>
      </c>
      <c r="T22">
        <v>0.18229473333333335</v>
      </c>
      <c r="U22">
        <v>0.11083943333333335</v>
      </c>
      <c r="V22">
        <v>6.4004733333333341E-2</v>
      </c>
      <c r="W22">
        <v>6.4996406666666673E-2</v>
      </c>
      <c r="X22">
        <v>9.1446866666666668E-2</v>
      </c>
      <c r="Y22">
        <v>0.23533617666666662</v>
      </c>
      <c r="Z22">
        <v>0.25727912000000003</v>
      </c>
      <c r="AA22">
        <v>0.82077</v>
      </c>
      <c r="AB22">
        <v>3.2712999999999999E-2</v>
      </c>
      <c r="AC22">
        <v>0.40739999999999998</v>
      </c>
      <c r="AD22">
        <v>1.3498000000000001</v>
      </c>
      <c r="AE22">
        <v>0.74846000000000001</v>
      </c>
      <c r="AF22">
        <v>0.49273</v>
      </c>
      <c r="AG22">
        <v>0.19592000000000001</v>
      </c>
      <c r="AH22">
        <v>0.30925000000000002</v>
      </c>
      <c r="AI22">
        <v>6.1289999999999997E-2</v>
      </c>
      <c r="AJ22">
        <v>0.23802999999999999</v>
      </c>
      <c r="AK22">
        <v>0.93879000000000001</v>
      </c>
      <c r="AL22">
        <v>0.43683</v>
      </c>
    </row>
    <row r="23" spans="1:38" x14ac:dyDescent="0.35">
      <c r="A23">
        <v>21</v>
      </c>
      <c r="B23" s="86" t="s">
        <v>2424</v>
      </c>
      <c r="C23">
        <v>9.5803999999999995E-4</v>
      </c>
      <c r="D23">
        <v>0.65797000000000005</v>
      </c>
      <c r="E23">
        <v>3.4262999999999999</v>
      </c>
      <c r="F23">
        <v>6.5801999999999996</v>
      </c>
      <c r="G23">
        <v>2.8311000000000002</v>
      </c>
      <c r="H23">
        <v>1.1104000000000001</v>
      </c>
      <c r="I23">
        <v>0.72450000000000003</v>
      </c>
      <c r="J23">
        <v>0.49528</v>
      </c>
      <c r="K23">
        <v>0.28362999999999999</v>
      </c>
      <c r="L23">
        <v>0.10150000000000001</v>
      </c>
      <c r="M23">
        <v>0.13980999999999999</v>
      </c>
      <c r="N23">
        <v>0.71167000000000002</v>
      </c>
      <c r="O23">
        <v>1.4235334413333331</v>
      </c>
      <c r="P23">
        <v>1.3328340666666669</v>
      </c>
      <c r="Q23">
        <v>2.6731929999999999</v>
      </c>
      <c r="R23">
        <v>5.3578899999999994</v>
      </c>
      <c r="S23">
        <v>8.3120133333333328</v>
      </c>
      <c r="T23">
        <v>3.4428123333333334</v>
      </c>
      <c r="U23">
        <v>1.207805</v>
      </c>
      <c r="V23">
        <v>0.90057900000000002</v>
      </c>
      <c r="W23">
        <v>1.3970423333333335</v>
      </c>
      <c r="X23">
        <v>3.6006456666666664</v>
      </c>
      <c r="Y23">
        <v>2.3943024666666664</v>
      </c>
      <c r="Z23">
        <v>1.8335403000000001</v>
      </c>
      <c r="AA23">
        <v>0.10147</v>
      </c>
      <c r="AB23">
        <v>3.0032000000000001</v>
      </c>
      <c r="AC23">
        <v>7.5579000000000001</v>
      </c>
      <c r="AD23">
        <v>6.6093999999999999</v>
      </c>
      <c r="AE23">
        <v>12.180999999999999</v>
      </c>
      <c r="AF23">
        <v>6.2710999999999997</v>
      </c>
      <c r="AG23">
        <v>2.8351000000000002</v>
      </c>
      <c r="AH23">
        <v>2.1389999999999998</v>
      </c>
      <c r="AI23">
        <v>0.54079999999999995</v>
      </c>
      <c r="AJ23">
        <v>4.8186</v>
      </c>
      <c r="AK23">
        <v>1.1632</v>
      </c>
      <c r="AL23">
        <v>3.0221</v>
      </c>
    </row>
    <row r="24" spans="1:38" x14ac:dyDescent="0.35">
      <c r="A24">
        <v>22</v>
      </c>
      <c r="B24" s="86" t="s">
        <v>2290</v>
      </c>
      <c r="C24">
        <v>4.3085000000000004</v>
      </c>
      <c r="D24">
        <v>0</v>
      </c>
      <c r="E24">
        <v>4.1398000000000001</v>
      </c>
      <c r="F24">
        <v>6.8560999999999996</v>
      </c>
      <c r="G24">
        <v>2.4723999999999999</v>
      </c>
      <c r="H24">
        <v>1.9529000000000001</v>
      </c>
      <c r="I24">
        <v>2.1631999999999998</v>
      </c>
      <c r="J24">
        <v>1.7907</v>
      </c>
      <c r="K24">
        <v>1.6061000000000001</v>
      </c>
      <c r="L24">
        <v>5.0568</v>
      </c>
      <c r="M24">
        <v>1.9321999999999999</v>
      </c>
      <c r="N24">
        <v>2.8542999999999998</v>
      </c>
      <c r="O24">
        <v>2.5736283333333332</v>
      </c>
      <c r="P24">
        <v>3.2432586666666667</v>
      </c>
      <c r="Q24">
        <v>8.2262833333333329</v>
      </c>
      <c r="R24">
        <v>10.487683333333335</v>
      </c>
      <c r="S24">
        <v>6.5141066666666658</v>
      </c>
      <c r="T24">
        <v>5.0910066666666669</v>
      </c>
      <c r="U24">
        <v>3.8362046666666667</v>
      </c>
      <c r="V24">
        <v>3.2246733333333331</v>
      </c>
      <c r="W24">
        <v>3.3786740000000011</v>
      </c>
      <c r="X24">
        <v>4.4877723333333321</v>
      </c>
      <c r="Y24">
        <v>4.1810549999999997</v>
      </c>
      <c r="Z24">
        <v>2.5732283333333332</v>
      </c>
      <c r="AA24">
        <v>1.2523</v>
      </c>
      <c r="AB24">
        <v>12.847</v>
      </c>
      <c r="AC24">
        <v>2.5529999999999999</v>
      </c>
      <c r="AD24">
        <v>2.3119999999999998</v>
      </c>
      <c r="AE24">
        <v>4.6797000000000004</v>
      </c>
      <c r="AF24">
        <v>9.8618000000000006</v>
      </c>
      <c r="AG24">
        <v>3.3603999999999998</v>
      </c>
      <c r="AH24">
        <v>4.6109999999999998</v>
      </c>
      <c r="AI24">
        <v>6.3055000000000003</v>
      </c>
      <c r="AJ24">
        <v>23.946999999999999</v>
      </c>
      <c r="AK24">
        <v>2.8254999999999999</v>
      </c>
      <c r="AL24">
        <v>4.6814</v>
      </c>
    </row>
    <row r="25" spans="1:38" x14ac:dyDescent="0.35">
      <c r="A25">
        <v>23</v>
      </c>
      <c r="B25" s="86" t="s">
        <v>2289</v>
      </c>
      <c r="C25">
        <v>1.3119E-2</v>
      </c>
      <c r="D25">
        <v>0</v>
      </c>
      <c r="E25">
        <v>8.6931000000000005E-3</v>
      </c>
      <c r="F25">
        <v>2.3782000000000001E-2</v>
      </c>
      <c r="G25">
        <v>2.2621E-3</v>
      </c>
      <c r="H25">
        <v>5.6086E-3</v>
      </c>
      <c r="I25">
        <v>1.0479E-2</v>
      </c>
      <c r="J25">
        <v>7.4697000000000001E-3</v>
      </c>
      <c r="K25">
        <v>5.6969000000000004E-3</v>
      </c>
      <c r="L25">
        <v>7.8578999999999993E-3</v>
      </c>
      <c r="M25">
        <v>3.4646999999999998E-3</v>
      </c>
      <c r="N25">
        <v>4.9728000000000003E-3</v>
      </c>
      <c r="O25">
        <v>4.5195936666666678E-3</v>
      </c>
      <c r="P25">
        <v>5.7355557000000005E-3</v>
      </c>
      <c r="Q25">
        <v>1.5980021333333334E-2</v>
      </c>
      <c r="R25">
        <v>2.2622339999999998E-2</v>
      </c>
      <c r="S25">
        <v>1.0901883333333331E-2</v>
      </c>
      <c r="T25">
        <v>1.2233703333333332E-2</v>
      </c>
      <c r="U25">
        <v>1.1757516666666664E-2</v>
      </c>
      <c r="V25">
        <v>9.9882666666666654E-3</v>
      </c>
      <c r="W25">
        <v>1.0315826666666668E-2</v>
      </c>
      <c r="X25">
        <v>9.3845033333333338E-3</v>
      </c>
      <c r="Y25">
        <v>7.9191756666666668E-3</v>
      </c>
      <c r="Z25">
        <v>5.425535999999999E-3</v>
      </c>
      <c r="AA25">
        <v>2.9445999999999999E-3</v>
      </c>
      <c r="AB25">
        <v>2.6356000000000001E-2</v>
      </c>
      <c r="AC25">
        <v>9.9740999999999996E-3</v>
      </c>
      <c r="AD25">
        <v>2.9986000000000001E-3</v>
      </c>
      <c r="AE25">
        <v>1.0048E-2</v>
      </c>
      <c r="AF25">
        <v>2.8219999999999999E-2</v>
      </c>
      <c r="AG25">
        <v>1.452E-2</v>
      </c>
      <c r="AH25">
        <v>1.273E-2</v>
      </c>
      <c r="AI25">
        <v>1.6761999999999999E-2</v>
      </c>
      <c r="AJ25">
        <v>3.1483999999999998E-2</v>
      </c>
      <c r="AK25">
        <v>6.6705999999999996E-3</v>
      </c>
      <c r="AL25">
        <v>8.4627000000000001E-3</v>
      </c>
    </row>
    <row r="26" spans="1:38" x14ac:dyDescent="0.35">
      <c r="A26">
        <v>24</v>
      </c>
      <c r="B26" s="86" t="s">
        <v>2188</v>
      </c>
      <c r="C26">
        <v>6.6463E-3</v>
      </c>
      <c r="D26">
        <v>2.7290999999999999E-3</v>
      </c>
      <c r="E26">
        <v>1.1915000000000001E-3</v>
      </c>
      <c r="F26">
        <v>3.4393E-4</v>
      </c>
      <c r="G26">
        <v>6.1720000000000004E-4</v>
      </c>
      <c r="H26">
        <v>7.9567000000000006E-5</v>
      </c>
      <c r="I26">
        <v>3.0927E-4</v>
      </c>
      <c r="J26">
        <v>1.5202E-4</v>
      </c>
      <c r="K26">
        <v>2.9753000000000001E-4</v>
      </c>
      <c r="L26">
        <v>2.3149999999999999E-4</v>
      </c>
      <c r="M26">
        <v>2.6442000000000002E-3</v>
      </c>
      <c r="N26">
        <v>1.5876E-3</v>
      </c>
      <c r="O26">
        <v>5.0488986666666659E-3</v>
      </c>
      <c r="P26">
        <v>3.8070235666666668E-3</v>
      </c>
      <c r="Q26">
        <v>3.8057653333333336E-3</v>
      </c>
      <c r="R26">
        <v>2.1195723333333333E-3</v>
      </c>
      <c r="S26">
        <v>1.3384243333333329E-3</v>
      </c>
      <c r="T26">
        <v>1.2967555666666666E-3</v>
      </c>
      <c r="U26">
        <v>1.2643863333333331E-3</v>
      </c>
      <c r="V26">
        <v>6.8065476666666661E-4</v>
      </c>
      <c r="W26">
        <v>1.4044086666666668E-3</v>
      </c>
      <c r="X26">
        <v>2.7618021999999999E-3</v>
      </c>
      <c r="Y26">
        <v>3.9038459999999999E-3</v>
      </c>
      <c r="Z26">
        <v>5.393340333333334E-3</v>
      </c>
      <c r="AA26">
        <v>6.7692000000000004E-3</v>
      </c>
      <c r="AB26">
        <v>3.6572000000000002E-3</v>
      </c>
      <c r="AC26">
        <v>5.3525999999999999E-3</v>
      </c>
      <c r="AD26">
        <v>1.0878000000000001E-3</v>
      </c>
      <c r="AE26">
        <v>1.3755E-3</v>
      </c>
      <c r="AF26">
        <v>4.0689999999999997E-3</v>
      </c>
      <c r="AG26">
        <v>2.4515000000000001E-3</v>
      </c>
      <c r="AH26">
        <v>1.2329999999999999E-3</v>
      </c>
      <c r="AI26">
        <v>1.3905E-3</v>
      </c>
      <c r="AJ26">
        <v>8.2997000000000001E-3</v>
      </c>
      <c r="AK26">
        <v>5.9008999999999997E-3</v>
      </c>
      <c r="AL26">
        <v>5.3482E-3</v>
      </c>
    </row>
    <row r="27" spans="1:38" x14ac:dyDescent="0.35">
      <c r="A27">
        <v>25</v>
      </c>
      <c r="B27" s="86" t="s">
        <v>2130</v>
      </c>
      <c r="C27">
        <v>9.9694000000000005E-2</v>
      </c>
      <c r="D27">
        <v>4.0936E-2</v>
      </c>
      <c r="E27">
        <v>1.7871999999999999E-2</v>
      </c>
      <c r="F27">
        <v>5.1589000000000001E-3</v>
      </c>
      <c r="G27">
        <v>9.2578999999999995E-3</v>
      </c>
      <c r="H27">
        <v>1.1934999999999999E-3</v>
      </c>
      <c r="I27">
        <v>4.6389999999999999E-3</v>
      </c>
      <c r="J27">
        <v>2.2802999999999999E-3</v>
      </c>
      <c r="K27">
        <v>4.463E-3</v>
      </c>
      <c r="L27">
        <v>3.4726000000000002E-3</v>
      </c>
      <c r="M27">
        <v>3.9662999999999997E-2</v>
      </c>
      <c r="N27">
        <v>2.3813000000000001E-2</v>
      </c>
      <c r="O27">
        <v>7.5733366666666677E-2</v>
      </c>
      <c r="P27">
        <v>5.7105603333333338E-2</v>
      </c>
      <c r="Q27">
        <v>5.7086416666666681E-2</v>
      </c>
      <c r="R27">
        <v>3.1793696666666663E-2</v>
      </c>
      <c r="S27">
        <v>2.0076303333333333E-2</v>
      </c>
      <c r="T27">
        <v>1.9451243333333333E-2</v>
      </c>
      <c r="U27">
        <v>1.8965939999999994E-2</v>
      </c>
      <c r="V27">
        <v>1.020983E-2</v>
      </c>
      <c r="W27">
        <v>2.1066203333333335E-2</v>
      </c>
      <c r="X27">
        <v>4.1427158000000006E-2</v>
      </c>
      <c r="Y27">
        <v>5.8557533333333335E-2</v>
      </c>
      <c r="Z27">
        <v>8.0899933333333326E-2</v>
      </c>
      <c r="AA27">
        <v>0.10154000000000001</v>
      </c>
      <c r="AB27">
        <v>5.4857999999999997E-2</v>
      </c>
      <c r="AC27">
        <v>8.0288999999999999E-2</v>
      </c>
      <c r="AD27">
        <v>1.6317999999999999E-2</v>
      </c>
      <c r="AE27">
        <v>2.0632999999999999E-2</v>
      </c>
      <c r="AF27">
        <v>6.1036E-2</v>
      </c>
      <c r="AG27">
        <v>3.6773E-2</v>
      </c>
      <c r="AH27">
        <v>1.8494E-2</v>
      </c>
      <c r="AI27">
        <v>2.0858000000000002E-2</v>
      </c>
      <c r="AJ27">
        <v>0.1245</v>
      </c>
      <c r="AK27">
        <v>8.8513999999999995E-2</v>
      </c>
      <c r="AL27">
        <v>8.0223000000000003E-2</v>
      </c>
    </row>
    <row r="28" spans="1:38" x14ac:dyDescent="0.35">
      <c r="A28">
        <v>26</v>
      </c>
      <c r="B28" s="85" t="s">
        <v>1863</v>
      </c>
      <c r="C28">
        <v>0</v>
      </c>
      <c r="D28">
        <v>8.5906000000000002</v>
      </c>
      <c r="E28">
        <v>10.573</v>
      </c>
      <c r="F28">
        <v>15.621</v>
      </c>
      <c r="G28">
        <v>6.0515999999999996</v>
      </c>
      <c r="H28">
        <v>8.1646000000000001</v>
      </c>
      <c r="I28">
        <v>2.0068999999999999</v>
      </c>
      <c r="J28">
        <v>5.8182</v>
      </c>
      <c r="K28">
        <v>0.73157000000000005</v>
      </c>
      <c r="L28">
        <v>0.88060000000000005</v>
      </c>
      <c r="M28">
        <v>11.766</v>
      </c>
      <c r="N28">
        <v>104.85</v>
      </c>
      <c r="O28">
        <v>111.75664066666667</v>
      </c>
      <c r="P28">
        <v>108.10944333333333</v>
      </c>
      <c r="Q28">
        <v>47.115959666666676</v>
      </c>
      <c r="R28">
        <v>56.086100000000009</v>
      </c>
      <c r="S28">
        <v>51.619319999999995</v>
      </c>
      <c r="T28">
        <v>30.588215000000002</v>
      </c>
      <c r="U28">
        <v>10.313553000000001</v>
      </c>
      <c r="V28">
        <v>5.8319176666666666</v>
      </c>
      <c r="W28">
        <v>25.555482333333337</v>
      </c>
      <c r="X28">
        <v>69.257269999999991</v>
      </c>
      <c r="Y28">
        <v>90.623081333333332</v>
      </c>
      <c r="Z28">
        <v>109.07068666666667</v>
      </c>
      <c r="AA28">
        <v>151.77000000000001</v>
      </c>
      <c r="AB28">
        <v>197.54</v>
      </c>
      <c r="AC28">
        <v>142.28</v>
      </c>
      <c r="AD28">
        <v>30.838000000000001</v>
      </c>
      <c r="AE28">
        <v>68.031999999999996</v>
      </c>
      <c r="AF28">
        <v>34.904000000000003</v>
      </c>
      <c r="AG28">
        <v>13.12</v>
      </c>
      <c r="AH28">
        <v>12.974</v>
      </c>
      <c r="AI28">
        <v>83.542000000000002</v>
      </c>
      <c r="AJ28">
        <v>189.2</v>
      </c>
      <c r="AK28">
        <v>424.14</v>
      </c>
      <c r="AL28">
        <v>42.329000000000001</v>
      </c>
    </row>
    <row r="29" spans="1:38" x14ac:dyDescent="0.35">
      <c r="A29">
        <v>27</v>
      </c>
      <c r="B29" s="86" t="s">
        <v>2617</v>
      </c>
      <c r="C29">
        <v>58.639000000000003</v>
      </c>
      <c r="D29">
        <v>52.715000000000003</v>
      </c>
      <c r="E29">
        <v>61.987000000000002</v>
      </c>
      <c r="F29">
        <v>15.374000000000001</v>
      </c>
      <c r="G29">
        <v>17.082000000000001</v>
      </c>
      <c r="H29">
        <v>20.062000000000001</v>
      </c>
      <c r="I29">
        <v>7.4362000000000004</v>
      </c>
      <c r="J29">
        <v>5.5507999999999997</v>
      </c>
      <c r="K29">
        <v>6.2031999999999998</v>
      </c>
      <c r="L29">
        <v>38.594999999999999</v>
      </c>
      <c r="M29">
        <v>111.66</v>
      </c>
      <c r="N29">
        <v>25.395</v>
      </c>
      <c r="O29">
        <v>97.801066666666671</v>
      </c>
      <c r="P29">
        <v>97.45638666666666</v>
      </c>
      <c r="Q29">
        <v>60.226770666666674</v>
      </c>
      <c r="R29">
        <v>60.341826666666663</v>
      </c>
      <c r="S29">
        <v>56.300433333333331</v>
      </c>
      <c r="T29">
        <v>32.46275</v>
      </c>
      <c r="U29">
        <v>17.639136666666669</v>
      </c>
      <c r="V29">
        <v>16.145083333333332</v>
      </c>
      <c r="W29">
        <v>38.197710000000001</v>
      </c>
      <c r="X29">
        <v>74.981643333333338</v>
      </c>
      <c r="Y29">
        <v>83.438046666666679</v>
      </c>
      <c r="Z29">
        <v>106.7983</v>
      </c>
      <c r="AA29">
        <v>143.27000000000001</v>
      </c>
      <c r="AB29">
        <v>159.53</v>
      </c>
      <c r="AC29">
        <v>11.939</v>
      </c>
      <c r="AD29">
        <v>101.54</v>
      </c>
      <c r="AE29">
        <v>46.472999999999999</v>
      </c>
      <c r="AF29">
        <v>10.138</v>
      </c>
      <c r="AG29">
        <v>8.3793000000000006</v>
      </c>
      <c r="AH29">
        <v>6.4325000000000001</v>
      </c>
      <c r="AI29">
        <v>153.12</v>
      </c>
      <c r="AJ29">
        <v>138.16999999999999</v>
      </c>
      <c r="AK29">
        <v>168.34</v>
      </c>
      <c r="AL29">
        <v>59.99</v>
      </c>
    </row>
    <row r="30" spans="1:38" x14ac:dyDescent="0.35">
      <c r="A30">
        <v>28</v>
      </c>
      <c r="B30" s="86" t="s">
        <v>2400</v>
      </c>
      <c r="C30">
        <v>0.43179000000000001</v>
      </c>
      <c r="D30">
        <v>0.41003000000000001</v>
      </c>
      <c r="E30">
        <v>0.25253999999999999</v>
      </c>
      <c r="F30">
        <v>9.2386999999999997E-2</v>
      </c>
      <c r="G30">
        <v>8.3921999999999997E-2</v>
      </c>
      <c r="H30">
        <v>5.5419000000000003E-2</v>
      </c>
      <c r="I30">
        <v>4.4603999999999998E-2</v>
      </c>
      <c r="J30">
        <v>5.9227000000000002E-2</v>
      </c>
      <c r="K30">
        <v>4.8779000000000003E-2</v>
      </c>
      <c r="L30">
        <v>0.55491000000000001</v>
      </c>
      <c r="M30">
        <v>0.36549999999999999</v>
      </c>
      <c r="N30">
        <v>0.4476</v>
      </c>
      <c r="O30">
        <v>0.53031366666666668</v>
      </c>
      <c r="P30">
        <v>0.45479348999999997</v>
      </c>
      <c r="Q30">
        <v>0.41912199999999999</v>
      </c>
      <c r="R30">
        <v>0.17548870333333333</v>
      </c>
      <c r="S30">
        <v>0.10110243333333335</v>
      </c>
      <c r="T30">
        <v>7.8564833333333348E-2</v>
      </c>
      <c r="U30">
        <v>8.832559999999999E-2</v>
      </c>
      <c r="V30">
        <v>0.13857923333333336</v>
      </c>
      <c r="W30">
        <v>0.2895279</v>
      </c>
      <c r="X30">
        <v>0.46381183333333331</v>
      </c>
      <c r="Y30">
        <v>0.49561833333333333</v>
      </c>
      <c r="Z30">
        <v>0.54001366666666661</v>
      </c>
      <c r="AA30">
        <v>0.78115000000000001</v>
      </c>
      <c r="AB30">
        <v>1.0158</v>
      </c>
      <c r="AC30">
        <v>0.87468000000000001</v>
      </c>
      <c r="AD30">
        <v>0.26423000000000002</v>
      </c>
      <c r="AE30">
        <v>4.1585999999999998E-2</v>
      </c>
      <c r="AF30">
        <v>9.0063000000000004E-2</v>
      </c>
      <c r="AG30">
        <v>7.3974999999999999E-2</v>
      </c>
      <c r="AH30">
        <v>0.10156999999999999</v>
      </c>
      <c r="AI30">
        <v>0.35450999999999999</v>
      </c>
      <c r="AJ30">
        <v>0.73997999999999997</v>
      </c>
      <c r="AK30">
        <v>0.21207999999999999</v>
      </c>
      <c r="AL30">
        <v>0.59501000000000004</v>
      </c>
    </row>
    <row r="31" spans="1:38" x14ac:dyDescent="0.35">
      <c r="A31">
        <v>29</v>
      </c>
      <c r="B31" s="86" t="s">
        <v>2630</v>
      </c>
      <c r="C31">
        <v>7.7590999999999997E-3</v>
      </c>
      <c r="D31">
        <v>2.2372999999999998E-3</v>
      </c>
      <c r="E31">
        <v>3.1554999999999999E-3</v>
      </c>
      <c r="F31">
        <v>1.7891000000000001E-3</v>
      </c>
      <c r="G31">
        <v>2.4418999999999999E-3</v>
      </c>
      <c r="H31">
        <v>1.0989000000000001E-3</v>
      </c>
      <c r="I31">
        <v>1.1299000000000001E-3</v>
      </c>
      <c r="J31">
        <v>4.4712000000000002E-4</v>
      </c>
      <c r="K31">
        <v>3.3009000000000001E-4</v>
      </c>
      <c r="L31">
        <v>1.0946E-3</v>
      </c>
      <c r="M31">
        <v>3.4443000000000001E-4</v>
      </c>
      <c r="N31">
        <v>2.0519000000000002E-3</v>
      </c>
      <c r="O31">
        <v>4.940898333333334E-3</v>
      </c>
      <c r="P31">
        <v>4.5762308666666678E-3</v>
      </c>
      <c r="Q31">
        <v>6.2589906666666653E-3</v>
      </c>
      <c r="R31">
        <v>5.4856876666666676E-3</v>
      </c>
      <c r="S31">
        <v>1.9954949999999999E-3</v>
      </c>
      <c r="T31">
        <v>2.2309356666666662E-3</v>
      </c>
      <c r="U31">
        <v>2.2808266666666664E-3</v>
      </c>
      <c r="V31">
        <v>1.8376713333333337E-3</v>
      </c>
      <c r="W31">
        <v>2.210568E-3</v>
      </c>
      <c r="X31">
        <v>4.2375666666666662E-3</v>
      </c>
      <c r="Y31">
        <v>4.9463259999999992E-3</v>
      </c>
      <c r="Z31">
        <v>5.998857666666667E-3</v>
      </c>
      <c r="AA31">
        <v>0</v>
      </c>
      <c r="AB31">
        <v>2.6940999999999998E-4</v>
      </c>
      <c r="AC31">
        <v>3.4843000000000001E-3</v>
      </c>
      <c r="AD31">
        <v>1.4534999999999999E-2</v>
      </c>
      <c r="AE31">
        <v>1.6207000000000001E-3</v>
      </c>
      <c r="AF31">
        <v>2.3808000000000002E-3</v>
      </c>
      <c r="AG31">
        <v>1.4848999999999999E-2</v>
      </c>
      <c r="AH31">
        <v>2.2407E-3</v>
      </c>
      <c r="AI31">
        <v>1.5068E-3</v>
      </c>
      <c r="AJ31">
        <v>1.0737999999999999E-2</v>
      </c>
      <c r="AK31">
        <v>7.5732999999999998E-3</v>
      </c>
      <c r="AL31">
        <v>1.0821000000000001E-2</v>
      </c>
    </row>
    <row r="32" spans="1:38" x14ac:dyDescent="0.35">
      <c r="A32">
        <v>30</v>
      </c>
      <c r="B32" s="86" t="s">
        <v>1483</v>
      </c>
      <c r="C32">
        <v>2.6034000000000002</v>
      </c>
      <c r="D32">
        <v>9.0820000000000007</v>
      </c>
      <c r="E32">
        <v>10.733000000000001</v>
      </c>
      <c r="F32">
        <v>10.603999999999999</v>
      </c>
      <c r="G32">
        <v>5.6002999999999998</v>
      </c>
      <c r="H32">
        <v>6.6474000000000002</v>
      </c>
      <c r="I32">
        <v>6.0270999999999999</v>
      </c>
      <c r="J32">
        <v>2.9051999999999998</v>
      </c>
      <c r="K32">
        <v>2.6545000000000001</v>
      </c>
      <c r="L32">
        <v>3.0305</v>
      </c>
      <c r="M32">
        <v>2.1690999999999998</v>
      </c>
      <c r="N32">
        <v>5.0574000000000003</v>
      </c>
      <c r="O32">
        <v>12.477713333333334</v>
      </c>
      <c r="P32">
        <v>13.031065000000002</v>
      </c>
      <c r="Q32">
        <v>17.641006666666666</v>
      </c>
      <c r="R32">
        <v>10.163016666666667</v>
      </c>
      <c r="S32">
        <v>8.2380800000000001</v>
      </c>
      <c r="T32">
        <v>8.2907633333333326</v>
      </c>
      <c r="U32">
        <v>8.2836200000000009</v>
      </c>
      <c r="V32">
        <v>6.8170166666666692</v>
      </c>
      <c r="W32">
        <v>5.1865799999999993</v>
      </c>
      <c r="X32">
        <v>4.6406683333333341</v>
      </c>
      <c r="Y32">
        <v>7.3499733333333319</v>
      </c>
      <c r="Z32">
        <v>13.429026666666667</v>
      </c>
      <c r="AA32">
        <v>14.023999999999999</v>
      </c>
      <c r="AB32">
        <v>36.997</v>
      </c>
      <c r="AC32">
        <v>23.591999999999999</v>
      </c>
      <c r="AD32">
        <v>12.218</v>
      </c>
      <c r="AE32">
        <v>12.587999999999999</v>
      </c>
      <c r="AF32">
        <v>23.539000000000001</v>
      </c>
      <c r="AG32">
        <v>12.526999999999999</v>
      </c>
      <c r="AH32">
        <v>10.294</v>
      </c>
      <c r="AI32">
        <v>8.2779000000000007</v>
      </c>
      <c r="AJ32">
        <v>5.0730000000000004</v>
      </c>
      <c r="AK32">
        <v>13.488</v>
      </c>
      <c r="AL32">
        <v>23.315999999999999</v>
      </c>
    </row>
    <row r="33" spans="1:38" x14ac:dyDescent="0.35">
      <c r="A33">
        <v>31</v>
      </c>
      <c r="B33" s="86" t="s">
        <v>2305</v>
      </c>
      <c r="C33">
        <v>0.12018</v>
      </c>
      <c r="D33">
        <v>0.29369000000000001</v>
      </c>
      <c r="E33">
        <v>0.16578999999999999</v>
      </c>
      <c r="F33">
        <v>0.38007000000000002</v>
      </c>
      <c r="G33">
        <v>0.12762000000000001</v>
      </c>
      <c r="H33">
        <v>0.26698</v>
      </c>
      <c r="I33">
        <v>0.10156</v>
      </c>
      <c r="J33">
        <v>9.1608999999999996E-2</v>
      </c>
      <c r="K33">
        <v>0.26939000000000002</v>
      </c>
      <c r="L33">
        <v>6.0905000000000001E-2</v>
      </c>
      <c r="M33">
        <v>0.35800999999999999</v>
      </c>
      <c r="N33">
        <v>2.3785000000000001E-2</v>
      </c>
      <c r="O33">
        <v>0.2823456333333334</v>
      </c>
      <c r="P33">
        <v>0.34589366666666671</v>
      </c>
      <c r="Q33">
        <v>0.6684540000000001</v>
      </c>
      <c r="R33">
        <v>0.7688687666666667</v>
      </c>
      <c r="S33">
        <v>0.32220720000000003</v>
      </c>
      <c r="T33">
        <v>0.38546756666666665</v>
      </c>
      <c r="U33">
        <v>0.55473480000000008</v>
      </c>
      <c r="V33">
        <v>0.37762913333333337</v>
      </c>
      <c r="W33">
        <v>0.36766386666666667</v>
      </c>
      <c r="X33">
        <v>0.30262753333333337</v>
      </c>
      <c r="Y33">
        <v>0.42377070000000006</v>
      </c>
      <c r="Z33">
        <v>0.3812065</v>
      </c>
      <c r="AA33">
        <v>0.25165999999999999</v>
      </c>
      <c r="AB33">
        <v>1.0638000000000001</v>
      </c>
      <c r="AC33">
        <v>0.96928000000000003</v>
      </c>
      <c r="AD33">
        <v>0.79464999999999997</v>
      </c>
      <c r="AE33">
        <v>0.49875999999999998</v>
      </c>
      <c r="AF33">
        <v>0.26032</v>
      </c>
      <c r="AG33">
        <v>0.67693999999999999</v>
      </c>
      <c r="AH33">
        <v>1.7645</v>
      </c>
      <c r="AI33">
        <v>0.81886000000000003</v>
      </c>
      <c r="AJ33">
        <v>8.7960999999999998E-2</v>
      </c>
      <c r="AK33">
        <v>0.52210999999999996</v>
      </c>
      <c r="AL33">
        <v>0.41482999999999998</v>
      </c>
    </row>
    <row r="34" spans="1:38" x14ac:dyDescent="0.35">
      <c r="A34">
        <v>32</v>
      </c>
      <c r="B34" s="86" t="s">
        <v>2304</v>
      </c>
      <c r="C34">
        <v>8.5842999999999998E-4</v>
      </c>
      <c r="D34">
        <v>2.0977999999999999E-3</v>
      </c>
      <c r="E34">
        <v>1.1842000000000001E-3</v>
      </c>
      <c r="F34">
        <v>2.7147999999999999E-3</v>
      </c>
      <c r="G34">
        <v>9.1158999999999999E-4</v>
      </c>
      <c r="H34">
        <v>1.9070000000000001E-3</v>
      </c>
      <c r="I34">
        <v>7.2541000000000001E-4</v>
      </c>
      <c r="J34">
        <v>6.5435000000000005E-4</v>
      </c>
      <c r="K34">
        <v>1.9242E-3</v>
      </c>
      <c r="L34">
        <v>4.3503999999999998E-4</v>
      </c>
      <c r="M34">
        <v>2.5571999999999999E-3</v>
      </c>
      <c r="N34">
        <v>1.6988999999999999E-4</v>
      </c>
      <c r="O34">
        <v>2.0167550000000003E-3</v>
      </c>
      <c r="P34">
        <v>2.4706806666666666E-3</v>
      </c>
      <c r="Q34">
        <v>4.7746633333333351E-3</v>
      </c>
      <c r="R34">
        <v>5.4919636666666662E-3</v>
      </c>
      <c r="S34">
        <v>2.3014813333333333E-3</v>
      </c>
      <c r="T34">
        <v>2.753340333333334E-3</v>
      </c>
      <c r="U34">
        <v>3.9623996666666673E-3</v>
      </c>
      <c r="V34">
        <v>2.6973566666666669E-3</v>
      </c>
      <c r="W34">
        <v>2.6261833333333325E-3</v>
      </c>
      <c r="X34">
        <v>2.1616186666666664E-3</v>
      </c>
      <c r="Y34">
        <v>3.0269356666666664E-3</v>
      </c>
      <c r="Z34">
        <v>2.7228993333333336E-3</v>
      </c>
      <c r="AA34">
        <v>1.7975000000000001E-3</v>
      </c>
      <c r="AB34">
        <v>7.5988999999999996E-3</v>
      </c>
      <c r="AC34">
        <v>6.9233999999999997E-3</v>
      </c>
      <c r="AD34">
        <v>5.6759999999999996E-3</v>
      </c>
      <c r="AE34">
        <v>3.5626E-3</v>
      </c>
      <c r="AF34">
        <v>1.8595E-3</v>
      </c>
      <c r="AG34">
        <v>4.8352999999999998E-3</v>
      </c>
      <c r="AH34">
        <v>1.2603E-2</v>
      </c>
      <c r="AI34">
        <v>5.849E-3</v>
      </c>
      <c r="AJ34">
        <v>6.2830000000000004E-4</v>
      </c>
      <c r="AK34">
        <v>3.7293999999999999E-3</v>
      </c>
      <c r="AL34">
        <v>2.9629999999999999E-3</v>
      </c>
    </row>
    <row r="35" spans="1:38" x14ac:dyDescent="0.35">
      <c r="A35">
        <v>33</v>
      </c>
      <c r="B35" s="86" t="s">
        <v>2357</v>
      </c>
      <c r="C35">
        <v>1.0676E-2</v>
      </c>
      <c r="D35">
        <v>6.7689999999999998E-3</v>
      </c>
      <c r="E35">
        <v>8.4968000000000005E-3</v>
      </c>
      <c r="F35">
        <v>1.3768000000000001E-3</v>
      </c>
      <c r="G35">
        <v>2.5764999999999998E-3</v>
      </c>
      <c r="H35">
        <v>1.4618000000000001E-2</v>
      </c>
      <c r="I35">
        <v>1.3075999999999999E-3</v>
      </c>
      <c r="J35">
        <v>3.8782000000000001E-3</v>
      </c>
      <c r="K35">
        <v>1.4044999999999999E-3</v>
      </c>
      <c r="L35">
        <v>3.2582999999999999E-4</v>
      </c>
      <c r="M35">
        <v>8.9736999999999994E-3</v>
      </c>
      <c r="N35">
        <v>7.7971000000000004E-3</v>
      </c>
      <c r="O35">
        <v>1.4795666666666664E-2</v>
      </c>
      <c r="P35">
        <v>1.5145686666666667E-2</v>
      </c>
      <c r="Q35">
        <v>1.158007E-2</v>
      </c>
      <c r="R35">
        <v>9.2398543333333336E-3</v>
      </c>
      <c r="S35">
        <v>8.5454333333333347E-3</v>
      </c>
      <c r="T35">
        <v>7.8285303333333334E-3</v>
      </c>
      <c r="U35">
        <v>6.04545E-3</v>
      </c>
      <c r="V35">
        <v>4.2473403333333345E-3</v>
      </c>
      <c r="W35">
        <v>5.5642180000000001E-3</v>
      </c>
      <c r="X35">
        <v>1.1524609333333333E-2</v>
      </c>
      <c r="Y35">
        <v>1.5603323333333332E-2</v>
      </c>
      <c r="Z35">
        <v>1.9051373333333337E-2</v>
      </c>
      <c r="AA35">
        <v>1.8770999999999999E-2</v>
      </c>
      <c r="AB35">
        <v>3.4334999999999997E-2</v>
      </c>
      <c r="AC35">
        <v>1.3044E-2</v>
      </c>
      <c r="AD35">
        <v>1.5034E-2</v>
      </c>
      <c r="AE35">
        <v>1.6053000000000001E-2</v>
      </c>
      <c r="AF35">
        <v>8.2597999999999994E-3</v>
      </c>
      <c r="AG35">
        <v>1.1807E-2</v>
      </c>
      <c r="AH35">
        <v>5.3566999999999998E-3</v>
      </c>
      <c r="AI35">
        <v>6.2770999999999999E-3</v>
      </c>
      <c r="AJ35">
        <v>1.1068E-2</v>
      </c>
      <c r="AK35">
        <v>1.1206000000000001E-2</v>
      </c>
      <c r="AL35">
        <v>3.2672E-2</v>
      </c>
    </row>
    <row r="36" spans="1:38" x14ac:dyDescent="0.35">
      <c r="A36">
        <v>34</v>
      </c>
      <c r="B36" s="86" t="s">
        <v>2771</v>
      </c>
      <c r="C36">
        <v>2.9281999999999998E-5</v>
      </c>
      <c r="D36">
        <v>3.1241E-4</v>
      </c>
      <c r="E36">
        <v>3.2827000000000003E-4</v>
      </c>
      <c r="F36">
        <v>4.6862E-4</v>
      </c>
      <c r="G36">
        <v>5.3137000000000003E-5</v>
      </c>
      <c r="H36">
        <v>2.9866000000000002E-4</v>
      </c>
      <c r="I36">
        <v>0</v>
      </c>
      <c r="J36">
        <v>0</v>
      </c>
      <c r="K36">
        <v>0</v>
      </c>
      <c r="L36">
        <v>9.0158E-5</v>
      </c>
      <c r="M36">
        <v>4.7750000000000002E-5</v>
      </c>
      <c r="N36">
        <v>0</v>
      </c>
      <c r="O36">
        <v>3.3817052333333336E-3</v>
      </c>
      <c r="P36">
        <v>1.8546976666666665E-3</v>
      </c>
      <c r="Q36">
        <v>1.2266890333333333E-3</v>
      </c>
      <c r="R36">
        <v>6.2533389999999982E-4</v>
      </c>
      <c r="S36">
        <v>3.5993123333333331E-4</v>
      </c>
      <c r="T36">
        <v>8.7759233333333352E-5</v>
      </c>
      <c r="U36">
        <v>1.29896E-5</v>
      </c>
      <c r="V36">
        <v>6.2526200000000005E-5</v>
      </c>
      <c r="W36">
        <v>1.2839199999999999E-4</v>
      </c>
      <c r="X36">
        <v>6.3093725666666658E-4</v>
      </c>
      <c r="Y36">
        <v>3.0864426666666663E-3</v>
      </c>
      <c r="Z36">
        <v>3.8029117333333328E-3</v>
      </c>
      <c r="AA36">
        <v>1.8298999999999999E-2</v>
      </c>
      <c r="AB36">
        <v>3.4416999999999998E-3</v>
      </c>
      <c r="AC36">
        <v>2.3982000000000001E-3</v>
      </c>
      <c r="AD36">
        <v>8.1784999999999996E-4</v>
      </c>
      <c r="AE36">
        <v>3.5829E-3</v>
      </c>
      <c r="AF36">
        <v>4.7787999999999997E-5</v>
      </c>
      <c r="AG36">
        <v>0</v>
      </c>
      <c r="AH36">
        <v>5.7555E-5</v>
      </c>
      <c r="AI36">
        <v>4.3423000000000002E-4</v>
      </c>
      <c r="AJ36">
        <v>2.4387000000000001E-4</v>
      </c>
      <c r="AK36">
        <v>2.4914E-3</v>
      </c>
      <c r="AL36">
        <v>2.3095000000000001E-2</v>
      </c>
    </row>
    <row r="37" spans="1:38" x14ac:dyDescent="0.35">
      <c r="A37">
        <v>35</v>
      </c>
      <c r="B37" s="89" t="s">
        <v>35</v>
      </c>
      <c r="C37">
        <v>7.3563999999999999E-3</v>
      </c>
      <c r="D37">
        <v>0</v>
      </c>
      <c r="E37">
        <v>3.1518999999999998E-2</v>
      </c>
      <c r="F37">
        <v>0.24748999999999999</v>
      </c>
      <c r="G37">
        <v>6.6839999999999997E-2</v>
      </c>
      <c r="H37">
        <v>0.13425999999999999</v>
      </c>
      <c r="I37">
        <v>4.1181000000000002E-2</v>
      </c>
      <c r="J37">
        <v>0.15035999999999999</v>
      </c>
      <c r="K37">
        <v>5.5761999999999999E-2</v>
      </c>
      <c r="L37">
        <v>1.0311000000000001E-2</v>
      </c>
      <c r="M37">
        <v>6.2787999999999997E-2</v>
      </c>
      <c r="N37">
        <v>3.3022000000000003E-2</v>
      </c>
      <c r="O37">
        <v>3.6287123333333338E-2</v>
      </c>
      <c r="P37">
        <v>3.612191666666667E-2</v>
      </c>
      <c r="Q37">
        <v>9.4383743000000006E-2</v>
      </c>
      <c r="R37">
        <v>0.19255256666666665</v>
      </c>
      <c r="S37">
        <v>0.28162853333333338</v>
      </c>
      <c r="T37">
        <v>0.16616606666666667</v>
      </c>
      <c r="U37">
        <v>0.14333583333333333</v>
      </c>
      <c r="V37">
        <v>0.12849036666666666</v>
      </c>
      <c r="W37">
        <v>0.10286179999999999</v>
      </c>
      <c r="X37">
        <v>8.1953363333333334E-2</v>
      </c>
      <c r="Y37">
        <v>8.544571333333334E-2</v>
      </c>
      <c r="Z37">
        <v>5.339590000000001E-2</v>
      </c>
      <c r="AA37">
        <v>4.4901000000000003E-2</v>
      </c>
      <c r="AB37">
        <v>2.5190000000000001E-2</v>
      </c>
      <c r="AC37">
        <v>0.12515000000000001</v>
      </c>
      <c r="AD37">
        <v>0.36424000000000001</v>
      </c>
      <c r="AE37">
        <v>0.47982999999999998</v>
      </c>
      <c r="AF37">
        <v>0.11736000000000001</v>
      </c>
      <c r="AG37">
        <v>0.2334</v>
      </c>
      <c r="AH37">
        <v>0.16728999999999999</v>
      </c>
      <c r="AI37">
        <v>0.18701999999999999</v>
      </c>
      <c r="AJ37">
        <v>0.18447</v>
      </c>
      <c r="AK37">
        <v>0.21790999999999999</v>
      </c>
      <c r="AL37">
        <v>4.9703999999999998E-2</v>
      </c>
    </row>
    <row r="38" spans="1:38" x14ac:dyDescent="0.35">
      <c r="A38">
        <v>36</v>
      </c>
      <c r="B38" s="86" t="s">
        <v>2647</v>
      </c>
      <c r="C38">
        <v>2.2176999999999999E-2</v>
      </c>
      <c r="D38">
        <v>0.10917</v>
      </c>
      <c r="E38">
        <v>0.24201</v>
      </c>
      <c r="F38">
        <v>0.28792000000000001</v>
      </c>
      <c r="G38">
        <v>5.5702000000000002E-2</v>
      </c>
      <c r="H38">
        <v>3.0466E-2</v>
      </c>
      <c r="I38">
        <v>3.0136E-2</v>
      </c>
      <c r="J38">
        <v>2.1409999999999998E-2</v>
      </c>
      <c r="K38">
        <v>1.3542999999999999E-2</v>
      </c>
      <c r="L38">
        <v>8.1679000000000005E-3</v>
      </c>
      <c r="M38">
        <v>6.0314000000000001E-3</v>
      </c>
      <c r="N38">
        <v>0.11902</v>
      </c>
      <c r="O38">
        <v>0.13568720000000001</v>
      </c>
      <c r="P38">
        <v>0.15708128333333332</v>
      </c>
      <c r="Q38">
        <v>0.20411806666666665</v>
      </c>
      <c r="R38">
        <v>0.33582000000000006</v>
      </c>
      <c r="S38">
        <v>0.25944069999999997</v>
      </c>
      <c r="T38">
        <v>0.10346693333333332</v>
      </c>
      <c r="U38">
        <v>6.8489833333333319E-2</v>
      </c>
      <c r="V38">
        <v>4.0375400000000013E-2</v>
      </c>
      <c r="W38">
        <v>8.7697946666666665E-2</v>
      </c>
      <c r="X38">
        <v>0.18148706333333336</v>
      </c>
      <c r="Y38">
        <v>0.20721603333333333</v>
      </c>
      <c r="Z38">
        <v>0.19322528666666663</v>
      </c>
      <c r="AA38">
        <v>2.6693999999999999E-2</v>
      </c>
      <c r="AB38">
        <v>0.45185999999999998</v>
      </c>
      <c r="AC38">
        <v>0.50122999999999995</v>
      </c>
      <c r="AD38">
        <v>0.53810000000000002</v>
      </c>
      <c r="AE38">
        <v>0.29619000000000001</v>
      </c>
      <c r="AF38">
        <v>7.3172000000000001E-2</v>
      </c>
      <c r="AG38">
        <v>0.13042000000000001</v>
      </c>
      <c r="AH38">
        <v>5.2456000000000003E-2</v>
      </c>
      <c r="AI38">
        <v>1.1403999999999999E-2</v>
      </c>
      <c r="AJ38">
        <v>0.21129999999999999</v>
      </c>
      <c r="AK38">
        <v>0.12272</v>
      </c>
      <c r="AL38">
        <v>0.38011</v>
      </c>
    </row>
    <row r="39" spans="1:38" x14ac:dyDescent="0.35">
      <c r="A39">
        <v>37</v>
      </c>
      <c r="B39" s="90" t="s">
        <v>2760</v>
      </c>
      <c r="C39">
        <v>9.5884999999999998E-2</v>
      </c>
      <c r="D39">
        <v>0.74578999999999995</v>
      </c>
      <c r="E39">
        <v>0.31735000000000002</v>
      </c>
      <c r="F39">
        <v>0.66303000000000001</v>
      </c>
      <c r="G39">
        <v>1.1027</v>
      </c>
      <c r="H39">
        <v>0.67200000000000004</v>
      </c>
      <c r="I39">
        <v>0.50968000000000002</v>
      </c>
      <c r="J39">
        <v>0.28978999999999999</v>
      </c>
      <c r="K39">
        <v>0.15937000000000001</v>
      </c>
      <c r="L39">
        <v>6.386E-2</v>
      </c>
      <c r="M39">
        <v>0.12145</v>
      </c>
      <c r="N39">
        <v>0.15035000000000001</v>
      </c>
      <c r="O39">
        <v>1.5466777666666667</v>
      </c>
      <c r="P39">
        <v>1.7786889666666668</v>
      </c>
      <c r="Q39">
        <v>1.4149373333333335</v>
      </c>
      <c r="R39">
        <v>1.0199463333333334</v>
      </c>
      <c r="S39">
        <v>0.93421243333333337</v>
      </c>
      <c r="T39">
        <v>0.87097899999999984</v>
      </c>
      <c r="U39">
        <v>0.78533266666666679</v>
      </c>
      <c r="V39">
        <v>0.53490053333333343</v>
      </c>
      <c r="W39">
        <v>0.66126766666666659</v>
      </c>
      <c r="X39">
        <v>0.54373289999999996</v>
      </c>
      <c r="Y39">
        <v>1.0731896666666667</v>
      </c>
      <c r="Z39">
        <v>1.5447431000000003</v>
      </c>
      <c r="AA39">
        <v>2.6699000000000002</v>
      </c>
      <c r="AB39">
        <v>2.5533000000000001</v>
      </c>
      <c r="AC39">
        <v>2.2338</v>
      </c>
      <c r="AD39">
        <v>4.4310999999999998</v>
      </c>
      <c r="AE39">
        <v>1.5848</v>
      </c>
      <c r="AF39">
        <v>0.60651999999999995</v>
      </c>
      <c r="AG39">
        <v>0.80325000000000002</v>
      </c>
      <c r="AH39">
        <v>0.69696000000000002</v>
      </c>
      <c r="AI39">
        <v>2.8344</v>
      </c>
      <c r="AJ39">
        <v>0.48758000000000001</v>
      </c>
      <c r="AK39">
        <v>0.34809000000000001</v>
      </c>
      <c r="AL39">
        <v>0.46390999999999999</v>
      </c>
    </row>
    <row r="40" spans="1:38" x14ac:dyDescent="0.35">
      <c r="A40">
        <v>38</v>
      </c>
      <c r="B40" s="85" t="s">
        <v>27</v>
      </c>
      <c r="C40">
        <v>0</v>
      </c>
      <c r="D40">
        <v>3.7590000000000012E-2</v>
      </c>
      <c r="E40">
        <v>8.7980000000000003E-2</v>
      </c>
      <c r="F40">
        <v>0.62089999999999979</v>
      </c>
      <c r="G40">
        <v>0.20096999999999998</v>
      </c>
      <c r="H40">
        <v>0.38949999999999996</v>
      </c>
      <c r="I40">
        <v>0.12051000000000001</v>
      </c>
      <c r="J40">
        <v>0.3338000000000001</v>
      </c>
      <c r="K40">
        <v>0.14596000000000009</v>
      </c>
      <c r="L40">
        <v>2.6530999999999999E-2</v>
      </c>
      <c r="M40">
        <v>0.17374000000000001</v>
      </c>
      <c r="N40">
        <v>0.25161999999999995</v>
      </c>
      <c r="O40">
        <v>0.13574910000000001</v>
      </c>
      <c r="P40">
        <v>7.71511E-2</v>
      </c>
      <c r="Q40">
        <v>0.20791553333333332</v>
      </c>
      <c r="R40">
        <v>0.49994999999999989</v>
      </c>
      <c r="S40">
        <v>0.86741366666666675</v>
      </c>
      <c r="T40">
        <v>0.53001633333333342</v>
      </c>
      <c r="U40">
        <v>0.48840499999999987</v>
      </c>
      <c r="V40">
        <v>0.40417033333333335</v>
      </c>
      <c r="W40">
        <v>0.33858833333333338</v>
      </c>
      <c r="X40">
        <v>0.28329559999999998</v>
      </c>
      <c r="Y40">
        <v>0.27883733333333333</v>
      </c>
      <c r="Z40">
        <v>0.197909</v>
      </c>
      <c r="AA40">
        <v>4.8610000000000014E-2</v>
      </c>
      <c r="AB40">
        <v>4.2339999999999989E-2</v>
      </c>
      <c r="AC40">
        <v>9.0410000000000046E-2</v>
      </c>
      <c r="AD40">
        <v>0.77580000000000027</v>
      </c>
      <c r="AE40">
        <v>1.2470000000000008</v>
      </c>
      <c r="AF40">
        <v>0.87990000000000013</v>
      </c>
      <c r="AG40">
        <v>0.58349999999999991</v>
      </c>
      <c r="AH40">
        <v>0.52979999999999983</v>
      </c>
      <c r="AI40">
        <v>0.27303999999999995</v>
      </c>
      <c r="AJ40">
        <v>0.19853999999999994</v>
      </c>
      <c r="AK40">
        <v>0.31569999999999987</v>
      </c>
      <c r="AL40">
        <v>0.50230000000000019</v>
      </c>
    </row>
    <row r="41" spans="1:38" x14ac:dyDescent="0.35">
      <c r="A41">
        <v>39</v>
      </c>
      <c r="B41" s="86" t="s">
        <v>2731</v>
      </c>
      <c r="C41">
        <v>0</v>
      </c>
      <c r="D41">
        <v>0</v>
      </c>
      <c r="E41">
        <v>9.2535000000000006E-2</v>
      </c>
      <c r="F41">
        <v>1.2856000000000001</v>
      </c>
      <c r="G41">
        <v>2.0878999999999999</v>
      </c>
      <c r="H41">
        <v>1.4423999999999999</v>
      </c>
      <c r="I41">
        <v>0.16389999999999999</v>
      </c>
      <c r="J41">
        <v>0.92293999999999998</v>
      </c>
      <c r="K41">
        <v>0.25896999999999998</v>
      </c>
      <c r="L41">
        <v>0.16958000000000001</v>
      </c>
      <c r="M41">
        <v>0.65388000000000002</v>
      </c>
      <c r="N41">
        <v>6.1656000000000002E-2</v>
      </c>
      <c r="O41">
        <v>0.22285243333333338</v>
      </c>
      <c r="P41">
        <v>0.20153843000000002</v>
      </c>
      <c r="Q41">
        <v>0.44762170000000001</v>
      </c>
      <c r="R41">
        <v>0.94564633333333326</v>
      </c>
      <c r="S41">
        <v>2.2109633333333334</v>
      </c>
      <c r="T41">
        <v>2.2776723333333333</v>
      </c>
      <c r="U41">
        <v>1.1438496666666664</v>
      </c>
      <c r="V41">
        <v>0.68176876666666664</v>
      </c>
      <c r="W41">
        <v>0.64214833333333343</v>
      </c>
      <c r="X41">
        <v>0.8009928666666668</v>
      </c>
      <c r="Y41">
        <v>0.61591178666666657</v>
      </c>
      <c r="Z41">
        <v>0.46106106666666663</v>
      </c>
      <c r="AA41">
        <v>0.48348999999999998</v>
      </c>
      <c r="AB41">
        <v>0.41349999999999998</v>
      </c>
      <c r="AC41">
        <v>0.22777</v>
      </c>
      <c r="AD41">
        <v>1.4408000000000001</v>
      </c>
      <c r="AE41">
        <v>3.7492000000000001</v>
      </c>
      <c r="AF41">
        <v>3.4843999999999999</v>
      </c>
      <c r="AG41">
        <v>1.1779999999999999</v>
      </c>
      <c r="AH41">
        <v>0.65552999999999995</v>
      </c>
      <c r="AI41">
        <v>0.82733000000000001</v>
      </c>
      <c r="AJ41">
        <v>0.46479999999999999</v>
      </c>
      <c r="AK41">
        <v>0.49659999999999999</v>
      </c>
      <c r="AL41">
        <v>1.0378000000000001</v>
      </c>
    </row>
    <row r="42" spans="1:38" x14ac:dyDescent="0.35">
      <c r="A42">
        <v>40</v>
      </c>
      <c r="B42" s="86" t="s">
        <v>1527</v>
      </c>
      <c r="C42">
        <v>37.302999999999997</v>
      </c>
      <c r="D42">
        <v>150.11000000000001</v>
      </c>
      <c r="E42">
        <v>275.29000000000002</v>
      </c>
      <c r="F42">
        <v>310.49</v>
      </c>
      <c r="G42">
        <v>440.19</v>
      </c>
      <c r="H42">
        <v>266.83999999999997</v>
      </c>
      <c r="I42">
        <v>112.09</v>
      </c>
      <c r="J42">
        <v>55.107999999999997</v>
      </c>
      <c r="K42">
        <v>39.273000000000003</v>
      </c>
      <c r="L42">
        <v>44.185000000000002</v>
      </c>
      <c r="M42">
        <v>102.98</v>
      </c>
      <c r="N42">
        <v>292.13</v>
      </c>
      <c r="O42">
        <v>211.7850333333333</v>
      </c>
      <c r="P42">
        <v>233.36056333333337</v>
      </c>
      <c r="Q42">
        <v>241.56033333333335</v>
      </c>
      <c r="R42">
        <v>259.01773333333341</v>
      </c>
      <c r="S42">
        <v>529.29666666666662</v>
      </c>
      <c r="T42">
        <v>539.06166666666672</v>
      </c>
      <c r="U42">
        <v>250.17586666666659</v>
      </c>
      <c r="V42">
        <v>130.4042</v>
      </c>
      <c r="W42">
        <v>204.54479999999995</v>
      </c>
      <c r="X42">
        <v>326.92589999999996</v>
      </c>
      <c r="Y42">
        <v>294.85986666666673</v>
      </c>
      <c r="Z42">
        <v>285.06909999999993</v>
      </c>
      <c r="AA42">
        <v>253.36</v>
      </c>
      <c r="AB42">
        <v>540.15</v>
      </c>
      <c r="AC42">
        <v>279.13</v>
      </c>
      <c r="AD42">
        <v>522.91999999999996</v>
      </c>
      <c r="AE42">
        <v>533.33000000000004</v>
      </c>
      <c r="AF42">
        <v>759.6</v>
      </c>
      <c r="AG42">
        <v>593</v>
      </c>
      <c r="AH42">
        <v>314.64999999999998</v>
      </c>
      <c r="AI42">
        <v>32.905999999999999</v>
      </c>
      <c r="AJ42">
        <v>386.56</v>
      </c>
      <c r="AK42">
        <v>282.58999999999997</v>
      </c>
      <c r="AL42">
        <v>370.23</v>
      </c>
    </row>
    <row r="43" spans="1:38" x14ac:dyDescent="0.35">
      <c r="A43">
        <v>41</v>
      </c>
      <c r="B43" s="86" t="s">
        <v>2656</v>
      </c>
      <c r="C43">
        <v>7.3578000000000005E-2</v>
      </c>
      <c r="D43">
        <v>0.32218999999999998</v>
      </c>
      <c r="E43">
        <v>0.27385999999999999</v>
      </c>
      <c r="F43">
        <v>1.5306999999999999</v>
      </c>
      <c r="G43">
        <v>0.1235</v>
      </c>
      <c r="H43">
        <v>7.3508000000000004E-2</v>
      </c>
      <c r="I43">
        <v>4.5006999999999998E-2</v>
      </c>
      <c r="J43">
        <v>5.1729999999999998E-2</v>
      </c>
      <c r="K43">
        <v>4.2743000000000003E-2</v>
      </c>
      <c r="L43">
        <v>1.9016000000000002E-2</v>
      </c>
      <c r="M43">
        <v>8.7082000000000007E-2</v>
      </c>
      <c r="N43">
        <v>0.39140000000000003</v>
      </c>
      <c r="O43">
        <v>0.67164203333333339</v>
      </c>
      <c r="P43">
        <v>0.72612786666666684</v>
      </c>
      <c r="Q43">
        <v>0.58322913499999995</v>
      </c>
      <c r="R43">
        <v>0.70480153333333351</v>
      </c>
      <c r="S43">
        <v>0.4797176666666666</v>
      </c>
      <c r="T43">
        <v>0.31865906666666666</v>
      </c>
      <c r="U43">
        <v>0.13343099999999999</v>
      </c>
      <c r="V43">
        <v>0.1297063</v>
      </c>
      <c r="W43">
        <v>0.21450705666666667</v>
      </c>
      <c r="X43">
        <v>0.38196803333333335</v>
      </c>
      <c r="Y43">
        <v>0.58535780999999998</v>
      </c>
      <c r="Z43">
        <v>0.73776566666666665</v>
      </c>
      <c r="AA43">
        <v>0.5101</v>
      </c>
      <c r="AB43">
        <v>0.96684000000000003</v>
      </c>
      <c r="AC43">
        <v>1.4775</v>
      </c>
      <c r="AD43">
        <v>0.77929000000000004</v>
      </c>
      <c r="AE43">
        <v>0.22952</v>
      </c>
      <c r="AF43">
        <v>0.12044000000000001</v>
      </c>
      <c r="AG43">
        <v>6.7782999999999996E-2</v>
      </c>
      <c r="AH43">
        <v>0.41613</v>
      </c>
      <c r="AI43">
        <v>1.1646000000000001</v>
      </c>
      <c r="AJ43">
        <v>0.90771999999999997</v>
      </c>
      <c r="AK43">
        <v>1.1758</v>
      </c>
      <c r="AL43">
        <v>0.26173000000000002</v>
      </c>
    </row>
    <row r="44" spans="1:38" x14ac:dyDescent="0.35">
      <c r="A44">
        <v>42</v>
      </c>
      <c r="B44" s="86" t="s">
        <v>1425</v>
      </c>
      <c r="C44">
        <v>0</v>
      </c>
      <c r="D44">
        <v>5.1428999999999998E-5</v>
      </c>
      <c r="E44">
        <v>0</v>
      </c>
      <c r="F44">
        <v>0.30465999999999999</v>
      </c>
      <c r="G44">
        <v>2.3199999999999998</v>
      </c>
      <c r="H44">
        <v>4.4093999999999998</v>
      </c>
      <c r="I44">
        <v>0.85272999999999999</v>
      </c>
      <c r="J44">
        <v>0.63739000000000001</v>
      </c>
      <c r="K44">
        <v>1.2198</v>
      </c>
      <c r="L44">
        <v>2.6328999999999998</v>
      </c>
      <c r="M44">
        <v>0</v>
      </c>
      <c r="N44">
        <v>0</v>
      </c>
      <c r="O44">
        <v>0</v>
      </c>
      <c r="P44">
        <v>1.7143E-6</v>
      </c>
      <c r="Q44">
        <v>0.10128867766666667</v>
      </c>
      <c r="R44">
        <v>0.33083739999999995</v>
      </c>
      <c r="S44">
        <v>3.1903526666666671</v>
      </c>
      <c r="T44">
        <v>6.3118133333333333</v>
      </c>
      <c r="U44">
        <v>3.7774776666666665</v>
      </c>
      <c r="V44">
        <v>1.5834583333333332</v>
      </c>
      <c r="W44">
        <v>1.3281973333333335</v>
      </c>
      <c r="X44">
        <v>1.5040844333333332</v>
      </c>
      <c r="Y44">
        <v>0.32755450999999997</v>
      </c>
      <c r="Z44">
        <v>6.6364333333333331E-2</v>
      </c>
      <c r="AA44">
        <v>0</v>
      </c>
      <c r="AB44">
        <v>0</v>
      </c>
      <c r="AC44">
        <v>1.2453000000000001</v>
      </c>
      <c r="AD44">
        <v>0.93572</v>
      </c>
      <c r="AE44">
        <v>3.8349000000000002</v>
      </c>
      <c r="AF44">
        <v>8.3219999999999992</v>
      </c>
      <c r="AG44">
        <v>6.1665999999999999</v>
      </c>
      <c r="AH44">
        <v>0.7883</v>
      </c>
      <c r="AI44">
        <v>3.1474000000000002</v>
      </c>
      <c r="AJ44">
        <v>1.7148000000000001</v>
      </c>
      <c r="AK44">
        <v>0.38718999999999998</v>
      </c>
      <c r="AL44">
        <v>0</v>
      </c>
    </row>
    <row r="45" spans="1:38" x14ac:dyDescent="0.35">
      <c r="A45">
        <v>43</v>
      </c>
      <c r="B45" s="86" t="s">
        <v>2727</v>
      </c>
      <c r="C45">
        <v>0</v>
      </c>
      <c r="D45">
        <v>0</v>
      </c>
      <c r="E45">
        <v>0.61797999999999997</v>
      </c>
      <c r="F45">
        <v>10.702</v>
      </c>
      <c r="G45">
        <v>22.68</v>
      </c>
      <c r="H45">
        <v>12.855</v>
      </c>
      <c r="I45">
        <v>0.94977</v>
      </c>
      <c r="J45">
        <v>4.2737999999999996</v>
      </c>
      <c r="K45">
        <v>0.92454000000000003</v>
      </c>
      <c r="L45">
        <v>0.52402000000000004</v>
      </c>
      <c r="M45">
        <v>4.3154000000000003</v>
      </c>
      <c r="N45">
        <v>0.44764999999999999</v>
      </c>
      <c r="O45">
        <v>1.0058044666666668</v>
      </c>
      <c r="P45">
        <v>1.0397384666666667</v>
      </c>
      <c r="Q45">
        <v>3.2804606666666669</v>
      </c>
      <c r="R45">
        <v>7.4516333333333344</v>
      </c>
      <c r="S45">
        <v>19.597899999999999</v>
      </c>
      <c r="T45">
        <v>17.386776666666666</v>
      </c>
      <c r="U45">
        <v>7.9639923333333345</v>
      </c>
      <c r="V45">
        <v>4.8239526666666652</v>
      </c>
      <c r="W45">
        <v>6.2223866666666661</v>
      </c>
      <c r="X45">
        <v>9.7210473333333312</v>
      </c>
      <c r="Y45">
        <v>4.4688416999999987</v>
      </c>
      <c r="Z45">
        <v>2.7055219999999993</v>
      </c>
      <c r="AA45">
        <v>0.29664000000000001</v>
      </c>
      <c r="AB45">
        <v>2.0192999999999999</v>
      </c>
      <c r="AC45">
        <v>6.9451999999999998</v>
      </c>
      <c r="AD45">
        <v>13.736000000000001</v>
      </c>
      <c r="AE45">
        <v>21.417999999999999</v>
      </c>
      <c r="AF45">
        <v>26.369</v>
      </c>
      <c r="AG45">
        <v>17.890999999999998</v>
      </c>
      <c r="AH45">
        <v>14.637</v>
      </c>
      <c r="AI45">
        <v>0.80996000000000001</v>
      </c>
      <c r="AJ45">
        <v>18.655999999999999</v>
      </c>
      <c r="AK45">
        <v>3.4792999999999998</v>
      </c>
      <c r="AL45">
        <v>5.0132000000000003</v>
      </c>
    </row>
    <row r="46" spans="1:38" x14ac:dyDescent="0.35">
      <c r="A46">
        <v>44</v>
      </c>
      <c r="B46" s="86" t="s">
        <v>2793</v>
      </c>
      <c r="C46">
        <v>0</v>
      </c>
      <c r="D46">
        <v>2.2842000000000001E-2</v>
      </c>
      <c r="E46">
        <v>0.13136999999999999</v>
      </c>
      <c r="F46">
        <v>0.75716000000000006</v>
      </c>
      <c r="G46">
        <v>0.47110999999999997</v>
      </c>
      <c r="H46">
        <v>0.30216999999999999</v>
      </c>
      <c r="I46">
        <v>5.0375999999999997E-2</v>
      </c>
      <c r="J46">
        <v>0.16558</v>
      </c>
      <c r="K46">
        <v>6.3072000000000003E-2</v>
      </c>
      <c r="L46">
        <v>4.0093999999999998E-2</v>
      </c>
      <c r="M46">
        <v>0.38290000000000002</v>
      </c>
      <c r="N46">
        <v>8.1243999999999997E-2</v>
      </c>
      <c r="O46">
        <v>9.5743466666666652E-2</v>
      </c>
      <c r="P46">
        <v>7.2896610000000001E-2</v>
      </c>
      <c r="Q46">
        <v>0.21434067666666665</v>
      </c>
      <c r="R46">
        <v>0.53038933333333338</v>
      </c>
      <c r="S46">
        <v>0.92041133333333336</v>
      </c>
      <c r="T46">
        <v>0.52502166666666672</v>
      </c>
      <c r="U46">
        <v>0.37147136666666669</v>
      </c>
      <c r="V46">
        <v>0.29604566666666665</v>
      </c>
      <c r="W46">
        <v>0.3476020666666666</v>
      </c>
      <c r="X46">
        <v>0.43800084666666661</v>
      </c>
      <c r="Y46">
        <v>0.35162456666666669</v>
      </c>
      <c r="Z46">
        <v>0.16738906666666661</v>
      </c>
      <c r="AA46">
        <v>0.13395000000000001</v>
      </c>
      <c r="AB46">
        <v>8.6585999999999996E-2</v>
      </c>
      <c r="AC46">
        <v>0.14297000000000001</v>
      </c>
      <c r="AD46">
        <v>0.98541999999999996</v>
      </c>
      <c r="AE46">
        <v>0.48053000000000001</v>
      </c>
      <c r="AF46">
        <v>0.17752999999999999</v>
      </c>
      <c r="AG46">
        <v>0.53027999999999997</v>
      </c>
      <c r="AH46">
        <v>0.28172000000000003</v>
      </c>
      <c r="AI46">
        <v>0.28076000000000001</v>
      </c>
      <c r="AJ46">
        <v>1.1117999999999999</v>
      </c>
      <c r="AK46">
        <v>1.6653</v>
      </c>
      <c r="AL46">
        <v>4.1445999999999997E-2</v>
      </c>
    </row>
    <row r="47" spans="1:38" x14ac:dyDescent="0.35">
      <c r="A47">
        <v>45</v>
      </c>
      <c r="B47" s="86" t="s">
        <v>2713</v>
      </c>
      <c r="C47">
        <v>7.5491999999999998E-3</v>
      </c>
      <c r="D47">
        <v>4.2975000000000001E-3</v>
      </c>
      <c r="E47">
        <v>3.1312000000000002E-3</v>
      </c>
      <c r="F47">
        <v>2.9673E-3</v>
      </c>
      <c r="G47">
        <v>2.0162000000000001E-3</v>
      </c>
      <c r="H47">
        <v>4.1354E-3</v>
      </c>
      <c r="I47">
        <v>1.668E-3</v>
      </c>
      <c r="J47">
        <v>8.5161000000000004E-4</v>
      </c>
      <c r="K47">
        <v>1.134E-3</v>
      </c>
      <c r="L47">
        <v>1.2233000000000001E-3</v>
      </c>
      <c r="M47">
        <v>1.2649E-3</v>
      </c>
      <c r="N47">
        <v>2.4551999999999998E-3</v>
      </c>
      <c r="O47">
        <v>9.0054083333333344E-3</v>
      </c>
      <c r="P47">
        <v>8.9625100000000017E-3</v>
      </c>
      <c r="Q47">
        <v>9.5812500000000012E-3</v>
      </c>
      <c r="R47">
        <v>6.3521199999999993E-3</v>
      </c>
      <c r="S47">
        <v>3.6521466666666674E-3</v>
      </c>
      <c r="T47">
        <v>3.8561293333333334E-3</v>
      </c>
      <c r="U47">
        <v>2.9441433333333338E-3</v>
      </c>
      <c r="V47">
        <v>2.4902026666666671E-3</v>
      </c>
      <c r="W47">
        <v>2.4379916666666668E-3</v>
      </c>
      <c r="X47">
        <v>3.8219236666666664E-3</v>
      </c>
      <c r="Y47">
        <v>5.7151573333333334E-3</v>
      </c>
      <c r="Z47">
        <v>9.6469186089999989E-3</v>
      </c>
      <c r="AA47">
        <v>1.004E-2</v>
      </c>
      <c r="AB47">
        <v>1.3264E-2</v>
      </c>
      <c r="AC47">
        <v>1.2312999999999999E-2</v>
      </c>
      <c r="AD47">
        <v>7.0093999999999998E-3</v>
      </c>
      <c r="AE47">
        <v>1.8017E-3</v>
      </c>
      <c r="AF47">
        <v>6.1779000000000001E-3</v>
      </c>
      <c r="AG47">
        <v>2.4077E-3</v>
      </c>
      <c r="AH47">
        <v>6.9715999999999997E-3</v>
      </c>
      <c r="AI47">
        <v>3.9556000000000001E-3</v>
      </c>
      <c r="AJ47">
        <v>7.7502999999999999E-3</v>
      </c>
      <c r="AK47">
        <v>2.2265E-2</v>
      </c>
      <c r="AL47">
        <v>1.2508999999999999E-2</v>
      </c>
    </row>
    <row r="48" spans="1:38" x14ac:dyDescent="0.35">
      <c r="A48">
        <v>46</v>
      </c>
      <c r="B48" s="86" t="s">
        <v>2772</v>
      </c>
      <c r="C48">
        <v>0.47504999999999997</v>
      </c>
      <c r="D48">
        <v>0.15595999999999999</v>
      </c>
      <c r="E48">
        <v>0.19403999999999999</v>
      </c>
      <c r="F48">
        <v>0.13411999999999999</v>
      </c>
      <c r="G48">
        <v>7.4580999999999995E-2</v>
      </c>
      <c r="H48">
        <v>0.18353</v>
      </c>
      <c r="I48">
        <v>6.8498000000000003E-2</v>
      </c>
      <c r="J48">
        <v>4.3139999999999998E-2</v>
      </c>
      <c r="K48">
        <v>5.9964000000000003E-2</v>
      </c>
      <c r="L48">
        <v>3.3066999999999999E-2</v>
      </c>
      <c r="M48">
        <v>0.19656999999999999</v>
      </c>
      <c r="N48">
        <v>0.61770000000000003</v>
      </c>
      <c r="O48">
        <v>0.57899609333333324</v>
      </c>
      <c r="P48">
        <v>0.49656653333333334</v>
      </c>
      <c r="Q48">
        <v>0.51617233333333323</v>
      </c>
      <c r="R48">
        <v>0.29041359999999999</v>
      </c>
      <c r="S48">
        <v>0.16604139999999998</v>
      </c>
      <c r="T48">
        <v>0.18743276666666661</v>
      </c>
      <c r="U48">
        <v>0.15578456666666668</v>
      </c>
      <c r="V48">
        <v>0.10893023333333331</v>
      </c>
      <c r="W48">
        <v>0.15985183333333333</v>
      </c>
      <c r="X48">
        <v>0.27585063333333332</v>
      </c>
      <c r="Y48">
        <v>0.42323666666666665</v>
      </c>
      <c r="Z48">
        <v>0.67170366666666681</v>
      </c>
      <c r="AA48">
        <v>1.5221</v>
      </c>
      <c r="AB48">
        <v>0.72316000000000003</v>
      </c>
      <c r="AC48">
        <v>0.43423</v>
      </c>
      <c r="AD48">
        <v>0.50612000000000001</v>
      </c>
      <c r="AE48">
        <v>0.11551</v>
      </c>
      <c r="AF48">
        <v>0.38913999999999999</v>
      </c>
      <c r="AG48">
        <v>0.14166999999999999</v>
      </c>
      <c r="AH48">
        <v>0.15726999999999999</v>
      </c>
      <c r="AI48">
        <v>0.59133999999999998</v>
      </c>
      <c r="AJ48">
        <v>0.11482000000000001</v>
      </c>
      <c r="AK48">
        <v>0.48176999999999998</v>
      </c>
      <c r="AL48">
        <v>0.61273</v>
      </c>
    </row>
    <row r="49" spans="1:38" x14ac:dyDescent="0.35">
      <c r="A49">
        <v>47</v>
      </c>
      <c r="B49" s="86" t="s">
        <v>2088</v>
      </c>
      <c r="C49">
        <v>0</v>
      </c>
      <c r="D49">
        <v>7.1772999999999997E-4</v>
      </c>
      <c r="E49">
        <v>9.7436999999999996E-2</v>
      </c>
      <c r="F49">
        <v>0.72699999999999998</v>
      </c>
      <c r="G49">
        <v>2.5878000000000001</v>
      </c>
      <c r="H49">
        <v>0.31941999999999998</v>
      </c>
      <c r="I49">
        <v>0.44905</v>
      </c>
      <c r="J49">
        <v>0.23632</v>
      </c>
      <c r="K49">
        <v>0.24110000000000001</v>
      </c>
      <c r="L49">
        <v>1.0628</v>
      </c>
      <c r="M49">
        <v>0.27392</v>
      </c>
      <c r="N49">
        <v>0</v>
      </c>
      <c r="O49">
        <v>0.11234923333333333</v>
      </c>
      <c r="P49">
        <v>7.5544164333333344E-2</v>
      </c>
      <c r="Q49">
        <v>0.29317478666666669</v>
      </c>
      <c r="R49">
        <v>0.86784833333333333</v>
      </c>
      <c r="S49">
        <v>3.4736500000000001</v>
      </c>
      <c r="T49">
        <v>3.3698360000000003</v>
      </c>
      <c r="U49">
        <v>1.0610806666666672</v>
      </c>
      <c r="V49">
        <v>0.47692899999999999</v>
      </c>
      <c r="W49">
        <v>0.56296066666666655</v>
      </c>
      <c r="X49">
        <v>0.90318636666666663</v>
      </c>
      <c r="Y49">
        <v>0.66225333333333325</v>
      </c>
      <c r="Z49">
        <v>0.35705144199999994</v>
      </c>
      <c r="AA49">
        <v>0</v>
      </c>
      <c r="AB49">
        <v>0</v>
      </c>
      <c r="AC49">
        <v>0</v>
      </c>
      <c r="AD49">
        <v>0.40886</v>
      </c>
      <c r="AE49">
        <v>3.1198999999999999</v>
      </c>
      <c r="AF49">
        <v>7.3856000000000002</v>
      </c>
      <c r="AG49">
        <v>0.90508999999999995</v>
      </c>
      <c r="AH49">
        <v>1.0398000000000001</v>
      </c>
      <c r="AI49">
        <v>0.31806000000000001</v>
      </c>
      <c r="AJ49">
        <v>2.2303999999999999</v>
      </c>
      <c r="AK49">
        <v>0.36751</v>
      </c>
      <c r="AL49">
        <v>1.1419999999999999</v>
      </c>
    </row>
    <row r="50" spans="1:38" x14ac:dyDescent="0.35">
      <c r="A50">
        <v>48</v>
      </c>
      <c r="B50" s="86" t="s">
        <v>1518</v>
      </c>
      <c r="C50">
        <v>8.8708999999999996E-2</v>
      </c>
      <c r="D50">
        <v>0.43669999999999998</v>
      </c>
      <c r="E50">
        <v>0.96806000000000003</v>
      </c>
      <c r="F50">
        <v>1.1516999999999999</v>
      </c>
      <c r="G50">
        <v>0.22281000000000001</v>
      </c>
      <c r="H50">
        <v>0.12187000000000001</v>
      </c>
      <c r="I50">
        <v>0.12053999999999999</v>
      </c>
      <c r="J50">
        <v>8.5639000000000007E-2</v>
      </c>
      <c r="K50">
        <v>5.4172999999999999E-2</v>
      </c>
      <c r="L50">
        <v>3.2672E-2</v>
      </c>
      <c r="M50">
        <v>2.4126000000000002E-2</v>
      </c>
      <c r="N50">
        <v>0.47606999999999999</v>
      </c>
      <c r="O50">
        <v>0.54275519999999999</v>
      </c>
      <c r="P50">
        <v>0.62833246666666664</v>
      </c>
      <c r="Q50">
        <v>0.8164706666666669</v>
      </c>
      <c r="R50">
        <v>1.3432899999999999</v>
      </c>
      <c r="S50">
        <v>1.0377667999999998</v>
      </c>
      <c r="T50">
        <v>0.41386666666666666</v>
      </c>
      <c r="U50">
        <v>0.27396219999999999</v>
      </c>
      <c r="V50">
        <v>0.16150066666666671</v>
      </c>
      <c r="W50">
        <v>0.35079213333333331</v>
      </c>
      <c r="X50">
        <v>0.72594406666666655</v>
      </c>
      <c r="Y50">
        <v>0.82887246666666659</v>
      </c>
      <c r="Z50">
        <v>0.77290296666666669</v>
      </c>
      <c r="AA50">
        <v>0.10678</v>
      </c>
      <c r="AB50">
        <v>1.8075000000000001</v>
      </c>
      <c r="AC50">
        <v>2.0049000000000001</v>
      </c>
      <c r="AD50">
        <v>2.1524000000000001</v>
      </c>
      <c r="AE50">
        <v>1.1848000000000001</v>
      </c>
      <c r="AF50">
        <v>0.29269000000000001</v>
      </c>
      <c r="AG50">
        <v>0.52168000000000003</v>
      </c>
      <c r="AH50">
        <v>0.20982000000000001</v>
      </c>
      <c r="AI50">
        <v>4.5616999999999998E-2</v>
      </c>
      <c r="AJ50">
        <v>0.84519</v>
      </c>
      <c r="AK50">
        <v>0.49088999999999999</v>
      </c>
      <c r="AL50">
        <v>1.5204</v>
      </c>
    </row>
    <row r="51" spans="1:38" x14ac:dyDescent="0.35">
      <c r="A51">
        <v>49</v>
      </c>
      <c r="B51" s="86" t="s">
        <v>2339</v>
      </c>
    </row>
    <row r="52" spans="1:38" x14ac:dyDescent="0.35">
      <c r="A52">
        <v>50</v>
      </c>
      <c r="B52" s="86" t="s">
        <v>2066</v>
      </c>
      <c r="C52">
        <v>0</v>
      </c>
      <c r="D52">
        <v>0</v>
      </c>
      <c r="E52">
        <v>8.6949999999999944E-3</v>
      </c>
      <c r="F52">
        <v>0.12090000000000001</v>
      </c>
      <c r="G52">
        <v>0.19640000000000013</v>
      </c>
      <c r="H52">
        <v>0.13570000000000015</v>
      </c>
      <c r="I52">
        <v>1.5410000000000007E-2</v>
      </c>
      <c r="J52">
        <v>8.6760000000000059E-2</v>
      </c>
      <c r="K52">
        <v>2.4350000000000038E-2</v>
      </c>
      <c r="L52">
        <v>1.5949999999999992E-2</v>
      </c>
      <c r="M52">
        <v>6.1479999999999979E-2</v>
      </c>
      <c r="N52">
        <v>5.7969999999999966E-3</v>
      </c>
      <c r="O52">
        <v>2.0953666666666666E-2</v>
      </c>
      <c r="P52">
        <v>1.894649666666667E-2</v>
      </c>
      <c r="Q52">
        <v>4.2086666666666654E-2</v>
      </c>
      <c r="R52">
        <v>8.8905333333333322E-2</v>
      </c>
      <c r="S52">
        <v>0.20787000000000008</v>
      </c>
      <c r="T52">
        <v>0.21414033333333332</v>
      </c>
      <c r="U52">
        <v>0.107545</v>
      </c>
      <c r="V52">
        <v>6.409786666666667E-2</v>
      </c>
      <c r="W52">
        <v>6.0371666666666678E-2</v>
      </c>
      <c r="X52">
        <v>7.5308600000000017E-2</v>
      </c>
      <c r="Y52">
        <v>5.7904740000000003E-2</v>
      </c>
      <c r="Z52">
        <v>4.3351566666666681E-2</v>
      </c>
      <c r="AA52">
        <v>4.5460000000000056E-2</v>
      </c>
      <c r="AB52">
        <v>3.8870000000000016E-2</v>
      </c>
      <c r="AC52">
        <v>2.1419999999999995E-2</v>
      </c>
      <c r="AD52">
        <v>0.13549999999999995</v>
      </c>
      <c r="AE52">
        <v>0.35250000000000004</v>
      </c>
      <c r="AF52">
        <v>0.32759999999999989</v>
      </c>
      <c r="AG52">
        <v>0.11080000000000001</v>
      </c>
      <c r="AH52">
        <v>6.1630000000000074E-2</v>
      </c>
      <c r="AI52">
        <v>7.777999999999996E-2</v>
      </c>
      <c r="AJ52">
        <v>4.3699999999999961E-2</v>
      </c>
      <c r="AK52">
        <v>4.6690000000000065E-2</v>
      </c>
      <c r="AL52">
        <v>9.749999999999992E-2</v>
      </c>
    </row>
    <row r="53" spans="1:38" x14ac:dyDescent="0.35">
      <c r="A53">
        <v>51</v>
      </c>
      <c r="B53" s="86" t="s">
        <v>2206</v>
      </c>
    </row>
    <row r="54" spans="1:38" x14ac:dyDescent="0.35">
      <c r="A54">
        <v>52</v>
      </c>
      <c r="B54" s="85" t="s">
        <v>2212</v>
      </c>
      <c r="C54">
        <v>1.7681000000000001E-3</v>
      </c>
      <c r="D54">
        <v>1.1769E-3</v>
      </c>
      <c r="E54">
        <v>4.3744999999999999E-3</v>
      </c>
      <c r="F54">
        <v>1.7948E-3</v>
      </c>
      <c r="G54">
        <v>3.4602999999999999E-3</v>
      </c>
      <c r="H54">
        <v>5.0639000000000001E-4</v>
      </c>
      <c r="I54">
        <v>8.4112E-4</v>
      </c>
      <c r="J54">
        <v>1.6356000000000001E-3</v>
      </c>
      <c r="K54">
        <v>3.7425000000000002E-3</v>
      </c>
      <c r="L54">
        <v>8.4827999999999998E-4</v>
      </c>
      <c r="M54">
        <v>2.3153000000000002E-3</v>
      </c>
      <c r="N54">
        <v>1.3898000000000001E-3</v>
      </c>
      <c r="O54">
        <v>1.66843294E-3</v>
      </c>
      <c r="P54">
        <v>1.7578776666666667E-3</v>
      </c>
      <c r="Q54">
        <v>2.3144696666666667E-3</v>
      </c>
      <c r="R54">
        <v>5.9907533333333329E-3</v>
      </c>
      <c r="S54">
        <v>5.6807419999999982E-3</v>
      </c>
      <c r="T54">
        <v>1.3295566666666669E-3</v>
      </c>
      <c r="U54">
        <v>1.3737483333333329E-3</v>
      </c>
      <c r="V54">
        <v>2.2025734666666669E-3</v>
      </c>
      <c r="W54">
        <v>3.896467333333333E-3</v>
      </c>
      <c r="X54">
        <v>5.9175513333333324E-3</v>
      </c>
      <c r="Y54">
        <v>5.5647116666666671E-3</v>
      </c>
      <c r="Z54">
        <v>3.6258003333333334E-3</v>
      </c>
      <c r="AA54">
        <v>1.2672E-3</v>
      </c>
      <c r="AB54">
        <v>2.9358000000000001E-3</v>
      </c>
      <c r="AC54">
        <v>2.0588999999999998E-3</v>
      </c>
      <c r="AD54">
        <v>7.8820999999999995E-3</v>
      </c>
      <c r="AE54">
        <v>1.6988999999999999E-3</v>
      </c>
      <c r="AF54">
        <v>1.0468999999999999E-3</v>
      </c>
      <c r="AG54">
        <v>1.8741999999999999E-3</v>
      </c>
      <c r="AH54">
        <v>1.6984999999999999E-3</v>
      </c>
      <c r="AI54">
        <v>5.6852999999999999E-3</v>
      </c>
      <c r="AJ54">
        <v>1.3965999999999999E-2</v>
      </c>
      <c r="AK54">
        <v>2.3082999999999999E-2</v>
      </c>
      <c r="AL54">
        <v>5.2646000000000004E-3</v>
      </c>
    </row>
    <row r="55" spans="1:38" x14ac:dyDescent="0.35">
      <c r="A55">
        <v>53</v>
      </c>
      <c r="B55" s="86" t="s">
        <v>2612</v>
      </c>
      <c r="C55">
        <v>1.0676E-2</v>
      </c>
      <c r="D55">
        <v>6.7689999999999998E-3</v>
      </c>
      <c r="E55">
        <v>8.4968000000000005E-3</v>
      </c>
      <c r="F55">
        <v>1.3768000000000001E-3</v>
      </c>
      <c r="G55">
        <v>2.5764999999999998E-3</v>
      </c>
      <c r="H55">
        <v>1.4618000000000001E-2</v>
      </c>
      <c r="I55">
        <v>1.3075999999999999E-3</v>
      </c>
      <c r="J55">
        <v>3.8782000000000001E-3</v>
      </c>
      <c r="K55">
        <v>1.4044999999999999E-3</v>
      </c>
      <c r="L55">
        <v>3.2582999999999999E-4</v>
      </c>
      <c r="M55">
        <v>8.9736999999999994E-3</v>
      </c>
      <c r="N55">
        <v>7.7971000000000004E-3</v>
      </c>
      <c r="O55">
        <v>1.4795666666666664E-2</v>
      </c>
      <c r="P55">
        <v>1.5145686666666667E-2</v>
      </c>
      <c r="Q55">
        <v>1.158007E-2</v>
      </c>
      <c r="R55">
        <v>9.2398543333333336E-3</v>
      </c>
      <c r="S55">
        <v>8.5454333333333347E-3</v>
      </c>
      <c r="T55">
        <v>7.8285303333333334E-3</v>
      </c>
      <c r="U55">
        <v>6.04545E-3</v>
      </c>
      <c r="V55">
        <v>4.2473403333333345E-3</v>
      </c>
      <c r="W55">
        <v>5.5642180000000001E-3</v>
      </c>
      <c r="X55">
        <v>1.1524609333333333E-2</v>
      </c>
      <c r="Y55">
        <v>1.5603323333333332E-2</v>
      </c>
      <c r="Z55">
        <v>1.9051373333333337E-2</v>
      </c>
      <c r="AA55">
        <v>1.8770999999999999E-2</v>
      </c>
      <c r="AB55">
        <v>3.4334999999999997E-2</v>
      </c>
      <c r="AC55">
        <v>1.3044E-2</v>
      </c>
      <c r="AD55">
        <v>1.5034E-2</v>
      </c>
      <c r="AE55">
        <v>1.6053000000000001E-2</v>
      </c>
      <c r="AF55">
        <v>8.2597999999999994E-3</v>
      </c>
      <c r="AG55">
        <v>1.1807E-2</v>
      </c>
      <c r="AH55">
        <v>5.3566999999999998E-3</v>
      </c>
      <c r="AI55">
        <v>6.2770999999999999E-3</v>
      </c>
      <c r="AJ55">
        <v>1.1068E-2</v>
      </c>
      <c r="AK55">
        <v>1.1206000000000001E-2</v>
      </c>
      <c r="AL55">
        <v>3.2672E-2</v>
      </c>
    </row>
    <row r="56" spans="1:38" x14ac:dyDescent="0.35">
      <c r="A56">
        <v>54</v>
      </c>
      <c r="B56" s="91" t="s">
        <v>2441</v>
      </c>
    </row>
    <row r="57" spans="1:38" x14ac:dyDescent="0.35">
      <c r="A57">
        <v>55</v>
      </c>
      <c r="B57" s="86" t="s">
        <v>1771</v>
      </c>
      <c r="C57">
        <v>8198.5</v>
      </c>
      <c r="D57">
        <v>5687.4</v>
      </c>
      <c r="E57">
        <v>8801.4</v>
      </c>
      <c r="F57">
        <v>6776.2</v>
      </c>
      <c r="G57">
        <v>4863.6000000000004</v>
      </c>
      <c r="H57">
        <v>6667.9</v>
      </c>
      <c r="I57">
        <v>2533.8000000000002</v>
      </c>
      <c r="J57">
        <v>3002</v>
      </c>
      <c r="K57">
        <v>2524.1999999999998</v>
      </c>
      <c r="L57">
        <v>1296.3</v>
      </c>
      <c r="M57">
        <v>5036.8999999999996</v>
      </c>
      <c r="N57">
        <v>4323.3</v>
      </c>
      <c r="O57">
        <v>6606.0233333333335</v>
      </c>
      <c r="P57">
        <v>7804.9400000000014</v>
      </c>
      <c r="Q57">
        <v>9234.51</v>
      </c>
      <c r="R57">
        <v>8779.3033333333315</v>
      </c>
      <c r="S57">
        <v>7115.2100000000019</v>
      </c>
      <c r="T57">
        <v>7067.7500000000018</v>
      </c>
      <c r="U57">
        <v>6213.7200000000012</v>
      </c>
      <c r="V57">
        <v>4743.0000000000009</v>
      </c>
      <c r="W57">
        <v>5093.2433333333338</v>
      </c>
      <c r="X57">
        <v>6102.2513333333327</v>
      </c>
      <c r="Y57">
        <v>7846.07</v>
      </c>
      <c r="Z57">
        <v>8644.7366666666676</v>
      </c>
      <c r="AA57">
        <v>6699.3</v>
      </c>
      <c r="AB57">
        <v>9020.9</v>
      </c>
      <c r="AC57">
        <v>5334.8</v>
      </c>
      <c r="AD57">
        <v>3483.9</v>
      </c>
      <c r="AE57">
        <v>7503.3</v>
      </c>
      <c r="AF57">
        <v>11632</v>
      </c>
      <c r="AG57">
        <v>7321</v>
      </c>
      <c r="AH57">
        <v>5111.3999999999996</v>
      </c>
      <c r="AI57">
        <v>6068.1</v>
      </c>
      <c r="AJ57">
        <v>23105</v>
      </c>
      <c r="AK57">
        <v>10279</v>
      </c>
      <c r="AL57">
        <v>14670</v>
      </c>
    </row>
    <row r="58" spans="1:38" x14ac:dyDescent="0.35">
      <c r="A58">
        <v>56</v>
      </c>
      <c r="B58" s="86" t="s">
        <v>1773</v>
      </c>
      <c r="C58">
        <v>8214.2000000000007</v>
      </c>
      <c r="D58">
        <v>5723.1</v>
      </c>
      <c r="E58">
        <v>8831.2000000000007</v>
      </c>
      <c r="F58">
        <v>6789.7</v>
      </c>
      <c r="G58">
        <v>4876.3</v>
      </c>
      <c r="H58">
        <v>6679</v>
      </c>
      <c r="I58">
        <v>2541.8000000000002</v>
      </c>
      <c r="J58">
        <v>3005.3</v>
      </c>
      <c r="K58">
        <v>2541.8000000000002</v>
      </c>
      <c r="L58">
        <v>1297.9000000000001</v>
      </c>
      <c r="M58">
        <v>5040.5</v>
      </c>
      <c r="N58">
        <v>4325.5</v>
      </c>
      <c r="O58">
        <v>6619.4933333333329</v>
      </c>
      <c r="P58">
        <v>7826.4666666666662</v>
      </c>
      <c r="Q58">
        <v>9255.6466666666656</v>
      </c>
      <c r="R58">
        <v>8794.2199999999993</v>
      </c>
      <c r="S58">
        <v>7130.6933333333327</v>
      </c>
      <c r="T58">
        <v>7079.5266666666676</v>
      </c>
      <c r="U58">
        <v>6223.0300000000016</v>
      </c>
      <c r="V58">
        <v>4749.2233333333324</v>
      </c>
      <c r="W58">
        <v>5099.3233333333337</v>
      </c>
      <c r="X58">
        <v>6112.6673333333338</v>
      </c>
      <c r="Y58">
        <v>7858.16</v>
      </c>
      <c r="Z58">
        <v>8666.42</v>
      </c>
      <c r="AA58">
        <v>6701.4</v>
      </c>
      <c r="AB58">
        <v>9024.7000000000007</v>
      </c>
      <c r="AC58">
        <v>5353.4</v>
      </c>
      <c r="AD58">
        <v>3503.9</v>
      </c>
      <c r="AE58">
        <v>7537.8</v>
      </c>
      <c r="AF58">
        <v>11644</v>
      </c>
      <c r="AG58">
        <v>7326.1</v>
      </c>
      <c r="AH58">
        <v>5117.2</v>
      </c>
      <c r="AI58">
        <v>6070.9</v>
      </c>
      <c r="AJ58">
        <v>23132</v>
      </c>
      <c r="AK58">
        <v>10310</v>
      </c>
      <c r="AL58">
        <v>14720</v>
      </c>
    </row>
    <row r="59" spans="1:38" x14ac:dyDescent="0.35">
      <c r="A59">
        <v>57</v>
      </c>
      <c r="B59" s="86" t="s">
        <v>2338</v>
      </c>
    </row>
    <row r="60" spans="1:38" x14ac:dyDescent="0.35">
      <c r="A60">
        <v>58</v>
      </c>
      <c r="B60" s="86" t="s">
        <v>2733</v>
      </c>
      <c r="C60">
        <v>7.7413999999999998E-4</v>
      </c>
      <c r="D60">
        <v>0</v>
      </c>
      <c r="E60">
        <v>0</v>
      </c>
      <c r="F60">
        <v>4.1609999999999998E-3</v>
      </c>
      <c r="G60">
        <v>1.835E-3</v>
      </c>
      <c r="H60">
        <v>1.5365999999999999E-3</v>
      </c>
      <c r="I60">
        <v>1.2704999999999999E-3</v>
      </c>
      <c r="J60">
        <v>7.9823999999999997E-4</v>
      </c>
      <c r="K60">
        <v>1.8338E-3</v>
      </c>
      <c r="L60">
        <v>4.9163000000000002E-3</v>
      </c>
      <c r="M60">
        <v>4.5360000000000001E-3</v>
      </c>
      <c r="N60">
        <v>7.0518000000000002E-4</v>
      </c>
      <c r="O60">
        <v>1.623950333333333E-3</v>
      </c>
      <c r="P60">
        <v>1.5364880000000001E-3</v>
      </c>
      <c r="Q60">
        <v>1.8258040000000001E-3</v>
      </c>
      <c r="R60">
        <v>3.2336826666666666E-3</v>
      </c>
      <c r="S60">
        <v>9.718379999999997E-3</v>
      </c>
      <c r="T60">
        <v>5.247628333333333E-3</v>
      </c>
      <c r="U60">
        <v>1.5846719999999999E-3</v>
      </c>
      <c r="V60">
        <v>1.9387743333333333E-3</v>
      </c>
      <c r="W60">
        <v>4.4415083333333343E-3</v>
      </c>
      <c r="X60">
        <v>5.0307346666666666E-3</v>
      </c>
      <c r="Y60">
        <v>4.2684339999999998E-3</v>
      </c>
      <c r="Z60">
        <v>3.3424746666666665E-3</v>
      </c>
      <c r="AA60">
        <v>2.8942999999999998E-3</v>
      </c>
      <c r="AB60">
        <v>0</v>
      </c>
      <c r="AC60">
        <v>6.3356000000000003E-4</v>
      </c>
      <c r="AD60">
        <v>3.3482E-3</v>
      </c>
      <c r="AE60">
        <v>1.2668E-2</v>
      </c>
      <c r="AF60">
        <v>1.4612999999999999E-2</v>
      </c>
      <c r="AG60">
        <v>1.1797999999999999E-2</v>
      </c>
      <c r="AH60">
        <v>3.2076000000000001E-3</v>
      </c>
      <c r="AI60">
        <v>6.1789999999999996E-3</v>
      </c>
      <c r="AJ60">
        <v>1.2311000000000001E-2</v>
      </c>
      <c r="AK60">
        <v>4.9791000000000002E-3</v>
      </c>
      <c r="AL60">
        <v>2.4137E-3</v>
      </c>
    </row>
    <row r="61" spans="1:38" x14ac:dyDescent="0.35">
      <c r="A61">
        <v>59</v>
      </c>
      <c r="B61" s="86" t="s">
        <v>2233</v>
      </c>
      <c r="C61">
        <v>124.85</v>
      </c>
      <c r="D61">
        <v>112.13</v>
      </c>
      <c r="E61">
        <v>438.87</v>
      </c>
      <c r="F61">
        <v>841.24</v>
      </c>
      <c r="G61">
        <v>302.56</v>
      </c>
      <c r="H61">
        <v>183.33</v>
      </c>
      <c r="I61">
        <v>199.06</v>
      </c>
      <c r="J61">
        <v>197.09</v>
      </c>
      <c r="K61">
        <v>97.61</v>
      </c>
      <c r="L61">
        <v>88.087000000000003</v>
      </c>
      <c r="M61">
        <v>100.89</v>
      </c>
      <c r="N61">
        <v>152.21</v>
      </c>
      <c r="O61">
        <v>414.85746293000005</v>
      </c>
      <c r="P61">
        <v>412.1267243333333</v>
      </c>
      <c r="Q61">
        <v>791.08390000000009</v>
      </c>
      <c r="R61">
        <v>746.43643333333341</v>
      </c>
      <c r="S61">
        <v>273.95933333333335</v>
      </c>
      <c r="T61">
        <v>308.71966666666674</v>
      </c>
      <c r="U61">
        <v>357.18846666666661</v>
      </c>
      <c r="V61">
        <v>244.87006666666665</v>
      </c>
      <c r="W61">
        <v>285.32339999999999</v>
      </c>
      <c r="X61">
        <v>367.22896666666668</v>
      </c>
      <c r="Y61">
        <v>446.79623333333342</v>
      </c>
      <c r="Z61">
        <v>565.60206966666681</v>
      </c>
      <c r="AA61">
        <v>46.506999999999998</v>
      </c>
      <c r="AB61">
        <v>131.47999999999999</v>
      </c>
      <c r="AC61">
        <v>148.38999999999999</v>
      </c>
      <c r="AD61">
        <v>2007.2</v>
      </c>
      <c r="AE61">
        <v>144.38</v>
      </c>
      <c r="AF61">
        <v>310.8</v>
      </c>
      <c r="AG61">
        <v>887.78</v>
      </c>
      <c r="AH61">
        <v>647.08000000000004</v>
      </c>
      <c r="AI61">
        <v>435.41</v>
      </c>
      <c r="AJ61">
        <v>1557.9</v>
      </c>
      <c r="AK61">
        <v>727.84</v>
      </c>
      <c r="AL61">
        <v>1117.8</v>
      </c>
    </row>
    <row r="62" spans="1:38" x14ac:dyDescent="0.35">
      <c r="A62">
        <v>60</v>
      </c>
      <c r="B62" s="86" t="s">
        <v>1696</v>
      </c>
      <c r="C62">
        <v>87.097999999999999</v>
      </c>
      <c r="D62">
        <v>59.121000000000002</v>
      </c>
      <c r="E62">
        <v>260.72000000000003</v>
      </c>
      <c r="F62">
        <v>3071.7</v>
      </c>
      <c r="G62">
        <v>540.16</v>
      </c>
      <c r="H62">
        <v>492.86</v>
      </c>
      <c r="I62">
        <v>424.26</v>
      </c>
      <c r="J62">
        <v>366</v>
      </c>
      <c r="K62">
        <v>172.06</v>
      </c>
      <c r="L62">
        <v>208.64</v>
      </c>
      <c r="M62">
        <v>478.16</v>
      </c>
      <c r="N62">
        <v>433.35</v>
      </c>
      <c r="O62">
        <v>629.20387046666656</v>
      </c>
      <c r="P62">
        <v>646.73700208333321</v>
      </c>
      <c r="Q62">
        <v>1390.3976666666665</v>
      </c>
      <c r="R62">
        <v>2386.4123333333337</v>
      </c>
      <c r="S62">
        <v>557.70033333333345</v>
      </c>
      <c r="T62">
        <v>617.10433333333344</v>
      </c>
      <c r="U62">
        <v>645.50233333333335</v>
      </c>
      <c r="V62">
        <v>564.38543333333337</v>
      </c>
      <c r="W62">
        <v>779.79633333333345</v>
      </c>
      <c r="X62">
        <v>864.86833333333323</v>
      </c>
      <c r="Y62">
        <v>1026.6976</v>
      </c>
      <c r="Z62">
        <v>723.58491479999986</v>
      </c>
      <c r="AA62">
        <v>1817.5</v>
      </c>
      <c r="AB62">
        <v>2747.6</v>
      </c>
      <c r="AC62">
        <v>2240.1999999999998</v>
      </c>
      <c r="AD62">
        <v>212.35</v>
      </c>
      <c r="AE62">
        <v>373.82</v>
      </c>
      <c r="AF62">
        <v>329.92</v>
      </c>
      <c r="AG62">
        <v>834.27</v>
      </c>
      <c r="AH62">
        <v>802.31</v>
      </c>
      <c r="AI62">
        <v>2735.1</v>
      </c>
      <c r="AJ62">
        <v>1792.5</v>
      </c>
      <c r="AK62">
        <v>2082.4</v>
      </c>
      <c r="AL62">
        <v>736.69</v>
      </c>
    </row>
    <row r="63" spans="1:38" x14ac:dyDescent="0.35">
      <c r="A63">
        <v>61</v>
      </c>
      <c r="B63" s="86" t="s">
        <v>2716</v>
      </c>
      <c r="C63">
        <v>999</v>
      </c>
      <c r="D63">
        <v>999</v>
      </c>
      <c r="E63">
        <v>999</v>
      </c>
      <c r="F63">
        <v>999</v>
      </c>
      <c r="G63">
        <v>999</v>
      </c>
      <c r="H63">
        <v>999</v>
      </c>
      <c r="I63">
        <v>999</v>
      </c>
      <c r="J63">
        <v>999</v>
      </c>
      <c r="K63">
        <v>999</v>
      </c>
      <c r="L63">
        <v>999</v>
      </c>
      <c r="M63">
        <v>999</v>
      </c>
      <c r="N63">
        <v>999</v>
      </c>
      <c r="O63">
        <v>998.99999999999943</v>
      </c>
      <c r="P63">
        <v>998.99999999999943</v>
      </c>
      <c r="Q63">
        <v>998.99999999999943</v>
      </c>
      <c r="R63">
        <v>998.99999999999943</v>
      </c>
      <c r="S63">
        <v>998.99999999999943</v>
      </c>
      <c r="T63">
        <v>998.99999999999943</v>
      </c>
      <c r="U63">
        <v>998.99999999999943</v>
      </c>
      <c r="V63">
        <v>998.99999999999943</v>
      </c>
      <c r="W63">
        <v>998.99999999999943</v>
      </c>
      <c r="X63">
        <v>998.99999999999943</v>
      </c>
      <c r="Y63">
        <v>998.99999999999943</v>
      </c>
      <c r="Z63">
        <v>998.99999999999943</v>
      </c>
      <c r="AA63">
        <v>999</v>
      </c>
      <c r="AB63">
        <v>999</v>
      </c>
      <c r="AC63">
        <v>999</v>
      </c>
      <c r="AD63">
        <v>999</v>
      </c>
      <c r="AE63">
        <v>999</v>
      </c>
      <c r="AF63">
        <v>999</v>
      </c>
      <c r="AG63">
        <v>999</v>
      </c>
      <c r="AH63">
        <v>999</v>
      </c>
      <c r="AI63">
        <v>999</v>
      </c>
      <c r="AJ63">
        <v>999</v>
      </c>
      <c r="AK63">
        <v>999</v>
      </c>
      <c r="AL63">
        <v>999</v>
      </c>
    </row>
    <row r="64" spans="1:38" x14ac:dyDescent="0.35">
      <c r="A64">
        <v>62</v>
      </c>
      <c r="B64" s="86" t="s">
        <v>25</v>
      </c>
      <c r="C64">
        <v>0</v>
      </c>
      <c r="D64">
        <v>0.12898999999999999</v>
      </c>
      <c r="E64">
        <v>0.30192999999999998</v>
      </c>
      <c r="F64">
        <v>2.1307</v>
      </c>
      <c r="G64">
        <v>0.68967000000000001</v>
      </c>
      <c r="H64">
        <v>1.337</v>
      </c>
      <c r="I64">
        <v>0.41359000000000001</v>
      </c>
      <c r="J64">
        <v>1.1452</v>
      </c>
      <c r="K64">
        <v>0.50088999999999995</v>
      </c>
      <c r="L64">
        <v>9.1059000000000001E-2</v>
      </c>
      <c r="M64">
        <v>0.59623999999999999</v>
      </c>
      <c r="N64">
        <v>0.86358000000000001</v>
      </c>
      <c r="O64">
        <v>0.46586000000000005</v>
      </c>
      <c r="P64">
        <v>0.26476370000000005</v>
      </c>
      <c r="Q64">
        <v>0.71353126666666677</v>
      </c>
      <c r="R64">
        <v>1.7157096666666667</v>
      </c>
      <c r="S64">
        <v>2.9767986666666664</v>
      </c>
      <c r="T64">
        <v>1.8189973333333334</v>
      </c>
      <c r="U64">
        <v>1.6761213333333329</v>
      </c>
      <c r="V64">
        <v>1.3870353333333332</v>
      </c>
      <c r="W64">
        <v>1.1619716666666666</v>
      </c>
      <c r="X64">
        <v>0.97224840000000001</v>
      </c>
      <c r="Y64">
        <v>0.95695966666666676</v>
      </c>
      <c r="Z64">
        <v>0.67922333333333329</v>
      </c>
      <c r="AA64">
        <v>0.16682</v>
      </c>
      <c r="AB64">
        <v>0.14530000000000001</v>
      </c>
      <c r="AC64">
        <v>0.31025999999999998</v>
      </c>
      <c r="AD64">
        <v>2.6623999999999999</v>
      </c>
      <c r="AE64">
        <v>4.2794999999999996</v>
      </c>
      <c r="AF64">
        <v>3.0196000000000001</v>
      </c>
      <c r="AG64">
        <v>2.0026999999999999</v>
      </c>
      <c r="AH64">
        <v>1.8182</v>
      </c>
      <c r="AI64">
        <v>0.93715999999999999</v>
      </c>
      <c r="AJ64">
        <v>0.68137000000000003</v>
      </c>
      <c r="AK64">
        <v>1.0837000000000001</v>
      </c>
      <c r="AL64">
        <v>1.7238</v>
      </c>
    </row>
    <row r="65" spans="1:38" x14ac:dyDescent="0.35">
      <c r="A65">
        <v>63</v>
      </c>
      <c r="B65" s="86" t="s">
        <v>2366</v>
      </c>
      <c r="C65">
        <v>0</v>
      </c>
      <c r="D65">
        <v>0</v>
      </c>
      <c r="E65">
        <v>0</v>
      </c>
      <c r="F65">
        <v>1.6423E-2</v>
      </c>
      <c r="G65">
        <v>0.10967</v>
      </c>
      <c r="H65">
        <v>0.26830999999999999</v>
      </c>
      <c r="I65">
        <v>0.33433000000000002</v>
      </c>
      <c r="J65">
        <v>8.9439000000000005E-2</v>
      </c>
      <c r="K65">
        <v>9.5934000000000002E-3</v>
      </c>
      <c r="L65">
        <v>2.6546999999999999E-3</v>
      </c>
      <c r="M65">
        <v>7.7638000000000004E-3</v>
      </c>
      <c r="N65">
        <v>0</v>
      </c>
      <c r="O65">
        <v>0</v>
      </c>
      <c r="P65">
        <v>3.0194333333333331E-4</v>
      </c>
      <c r="Q65">
        <v>1.0415996666666666E-3</v>
      </c>
      <c r="R65">
        <v>7.7121922663333335E-3</v>
      </c>
      <c r="S65">
        <v>0.10221780333333334</v>
      </c>
      <c r="T65">
        <v>0.30393799999999993</v>
      </c>
      <c r="U65">
        <v>0.39783533333333326</v>
      </c>
      <c r="V65">
        <v>0.17804576666666669</v>
      </c>
      <c r="W65">
        <v>0.10273271333333334</v>
      </c>
      <c r="X65">
        <v>8.3405506666666671E-2</v>
      </c>
      <c r="Y65">
        <v>1.5830749700000004E-2</v>
      </c>
      <c r="Z65">
        <v>4.8808829999999991E-3</v>
      </c>
      <c r="AA65">
        <v>0</v>
      </c>
      <c r="AB65">
        <v>0</v>
      </c>
      <c r="AC65">
        <v>0</v>
      </c>
      <c r="AD65">
        <v>1.7173000000000001E-2</v>
      </c>
      <c r="AE65">
        <v>9.1939999999999994E-2</v>
      </c>
      <c r="AF65">
        <v>0.31928000000000001</v>
      </c>
      <c r="AG65">
        <v>0.56367999999999996</v>
      </c>
      <c r="AH65">
        <v>0.32033</v>
      </c>
      <c r="AI65">
        <v>0.13149</v>
      </c>
      <c r="AJ65">
        <v>0.16070999999999999</v>
      </c>
      <c r="AK65">
        <v>3.4776999999999998E-3</v>
      </c>
      <c r="AL65">
        <v>0</v>
      </c>
    </row>
    <row r="66" spans="1:38" x14ac:dyDescent="0.35">
      <c r="A66">
        <v>64</v>
      </c>
      <c r="B66" s="86" t="s">
        <v>2405</v>
      </c>
      <c r="C66">
        <v>1.0746</v>
      </c>
      <c r="D66">
        <v>16.361999999999998</v>
      </c>
      <c r="E66">
        <v>12.117000000000001</v>
      </c>
      <c r="F66">
        <v>7.8255999999999997</v>
      </c>
      <c r="G66">
        <v>8.8901000000000003</v>
      </c>
      <c r="H66">
        <v>4.1192000000000002</v>
      </c>
      <c r="I66">
        <v>2.6217999999999999</v>
      </c>
      <c r="J66">
        <v>0.34947</v>
      </c>
      <c r="K66">
        <v>0.64151000000000002</v>
      </c>
      <c r="L66">
        <v>36.347999999999999</v>
      </c>
      <c r="M66">
        <v>71.388999999999996</v>
      </c>
      <c r="N66">
        <v>49.161999999999999</v>
      </c>
      <c r="O66">
        <v>95.09510933333334</v>
      </c>
      <c r="P66">
        <v>126.90584333333332</v>
      </c>
      <c r="Q66">
        <v>76.003873333333331</v>
      </c>
      <c r="R66">
        <v>35.837223333333327</v>
      </c>
      <c r="S66">
        <v>12.938576666666666</v>
      </c>
      <c r="T66">
        <v>4.548865666666666</v>
      </c>
      <c r="U66">
        <v>1.8955364333333333</v>
      </c>
      <c r="V66">
        <v>1.6126020333333333</v>
      </c>
      <c r="W66">
        <v>3.9148473333333333</v>
      </c>
      <c r="X66">
        <v>43.940693333333336</v>
      </c>
      <c r="Y66">
        <v>143.32436666666666</v>
      </c>
      <c r="Z66">
        <v>133.43883333333332</v>
      </c>
      <c r="AA66">
        <v>85.406000000000006</v>
      </c>
      <c r="AB66">
        <v>212.64</v>
      </c>
      <c r="AC66">
        <v>145.47999999999999</v>
      </c>
      <c r="AD66">
        <v>19.271000000000001</v>
      </c>
      <c r="AE66">
        <v>8.8703000000000003</v>
      </c>
      <c r="AF66">
        <v>1.2356</v>
      </c>
      <c r="AG66">
        <v>0</v>
      </c>
      <c r="AH66">
        <v>1.5045999999999999</v>
      </c>
      <c r="AI66">
        <v>8.3231000000000002</v>
      </c>
      <c r="AJ66">
        <v>137.96</v>
      </c>
      <c r="AK66">
        <v>189.6</v>
      </c>
      <c r="AL66">
        <v>168.54</v>
      </c>
    </row>
    <row r="67" spans="1:38" x14ac:dyDescent="0.35">
      <c r="A67">
        <v>65</v>
      </c>
      <c r="B67" s="86" t="s">
        <v>2683</v>
      </c>
      <c r="C67">
        <v>2.2074999999999998E-3</v>
      </c>
      <c r="D67">
        <v>1.4894999999999999E-3</v>
      </c>
      <c r="E67">
        <v>1.1599E-2</v>
      </c>
      <c r="F67">
        <v>1.5847E-2</v>
      </c>
      <c r="G67">
        <v>6.9744000000000004E-3</v>
      </c>
      <c r="H67">
        <v>4.5469000000000004E-3</v>
      </c>
      <c r="I67">
        <v>5.0632000000000003E-3</v>
      </c>
      <c r="J67">
        <v>3.9280000000000001E-3</v>
      </c>
      <c r="K67">
        <v>1.6823999999999999E-3</v>
      </c>
      <c r="L67">
        <v>1.9142E-3</v>
      </c>
      <c r="M67">
        <v>2.4786999999999999E-3</v>
      </c>
      <c r="N67">
        <v>2.8890999999999999E-3</v>
      </c>
      <c r="O67">
        <v>1.1551303333333334E-2</v>
      </c>
      <c r="P67">
        <v>1.0920743333333333E-2</v>
      </c>
      <c r="Q67">
        <v>1.9930306666666665E-2</v>
      </c>
      <c r="R67">
        <v>1.905708133333333E-2</v>
      </c>
      <c r="S67">
        <v>5.861656666666667E-3</v>
      </c>
      <c r="T67">
        <v>6.2757600000000009E-3</v>
      </c>
      <c r="U67">
        <v>7.5707643333333338E-3</v>
      </c>
      <c r="V67">
        <v>5.9356366666666683E-3</v>
      </c>
      <c r="W67">
        <v>6.3785133333333329E-3</v>
      </c>
      <c r="X67">
        <v>9.951349666666668E-3</v>
      </c>
      <c r="Y67">
        <v>1.3513613333333334E-2</v>
      </c>
      <c r="Z67">
        <v>1.5322053333333334E-2</v>
      </c>
      <c r="AA67">
        <v>0</v>
      </c>
      <c r="AB67">
        <v>0</v>
      </c>
      <c r="AC67">
        <v>3.2567E-3</v>
      </c>
      <c r="AD67">
        <v>4.8994000000000003E-2</v>
      </c>
      <c r="AE67">
        <v>3.2550000000000001E-3</v>
      </c>
      <c r="AF67">
        <v>5.9211999999999997E-3</v>
      </c>
      <c r="AG67">
        <v>1.0426E-2</v>
      </c>
      <c r="AH67">
        <v>7.9859000000000006E-3</v>
      </c>
      <c r="AI67">
        <v>7.4916999999999996E-3</v>
      </c>
      <c r="AJ67">
        <v>4.5455000000000002E-2</v>
      </c>
      <c r="AK67">
        <v>1.7287E-2</v>
      </c>
      <c r="AL67">
        <v>3.6330000000000001E-2</v>
      </c>
    </row>
    <row r="68" spans="1:38" x14ac:dyDescent="0.35">
      <c r="A68">
        <v>66</v>
      </c>
      <c r="B68" s="89" t="s">
        <v>2277</v>
      </c>
      <c r="C68">
        <v>2.5855599999999999E-2</v>
      </c>
      <c r="D68">
        <v>0</v>
      </c>
      <c r="E68">
        <v>7.7211000000000002E-2</v>
      </c>
      <c r="F68">
        <v>0.7638100000000001</v>
      </c>
      <c r="G68">
        <v>0.30126999999999998</v>
      </c>
      <c r="H68">
        <v>0.52282999999999991</v>
      </c>
      <c r="I68">
        <v>0.12855900000000001</v>
      </c>
      <c r="J68">
        <v>0.5250999999999999</v>
      </c>
      <c r="K68">
        <v>0.16608799999999999</v>
      </c>
      <c r="L68">
        <v>3.2013E-2</v>
      </c>
      <c r="M68">
        <v>0.182842</v>
      </c>
      <c r="N68">
        <v>9.1827999999999993E-2</v>
      </c>
      <c r="O68">
        <v>9.6603076666666662E-2</v>
      </c>
      <c r="P68">
        <v>9.2970929999999993E-2</v>
      </c>
      <c r="Q68">
        <v>0.25338020366666664</v>
      </c>
      <c r="R68">
        <v>0.53146243333333332</v>
      </c>
      <c r="S68">
        <v>1.0840694666666668</v>
      </c>
      <c r="T68">
        <v>0.74577326666666655</v>
      </c>
      <c r="U68">
        <v>0.52012016666666683</v>
      </c>
      <c r="V68">
        <v>0.46229296666666664</v>
      </c>
      <c r="W68">
        <v>0.36212716666666667</v>
      </c>
      <c r="X68">
        <v>0.27579716999999998</v>
      </c>
      <c r="Y68">
        <v>0.27401651999999999</v>
      </c>
      <c r="Z68">
        <v>0.15855813333333327</v>
      </c>
      <c r="AA68">
        <v>0.11831900000000001</v>
      </c>
      <c r="AB68">
        <v>5.5721999999999994E-2</v>
      </c>
      <c r="AC68">
        <v>0.31652999999999998</v>
      </c>
      <c r="AD68">
        <v>1.0241600000000002</v>
      </c>
      <c r="AE68">
        <v>1.9060699999999999</v>
      </c>
      <c r="AF68">
        <v>0.46740999999999999</v>
      </c>
      <c r="AG68">
        <v>0.84719999999999995</v>
      </c>
      <c r="AH68">
        <v>0.6035299999999999</v>
      </c>
      <c r="AI68">
        <v>0.62587999999999999</v>
      </c>
      <c r="AJ68">
        <v>0.56823000000000001</v>
      </c>
      <c r="AK68">
        <v>0.57350999999999996</v>
      </c>
      <c r="AL68">
        <v>0.14682600000000001</v>
      </c>
    </row>
    <row r="69" spans="1:38" x14ac:dyDescent="0.35">
      <c r="A69">
        <v>67</v>
      </c>
      <c r="B69" s="86" t="s">
        <v>1687</v>
      </c>
      <c r="C69">
        <v>0</v>
      </c>
      <c r="D69">
        <v>2.5121000000000002E-3</v>
      </c>
      <c r="E69">
        <v>8.4788000000000002E-2</v>
      </c>
      <c r="F69">
        <v>2.4250000000000001E-2</v>
      </c>
      <c r="G69">
        <v>1.0833999999999999</v>
      </c>
      <c r="H69">
        <v>0.59480999999999995</v>
      </c>
      <c r="I69">
        <v>0.24562999999999999</v>
      </c>
      <c r="J69">
        <v>7.4840000000000004E-2</v>
      </c>
      <c r="K69">
        <v>6.0835E-2</v>
      </c>
      <c r="L69">
        <v>0.28226000000000001</v>
      </c>
      <c r="M69">
        <v>0.21314</v>
      </c>
      <c r="N69">
        <v>0</v>
      </c>
      <c r="O69">
        <v>9.4519733333333332E-4</v>
      </c>
      <c r="P69">
        <v>4.1301699999999998E-3</v>
      </c>
      <c r="Q69">
        <v>3.1662397233333334E-2</v>
      </c>
      <c r="R69">
        <v>9.9273913333333338E-2</v>
      </c>
      <c r="S69">
        <v>0.80888533333333335</v>
      </c>
      <c r="T69">
        <v>1.2399339999999996</v>
      </c>
      <c r="U69">
        <v>0.75232299999999996</v>
      </c>
      <c r="V69">
        <v>0.28147699999999998</v>
      </c>
      <c r="W69">
        <v>0.38137339999999992</v>
      </c>
      <c r="X69">
        <v>0.46520830000000002</v>
      </c>
      <c r="Y69">
        <v>0.1450765</v>
      </c>
      <c r="Z69">
        <v>2.9060959710000001E-2</v>
      </c>
      <c r="AA69">
        <v>0</v>
      </c>
      <c r="AB69">
        <v>0</v>
      </c>
      <c r="AC69">
        <v>4.7499E-2</v>
      </c>
      <c r="AD69">
        <v>0.30070000000000002</v>
      </c>
      <c r="AE69">
        <v>0.83074999999999999</v>
      </c>
      <c r="AF69">
        <v>1.6135999999999999</v>
      </c>
      <c r="AG69">
        <v>2.2174999999999998</v>
      </c>
      <c r="AH69">
        <v>1.1306</v>
      </c>
      <c r="AI69">
        <v>6.5064999999999998E-2</v>
      </c>
      <c r="AJ69">
        <v>0.60465000000000002</v>
      </c>
      <c r="AK69">
        <v>1.4427000000000001E-2</v>
      </c>
      <c r="AL69">
        <v>0</v>
      </c>
    </row>
    <row r="70" spans="1:38" x14ac:dyDescent="0.35">
      <c r="A70">
        <v>68</v>
      </c>
      <c r="B70" s="86" t="s">
        <v>2073</v>
      </c>
      <c r="C70">
        <v>2.6154E-2</v>
      </c>
      <c r="D70">
        <v>3.9007999999999998E-3</v>
      </c>
      <c r="E70">
        <v>1.6736999999999998E-2</v>
      </c>
      <c r="F70">
        <v>0.10074</v>
      </c>
      <c r="G70">
        <v>5.1271999999999998E-2</v>
      </c>
      <c r="H70">
        <v>1.5353E-2</v>
      </c>
      <c r="I70">
        <v>1.3616E-2</v>
      </c>
      <c r="J70">
        <v>1.3873E-2</v>
      </c>
      <c r="K70">
        <v>3.5790000000000001E-3</v>
      </c>
      <c r="L70">
        <v>0.12373000000000001</v>
      </c>
      <c r="M70">
        <v>0.10326</v>
      </c>
      <c r="N70">
        <v>0.18117</v>
      </c>
      <c r="O70">
        <v>0.15142635100000001</v>
      </c>
      <c r="P70">
        <v>0.14321283000000004</v>
      </c>
      <c r="Q70">
        <v>0.19326983</v>
      </c>
      <c r="R70">
        <v>0.19544703333333333</v>
      </c>
      <c r="S70">
        <v>0.1516989</v>
      </c>
      <c r="T70">
        <v>6.6191300000000022E-2</v>
      </c>
      <c r="U70">
        <v>2.6556283333333333E-2</v>
      </c>
      <c r="V70">
        <v>2.4304386666666671E-2</v>
      </c>
      <c r="W70">
        <v>8.9170444666666654E-2</v>
      </c>
      <c r="X70">
        <v>0.22900804666666669</v>
      </c>
      <c r="Y70">
        <v>0.14096571743333333</v>
      </c>
      <c r="Z70">
        <v>0.13950258733333332</v>
      </c>
      <c r="AA70">
        <v>0.52944999999999998</v>
      </c>
      <c r="AB70">
        <v>0.41787999999999997</v>
      </c>
      <c r="AC70">
        <v>0.27018999999999999</v>
      </c>
      <c r="AD70">
        <v>0.15057999999999999</v>
      </c>
      <c r="AE70">
        <v>0.50417999999999996</v>
      </c>
      <c r="AF70">
        <v>3.6985999999999998E-2</v>
      </c>
      <c r="AG70">
        <v>0.1295</v>
      </c>
      <c r="AH70">
        <v>0.15823000000000001</v>
      </c>
      <c r="AI70">
        <v>8.0467999999999998E-3</v>
      </c>
      <c r="AJ70">
        <v>0.29633999999999999</v>
      </c>
      <c r="AK70">
        <v>4.3235000000000001E-3</v>
      </c>
      <c r="AL70">
        <v>0.26913999999999999</v>
      </c>
    </row>
    <row r="71" spans="1:38" x14ac:dyDescent="0.35">
      <c r="A71">
        <v>69</v>
      </c>
      <c r="B71" s="86" t="s">
        <v>2183</v>
      </c>
      <c r="C71">
        <v>2.9694999999999999E-3</v>
      </c>
      <c r="D71">
        <v>6.5970000000000004E-3</v>
      </c>
      <c r="E71">
        <v>2.1002E-4</v>
      </c>
      <c r="F71">
        <v>4.1086999999999999E-3</v>
      </c>
      <c r="G71">
        <v>1.6148E-3</v>
      </c>
      <c r="H71">
        <v>1.2714E-2</v>
      </c>
      <c r="I71">
        <v>6.0426000000000002E-4</v>
      </c>
      <c r="J71">
        <v>8.9167999999999995E-4</v>
      </c>
      <c r="K71">
        <v>3.3292E-4</v>
      </c>
      <c r="L71">
        <v>1.2441000000000001E-2</v>
      </c>
      <c r="M71">
        <v>6.8839000000000001E-3</v>
      </c>
      <c r="N71">
        <v>3.7385000000000001E-4</v>
      </c>
      <c r="O71">
        <v>1.8789224600000002E-3</v>
      </c>
      <c r="P71">
        <v>2.4697512939999998E-3</v>
      </c>
      <c r="Q71">
        <v>6.7312629999999986E-3</v>
      </c>
      <c r="R71">
        <v>1.2393869999999998E-2</v>
      </c>
      <c r="S71">
        <v>1.0679390999999996E-2</v>
      </c>
      <c r="T71">
        <v>6.2724939999999991E-3</v>
      </c>
      <c r="U71">
        <v>4.5531763333333339E-3</v>
      </c>
      <c r="V71">
        <v>5.355499333333332E-3</v>
      </c>
      <c r="W71">
        <v>9.4882176999999974E-3</v>
      </c>
      <c r="X71">
        <v>1.0107240333333331E-2</v>
      </c>
      <c r="Y71">
        <v>5.7910204333333336E-3</v>
      </c>
      <c r="Z71">
        <v>3.3646090000000002E-3</v>
      </c>
      <c r="AA71">
        <v>4.6540999999999998E-4</v>
      </c>
      <c r="AB71">
        <v>6.7257999999999997E-3</v>
      </c>
      <c r="AC71">
        <v>1.8778E-2</v>
      </c>
      <c r="AD71">
        <v>1.8838000000000001E-2</v>
      </c>
      <c r="AE71">
        <v>1.9373999999999999E-2</v>
      </c>
      <c r="AF71">
        <v>3.3243999999999999E-3</v>
      </c>
      <c r="AG71">
        <v>1.2494999999999999E-2</v>
      </c>
      <c r="AH71">
        <v>2.5270000000000001E-2</v>
      </c>
      <c r="AI71">
        <v>3.3009000000000001E-4</v>
      </c>
      <c r="AJ71">
        <v>1.7118000000000001E-2</v>
      </c>
      <c r="AK71">
        <v>1.0813000000000001E-3</v>
      </c>
      <c r="AL71">
        <v>5.7831000000000002E-3</v>
      </c>
    </row>
    <row r="72" spans="1:38" x14ac:dyDescent="0.35">
      <c r="A72">
        <v>70</v>
      </c>
      <c r="B72" s="86" t="s">
        <v>2072</v>
      </c>
      <c r="C72">
        <v>0.32107999999999998</v>
      </c>
      <c r="D72">
        <v>4.7888E-2</v>
      </c>
      <c r="E72">
        <v>0.20547000000000001</v>
      </c>
      <c r="F72">
        <v>1.2367999999999999</v>
      </c>
      <c r="G72">
        <v>0.62944</v>
      </c>
      <c r="H72">
        <v>0.18848000000000001</v>
      </c>
      <c r="I72">
        <v>0.16716</v>
      </c>
      <c r="J72">
        <v>0.17032</v>
      </c>
      <c r="K72">
        <v>4.3937999999999998E-2</v>
      </c>
      <c r="L72">
        <v>1.5189999999999999</v>
      </c>
      <c r="M72">
        <v>1.2677</v>
      </c>
      <c r="N72">
        <v>2.2241</v>
      </c>
      <c r="O72">
        <v>1.8589976400000001</v>
      </c>
      <c r="P72">
        <v>1.758165366666667</v>
      </c>
      <c r="Q72">
        <v>2.3727005333333335</v>
      </c>
      <c r="R72">
        <v>2.3994329999999997</v>
      </c>
      <c r="S72">
        <v>1.862341</v>
      </c>
      <c r="T72">
        <v>0.81259933333333334</v>
      </c>
      <c r="U72">
        <v>0.32602293333333332</v>
      </c>
      <c r="V72">
        <v>0.29837460000000005</v>
      </c>
      <c r="W72">
        <v>1.0947087466666665</v>
      </c>
      <c r="X72">
        <v>2.8114511433333331</v>
      </c>
      <c r="Y72">
        <v>1.7305855779999999</v>
      </c>
      <c r="Z72">
        <v>1.7126120166666667</v>
      </c>
      <c r="AA72">
        <v>6.4997999999999996</v>
      </c>
      <c r="AB72">
        <v>5.1302000000000003</v>
      </c>
      <c r="AC72">
        <v>3.3170000000000002</v>
      </c>
      <c r="AD72">
        <v>1.8487</v>
      </c>
      <c r="AE72">
        <v>6.1896000000000004</v>
      </c>
      <c r="AF72">
        <v>0.45406000000000002</v>
      </c>
      <c r="AG72">
        <v>1.5899000000000001</v>
      </c>
      <c r="AH72">
        <v>1.9424999999999999</v>
      </c>
      <c r="AI72">
        <v>9.8787E-2</v>
      </c>
      <c r="AJ72">
        <v>3.6381000000000001</v>
      </c>
      <c r="AK72">
        <v>5.3078E-2</v>
      </c>
      <c r="AL72">
        <v>3.3041</v>
      </c>
    </row>
    <row r="73" spans="1:38" x14ac:dyDescent="0.35">
      <c r="A73">
        <v>71</v>
      </c>
      <c r="B73" s="86" t="s">
        <v>2074</v>
      </c>
      <c r="C73">
        <v>5.2308E-2</v>
      </c>
      <c r="D73">
        <v>7.8015999999999997E-3</v>
      </c>
      <c r="E73">
        <v>3.3473999999999997E-2</v>
      </c>
      <c r="F73">
        <v>0.20147999999999999</v>
      </c>
      <c r="G73">
        <v>0.10254000000000001</v>
      </c>
      <c r="H73">
        <v>3.0705E-2</v>
      </c>
      <c r="I73">
        <v>2.7231999999999999E-2</v>
      </c>
      <c r="J73">
        <v>2.7746E-2</v>
      </c>
      <c r="K73">
        <v>7.1579E-3</v>
      </c>
      <c r="L73">
        <v>0.24746000000000001</v>
      </c>
      <c r="M73">
        <v>0.20652000000000001</v>
      </c>
      <c r="N73">
        <v>0.36232999999999999</v>
      </c>
      <c r="O73">
        <v>0.30285125566666665</v>
      </c>
      <c r="P73">
        <v>0.2864229800000001</v>
      </c>
      <c r="Q73">
        <v>0.38654010000000005</v>
      </c>
      <c r="R73">
        <v>0.39089493333333331</v>
      </c>
      <c r="S73">
        <v>0.30339910000000003</v>
      </c>
      <c r="T73">
        <v>0.13238249999999999</v>
      </c>
      <c r="U73">
        <v>5.3112750000000007E-2</v>
      </c>
      <c r="V73">
        <v>4.860840000000001E-2</v>
      </c>
      <c r="W73">
        <v>0.17834231666666669</v>
      </c>
      <c r="X73">
        <v>0.45801552666666673</v>
      </c>
      <c r="Y73">
        <v>0.2819276412333333</v>
      </c>
      <c r="Z73">
        <v>0.27900369166666666</v>
      </c>
      <c r="AA73">
        <v>1.0589</v>
      </c>
      <c r="AB73">
        <v>0.83577000000000001</v>
      </c>
      <c r="AC73">
        <v>0.54037999999999997</v>
      </c>
      <c r="AD73">
        <v>0.30116999999999999</v>
      </c>
      <c r="AE73">
        <v>1.0084</v>
      </c>
      <c r="AF73">
        <v>7.3971999999999996E-2</v>
      </c>
      <c r="AG73">
        <v>0.25901000000000002</v>
      </c>
      <c r="AH73">
        <v>0.31645000000000001</v>
      </c>
      <c r="AI73">
        <v>1.6094000000000001E-2</v>
      </c>
      <c r="AJ73">
        <v>0.59267999999999998</v>
      </c>
      <c r="AK73">
        <v>8.6470000000000002E-3</v>
      </c>
      <c r="AL73">
        <v>0.53827000000000003</v>
      </c>
    </row>
    <row r="74" spans="1:38" x14ac:dyDescent="0.35">
      <c r="A74">
        <v>72</v>
      </c>
      <c r="B74" s="86" t="s">
        <v>2189</v>
      </c>
      <c r="C74">
        <v>0</v>
      </c>
      <c r="D74">
        <v>0.14684</v>
      </c>
      <c r="E74">
        <v>2.9592999999999998</v>
      </c>
      <c r="F74">
        <v>0.70009999999999994</v>
      </c>
      <c r="G74">
        <v>34.183999999999997</v>
      </c>
      <c r="H74">
        <v>19.425999999999998</v>
      </c>
      <c r="I74">
        <v>8.1189</v>
      </c>
      <c r="J74">
        <v>2.4304000000000001</v>
      </c>
      <c r="K74">
        <v>1.9330000000000001</v>
      </c>
      <c r="L74">
        <v>8.9771000000000001</v>
      </c>
      <c r="M74">
        <v>5.5415999999999999</v>
      </c>
      <c r="N74">
        <v>0</v>
      </c>
      <c r="O74">
        <v>2.6912946666666666E-2</v>
      </c>
      <c r="P74">
        <v>0.11019733333333333</v>
      </c>
      <c r="Q74">
        <v>0.95960831800000002</v>
      </c>
      <c r="R74">
        <v>3.0436643333333331</v>
      </c>
      <c r="S74">
        <v>25.806669999999993</v>
      </c>
      <c r="T74">
        <v>40.34276666666667</v>
      </c>
      <c r="U74">
        <v>25.119950000000003</v>
      </c>
      <c r="V74">
        <v>9.1786899999999996</v>
      </c>
      <c r="W74">
        <v>12.054522333333336</v>
      </c>
      <c r="X74">
        <v>15.120881333333337</v>
      </c>
      <c r="Y74">
        <v>4.5462706666666666</v>
      </c>
      <c r="Z74">
        <v>0.91302673499999987</v>
      </c>
      <c r="AA74">
        <v>0</v>
      </c>
      <c r="AB74">
        <v>0</v>
      </c>
      <c r="AC74">
        <v>1.2350000000000001</v>
      </c>
      <c r="AD74">
        <v>8.5373000000000001</v>
      </c>
      <c r="AE74">
        <v>24.99</v>
      </c>
      <c r="AF74">
        <v>51.698999999999998</v>
      </c>
      <c r="AG74">
        <v>71.174999999999997</v>
      </c>
      <c r="AH74">
        <v>38.054000000000002</v>
      </c>
      <c r="AI74">
        <v>2.5773999999999999</v>
      </c>
      <c r="AJ74">
        <v>18.576000000000001</v>
      </c>
      <c r="AK74">
        <v>0.52961000000000003</v>
      </c>
      <c r="AL74">
        <v>0</v>
      </c>
    </row>
    <row r="75" spans="1:38" x14ac:dyDescent="0.35">
      <c r="A75">
        <v>73</v>
      </c>
      <c r="B75" s="86" t="s">
        <v>2706</v>
      </c>
      <c r="C75">
        <v>0.10455</v>
      </c>
      <c r="D75">
        <v>5.7917999999999997E-2</v>
      </c>
      <c r="E75">
        <v>0.18978999999999999</v>
      </c>
      <c r="F75">
        <v>0.22686999999999999</v>
      </c>
      <c r="G75">
        <v>1.0607</v>
      </c>
      <c r="H75">
        <v>0.77505000000000002</v>
      </c>
      <c r="I75">
        <v>0.48159999999999997</v>
      </c>
      <c r="J75">
        <v>0.15837999999999999</v>
      </c>
      <c r="K75">
        <v>0.15407999999999999</v>
      </c>
      <c r="L75">
        <v>0.56289999999999996</v>
      </c>
      <c r="M75">
        <v>0.85404000000000002</v>
      </c>
      <c r="N75">
        <v>0</v>
      </c>
      <c r="O75">
        <v>5.0668430000000007E-2</v>
      </c>
      <c r="P75">
        <v>0.13037436666666669</v>
      </c>
      <c r="Q75">
        <v>0.32511313333333342</v>
      </c>
      <c r="R75">
        <v>0.44245076666666672</v>
      </c>
      <c r="S75">
        <v>1.0198796666666667</v>
      </c>
      <c r="T75">
        <v>1.572826666666667</v>
      </c>
      <c r="U75">
        <v>1.1049616666666666</v>
      </c>
      <c r="V75">
        <v>0.46313300000000002</v>
      </c>
      <c r="W75">
        <v>0.58379019999999993</v>
      </c>
      <c r="X75">
        <v>0.87165846666666691</v>
      </c>
      <c r="Y75">
        <v>0.32483153333333331</v>
      </c>
      <c r="Z75">
        <v>0.12367096666666667</v>
      </c>
      <c r="AA75">
        <v>5.4847000000000003E-3</v>
      </c>
      <c r="AB75">
        <v>0.36704999999999999</v>
      </c>
      <c r="AC75">
        <v>0.85841000000000001</v>
      </c>
      <c r="AD75">
        <v>0.84406000000000003</v>
      </c>
      <c r="AE75">
        <v>1.1183000000000001</v>
      </c>
      <c r="AF75">
        <v>1.7539</v>
      </c>
      <c r="AG75">
        <v>2.5432999999999999</v>
      </c>
      <c r="AH75">
        <v>2.0653000000000001</v>
      </c>
      <c r="AI75">
        <v>0.24673</v>
      </c>
      <c r="AJ75">
        <v>0.54491999999999996</v>
      </c>
      <c r="AK75">
        <v>6.4019000000000006E-2</v>
      </c>
      <c r="AL75">
        <v>0.12492</v>
      </c>
    </row>
    <row r="76" spans="1:38" x14ac:dyDescent="0.35">
      <c r="A76">
        <v>74</v>
      </c>
      <c r="B76" s="86" t="s">
        <v>2109</v>
      </c>
      <c r="C76">
        <v>2.6289E-4</v>
      </c>
      <c r="D76">
        <v>0</v>
      </c>
      <c r="E76">
        <v>0</v>
      </c>
      <c r="F76">
        <v>5.5659000000000004E-3</v>
      </c>
      <c r="G76">
        <v>2.8299000000000002E-3</v>
      </c>
      <c r="H76">
        <v>2.0720999999999999E-3</v>
      </c>
      <c r="I76">
        <v>1.902E-3</v>
      </c>
      <c r="J76">
        <v>1.4935E-3</v>
      </c>
      <c r="K76">
        <v>2.2690000000000002E-3</v>
      </c>
      <c r="L76">
        <v>1.157E-2</v>
      </c>
      <c r="M76">
        <v>1.0832E-2</v>
      </c>
      <c r="N76">
        <v>1.9502E-3</v>
      </c>
      <c r="O76">
        <v>3.9522026666666665E-3</v>
      </c>
      <c r="P76">
        <v>2.9345386666666667E-3</v>
      </c>
      <c r="Q76">
        <v>2.2874916666666668E-3</v>
      </c>
      <c r="R76">
        <v>4.2929496666666671E-3</v>
      </c>
      <c r="S76">
        <v>1.1753319999999999E-2</v>
      </c>
      <c r="T76">
        <v>9.3940986666666663E-3</v>
      </c>
      <c r="U76">
        <v>2.7903439999999993E-3</v>
      </c>
      <c r="V76">
        <v>3.6213240000000004E-3</v>
      </c>
      <c r="W76">
        <v>7.1597129999999998E-3</v>
      </c>
      <c r="X76">
        <v>8.6666013333333326E-3</v>
      </c>
      <c r="Y76">
        <v>8.3449433333333319E-3</v>
      </c>
      <c r="Z76">
        <v>7.5576520000000015E-3</v>
      </c>
      <c r="AA76">
        <v>1.6115000000000001E-2</v>
      </c>
      <c r="AB76">
        <v>0</v>
      </c>
      <c r="AC76">
        <v>2.0306999999999999E-3</v>
      </c>
      <c r="AD76">
        <v>4.2249999999999996E-3</v>
      </c>
      <c r="AE76">
        <v>1.6102999999999999E-2</v>
      </c>
      <c r="AF76">
        <v>1.6788999999999998E-2</v>
      </c>
      <c r="AG76">
        <v>6.1177000000000002E-3</v>
      </c>
      <c r="AH76">
        <v>2.9767000000000001E-3</v>
      </c>
      <c r="AI76">
        <v>9.6194000000000002E-3</v>
      </c>
      <c r="AJ76">
        <v>2.5958999999999999E-2</v>
      </c>
      <c r="AK76">
        <v>5.8814999999999996E-3</v>
      </c>
      <c r="AL76">
        <v>9.7970999999999996E-3</v>
      </c>
    </row>
    <row r="77" spans="1:38" x14ac:dyDescent="0.35">
      <c r="A77">
        <v>75</v>
      </c>
      <c r="B77" s="85" t="s">
        <v>2709</v>
      </c>
      <c r="C77">
        <v>7.7413999999999998E-4</v>
      </c>
      <c r="D77">
        <v>0</v>
      </c>
      <c r="E77">
        <v>0</v>
      </c>
      <c r="F77">
        <v>4.1609999999999998E-3</v>
      </c>
      <c r="G77">
        <v>1.835E-3</v>
      </c>
      <c r="H77">
        <v>1.5365999999999999E-3</v>
      </c>
      <c r="I77">
        <v>1.2704999999999999E-3</v>
      </c>
      <c r="J77">
        <v>7.9823999999999997E-4</v>
      </c>
      <c r="K77">
        <v>1.8338E-3</v>
      </c>
      <c r="L77">
        <v>4.9163000000000002E-3</v>
      </c>
      <c r="M77">
        <v>4.5360000000000001E-3</v>
      </c>
      <c r="N77">
        <v>7.0518000000000002E-4</v>
      </c>
      <c r="O77">
        <v>1.623950333333333E-3</v>
      </c>
      <c r="P77">
        <v>1.5364880000000001E-3</v>
      </c>
      <c r="Q77">
        <v>1.8258040000000001E-3</v>
      </c>
      <c r="R77">
        <v>3.2336826666666666E-3</v>
      </c>
      <c r="S77">
        <v>9.718379999999997E-3</v>
      </c>
      <c r="T77">
        <v>5.247628333333333E-3</v>
      </c>
      <c r="U77">
        <v>1.5846719999999999E-3</v>
      </c>
      <c r="V77">
        <v>1.9387743333333333E-3</v>
      </c>
      <c r="W77">
        <v>4.4415083333333343E-3</v>
      </c>
      <c r="X77">
        <v>5.0307346666666666E-3</v>
      </c>
      <c r="Y77">
        <v>4.2684339999999998E-3</v>
      </c>
      <c r="Z77">
        <v>3.3424746666666665E-3</v>
      </c>
      <c r="AA77">
        <v>2.8942999999999998E-3</v>
      </c>
      <c r="AB77">
        <v>0</v>
      </c>
      <c r="AC77">
        <v>6.3356000000000003E-4</v>
      </c>
      <c r="AD77">
        <v>3.3482E-3</v>
      </c>
      <c r="AE77">
        <v>1.2668E-2</v>
      </c>
      <c r="AF77">
        <v>1.4612999999999999E-2</v>
      </c>
      <c r="AG77">
        <v>1.1797999999999999E-2</v>
      </c>
      <c r="AH77">
        <v>3.2076000000000001E-3</v>
      </c>
      <c r="AI77">
        <v>6.1789999999999996E-3</v>
      </c>
      <c r="AJ77">
        <v>1.2311000000000001E-2</v>
      </c>
      <c r="AK77">
        <v>4.9791000000000002E-3</v>
      </c>
      <c r="AL77">
        <v>2.4137E-3</v>
      </c>
    </row>
    <row r="78" spans="1:38" x14ac:dyDescent="0.35">
      <c r="A78">
        <v>76</v>
      </c>
      <c r="B78" s="86" t="s">
        <v>2470</v>
      </c>
      <c r="C78">
        <v>5.7359000000000002E-4</v>
      </c>
      <c r="D78">
        <v>5.1342000000000002E-3</v>
      </c>
      <c r="E78">
        <v>4.9128000000000002E-3</v>
      </c>
      <c r="F78">
        <v>1.9789999999999999E-2</v>
      </c>
      <c r="G78">
        <v>1.2073E-2</v>
      </c>
      <c r="H78">
        <v>1.4300999999999999E-2</v>
      </c>
      <c r="I78">
        <v>2.4036999999999999E-2</v>
      </c>
      <c r="J78">
        <v>1.0701E-2</v>
      </c>
      <c r="K78">
        <v>4.8174999999999997E-3</v>
      </c>
      <c r="L78">
        <v>1.6143000000000001E-2</v>
      </c>
      <c r="M78">
        <v>4.2555000000000003E-2</v>
      </c>
      <c r="N78">
        <v>6.7434000000000001E-3</v>
      </c>
      <c r="O78">
        <v>1.4164512000000001E-2</v>
      </c>
      <c r="P78">
        <v>1.7294393333333335E-2</v>
      </c>
      <c r="Q78">
        <v>2.5007103333333336E-2</v>
      </c>
      <c r="R78">
        <v>2.8113483333333335E-2</v>
      </c>
      <c r="S78">
        <v>1.7749883333333334E-2</v>
      </c>
      <c r="T78">
        <v>2.2142963333333335E-2</v>
      </c>
      <c r="U78">
        <v>2.3410800000000006E-2</v>
      </c>
      <c r="V78">
        <v>2.0265406666666666E-2</v>
      </c>
      <c r="W78">
        <v>1.8655673333333338E-2</v>
      </c>
      <c r="X78">
        <v>1.5447732333333328E-2</v>
      </c>
      <c r="Y78">
        <v>2.044113333333333E-2</v>
      </c>
      <c r="Z78">
        <v>1.7813269999999999E-2</v>
      </c>
      <c r="AA78">
        <v>2.0060999999999999E-2</v>
      </c>
      <c r="AB78">
        <v>2.3199000000000001E-2</v>
      </c>
      <c r="AC78">
        <v>3.5571999999999999E-2</v>
      </c>
      <c r="AD78">
        <v>6.2211000000000002E-2</v>
      </c>
      <c r="AE78">
        <v>5.4601999999999998E-2</v>
      </c>
      <c r="AF78">
        <v>3.2349000000000003E-2</v>
      </c>
      <c r="AG78">
        <v>1.4316000000000001E-2</v>
      </c>
      <c r="AH78">
        <v>1.9368E-2</v>
      </c>
      <c r="AI78">
        <v>2.2416999999999999E-2</v>
      </c>
      <c r="AJ78">
        <v>1.0906000000000001E-2</v>
      </c>
      <c r="AK78">
        <v>2.1141E-2</v>
      </c>
      <c r="AL78">
        <v>1.9390999999999999E-2</v>
      </c>
    </row>
    <row r="79" spans="1:38" x14ac:dyDescent="0.35">
      <c r="A79">
        <v>77</v>
      </c>
      <c r="B79" s="92" t="s">
        <v>1525</v>
      </c>
      <c r="C79">
        <v>0</v>
      </c>
      <c r="D79">
        <v>0.17355000000000001</v>
      </c>
      <c r="E79">
        <v>1.1108</v>
      </c>
      <c r="F79">
        <v>1.0456000000000001</v>
      </c>
      <c r="G79">
        <v>0.94655999999999996</v>
      </c>
      <c r="H79">
        <v>0.30842999999999998</v>
      </c>
      <c r="I79">
        <v>0.20455999999999999</v>
      </c>
      <c r="J79">
        <v>0.13827999999999999</v>
      </c>
      <c r="K79">
        <v>7.1932999999999997E-2</v>
      </c>
      <c r="L79">
        <v>3.5827999999999999E-2</v>
      </c>
      <c r="M79">
        <v>3.9566999999999998E-2</v>
      </c>
      <c r="N79">
        <v>0.22212999999999999</v>
      </c>
      <c r="O79">
        <v>0.32387865666666665</v>
      </c>
      <c r="P79">
        <v>0.21929069333333331</v>
      </c>
      <c r="Q79">
        <v>0.5110787</v>
      </c>
      <c r="R79">
        <v>1.3028969999999997</v>
      </c>
      <c r="S79">
        <v>2.6246339999999999</v>
      </c>
      <c r="T79">
        <v>1.0836240000000001</v>
      </c>
      <c r="U79">
        <v>0.30699616666666668</v>
      </c>
      <c r="V79">
        <v>0.23111433333333334</v>
      </c>
      <c r="W79">
        <v>0.31305099999999997</v>
      </c>
      <c r="X79">
        <v>0.82322153333333326</v>
      </c>
      <c r="Y79">
        <v>0.65229826666666668</v>
      </c>
      <c r="Z79">
        <v>0.45254871416666664</v>
      </c>
      <c r="AA79">
        <v>0</v>
      </c>
      <c r="AB79">
        <v>0.53237000000000001</v>
      </c>
      <c r="AC79">
        <v>1.1172</v>
      </c>
      <c r="AD79">
        <v>1.9624999999999999</v>
      </c>
      <c r="AE79">
        <v>3.5323000000000002</v>
      </c>
      <c r="AF79">
        <v>2.2511999999999999</v>
      </c>
      <c r="AG79">
        <v>0.40404000000000001</v>
      </c>
      <c r="AH79">
        <v>0.37269000000000002</v>
      </c>
      <c r="AI79">
        <v>6.3604999999999995E-2</v>
      </c>
      <c r="AJ79">
        <v>0.95399999999999996</v>
      </c>
      <c r="AK79">
        <v>0.37454999999999999</v>
      </c>
      <c r="AL79">
        <v>0.71126999999999996</v>
      </c>
    </row>
    <row r="80" spans="1:38" x14ac:dyDescent="0.35">
      <c r="A80">
        <v>78</v>
      </c>
      <c r="B80" s="86" t="s">
        <v>984</v>
      </c>
    </row>
    <row r="81" spans="1:38" x14ac:dyDescent="0.35">
      <c r="A81">
        <v>79</v>
      </c>
      <c r="B81" s="86" t="s">
        <v>2029</v>
      </c>
      <c r="C81">
        <v>0</v>
      </c>
      <c r="D81">
        <v>0</v>
      </c>
      <c r="E81">
        <v>2.4279999999999999E-2</v>
      </c>
      <c r="F81">
        <v>0.59326000000000001</v>
      </c>
      <c r="G81">
        <v>1.2630999999999999</v>
      </c>
      <c r="H81">
        <v>1.0112000000000001</v>
      </c>
      <c r="I81">
        <v>6.5603999999999996E-2</v>
      </c>
      <c r="J81">
        <v>0.57725000000000004</v>
      </c>
      <c r="K81">
        <v>7.3875999999999997E-2</v>
      </c>
      <c r="L81">
        <v>1.7602E-2</v>
      </c>
      <c r="M81">
        <v>0.29087000000000002</v>
      </c>
      <c r="N81">
        <v>3.4236000000000003E-2</v>
      </c>
      <c r="O81">
        <v>7.1878993333333335E-2</v>
      </c>
      <c r="P81">
        <v>4.408893333333333E-2</v>
      </c>
      <c r="Q81">
        <v>0.14357418366666666</v>
      </c>
      <c r="R81">
        <v>0.37974256666666656</v>
      </c>
      <c r="S81">
        <v>1.3968493333333334</v>
      </c>
      <c r="T81">
        <v>1.67232</v>
      </c>
      <c r="U81">
        <v>0.77232333333333336</v>
      </c>
      <c r="V81">
        <v>0.5129853333333334</v>
      </c>
      <c r="W81">
        <v>0.6194048333333334</v>
      </c>
      <c r="X81">
        <v>0.53753182666666666</v>
      </c>
      <c r="Y81">
        <v>0.33613366666666672</v>
      </c>
      <c r="Z81">
        <v>0.20335534300000005</v>
      </c>
      <c r="AA81">
        <v>8.6645E-2</v>
      </c>
      <c r="AB81">
        <v>0</v>
      </c>
      <c r="AC81">
        <v>5.4494000000000001E-2</v>
      </c>
      <c r="AD81">
        <v>0.37895000000000001</v>
      </c>
      <c r="AE81">
        <v>2.2155</v>
      </c>
      <c r="AF81">
        <v>3.0560999999999998</v>
      </c>
      <c r="AG81">
        <v>0.35560999999999998</v>
      </c>
      <c r="AH81">
        <v>0.83928000000000003</v>
      </c>
      <c r="AI81">
        <v>1.1339999999999999</v>
      </c>
      <c r="AJ81">
        <v>0.60543999999999998</v>
      </c>
      <c r="AK81">
        <v>0.28448000000000001</v>
      </c>
      <c r="AL81">
        <v>0.17516999999999999</v>
      </c>
    </row>
    <row r="82" spans="1:38" x14ac:dyDescent="0.35">
      <c r="A82">
        <v>80</v>
      </c>
      <c r="B82" s="86" t="s">
        <v>2084</v>
      </c>
      <c r="C82">
        <v>0.57657999999999998</v>
      </c>
      <c r="D82">
        <v>0.87414999999999998</v>
      </c>
      <c r="E82">
        <v>0.31212000000000001</v>
      </c>
      <c r="F82">
        <v>0.20685000000000001</v>
      </c>
      <c r="G82">
        <v>0.16478000000000001</v>
      </c>
      <c r="H82">
        <v>6.8502999999999994E-2</v>
      </c>
      <c r="I82">
        <v>0.13003000000000001</v>
      </c>
      <c r="J82">
        <v>0.105</v>
      </c>
      <c r="K82">
        <v>4.0197999999999998E-2</v>
      </c>
      <c r="L82">
        <v>0.54344000000000003</v>
      </c>
      <c r="M82">
        <v>1.4528000000000001</v>
      </c>
      <c r="N82">
        <v>0.40278000000000003</v>
      </c>
      <c r="O82">
        <v>1.1311453</v>
      </c>
      <c r="P82">
        <v>0.832724666666667</v>
      </c>
      <c r="Q82">
        <v>0.72111233333333324</v>
      </c>
      <c r="R82">
        <v>0.33961393333333328</v>
      </c>
      <c r="S82">
        <v>0.18215933333333331</v>
      </c>
      <c r="T82">
        <v>0.14458756666666672</v>
      </c>
      <c r="U82">
        <v>0.11260113333333333</v>
      </c>
      <c r="V82">
        <v>0.12832256666666667</v>
      </c>
      <c r="W82">
        <v>0.2486597666666667</v>
      </c>
      <c r="X82">
        <v>0.78798406666666676</v>
      </c>
      <c r="Y82">
        <v>1.2627966666666666</v>
      </c>
      <c r="Z82">
        <v>1.2684926666666667</v>
      </c>
      <c r="AA82">
        <v>1.0709</v>
      </c>
      <c r="AB82">
        <v>1.1074999999999999</v>
      </c>
      <c r="AC82">
        <v>0.41515999999999997</v>
      </c>
      <c r="AD82">
        <v>0.39483000000000001</v>
      </c>
      <c r="AE82">
        <v>0.17846000000000001</v>
      </c>
      <c r="AF82">
        <v>0.13446</v>
      </c>
      <c r="AG82">
        <v>0.11731999999999999</v>
      </c>
      <c r="AH82">
        <v>0.14051</v>
      </c>
      <c r="AI82">
        <v>0.42473</v>
      </c>
      <c r="AJ82">
        <v>2.3639999999999999</v>
      </c>
      <c r="AK82">
        <v>2.6295000000000002</v>
      </c>
      <c r="AL82">
        <v>1.6395</v>
      </c>
    </row>
    <row r="83" spans="1:38" x14ac:dyDescent="0.35">
      <c r="A83">
        <v>81</v>
      </c>
      <c r="B83" s="86" t="s">
        <v>2402</v>
      </c>
      <c r="C83">
        <v>27.443000000000001</v>
      </c>
      <c r="D83">
        <v>22.824000000000002</v>
      </c>
      <c r="E83">
        <v>13.311999999999999</v>
      </c>
      <c r="F83">
        <v>19.192</v>
      </c>
      <c r="G83">
        <v>7.6344000000000003</v>
      </c>
      <c r="H83">
        <v>6.4314999999999998</v>
      </c>
      <c r="I83">
        <v>3.4739</v>
      </c>
      <c r="J83">
        <v>3.3172999999999999</v>
      </c>
      <c r="K83">
        <v>4.5712999999999999</v>
      </c>
      <c r="L83">
        <v>42.19</v>
      </c>
      <c r="M83">
        <v>32.962000000000003</v>
      </c>
      <c r="N83">
        <v>18.312000000000001</v>
      </c>
      <c r="O83">
        <v>39.090333333333341</v>
      </c>
      <c r="P83">
        <v>33.278378666666669</v>
      </c>
      <c r="Q83">
        <v>33.875233333333341</v>
      </c>
      <c r="R83">
        <v>14.884981333333336</v>
      </c>
      <c r="S83">
        <v>9.0857213333333338</v>
      </c>
      <c r="T83">
        <v>5.8315466666666662</v>
      </c>
      <c r="U83">
        <v>5.8954166666666659</v>
      </c>
      <c r="V83">
        <v>9.2235399999999998</v>
      </c>
      <c r="W83">
        <v>20.11656</v>
      </c>
      <c r="X83">
        <v>33.068759999999997</v>
      </c>
      <c r="Y83">
        <v>36.426999999999985</v>
      </c>
      <c r="Z83">
        <v>39.470706666666672</v>
      </c>
      <c r="AA83">
        <v>64.174999999999997</v>
      </c>
      <c r="AB83">
        <v>77.269000000000005</v>
      </c>
      <c r="AC83">
        <v>75.254999999999995</v>
      </c>
      <c r="AD83">
        <v>19.664999999999999</v>
      </c>
      <c r="AE83">
        <v>2.7547000000000001</v>
      </c>
      <c r="AF83">
        <v>6.2683999999999997</v>
      </c>
      <c r="AG83">
        <v>4.7491000000000003</v>
      </c>
      <c r="AH83">
        <v>5.7522000000000002</v>
      </c>
      <c r="AI83">
        <v>19.210999999999999</v>
      </c>
      <c r="AJ83">
        <v>44.969000000000001</v>
      </c>
      <c r="AK83">
        <v>16.527000000000001</v>
      </c>
      <c r="AL83">
        <v>40.57</v>
      </c>
    </row>
    <row r="84" spans="1:38" x14ac:dyDescent="0.35">
      <c r="A84">
        <v>82</v>
      </c>
      <c r="B84" s="86" t="s">
        <v>2652</v>
      </c>
      <c r="C84">
        <v>1.6114999999999999</v>
      </c>
      <c r="D84">
        <v>11.629</v>
      </c>
      <c r="E84">
        <v>37.97</v>
      </c>
      <c r="F84">
        <v>53.276000000000003</v>
      </c>
      <c r="G84">
        <v>20.536999999999999</v>
      </c>
      <c r="H84">
        <v>8.4718999999999998</v>
      </c>
      <c r="I84">
        <v>6.3019999999999996</v>
      </c>
      <c r="J84">
        <v>4.3612000000000002</v>
      </c>
      <c r="K84">
        <v>2.5326</v>
      </c>
      <c r="L84">
        <v>1.1914</v>
      </c>
      <c r="M84">
        <v>1.1778999999999999</v>
      </c>
      <c r="N84">
        <v>12.343</v>
      </c>
      <c r="O84">
        <v>17.4752732</v>
      </c>
      <c r="P84">
        <v>18.019709766666665</v>
      </c>
      <c r="Q84">
        <v>28.543770000000002</v>
      </c>
      <c r="R84">
        <v>53.598833333333353</v>
      </c>
      <c r="S84">
        <v>67.561633333333333</v>
      </c>
      <c r="T84">
        <v>27.33605</v>
      </c>
      <c r="U84">
        <v>11.50245</v>
      </c>
      <c r="V84">
        <v>7.8694100000000002</v>
      </c>
      <c r="W84">
        <v>13.702703333333334</v>
      </c>
      <c r="X84">
        <v>32.40034</v>
      </c>
      <c r="Y84">
        <v>28.402740999999995</v>
      </c>
      <c r="Z84">
        <v>24.000383333333332</v>
      </c>
      <c r="AA84">
        <v>2.3454000000000002</v>
      </c>
      <c r="AB84">
        <v>47.98</v>
      </c>
      <c r="AC84">
        <v>73.197999999999993</v>
      </c>
      <c r="AD84">
        <v>77.212000000000003</v>
      </c>
      <c r="AE84">
        <v>91.540999999999997</v>
      </c>
      <c r="AF84">
        <v>43.085999999999999</v>
      </c>
      <c r="AG84">
        <v>22.89</v>
      </c>
      <c r="AH84">
        <v>14.475</v>
      </c>
      <c r="AI84">
        <v>3.3452999999999999</v>
      </c>
      <c r="AJ84">
        <v>40.335999999999999</v>
      </c>
      <c r="AK84">
        <v>15.64</v>
      </c>
      <c r="AL84">
        <v>43.695</v>
      </c>
    </row>
    <row r="85" spans="1:38" x14ac:dyDescent="0.35">
      <c r="A85">
        <v>83</v>
      </c>
      <c r="B85" s="86" t="s">
        <v>2058</v>
      </c>
      <c r="C85">
        <v>8.1977999999999999E-3</v>
      </c>
      <c r="D85">
        <v>1.2429000000000001E-2</v>
      </c>
      <c r="E85">
        <v>4.4377000000000002E-3</v>
      </c>
      <c r="F85">
        <v>2.941E-3</v>
      </c>
      <c r="G85">
        <v>2.3429000000000002E-3</v>
      </c>
      <c r="H85">
        <v>9.7398000000000005E-4</v>
      </c>
      <c r="I85">
        <v>1.8488000000000001E-3</v>
      </c>
      <c r="J85">
        <v>1.4928999999999999E-3</v>
      </c>
      <c r="K85">
        <v>5.7153E-4</v>
      </c>
      <c r="L85">
        <v>7.7266000000000001E-3</v>
      </c>
      <c r="M85">
        <v>2.0656000000000001E-2</v>
      </c>
      <c r="N85">
        <v>5.7267000000000004E-3</v>
      </c>
      <c r="O85">
        <v>1.6082696666666667E-2</v>
      </c>
      <c r="P85">
        <v>1.18396E-2</v>
      </c>
      <c r="Q85">
        <v>1.0252753333333335E-2</v>
      </c>
      <c r="R85">
        <v>4.8286133333333321E-3</v>
      </c>
      <c r="S85">
        <v>2.5899490000000002E-3</v>
      </c>
      <c r="T85">
        <v>2.0557596666666666E-3</v>
      </c>
      <c r="U85">
        <v>1.6009510000000004E-3</v>
      </c>
      <c r="V85">
        <v>1.8244913333333333E-3</v>
      </c>
      <c r="W85">
        <v>3.5354406666666667E-3</v>
      </c>
      <c r="X85">
        <v>1.1203592666666668E-2</v>
      </c>
      <c r="Y85">
        <v>1.7954606666666664E-2</v>
      </c>
      <c r="Z85">
        <v>1.8035503333333334E-2</v>
      </c>
      <c r="AA85">
        <v>1.5226E-2</v>
      </c>
      <c r="AB85">
        <v>1.5746E-2</v>
      </c>
      <c r="AC85">
        <v>5.9027000000000003E-3</v>
      </c>
      <c r="AD85">
        <v>5.6135999999999998E-3</v>
      </c>
      <c r="AE85">
        <v>2.5373000000000001E-3</v>
      </c>
      <c r="AF85">
        <v>1.9118E-3</v>
      </c>
      <c r="AG85">
        <v>1.6681000000000001E-3</v>
      </c>
      <c r="AH85">
        <v>1.9976999999999998E-3</v>
      </c>
      <c r="AI85">
        <v>6.0388999999999998E-3</v>
      </c>
      <c r="AJ85">
        <v>3.3612000000000003E-2</v>
      </c>
      <c r="AK85">
        <v>3.7386000000000003E-2</v>
      </c>
      <c r="AL85">
        <v>2.3310999999999998E-2</v>
      </c>
    </row>
    <row r="86" spans="1:38" x14ac:dyDescent="0.35">
      <c r="A86">
        <v>84</v>
      </c>
      <c r="B86" s="86" t="s">
        <v>2177</v>
      </c>
      <c r="C86">
        <v>7.5122000000000001E-3</v>
      </c>
      <c r="D86">
        <v>8.3086E-4</v>
      </c>
      <c r="E86">
        <v>1.0555E-3</v>
      </c>
      <c r="F86">
        <v>8.8917E-4</v>
      </c>
      <c r="G86">
        <v>1.0885999999999999E-3</v>
      </c>
      <c r="H86">
        <v>7.9555000000000001E-4</v>
      </c>
      <c r="I86">
        <v>6.5894E-4</v>
      </c>
      <c r="J86">
        <v>4.4642E-4</v>
      </c>
      <c r="K86">
        <v>2.5954E-4</v>
      </c>
      <c r="L86">
        <v>3.0771999999999999E-4</v>
      </c>
      <c r="M86">
        <v>2.5494E-4</v>
      </c>
      <c r="N86">
        <v>4.5581000000000002E-4</v>
      </c>
      <c r="O86">
        <v>2.9367350666666663E-3</v>
      </c>
      <c r="P86">
        <v>2.7080106E-3</v>
      </c>
      <c r="Q86">
        <v>3.2859456666666661E-3</v>
      </c>
      <c r="R86">
        <v>2.1830503333333333E-3</v>
      </c>
      <c r="S86">
        <v>1.1083343333333337E-3</v>
      </c>
      <c r="T86">
        <v>1.2029223333333335E-3</v>
      </c>
      <c r="U86">
        <v>1.3504906666666667E-3</v>
      </c>
      <c r="V86">
        <v>1.2504536666666664E-3</v>
      </c>
      <c r="W86">
        <v>1.4467476666666665E-3</v>
      </c>
      <c r="X86">
        <v>1.6663784666666663E-3</v>
      </c>
      <c r="Y86">
        <v>2.4925016666666666E-3</v>
      </c>
      <c r="Z86">
        <v>3.4179843333333334E-3</v>
      </c>
      <c r="AA86">
        <v>3.9272999999999999E-3</v>
      </c>
      <c r="AB86">
        <v>3.7758000000000002E-3</v>
      </c>
      <c r="AC86">
        <v>9.7048999999999996E-4</v>
      </c>
      <c r="AD86">
        <v>4.9191999999999997E-4</v>
      </c>
      <c r="AE86">
        <v>1.3086E-3</v>
      </c>
      <c r="AF86">
        <v>2.7845000000000001E-3</v>
      </c>
      <c r="AG86">
        <v>2.8614000000000001E-3</v>
      </c>
      <c r="AH86">
        <v>7.8038000000000001E-4</v>
      </c>
      <c r="AI86">
        <v>6.0568000000000004E-4</v>
      </c>
      <c r="AJ86">
        <v>7.9425999999999993E-3</v>
      </c>
      <c r="AK86">
        <v>3.9366999999999996E-3</v>
      </c>
      <c r="AL86">
        <v>1.1361E-2</v>
      </c>
    </row>
    <row r="87" spans="1:38" x14ac:dyDescent="0.35">
      <c r="A87">
        <v>85</v>
      </c>
      <c r="B87" s="86" t="s">
        <v>2178</v>
      </c>
      <c r="C87">
        <v>9.3028999999999994E-3</v>
      </c>
      <c r="D87">
        <v>0.15276000000000001</v>
      </c>
      <c r="E87">
        <v>0.25003999999999998</v>
      </c>
      <c r="F87">
        <v>0.43928</v>
      </c>
      <c r="G87">
        <v>0.54378000000000004</v>
      </c>
      <c r="H87">
        <v>0.25518000000000002</v>
      </c>
      <c r="I87">
        <v>0.37913000000000002</v>
      </c>
      <c r="J87">
        <v>0.27349000000000001</v>
      </c>
      <c r="K87">
        <v>0.45123999999999997</v>
      </c>
      <c r="L87">
        <v>0.30132999999999999</v>
      </c>
      <c r="M87">
        <v>0.63976999999999995</v>
      </c>
      <c r="N87">
        <v>1.8492999999999999E-2</v>
      </c>
      <c r="O87">
        <v>0.78250600333333331</v>
      </c>
      <c r="P87">
        <v>0.71072786999999993</v>
      </c>
      <c r="Q87">
        <v>1.0104149999999998</v>
      </c>
      <c r="R87">
        <v>0.58157546666666671</v>
      </c>
      <c r="S87">
        <v>0.2915315</v>
      </c>
      <c r="T87">
        <v>0.3002873333333333</v>
      </c>
      <c r="U87">
        <v>0.34078376666666665</v>
      </c>
      <c r="V87">
        <v>0.28852949999999999</v>
      </c>
      <c r="W87">
        <v>0.34782953333333333</v>
      </c>
      <c r="X87">
        <v>0.42699170000000014</v>
      </c>
      <c r="Y87">
        <v>0.60795940000000004</v>
      </c>
      <c r="Z87">
        <v>0.92532243333333319</v>
      </c>
      <c r="AA87">
        <v>0.72341</v>
      </c>
      <c r="AB87">
        <v>0.68352999999999997</v>
      </c>
      <c r="AC87">
        <v>2.5527000000000002</v>
      </c>
      <c r="AD87">
        <v>0.33049000000000001</v>
      </c>
      <c r="AE87">
        <v>0.34349000000000002</v>
      </c>
      <c r="AF87">
        <v>0.19725999999999999</v>
      </c>
      <c r="AG87">
        <v>1.0851</v>
      </c>
      <c r="AH87">
        <v>0.56415999999999999</v>
      </c>
      <c r="AI87">
        <v>0.35909999999999997</v>
      </c>
      <c r="AJ87">
        <v>1.9644999999999999</v>
      </c>
      <c r="AK87">
        <v>1.4162999999999999</v>
      </c>
      <c r="AL87">
        <v>0.16619</v>
      </c>
    </row>
    <row r="88" spans="1:38" x14ac:dyDescent="0.35">
      <c r="A88">
        <v>86</v>
      </c>
      <c r="B88" s="86" t="s">
        <v>2264</v>
      </c>
      <c r="C88">
        <v>1.1032E-2</v>
      </c>
      <c r="D88">
        <v>8.7337000000000005E-3</v>
      </c>
      <c r="E88">
        <v>4.6858000000000004E-3</v>
      </c>
      <c r="F88">
        <v>1.3764000000000001E-3</v>
      </c>
      <c r="G88">
        <v>1.3567E-3</v>
      </c>
      <c r="H88">
        <v>2.0441E-4</v>
      </c>
      <c r="I88">
        <v>5.8907000000000002E-4</v>
      </c>
      <c r="J88">
        <v>7.2383000000000001E-5</v>
      </c>
      <c r="K88">
        <v>4.8330999999999998E-4</v>
      </c>
      <c r="L88">
        <v>1.508E-3</v>
      </c>
      <c r="M88">
        <v>1.1832000000000001E-2</v>
      </c>
      <c r="N88">
        <v>6.4974000000000004E-3</v>
      </c>
      <c r="O88">
        <v>1.5274460000000002E-2</v>
      </c>
      <c r="P88">
        <v>1.2124113000000001E-2</v>
      </c>
      <c r="Q88">
        <v>1.1099582666666668E-2</v>
      </c>
      <c r="R88">
        <v>5.8048953333333323E-3</v>
      </c>
      <c r="S88">
        <v>3.5024926666666657E-3</v>
      </c>
      <c r="T88">
        <v>3.2379576666666664E-3</v>
      </c>
      <c r="U88">
        <v>2.8871906666666659E-3</v>
      </c>
      <c r="V88">
        <v>1.5569137666666668E-3</v>
      </c>
      <c r="W88">
        <v>2.4259420000000004E-3</v>
      </c>
      <c r="X88">
        <v>7.3629776666666669E-3</v>
      </c>
      <c r="Y88">
        <v>1.1427893E-2</v>
      </c>
      <c r="Z88">
        <v>1.571972666666667E-2</v>
      </c>
      <c r="AA88">
        <v>2.0041E-2</v>
      </c>
      <c r="AB88">
        <v>8.8657000000000007E-3</v>
      </c>
      <c r="AC88">
        <v>1.8574E-2</v>
      </c>
      <c r="AD88">
        <v>2.1859000000000002E-3</v>
      </c>
      <c r="AE88">
        <v>4.7697E-3</v>
      </c>
      <c r="AF88">
        <v>9.3074999999999998E-3</v>
      </c>
      <c r="AG88">
        <v>3.9183999999999998E-3</v>
      </c>
      <c r="AH88">
        <v>1.5294E-3</v>
      </c>
      <c r="AI88">
        <v>4.5772E-3</v>
      </c>
      <c r="AJ88">
        <v>2.5586999999999999E-2</v>
      </c>
      <c r="AK88">
        <v>1.1124999999999999E-2</v>
      </c>
      <c r="AL88">
        <v>2.2436000000000001E-2</v>
      </c>
    </row>
    <row r="89" spans="1:38" x14ac:dyDescent="0.35">
      <c r="A89">
        <v>87</v>
      </c>
      <c r="B89" s="86" t="s">
        <v>934</v>
      </c>
      <c r="C89">
        <v>71.188000000000002</v>
      </c>
      <c r="D89">
        <v>392.39</v>
      </c>
      <c r="E89">
        <v>207.28</v>
      </c>
      <c r="F89">
        <v>824.11</v>
      </c>
      <c r="G89">
        <v>236.5</v>
      </c>
      <c r="H89">
        <v>97.826999999999998</v>
      </c>
      <c r="I89">
        <v>107.74</v>
      </c>
      <c r="J89">
        <v>85.927000000000007</v>
      </c>
      <c r="K89">
        <v>64.436000000000007</v>
      </c>
      <c r="L89">
        <v>33.345999999999997</v>
      </c>
      <c r="M89">
        <v>284.29000000000002</v>
      </c>
      <c r="N89">
        <v>454.96</v>
      </c>
      <c r="O89">
        <v>727.29406666666671</v>
      </c>
      <c r="P89">
        <v>688.14733333333322</v>
      </c>
      <c r="Q89">
        <v>466.84536666666656</v>
      </c>
      <c r="R89">
        <v>603.15466666666669</v>
      </c>
      <c r="S89">
        <v>428.17333333333335</v>
      </c>
      <c r="T89">
        <v>264.11793333333333</v>
      </c>
      <c r="U89">
        <v>124.87856666666666</v>
      </c>
      <c r="V89">
        <v>108.64903333333334</v>
      </c>
      <c r="W89">
        <v>153.10969999999998</v>
      </c>
      <c r="X89">
        <v>368.83743333333325</v>
      </c>
      <c r="Y89">
        <v>587.46033333333344</v>
      </c>
      <c r="Z89">
        <v>712.08766666666645</v>
      </c>
      <c r="AA89">
        <v>1837</v>
      </c>
      <c r="AB89">
        <v>1547.2</v>
      </c>
      <c r="AC89">
        <v>761.37</v>
      </c>
      <c r="AD89">
        <v>839.5</v>
      </c>
      <c r="AE89">
        <v>445.38</v>
      </c>
      <c r="AF89">
        <v>291.72000000000003</v>
      </c>
      <c r="AG89">
        <v>112.17</v>
      </c>
      <c r="AH89">
        <v>108.92</v>
      </c>
      <c r="AI89">
        <v>153.97999999999999</v>
      </c>
      <c r="AJ89">
        <v>599.66999999999996</v>
      </c>
      <c r="AK89">
        <v>811.52</v>
      </c>
      <c r="AL89">
        <v>674.75</v>
      </c>
    </row>
    <row r="90" spans="1:38" x14ac:dyDescent="0.35">
      <c r="A90">
        <v>88</v>
      </c>
      <c r="B90" s="86" t="s">
        <v>2361</v>
      </c>
    </row>
    <row r="91" spans="1:38" x14ac:dyDescent="0.35">
      <c r="A91">
        <v>89</v>
      </c>
      <c r="B91" s="86" t="s">
        <v>2637</v>
      </c>
      <c r="C91">
        <v>15.525</v>
      </c>
      <c r="D91">
        <v>30.298999999999999</v>
      </c>
      <c r="E91">
        <v>33.488</v>
      </c>
      <c r="F91">
        <v>17.899000000000001</v>
      </c>
      <c r="G91">
        <v>7.8981000000000003</v>
      </c>
      <c r="H91">
        <v>15.565</v>
      </c>
      <c r="I91">
        <v>10.361000000000001</v>
      </c>
      <c r="J91">
        <v>12.141999999999999</v>
      </c>
      <c r="K91">
        <v>26.172000000000001</v>
      </c>
      <c r="L91">
        <v>4.6772999999999998</v>
      </c>
      <c r="M91">
        <v>2.5425</v>
      </c>
      <c r="N91">
        <v>4.532</v>
      </c>
      <c r="O91">
        <v>17.197825333333334</v>
      </c>
      <c r="P91">
        <v>25.663889999999999</v>
      </c>
      <c r="Q91">
        <v>33.672623333333334</v>
      </c>
      <c r="R91">
        <v>30.409283333333338</v>
      </c>
      <c r="S91">
        <v>17.183903333333333</v>
      </c>
      <c r="T91">
        <v>23.703776666666666</v>
      </c>
      <c r="U91">
        <v>22.924779999999998</v>
      </c>
      <c r="V91">
        <v>21.27806666666666</v>
      </c>
      <c r="W91">
        <v>20.810510000000001</v>
      </c>
      <c r="X91">
        <v>19.032543333333336</v>
      </c>
      <c r="Y91">
        <v>19.875560000000004</v>
      </c>
      <c r="Z91">
        <v>21.98353366666667</v>
      </c>
      <c r="AA91">
        <v>33.375</v>
      </c>
      <c r="AB91">
        <v>52.819000000000003</v>
      </c>
      <c r="AC91">
        <v>2.7012</v>
      </c>
      <c r="AD91">
        <v>5.9405999999999999</v>
      </c>
      <c r="AE91">
        <v>29.22</v>
      </c>
      <c r="AF91">
        <v>51.375999999999998</v>
      </c>
      <c r="AG91">
        <v>35.468000000000004</v>
      </c>
      <c r="AH91">
        <v>13.272</v>
      </c>
      <c r="AI91">
        <v>28.11</v>
      </c>
      <c r="AJ91">
        <v>74.552000000000007</v>
      </c>
      <c r="AK91">
        <v>21.295999999999999</v>
      </c>
      <c r="AL91">
        <v>47.609000000000002</v>
      </c>
    </row>
    <row r="92" spans="1:38" x14ac:dyDescent="0.35">
      <c r="A92">
        <v>90</v>
      </c>
      <c r="B92" s="86" t="s">
        <v>1734</v>
      </c>
      <c r="C92">
        <v>756.11</v>
      </c>
      <c r="D92">
        <v>220.47</v>
      </c>
      <c r="E92">
        <v>97.558000000000007</v>
      </c>
      <c r="F92">
        <v>437.93</v>
      </c>
      <c r="G92">
        <v>221.95</v>
      </c>
      <c r="H92">
        <v>181.88</v>
      </c>
      <c r="I92">
        <v>59.643999999999998</v>
      </c>
      <c r="J92">
        <v>44.506</v>
      </c>
      <c r="K92">
        <v>62.658000000000001</v>
      </c>
      <c r="L92">
        <v>286.64999999999998</v>
      </c>
      <c r="M92">
        <v>348.42</v>
      </c>
      <c r="N92">
        <v>423.35</v>
      </c>
      <c r="O92">
        <v>842.63956666666684</v>
      </c>
      <c r="P92">
        <v>815.97733333333349</v>
      </c>
      <c r="Q92">
        <v>364.12377000000004</v>
      </c>
      <c r="R92">
        <v>494.42133333333328</v>
      </c>
      <c r="S92">
        <v>393.42899999999992</v>
      </c>
      <c r="T92">
        <v>215.63730000000001</v>
      </c>
      <c r="U92">
        <v>107.7113733333333</v>
      </c>
      <c r="V92">
        <v>64.370566666666676</v>
      </c>
      <c r="W92">
        <v>96.111066666666673</v>
      </c>
      <c r="X92">
        <v>306.52889999999996</v>
      </c>
      <c r="Y92">
        <v>561.08220666666671</v>
      </c>
      <c r="Z92">
        <v>928.76893333333328</v>
      </c>
      <c r="AA92">
        <v>1882.7</v>
      </c>
      <c r="AB92">
        <v>3237.3</v>
      </c>
      <c r="AC92">
        <v>1141.7</v>
      </c>
      <c r="AD92">
        <v>719.82</v>
      </c>
      <c r="AE92">
        <v>275.08999999999997</v>
      </c>
      <c r="AF92">
        <v>182.75</v>
      </c>
      <c r="AG92">
        <v>138.63999999999999</v>
      </c>
      <c r="AH92">
        <v>36.630000000000003</v>
      </c>
      <c r="AI92">
        <v>78.156000000000006</v>
      </c>
      <c r="AJ92">
        <v>568.63</v>
      </c>
      <c r="AK92">
        <v>541.1</v>
      </c>
      <c r="AL92">
        <v>625.79999999999995</v>
      </c>
    </row>
    <row r="93" spans="1:38" x14ac:dyDescent="0.35">
      <c r="A93">
        <v>91</v>
      </c>
      <c r="B93" s="86" t="s">
        <v>2740</v>
      </c>
      <c r="C93">
        <v>0</v>
      </c>
      <c r="D93">
        <v>0.90966999999999998</v>
      </c>
      <c r="E93">
        <v>7.2765000000000004</v>
      </c>
      <c r="F93">
        <v>54.009</v>
      </c>
      <c r="G93">
        <v>54.170999999999999</v>
      </c>
      <c r="H93">
        <v>27.949000000000002</v>
      </c>
      <c r="I93">
        <v>4.2282000000000002</v>
      </c>
      <c r="J93">
        <v>14.167</v>
      </c>
      <c r="K93">
        <v>5.4490999999999996</v>
      </c>
      <c r="L93">
        <v>2.7698999999999998</v>
      </c>
      <c r="M93">
        <v>26.012</v>
      </c>
      <c r="N93">
        <v>6.2728999999999999</v>
      </c>
      <c r="O93">
        <v>6.1598213333333343</v>
      </c>
      <c r="P93">
        <v>4.4546394666666664</v>
      </c>
      <c r="Q93">
        <v>14.003686999999999</v>
      </c>
      <c r="R93">
        <v>37.28578666666666</v>
      </c>
      <c r="S93">
        <v>82.07226666666665</v>
      </c>
      <c r="T93">
        <v>55.214466666666674</v>
      </c>
      <c r="U93">
        <v>31.946390000000008</v>
      </c>
      <c r="V93">
        <v>24.67677333333333</v>
      </c>
      <c r="W93">
        <v>27.277529999999999</v>
      </c>
      <c r="X93">
        <v>33.837470333333329</v>
      </c>
      <c r="Y93">
        <v>24.674753333333335</v>
      </c>
      <c r="Z93">
        <v>10.778271333333333</v>
      </c>
      <c r="AA93">
        <v>11.365</v>
      </c>
      <c r="AB93">
        <v>3.8199000000000001</v>
      </c>
      <c r="AC93">
        <v>9.7826000000000004</v>
      </c>
      <c r="AD93">
        <v>70.888000000000005</v>
      </c>
      <c r="AE93">
        <v>68.825000000000003</v>
      </c>
      <c r="AF93">
        <v>21.798999999999999</v>
      </c>
      <c r="AG93">
        <v>44.277999999999999</v>
      </c>
      <c r="AH93">
        <v>24.501000000000001</v>
      </c>
      <c r="AI93">
        <v>28.242000000000001</v>
      </c>
      <c r="AJ93">
        <v>87.566999999999993</v>
      </c>
      <c r="AK93">
        <v>109.45</v>
      </c>
      <c r="AL93">
        <v>8.4572000000000003</v>
      </c>
    </row>
    <row r="94" spans="1:38" x14ac:dyDescent="0.35">
      <c r="A94">
        <v>92</v>
      </c>
      <c r="B94" s="86" t="s">
        <v>2705</v>
      </c>
      <c r="C94">
        <v>8.8384000000000004E-2</v>
      </c>
      <c r="D94">
        <v>8.1298999999999996E-2</v>
      </c>
      <c r="E94">
        <v>0.45984999999999998</v>
      </c>
      <c r="F94">
        <v>0.21939</v>
      </c>
      <c r="G94">
        <v>3.2827000000000002</v>
      </c>
      <c r="H94">
        <v>2.2265999999999999</v>
      </c>
      <c r="I94">
        <v>1.0944</v>
      </c>
      <c r="J94">
        <v>0.32608999999999999</v>
      </c>
      <c r="K94">
        <v>0.26961000000000002</v>
      </c>
      <c r="L94">
        <v>1.1257999999999999</v>
      </c>
      <c r="M94">
        <v>0.72197</v>
      </c>
      <c r="N94">
        <v>0</v>
      </c>
      <c r="O94">
        <v>4.3760710000000001E-2</v>
      </c>
      <c r="P94">
        <v>0.11132913333333333</v>
      </c>
      <c r="Q94">
        <v>0.3289372000000001</v>
      </c>
      <c r="R94">
        <v>0.55751300000000004</v>
      </c>
      <c r="S94">
        <v>2.7565473333333337</v>
      </c>
      <c r="T94">
        <v>4.5444766666666672</v>
      </c>
      <c r="U94">
        <v>3.1394786666666668</v>
      </c>
      <c r="V94">
        <v>1.1294480000000002</v>
      </c>
      <c r="W94">
        <v>1.3419454333333334</v>
      </c>
      <c r="X94">
        <v>1.9369889666666666</v>
      </c>
      <c r="Y94">
        <v>0.58175746666666661</v>
      </c>
      <c r="Z94">
        <v>0.1670006133333333</v>
      </c>
      <c r="AA94">
        <v>4.6365E-3</v>
      </c>
      <c r="AB94">
        <v>0.31029000000000001</v>
      </c>
      <c r="AC94">
        <v>0.72567000000000004</v>
      </c>
      <c r="AD94">
        <v>0.99875999999999998</v>
      </c>
      <c r="AE94">
        <v>2.2902</v>
      </c>
      <c r="AF94">
        <v>5.3482000000000003</v>
      </c>
      <c r="AG94">
        <v>7.5129999999999999</v>
      </c>
      <c r="AH94">
        <v>5.1805000000000003</v>
      </c>
      <c r="AI94">
        <v>0.55993000000000004</v>
      </c>
      <c r="AJ94">
        <v>1.5931</v>
      </c>
      <c r="AK94">
        <v>0.11541</v>
      </c>
      <c r="AL94">
        <v>0.1056</v>
      </c>
    </row>
    <row r="95" spans="1:38" x14ac:dyDescent="0.35">
      <c r="A95">
        <v>93</v>
      </c>
      <c r="B95" s="86" t="s">
        <v>2769</v>
      </c>
      <c r="C95">
        <v>0.43513000000000002</v>
      </c>
      <c r="D95">
        <v>0.44231999999999999</v>
      </c>
      <c r="E95">
        <v>0.34619</v>
      </c>
      <c r="F95">
        <v>0.12601999999999999</v>
      </c>
      <c r="G95">
        <v>0.11508</v>
      </c>
      <c r="H95">
        <v>0.12964000000000001</v>
      </c>
      <c r="I95">
        <v>5.1305999999999997E-2</v>
      </c>
      <c r="J95">
        <v>3.3144E-2</v>
      </c>
      <c r="K95">
        <v>4.9563000000000003E-2</v>
      </c>
      <c r="L95">
        <v>0.38606000000000001</v>
      </c>
      <c r="M95">
        <v>1.0392999999999999</v>
      </c>
      <c r="N95">
        <v>0.35555999999999999</v>
      </c>
      <c r="O95">
        <v>0.75868086666666668</v>
      </c>
      <c r="P95">
        <v>0.74900223333333338</v>
      </c>
      <c r="Q95">
        <v>0.44822160866666666</v>
      </c>
      <c r="R95">
        <v>0.42273609999999995</v>
      </c>
      <c r="S95">
        <v>0.38253296666666664</v>
      </c>
      <c r="T95">
        <v>0.22848336666666666</v>
      </c>
      <c r="U95">
        <v>0.12511130000000004</v>
      </c>
      <c r="V95">
        <v>0.11631926666666666</v>
      </c>
      <c r="W95">
        <v>0.27949672333333325</v>
      </c>
      <c r="X95">
        <v>0.5677603</v>
      </c>
      <c r="Y95">
        <v>0.68031493333333326</v>
      </c>
      <c r="Z95">
        <v>0.8307456666666666</v>
      </c>
      <c r="AA95">
        <v>0.76961999999999997</v>
      </c>
      <c r="AB95">
        <v>1.1371</v>
      </c>
      <c r="AC95">
        <v>0.93586999999999998</v>
      </c>
      <c r="AD95">
        <v>0.66800999999999999</v>
      </c>
      <c r="AE95">
        <v>0.62102999999999997</v>
      </c>
      <c r="AF95">
        <v>0.12659999999999999</v>
      </c>
      <c r="AG95">
        <v>4.5229999999999999E-2</v>
      </c>
      <c r="AH95">
        <v>6.1489000000000002E-2</v>
      </c>
      <c r="AI95">
        <v>1.5582E-2</v>
      </c>
      <c r="AJ95">
        <v>0.94447000000000003</v>
      </c>
      <c r="AK95">
        <v>0.53702000000000005</v>
      </c>
      <c r="AL95">
        <v>1.5697000000000001</v>
      </c>
    </row>
    <row r="96" spans="1:38" x14ac:dyDescent="0.35">
      <c r="A96">
        <v>94</v>
      </c>
      <c r="B96" s="86" t="s">
        <v>1519</v>
      </c>
      <c r="C96">
        <v>2.3412999999999999</v>
      </c>
      <c r="D96">
        <v>39.731000000000002</v>
      </c>
      <c r="E96">
        <v>48.363999999999997</v>
      </c>
      <c r="F96">
        <v>96.992000000000004</v>
      </c>
      <c r="G96">
        <v>15.811</v>
      </c>
      <c r="H96">
        <v>8.3679000000000006</v>
      </c>
      <c r="I96">
        <v>6.3014000000000001</v>
      </c>
      <c r="J96">
        <v>4.1677999999999997</v>
      </c>
      <c r="K96">
        <v>2.5041000000000002</v>
      </c>
      <c r="L96">
        <v>1.5364</v>
      </c>
      <c r="M96">
        <v>2.1642000000000001</v>
      </c>
      <c r="N96">
        <v>53.933999999999997</v>
      </c>
      <c r="O96">
        <v>41.014009000000001</v>
      </c>
      <c r="P96">
        <v>48.173119999999983</v>
      </c>
      <c r="Q96">
        <v>53.72353333333335</v>
      </c>
      <c r="R96">
        <v>82.809100000000001</v>
      </c>
      <c r="S96">
        <v>54.289643333333331</v>
      </c>
      <c r="T96">
        <v>25.019980000000004</v>
      </c>
      <c r="U96">
        <v>13.075833333333335</v>
      </c>
      <c r="V96">
        <v>8.756613333333334</v>
      </c>
      <c r="W96">
        <v>30.213820333333331</v>
      </c>
      <c r="X96">
        <v>65.281189999999981</v>
      </c>
      <c r="Y96">
        <v>58.390248666666658</v>
      </c>
      <c r="Z96">
        <v>55.981713333333332</v>
      </c>
      <c r="AA96">
        <v>53.13</v>
      </c>
      <c r="AB96">
        <v>137</v>
      </c>
      <c r="AC96">
        <v>92.405000000000001</v>
      </c>
      <c r="AD96">
        <v>96.337000000000003</v>
      </c>
      <c r="AE96">
        <v>122.23</v>
      </c>
      <c r="AF96">
        <v>26.56</v>
      </c>
      <c r="AG96">
        <v>41.792000000000002</v>
      </c>
      <c r="AH96">
        <v>15.797000000000001</v>
      </c>
      <c r="AI96">
        <v>1.7847999999999999</v>
      </c>
      <c r="AJ96">
        <v>122.86</v>
      </c>
      <c r="AK96">
        <v>31.263000000000002</v>
      </c>
      <c r="AL96">
        <v>105.72</v>
      </c>
    </row>
    <row r="97" spans="1:38" x14ac:dyDescent="0.35">
      <c r="A97">
        <v>95</v>
      </c>
      <c r="B97" s="86" t="s">
        <v>2633</v>
      </c>
      <c r="C97">
        <v>7.3563999999999999E-3</v>
      </c>
      <c r="D97">
        <v>0</v>
      </c>
      <c r="E97">
        <v>3.1518999999999998E-2</v>
      </c>
      <c r="F97">
        <v>0.24748999999999999</v>
      </c>
      <c r="G97">
        <v>6.6839999999999997E-2</v>
      </c>
      <c r="H97">
        <v>0.13425999999999999</v>
      </c>
      <c r="I97">
        <v>4.1181000000000002E-2</v>
      </c>
      <c r="J97">
        <v>0.15035999999999999</v>
      </c>
      <c r="K97">
        <v>5.5761999999999999E-2</v>
      </c>
      <c r="L97">
        <v>1.0311000000000001E-2</v>
      </c>
      <c r="M97">
        <v>6.2787999999999997E-2</v>
      </c>
      <c r="N97">
        <v>3.3022000000000003E-2</v>
      </c>
      <c r="O97">
        <v>3.6287123333333338E-2</v>
      </c>
      <c r="P97">
        <v>3.612191666666667E-2</v>
      </c>
      <c r="Q97">
        <v>9.4383743000000006E-2</v>
      </c>
      <c r="R97">
        <v>0.19255256666666665</v>
      </c>
      <c r="S97">
        <v>0.28162853333333338</v>
      </c>
      <c r="T97">
        <v>0.16616606666666667</v>
      </c>
      <c r="U97">
        <v>0.14333583333333333</v>
      </c>
      <c r="V97">
        <v>0.12849036666666666</v>
      </c>
      <c r="W97">
        <v>0.10286179999999999</v>
      </c>
      <c r="X97">
        <v>8.1953363333333334E-2</v>
      </c>
      <c r="Y97">
        <v>8.544571333333334E-2</v>
      </c>
      <c r="Z97">
        <v>5.339590000000001E-2</v>
      </c>
      <c r="AA97">
        <v>4.4901000000000003E-2</v>
      </c>
      <c r="AB97">
        <v>2.5190000000000001E-2</v>
      </c>
      <c r="AC97">
        <v>0.12515000000000001</v>
      </c>
      <c r="AD97">
        <v>0.36424000000000001</v>
      </c>
      <c r="AE97">
        <v>0.47982999999999998</v>
      </c>
      <c r="AF97">
        <v>0.11736000000000001</v>
      </c>
      <c r="AG97">
        <v>0.2334</v>
      </c>
      <c r="AH97">
        <v>0.16728999999999999</v>
      </c>
      <c r="AI97">
        <v>0.18701999999999999</v>
      </c>
      <c r="AJ97">
        <v>0.18447</v>
      </c>
      <c r="AK97">
        <v>0.21790999999999999</v>
      </c>
      <c r="AL97">
        <v>4.9703999999999998E-2</v>
      </c>
    </row>
    <row r="98" spans="1:38" x14ac:dyDescent="0.35">
      <c r="A98">
        <v>96</v>
      </c>
      <c r="B98" s="88" t="s">
        <v>2618</v>
      </c>
      <c r="C98">
        <v>3.5401999999999997E-4</v>
      </c>
      <c r="D98">
        <v>1.6257000000000001E-4</v>
      </c>
      <c r="E98">
        <v>8.9473000000000005E-4</v>
      </c>
      <c r="F98">
        <v>2.6111999999999999E-4</v>
      </c>
      <c r="G98">
        <v>1.3793E-4</v>
      </c>
      <c r="H98">
        <v>1.2933000000000001E-4</v>
      </c>
      <c r="I98">
        <v>7.9455000000000004E-5</v>
      </c>
      <c r="J98">
        <v>4.7179999999999999E-5</v>
      </c>
      <c r="K98">
        <v>9.7567999999999998E-5</v>
      </c>
      <c r="L98">
        <v>1.3029E-4</v>
      </c>
      <c r="M98">
        <v>6.8808999999999998E-5</v>
      </c>
      <c r="N98">
        <v>6.1099999999999994E-5</v>
      </c>
      <c r="O98">
        <v>5.0698637666666659E-3</v>
      </c>
      <c r="P98">
        <v>3.8414527666666668E-3</v>
      </c>
      <c r="Q98">
        <v>2.2547863666666662E-3</v>
      </c>
      <c r="R98">
        <v>1.4012429666666669E-3</v>
      </c>
      <c r="S98">
        <v>1.0253415999999997E-3</v>
      </c>
      <c r="T98">
        <v>4.3970643333333329E-4</v>
      </c>
      <c r="U98">
        <v>1.4024073333333332E-4</v>
      </c>
      <c r="V98">
        <v>1.3306833333333337E-4</v>
      </c>
      <c r="W98">
        <v>2.3002469999999996E-3</v>
      </c>
      <c r="X98">
        <v>6.8643723666666663E-3</v>
      </c>
      <c r="Y98">
        <v>6.631317566666667E-3</v>
      </c>
      <c r="Z98">
        <v>5.3052897666666671E-3</v>
      </c>
      <c r="AA98">
        <v>6.7084999999999996E-4</v>
      </c>
      <c r="AB98">
        <v>8.9922000000000005E-3</v>
      </c>
      <c r="AC98">
        <v>7.0305999999999997E-3</v>
      </c>
      <c r="AD98">
        <v>1.3213999999999999E-3</v>
      </c>
      <c r="AE98">
        <v>1.2011000000000001E-3</v>
      </c>
      <c r="AF98">
        <v>6.9481000000000002E-4</v>
      </c>
      <c r="AG98">
        <v>3.5239000000000001E-4</v>
      </c>
      <c r="AH98">
        <v>2.5080000000000002E-4</v>
      </c>
      <c r="AI98">
        <v>3.1066E-2</v>
      </c>
      <c r="AJ98">
        <v>6.0218999999999995E-4</v>
      </c>
      <c r="AK98">
        <v>1.8478000000000001E-2</v>
      </c>
      <c r="AL98">
        <v>3.2502999999999997E-2</v>
      </c>
    </row>
    <row r="99" spans="1:38" x14ac:dyDescent="0.35">
      <c r="A99">
        <v>97</v>
      </c>
      <c r="B99" s="86" t="s">
        <v>2158</v>
      </c>
      <c r="C99">
        <v>1.3724000000000001E-4</v>
      </c>
      <c r="D99">
        <v>0</v>
      </c>
      <c r="E99">
        <v>0</v>
      </c>
      <c r="F99">
        <v>3.3072000000000002E-3</v>
      </c>
      <c r="G99">
        <v>1.7183000000000001E-3</v>
      </c>
      <c r="H99">
        <v>9.4675E-4</v>
      </c>
      <c r="I99">
        <v>7.2705000000000003E-4</v>
      </c>
      <c r="J99">
        <v>6.4400999999999998E-4</v>
      </c>
      <c r="K99">
        <v>3.1387E-4</v>
      </c>
      <c r="L99">
        <v>2.5588E-3</v>
      </c>
      <c r="M99">
        <v>2.6167E-3</v>
      </c>
      <c r="N99">
        <v>1.6008999999999999E-4</v>
      </c>
      <c r="O99">
        <v>5.6197800000000009E-4</v>
      </c>
      <c r="P99">
        <v>7.0348900000000007E-4</v>
      </c>
      <c r="Q99">
        <v>1.1023267000000003E-3</v>
      </c>
      <c r="R99">
        <v>2.2935173333333328E-3</v>
      </c>
      <c r="S99">
        <v>7.9652766666666666E-3</v>
      </c>
      <c r="T99">
        <v>3.2271770000000012E-3</v>
      </c>
      <c r="U99">
        <v>9.6995533333333337E-4</v>
      </c>
      <c r="V99">
        <v>1.0555453333333333E-3</v>
      </c>
      <c r="W99">
        <v>1.916463E-3</v>
      </c>
      <c r="X99">
        <v>2.7612903333333332E-3</v>
      </c>
      <c r="Y99">
        <v>1.9818959999999999E-3</v>
      </c>
      <c r="Z99">
        <v>1.6044856666666669E-3</v>
      </c>
      <c r="AA99">
        <v>0</v>
      </c>
      <c r="AB99">
        <v>0</v>
      </c>
      <c r="AC99">
        <v>3.4798000000000001E-4</v>
      </c>
      <c r="AD99">
        <v>2.6805000000000002E-3</v>
      </c>
      <c r="AE99">
        <v>1.2938E-2</v>
      </c>
      <c r="AF99">
        <v>1.2730999999999999E-2</v>
      </c>
      <c r="AG99">
        <v>9.2652000000000001E-4</v>
      </c>
      <c r="AH99">
        <v>7.4111999999999995E-4</v>
      </c>
      <c r="AI99">
        <v>3.9709000000000003E-3</v>
      </c>
      <c r="AJ99">
        <v>5.6334999999999996E-3</v>
      </c>
      <c r="AK99">
        <v>1.5272E-3</v>
      </c>
      <c r="AL99">
        <v>7.2090000000000001E-4</v>
      </c>
    </row>
    <row r="100" spans="1:38" x14ac:dyDescent="0.35">
      <c r="A100">
        <v>98</v>
      </c>
      <c r="B100" s="86" t="s">
        <v>2041</v>
      </c>
      <c r="C100">
        <v>0</v>
      </c>
      <c r="D100">
        <v>0</v>
      </c>
      <c r="E100">
        <v>0.10123</v>
      </c>
      <c r="F100">
        <v>1.4065000000000001</v>
      </c>
      <c r="G100">
        <v>2.2843</v>
      </c>
      <c r="H100">
        <v>1.5781000000000001</v>
      </c>
      <c r="I100">
        <v>0.17931</v>
      </c>
      <c r="J100">
        <v>1.0097</v>
      </c>
      <c r="K100">
        <v>0.28332000000000002</v>
      </c>
      <c r="L100">
        <v>0.18553</v>
      </c>
      <c r="M100">
        <v>0.71536</v>
      </c>
      <c r="N100">
        <v>6.7452999999999999E-2</v>
      </c>
      <c r="O100">
        <v>0.2438061</v>
      </c>
      <c r="P100">
        <v>0.22048492666666666</v>
      </c>
      <c r="Q100">
        <v>0.48970836666666673</v>
      </c>
      <c r="R100">
        <v>1.0345516666666665</v>
      </c>
      <c r="S100">
        <v>2.4188333333333336</v>
      </c>
      <c r="T100">
        <v>2.4918126666666667</v>
      </c>
      <c r="U100">
        <v>1.2513946666666667</v>
      </c>
      <c r="V100">
        <v>0.74586663333333336</v>
      </c>
      <c r="W100">
        <v>0.70251999999999992</v>
      </c>
      <c r="X100">
        <v>0.87630146666666664</v>
      </c>
      <c r="Y100">
        <v>0.67381652666666647</v>
      </c>
      <c r="Z100">
        <v>0.5044126333333333</v>
      </c>
      <c r="AA100">
        <v>0.52895000000000003</v>
      </c>
      <c r="AB100">
        <v>0.45236999999999999</v>
      </c>
      <c r="AC100">
        <v>0.24918999999999999</v>
      </c>
      <c r="AD100">
        <v>1.5763</v>
      </c>
      <c r="AE100">
        <v>4.1017000000000001</v>
      </c>
      <c r="AF100">
        <v>3.8119999999999998</v>
      </c>
      <c r="AG100">
        <v>1.2887999999999999</v>
      </c>
      <c r="AH100">
        <v>0.71716000000000002</v>
      </c>
      <c r="AI100">
        <v>0.90510999999999997</v>
      </c>
      <c r="AJ100">
        <v>0.50849999999999995</v>
      </c>
      <c r="AK100">
        <v>0.54329000000000005</v>
      </c>
      <c r="AL100">
        <v>1.1353</v>
      </c>
    </row>
    <row r="101" spans="1:38" x14ac:dyDescent="0.35">
      <c r="A101">
        <v>99</v>
      </c>
      <c r="B101" s="86" t="s">
        <v>2396</v>
      </c>
      <c r="C101">
        <v>1.1983000000000001E-2</v>
      </c>
      <c r="D101">
        <v>7.4968999999999999E-3</v>
      </c>
      <c r="E101">
        <v>3.6468999999999998E-3</v>
      </c>
      <c r="F101">
        <v>4.4844000000000004E-3</v>
      </c>
      <c r="G101">
        <v>4.7093999999999999E-3</v>
      </c>
      <c r="H101">
        <v>9.3542E-3</v>
      </c>
      <c r="I101">
        <v>1.7906E-3</v>
      </c>
      <c r="J101">
        <v>2.1503999999999998E-3</v>
      </c>
      <c r="K101">
        <v>1.8623999999999999E-3</v>
      </c>
      <c r="L101">
        <v>3.7536999999999998E-4</v>
      </c>
      <c r="M101">
        <v>2.7228E-3</v>
      </c>
      <c r="N101">
        <v>1.6015999999999999E-3</v>
      </c>
      <c r="O101">
        <v>1.2816686999999997E-2</v>
      </c>
      <c r="P101">
        <v>1.0839191999999999E-2</v>
      </c>
      <c r="Q101">
        <v>1.0907893333333332E-2</v>
      </c>
      <c r="R101">
        <v>6.188373333333331E-3</v>
      </c>
      <c r="S101">
        <v>4.6078486666666675E-3</v>
      </c>
      <c r="T101">
        <v>5.3715900000000007E-3</v>
      </c>
      <c r="U101">
        <v>3.4456233333333324E-3</v>
      </c>
      <c r="V101">
        <v>2.5623000000000004E-3</v>
      </c>
      <c r="W101">
        <v>2.6637946666666665E-3</v>
      </c>
      <c r="X101">
        <v>4.6575111999999988E-3</v>
      </c>
      <c r="Y101">
        <v>7.3007563263333339E-3</v>
      </c>
      <c r="Z101">
        <v>1.2690198999999999E-2</v>
      </c>
      <c r="AA101">
        <v>9.9060999999999993E-3</v>
      </c>
      <c r="AB101">
        <v>1.5010000000000001E-2</v>
      </c>
      <c r="AC101">
        <v>2.2099000000000001E-2</v>
      </c>
      <c r="AD101">
        <v>2.9139999999999999E-3</v>
      </c>
      <c r="AE101">
        <v>5.7851999999999999E-3</v>
      </c>
      <c r="AF101">
        <v>2.3945000000000001E-2</v>
      </c>
      <c r="AG101">
        <v>5.2129000000000003E-3</v>
      </c>
      <c r="AH101">
        <v>9.9422E-3</v>
      </c>
      <c r="AI101">
        <v>5.1974999999999999E-3</v>
      </c>
      <c r="AJ101">
        <v>1.4957E-2</v>
      </c>
      <c r="AK101">
        <v>2.6692E-2</v>
      </c>
      <c r="AL101">
        <v>1.474E-2</v>
      </c>
    </row>
    <row r="102" spans="1:38" x14ac:dyDescent="0.35">
      <c r="A102">
        <v>100</v>
      </c>
      <c r="B102" s="86" t="s">
        <v>1484</v>
      </c>
      <c r="C102">
        <v>29.26</v>
      </c>
      <c r="D102">
        <v>157.16999999999999</v>
      </c>
      <c r="E102">
        <v>80.338999999999999</v>
      </c>
      <c r="F102">
        <v>201.5</v>
      </c>
      <c r="G102">
        <v>137.83000000000001</v>
      </c>
      <c r="H102">
        <v>81.841999999999999</v>
      </c>
      <c r="I102">
        <v>123.08</v>
      </c>
      <c r="J102">
        <v>59.954000000000001</v>
      </c>
      <c r="K102">
        <v>78.591999999999999</v>
      </c>
      <c r="L102">
        <v>33.651000000000003</v>
      </c>
      <c r="M102">
        <v>99.093000000000004</v>
      </c>
      <c r="N102">
        <v>15.265000000000001</v>
      </c>
      <c r="O102">
        <v>163.53438666666668</v>
      </c>
      <c r="P102">
        <v>190.67173333333335</v>
      </c>
      <c r="Q102">
        <v>249.82543333333331</v>
      </c>
      <c r="R102">
        <v>143.01976666666667</v>
      </c>
      <c r="S102">
        <v>93.569800000000015</v>
      </c>
      <c r="T102">
        <v>108.23286666666667</v>
      </c>
      <c r="U102">
        <v>118.60623333333332</v>
      </c>
      <c r="V102">
        <v>91.422399999999996</v>
      </c>
      <c r="W102">
        <v>76.168899999999994</v>
      </c>
      <c r="X102">
        <v>82.218366666666668</v>
      </c>
      <c r="Y102">
        <v>131.19006666666667</v>
      </c>
      <c r="Z102">
        <v>192.50449999999998</v>
      </c>
      <c r="AA102">
        <v>154.68</v>
      </c>
      <c r="AB102">
        <v>450.71</v>
      </c>
      <c r="AC102">
        <v>312.67</v>
      </c>
      <c r="AD102">
        <v>210.4</v>
      </c>
      <c r="AE102">
        <v>186.52</v>
      </c>
      <c r="AF102">
        <v>204.97</v>
      </c>
      <c r="AG102">
        <v>146.13</v>
      </c>
      <c r="AH102">
        <v>121.77</v>
      </c>
      <c r="AI102">
        <v>95.835999999999999</v>
      </c>
      <c r="AJ102">
        <v>47.807000000000002</v>
      </c>
      <c r="AK102">
        <v>156.37</v>
      </c>
      <c r="AL102">
        <v>296.79000000000002</v>
      </c>
    </row>
    <row r="103" spans="1:38" x14ac:dyDescent="0.35">
      <c r="A103">
        <v>101</v>
      </c>
      <c r="B103" s="86" t="s">
        <v>1563</v>
      </c>
      <c r="C103">
        <v>0.26049</v>
      </c>
      <c r="D103">
        <v>0.42902000000000001</v>
      </c>
      <c r="E103">
        <v>0.49690000000000001</v>
      </c>
      <c r="F103">
        <v>0.11971</v>
      </c>
      <c r="G103">
        <v>0.10198</v>
      </c>
      <c r="H103">
        <v>0.13882</v>
      </c>
      <c r="I103">
        <v>4.7740999999999999E-2</v>
      </c>
      <c r="J103">
        <v>3.6861999999999999E-2</v>
      </c>
      <c r="K103">
        <v>5.636E-2</v>
      </c>
      <c r="L103">
        <v>0.34090999999999999</v>
      </c>
      <c r="M103">
        <v>0.78027000000000002</v>
      </c>
      <c r="N103">
        <v>0.26338</v>
      </c>
      <c r="O103">
        <v>0.69192190000000009</v>
      </c>
      <c r="P103">
        <v>0.71200249999999987</v>
      </c>
      <c r="Q103">
        <v>0.41167535333333333</v>
      </c>
      <c r="R103">
        <v>0.38713810000000004</v>
      </c>
      <c r="S103">
        <v>0.31334803333333333</v>
      </c>
      <c r="T103">
        <v>0.19485086666666668</v>
      </c>
      <c r="U103">
        <v>8.9032866666666668E-2</v>
      </c>
      <c r="V103">
        <v>8.8619266666666668E-2</v>
      </c>
      <c r="W103">
        <v>0.17667820000000001</v>
      </c>
      <c r="X103">
        <v>0.43798163333333329</v>
      </c>
      <c r="Y103">
        <v>0.52444700000000011</v>
      </c>
      <c r="Z103">
        <v>0.7188085666666667</v>
      </c>
      <c r="AA103">
        <v>0.93981999999999999</v>
      </c>
      <c r="AB103">
        <v>0.64985000000000004</v>
      </c>
      <c r="AC103">
        <v>0.33179999999999998</v>
      </c>
      <c r="AD103">
        <v>0.35393999999999998</v>
      </c>
      <c r="AE103">
        <v>1.2587999999999999</v>
      </c>
      <c r="AF103">
        <v>5.2652999999999998E-2</v>
      </c>
      <c r="AG103">
        <v>6.0682E-2</v>
      </c>
      <c r="AH103">
        <v>0.23158000000000001</v>
      </c>
      <c r="AI103">
        <v>0.15332000000000001</v>
      </c>
      <c r="AJ103">
        <v>0.89822000000000002</v>
      </c>
      <c r="AK103">
        <v>0.89549999999999996</v>
      </c>
      <c r="AL103">
        <v>1.1374</v>
      </c>
    </row>
    <row r="104" spans="1:38" x14ac:dyDescent="0.35">
      <c r="A104">
        <v>102</v>
      </c>
      <c r="B104" s="86" t="s">
        <v>2333</v>
      </c>
      <c r="C104">
        <v>110.99</v>
      </c>
      <c r="D104">
        <v>167.37</v>
      </c>
      <c r="E104">
        <v>275.10000000000002</v>
      </c>
      <c r="F104">
        <v>143.58000000000001</v>
      </c>
      <c r="G104">
        <v>172.45</v>
      </c>
      <c r="H104">
        <v>48.267000000000003</v>
      </c>
      <c r="I104">
        <v>1.3149</v>
      </c>
      <c r="J104">
        <v>12.859</v>
      </c>
      <c r="K104">
        <v>18.138999999999999</v>
      </c>
      <c r="L104">
        <v>26.859000000000002</v>
      </c>
      <c r="M104">
        <v>310.44</v>
      </c>
      <c r="N104">
        <v>3.2574000000000001</v>
      </c>
      <c r="O104">
        <v>757.55454599999996</v>
      </c>
      <c r="P104">
        <v>641.87993333333338</v>
      </c>
      <c r="Q104">
        <v>262.53090999999989</v>
      </c>
      <c r="R104">
        <v>288.18039999999991</v>
      </c>
      <c r="S104">
        <v>203.82506666666666</v>
      </c>
      <c r="T104">
        <v>90.739366666666641</v>
      </c>
      <c r="U104">
        <v>21.080872666666664</v>
      </c>
      <c r="V104">
        <v>13.923736166666668</v>
      </c>
      <c r="W104">
        <v>49.218531666666664</v>
      </c>
      <c r="X104">
        <v>221.15031333333334</v>
      </c>
      <c r="Y104">
        <v>510.46647400000001</v>
      </c>
      <c r="Z104">
        <v>934.09454666666659</v>
      </c>
      <c r="AA104">
        <v>3416.4</v>
      </c>
      <c r="AB104">
        <v>607.41</v>
      </c>
      <c r="AC104">
        <v>312.38</v>
      </c>
      <c r="AD104">
        <v>203.83</v>
      </c>
      <c r="AE104">
        <v>425.3</v>
      </c>
      <c r="AF104">
        <v>62.911000000000001</v>
      </c>
      <c r="AG104">
        <v>12.141</v>
      </c>
      <c r="AH104">
        <v>19.484000000000002</v>
      </c>
      <c r="AI104">
        <v>169.9</v>
      </c>
      <c r="AJ104">
        <v>72.760000000000005</v>
      </c>
      <c r="AK104">
        <v>213.54</v>
      </c>
      <c r="AL104">
        <v>3898</v>
      </c>
    </row>
    <row r="105" spans="1:38" x14ac:dyDescent="0.35">
      <c r="A105">
        <v>103</v>
      </c>
      <c r="B105" s="86" t="s">
        <v>2386</v>
      </c>
      <c r="C105">
        <v>7.0386000000000004E-2</v>
      </c>
      <c r="D105">
        <v>0.13374</v>
      </c>
      <c r="E105">
        <v>0.42431999999999997</v>
      </c>
      <c r="F105">
        <v>0.23701</v>
      </c>
      <c r="G105">
        <v>0.50460000000000005</v>
      </c>
      <c r="H105">
        <v>0.51581999999999995</v>
      </c>
      <c r="I105">
        <v>0.17527000000000001</v>
      </c>
      <c r="J105">
        <v>0.16236999999999999</v>
      </c>
      <c r="K105">
        <v>0.15440000000000001</v>
      </c>
      <c r="L105">
        <v>0.22444</v>
      </c>
      <c r="M105">
        <v>0.40547</v>
      </c>
      <c r="N105">
        <v>8.6102000000000007</v>
      </c>
      <c r="O105">
        <v>4.7009385333333329</v>
      </c>
      <c r="P105">
        <v>5.5689366666666658</v>
      </c>
      <c r="Q105">
        <v>4.6012501666666665</v>
      </c>
      <c r="R105">
        <v>3.8699326666666667</v>
      </c>
      <c r="S105">
        <v>2.1406832666666666</v>
      </c>
      <c r="T105">
        <v>1.3524443333333331</v>
      </c>
      <c r="U105">
        <v>0.72844433333333336</v>
      </c>
      <c r="V105">
        <v>0.75362099999999999</v>
      </c>
      <c r="W105">
        <v>2.0324530333333333</v>
      </c>
      <c r="X105">
        <v>4.3722736999999992</v>
      </c>
      <c r="Y105">
        <v>6.7266737999999995</v>
      </c>
      <c r="Z105">
        <v>6.3841353333333331</v>
      </c>
      <c r="AA105">
        <v>4.6055999999999999</v>
      </c>
      <c r="AB105">
        <v>10.696999999999999</v>
      </c>
      <c r="AC105">
        <v>7.9644000000000004</v>
      </c>
      <c r="AD105">
        <v>11.108000000000001</v>
      </c>
      <c r="AE105">
        <v>1.8464</v>
      </c>
      <c r="AF105">
        <v>2.5632000000000001</v>
      </c>
      <c r="AG105">
        <v>2.5920999999999998</v>
      </c>
      <c r="AH105">
        <v>0.38976</v>
      </c>
      <c r="AI105">
        <v>2.8698000000000001</v>
      </c>
      <c r="AJ105">
        <v>6.1478999999999999</v>
      </c>
      <c r="AK105">
        <v>11.784000000000001</v>
      </c>
      <c r="AL105">
        <v>23.574000000000002</v>
      </c>
    </row>
    <row r="106" spans="1:38" x14ac:dyDescent="0.35">
      <c r="A106">
        <v>104</v>
      </c>
      <c r="B106" s="86" t="s">
        <v>1731</v>
      </c>
      <c r="C106">
        <v>765.87</v>
      </c>
      <c r="D106">
        <v>223.14</v>
      </c>
      <c r="E106">
        <v>98.289000000000001</v>
      </c>
      <c r="F106">
        <v>439.62</v>
      </c>
      <c r="G106">
        <v>222.85</v>
      </c>
      <c r="H106">
        <v>182.28</v>
      </c>
      <c r="I106">
        <v>59.851999999999997</v>
      </c>
      <c r="J106">
        <v>44.67</v>
      </c>
      <c r="K106">
        <v>62.792999999999999</v>
      </c>
      <c r="L106">
        <v>287.37</v>
      </c>
      <c r="M106">
        <v>350.46</v>
      </c>
      <c r="N106">
        <v>423.52</v>
      </c>
      <c r="O106">
        <v>849.36763333333329</v>
      </c>
      <c r="P106">
        <v>822.9629000000001</v>
      </c>
      <c r="Q106">
        <v>365.89267000000001</v>
      </c>
      <c r="R106">
        <v>496.80433333333337</v>
      </c>
      <c r="S106">
        <v>395.45100000000002</v>
      </c>
      <c r="T106">
        <v>216.69289999999998</v>
      </c>
      <c r="U106">
        <v>108.13137333333331</v>
      </c>
      <c r="V106">
        <v>64.570966666666664</v>
      </c>
      <c r="W106">
        <v>96.533333333333346</v>
      </c>
      <c r="X106">
        <v>308.03460000000007</v>
      </c>
      <c r="Y106">
        <v>564.31397333333337</v>
      </c>
      <c r="Z106">
        <v>935.4237999999998</v>
      </c>
      <c r="AA106">
        <v>1895.4</v>
      </c>
      <c r="AB106">
        <v>3270.9</v>
      </c>
      <c r="AC106">
        <v>1149.7</v>
      </c>
      <c r="AD106">
        <v>723.92</v>
      </c>
      <c r="AE106">
        <v>276.42</v>
      </c>
      <c r="AF106">
        <v>183.46</v>
      </c>
      <c r="AG106">
        <v>139.1</v>
      </c>
      <c r="AH106">
        <v>36.640999999999998</v>
      </c>
      <c r="AI106">
        <v>78.242000000000004</v>
      </c>
      <c r="AJ106">
        <v>571.67999999999995</v>
      </c>
      <c r="AK106">
        <v>541.48</v>
      </c>
      <c r="AL106">
        <v>628.63</v>
      </c>
    </row>
    <row r="107" spans="1:38" x14ac:dyDescent="0.35">
      <c r="A107">
        <v>105</v>
      </c>
      <c r="B107" s="86" t="s">
        <v>2460</v>
      </c>
      <c r="C107">
        <v>5.7096</v>
      </c>
      <c r="D107">
        <v>3.0929000000000002</v>
      </c>
      <c r="E107">
        <v>23.666</v>
      </c>
      <c r="F107">
        <v>24.629000000000001</v>
      </c>
      <c r="G107">
        <v>36.948999999999998</v>
      </c>
      <c r="H107">
        <v>9.5312999999999999</v>
      </c>
      <c r="I107">
        <v>4.1436999999999999</v>
      </c>
      <c r="J107">
        <v>2.6905000000000001</v>
      </c>
      <c r="K107">
        <v>1.282</v>
      </c>
      <c r="L107">
        <v>0.83055999999999996</v>
      </c>
      <c r="M107">
        <v>1.3073999999999999</v>
      </c>
      <c r="N107">
        <v>46.585000000000001</v>
      </c>
      <c r="O107">
        <v>34.502713333333325</v>
      </c>
      <c r="P107">
        <v>65.752026666666666</v>
      </c>
      <c r="Q107">
        <v>66.441800000000001</v>
      </c>
      <c r="R107">
        <v>61.19744666666665</v>
      </c>
      <c r="S107">
        <v>32.831399999999995</v>
      </c>
      <c r="T107">
        <v>19.316793333333333</v>
      </c>
      <c r="U107">
        <v>12.308423333333332</v>
      </c>
      <c r="V107">
        <v>6.863892333333335</v>
      </c>
      <c r="W107">
        <v>5.9805403333333347</v>
      </c>
      <c r="X107">
        <v>10.597148000000001</v>
      </c>
      <c r="Y107">
        <v>28.235886666666662</v>
      </c>
      <c r="Z107">
        <v>49.907989666666666</v>
      </c>
      <c r="AA107">
        <v>81.137</v>
      </c>
      <c r="AB107">
        <v>109.84</v>
      </c>
      <c r="AC107">
        <v>39.369999999999997</v>
      </c>
      <c r="AD107">
        <v>77.016999999999996</v>
      </c>
      <c r="AE107">
        <v>63.618000000000002</v>
      </c>
      <c r="AF107">
        <v>16.945</v>
      </c>
      <c r="AG107">
        <v>12.977</v>
      </c>
      <c r="AH107">
        <v>10.587999999999999</v>
      </c>
      <c r="AI107">
        <v>4.0335000000000001</v>
      </c>
      <c r="AJ107">
        <v>16.899000000000001</v>
      </c>
      <c r="AK107">
        <v>120.16</v>
      </c>
      <c r="AL107">
        <v>53.746000000000002</v>
      </c>
    </row>
    <row r="108" spans="1:38" x14ac:dyDescent="0.35">
      <c r="A108">
        <v>106</v>
      </c>
      <c r="B108" s="86" t="s">
        <v>2250</v>
      </c>
      <c r="C108">
        <v>83.153000000000006</v>
      </c>
      <c r="D108">
        <v>57.343000000000004</v>
      </c>
      <c r="E108">
        <v>254.55</v>
      </c>
      <c r="F108">
        <v>3049.6</v>
      </c>
      <c r="G108">
        <v>536.91999999999996</v>
      </c>
      <c r="H108">
        <v>490.05</v>
      </c>
      <c r="I108">
        <v>420.86</v>
      </c>
      <c r="J108">
        <v>363.62</v>
      </c>
      <c r="K108">
        <v>170.86</v>
      </c>
      <c r="L108">
        <v>207.57</v>
      </c>
      <c r="M108">
        <v>475.79</v>
      </c>
      <c r="N108">
        <v>429.28</v>
      </c>
      <c r="O108">
        <v>620.05880379999996</v>
      </c>
      <c r="P108">
        <v>639.06289341666661</v>
      </c>
      <c r="Q108">
        <v>1376.7131999999997</v>
      </c>
      <c r="R108">
        <v>2367.2310000000007</v>
      </c>
      <c r="S108">
        <v>553.4136666666667</v>
      </c>
      <c r="T108">
        <v>612.77766666666662</v>
      </c>
      <c r="U108">
        <v>640.93399999999997</v>
      </c>
      <c r="V108">
        <v>558.31479999999988</v>
      </c>
      <c r="W108">
        <v>774.01266666666686</v>
      </c>
      <c r="X108">
        <v>853.6726666666666</v>
      </c>
      <c r="Y108">
        <v>1014.1809333333332</v>
      </c>
      <c r="Z108">
        <v>713.90194333333352</v>
      </c>
      <c r="AA108">
        <v>1785.4</v>
      </c>
      <c r="AB108">
        <v>2729.7</v>
      </c>
      <c r="AC108">
        <v>2225.9</v>
      </c>
      <c r="AD108">
        <v>210.97</v>
      </c>
      <c r="AE108">
        <v>371.46</v>
      </c>
      <c r="AF108">
        <v>328.18</v>
      </c>
      <c r="AG108">
        <v>830.95</v>
      </c>
      <c r="AH108">
        <v>797.12</v>
      </c>
      <c r="AI108">
        <v>2721.5</v>
      </c>
      <c r="AJ108">
        <v>1775.5</v>
      </c>
      <c r="AK108">
        <v>2063.5</v>
      </c>
      <c r="AL108">
        <v>725.26</v>
      </c>
    </row>
    <row r="109" spans="1:38" x14ac:dyDescent="0.35">
      <c r="A109">
        <v>107</v>
      </c>
      <c r="B109" s="86" t="s">
        <v>2624</v>
      </c>
      <c r="C109">
        <v>0</v>
      </c>
      <c r="D109">
        <v>3.3698000000000001</v>
      </c>
      <c r="E109">
        <v>18.297000000000001</v>
      </c>
      <c r="F109">
        <v>30.39</v>
      </c>
      <c r="G109">
        <v>14.711</v>
      </c>
      <c r="H109">
        <v>5.6787999999999998</v>
      </c>
      <c r="I109">
        <v>3.7279</v>
      </c>
      <c r="J109">
        <v>2.5457000000000001</v>
      </c>
      <c r="K109">
        <v>1.4134</v>
      </c>
      <c r="L109">
        <v>0.53059000000000001</v>
      </c>
      <c r="M109">
        <v>0.66532000000000002</v>
      </c>
      <c r="N109">
        <v>3.2774999999999999</v>
      </c>
      <c r="O109">
        <v>7.006932533333333</v>
      </c>
      <c r="P109">
        <v>6.1933159666666677</v>
      </c>
      <c r="Q109">
        <v>12.751269000000004</v>
      </c>
      <c r="R109">
        <v>26.748716666666663</v>
      </c>
      <c r="S109">
        <v>43.779299999999992</v>
      </c>
      <c r="T109">
        <v>17.782246666666669</v>
      </c>
      <c r="U109">
        <v>5.9488733333333332</v>
      </c>
      <c r="V109">
        <v>4.5014133333333328</v>
      </c>
      <c r="W109">
        <v>6.7420466666666661</v>
      </c>
      <c r="X109">
        <v>17.666249666666669</v>
      </c>
      <c r="Y109">
        <v>12.119945666666666</v>
      </c>
      <c r="Z109">
        <v>9.1094660999999988</v>
      </c>
      <c r="AA109">
        <v>0.40560000000000002</v>
      </c>
      <c r="AB109">
        <v>14.145</v>
      </c>
      <c r="AC109">
        <v>34.677</v>
      </c>
      <c r="AD109">
        <v>34.423999999999999</v>
      </c>
      <c r="AE109">
        <v>63.384</v>
      </c>
      <c r="AF109">
        <v>33.540999999999997</v>
      </c>
      <c r="AG109">
        <v>12.654</v>
      </c>
      <c r="AH109">
        <v>9.9629999999999992</v>
      </c>
      <c r="AI109">
        <v>2.3971</v>
      </c>
      <c r="AJ109">
        <v>23.19</v>
      </c>
      <c r="AK109">
        <v>6.0183</v>
      </c>
      <c r="AL109">
        <v>14.738</v>
      </c>
    </row>
    <row r="110" spans="1:38" x14ac:dyDescent="0.35">
      <c r="A110">
        <v>108</v>
      </c>
      <c r="B110" s="86" t="s">
        <v>968</v>
      </c>
    </row>
    <row r="111" spans="1:38" x14ac:dyDescent="0.35">
      <c r="A111">
        <v>109</v>
      </c>
      <c r="B111" s="86" t="s">
        <v>2197</v>
      </c>
      <c r="C111">
        <v>4.8454999999999998E-2</v>
      </c>
      <c r="D111">
        <v>3.3908000000000001E-2</v>
      </c>
      <c r="E111">
        <v>0</v>
      </c>
      <c r="F111">
        <v>1.9042E-2</v>
      </c>
      <c r="G111">
        <v>4.9061E-3</v>
      </c>
      <c r="H111">
        <v>3.1830000000000001E-3</v>
      </c>
      <c r="I111">
        <v>1.3078E-3</v>
      </c>
      <c r="J111">
        <v>1.5911E-3</v>
      </c>
      <c r="K111">
        <v>1.0218E-3</v>
      </c>
      <c r="L111">
        <v>2.4897000000000001E-3</v>
      </c>
      <c r="M111">
        <v>1.6182999999999999E-2</v>
      </c>
      <c r="N111">
        <v>2.6703000000000001E-2</v>
      </c>
      <c r="O111">
        <v>4.052766E-2</v>
      </c>
      <c r="P111">
        <v>3.8518886666666668E-2</v>
      </c>
      <c r="Q111">
        <v>2.4410563333333333E-2</v>
      </c>
      <c r="R111">
        <v>1.9647563333333336E-2</v>
      </c>
      <c r="S111">
        <v>8.3923799999999996E-3</v>
      </c>
      <c r="T111">
        <v>3.1955426666666676E-3</v>
      </c>
      <c r="U111">
        <v>1.5693520000000002E-3</v>
      </c>
      <c r="V111">
        <v>1.4825736666666668E-3</v>
      </c>
      <c r="W111">
        <v>7.0446280000000007E-3</v>
      </c>
      <c r="X111">
        <v>2.5435121666666671E-2</v>
      </c>
      <c r="Y111">
        <v>5.1586993333333338E-2</v>
      </c>
      <c r="Z111">
        <v>4.598633333333333E-2</v>
      </c>
      <c r="AA111">
        <v>7.7374999999999999E-2</v>
      </c>
      <c r="AB111">
        <v>6.2425000000000001E-2</v>
      </c>
      <c r="AC111">
        <v>2.6571999999999998E-2</v>
      </c>
      <c r="AD111">
        <v>2.0191000000000001E-2</v>
      </c>
      <c r="AE111">
        <v>5.9208000000000004E-3</v>
      </c>
      <c r="AF111">
        <v>7.1481000000000001E-3</v>
      </c>
      <c r="AG111">
        <v>1.5977000000000001E-3</v>
      </c>
      <c r="AH111">
        <v>1.9449000000000001E-3</v>
      </c>
      <c r="AI111">
        <v>2.6997000000000002E-3</v>
      </c>
      <c r="AJ111">
        <v>9.5834000000000003E-2</v>
      </c>
      <c r="AK111">
        <v>5.4281999999999997E-2</v>
      </c>
      <c r="AL111">
        <v>6.2858999999999998E-2</v>
      </c>
    </row>
    <row r="112" spans="1:38" x14ac:dyDescent="0.35">
      <c r="A112">
        <v>110</v>
      </c>
      <c r="B112" s="86" t="s">
        <v>524</v>
      </c>
      <c r="C112">
        <v>1.0464999999999999E-2</v>
      </c>
      <c r="D112">
        <v>1.2083999999999999E-2</v>
      </c>
      <c r="E112">
        <v>4.9973999999999998E-2</v>
      </c>
      <c r="F112">
        <v>3.7419000000000008E-2</v>
      </c>
      <c r="G112">
        <v>8.6455000000000004E-2</v>
      </c>
      <c r="H112">
        <v>7.8997999999999999E-2</v>
      </c>
      <c r="I112">
        <v>2.6497000000000003E-2</v>
      </c>
      <c r="J112">
        <v>2.1256000000000001E-2</v>
      </c>
      <c r="K112">
        <v>1.6321000000000002E-2</v>
      </c>
      <c r="L112">
        <v>2.1695000000000002E-2</v>
      </c>
      <c r="M112">
        <v>2.0007999999999998E-2</v>
      </c>
      <c r="N112">
        <v>1.0345399999999998</v>
      </c>
      <c r="O112">
        <v>0.67256743999999991</v>
      </c>
      <c r="P112">
        <v>0.8040174000000001</v>
      </c>
      <c r="Q112">
        <v>0.68988839999999996</v>
      </c>
      <c r="R112">
        <v>0.60372623333333331</v>
      </c>
      <c r="S112">
        <v>0.33155410000000002</v>
      </c>
      <c r="T112">
        <v>0.20366746666666666</v>
      </c>
      <c r="U112">
        <v>0.10380986666666667</v>
      </c>
      <c r="V112">
        <v>0.10032700333333333</v>
      </c>
      <c r="W112">
        <v>0.31038886999999998</v>
      </c>
      <c r="X112">
        <v>0.74879369000000007</v>
      </c>
      <c r="Y112">
        <v>1.0316622933333333</v>
      </c>
      <c r="Z112">
        <v>0.89380341000000008</v>
      </c>
      <c r="AA112">
        <v>0.80753000000000008</v>
      </c>
      <c r="AB112">
        <v>1.6794999999999998</v>
      </c>
      <c r="AC112">
        <v>1.4216600000000001</v>
      </c>
      <c r="AD112">
        <v>1.7777000000000001</v>
      </c>
      <c r="AE112">
        <v>0.31719999999999998</v>
      </c>
      <c r="AF112">
        <v>0.42061000000000004</v>
      </c>
      <c r="AG112">
        <v>0.27310999999999996</v>
      </c>
      <c r="AH112">
        <v>3.8586000000000002E-2</v>
      </c>
      <c r="AI112">
        <v>0.41303000000000001</v>
      </c>
      <c r="AJ112">
        <v>1.1203400000000001</v>
      </c>
      <c r="AK112">
        <v>1.7927</v>
      </c>
      <c r="AL112">
        <v>3.7275</v>
      </c>
    </row>
    <row r="113" spans="1:38" x14ac:dyDescent="0.35">
      <c r="A113">
        <v>111</v>
      </c>
      <c r="B113" s="86" t="s">
        <v>2732</v>
      </c>
      <c r="C113">
        <v>0</v>
      </c>
      <c r="D113">
        <v>0</v>
      </c>
      <c r="E113">
        <v>0.55915999999999999</v>
      </c>
      <c r="F113">
        <v>7.7686000000000002</v>
      </c>
      <c r="G113">
        <v>12.617000000000001</v>
      </c>
      <c r="H113">
        <v>8.7163000000000004</v>
      </c>
      <c r="I113">
        <v>0.99043000000000003</v>
      </c>
      <c r="J113">
        <v>5.5770999999999997</v>
      </c>
      <c r="K113">
        <v>1.5649</v>
      </c>
      <c r="L113">
        <v>1.0247999999999999</v>
      </c>
      <c r="M113">
        <v>3.9512999999999998</v>
      </c>
      <c r="N113">
        <v>0.37257000000000001</v>
      </c>
      <c r="O113">
        <v>1.3466394000000002</v>
      </c>
      <c r="P113">
        <v>1.217854736666667</v>
      </c>
      <c r="Q113">
        <v>2.7048670000000006</v>
      </c>
      <c r="R113">
        <v>5.7142866666666663</v>
      </c>
      <c r="S113">
        <v>13.360273333333335</v>
      </c>
      <c r="T113">
        <v>13.763326666666666</v>
      </c>
      <c r="U113">
        <v>6.9120146666666669</v>
      </c>
      <c r="V113">
        <v>4.1197456666666668</v>
      </c>
      <c r="W113">
        <v>3.8803400000000003</v>
      </c>
      <c r="X113">
        <v>4.8402190000000012</v>
      </c>
      <c r="Y113">
        <v>3.721808433333333</v>
      </c>
      <c r="Z113">
        <v>2.7860576666666663</v>
      </c>
      <c r="AA113">
        <v>2.9216000000000002</v>
      </c>
      <c r="AB113">
        <v>2.4986000000000002</v>
      </c>
      <c r="AC113">
        <v>1.3764000000000001</v>
      </c>
      <c r="AD113">
        <v>8.7065000000000001</v>
      </c>
      <c r="AE113">
        <v>22.655999999999999</v>
      </c>
      <c r="AF113">
        <v>21.055</v>
      </c>
      <c r="AG113">
        <v>7.1185999999999998</v>
      </c>
      <c r="AH113">
        <v>3.9611999999999998</v>
      </c>
      <c r="AI113">
        <v>4.9992999999999999</v>
      </c>
      <c r="AJ113">
        <v>2.8087</v>
      </c>
      <c r="AK113">
        <v>3.0007999999999999</v>
      </c>
      <c r="AL113">
        <v>6.2709000000000001</v>
      </c>
    </row>
    <row r="114" spans="1:38" x14ac:dyDescent="0.35">
      <c r="A114">
        <v>112</v>
      </c>
      <c r="B114" s="86" t="s">
        <v>2711</v>
      </c>
      <c r="C114">
        <v>7.7413999999999998E-4</v>
      </c>
      <c r="D114">
        <v>0</v>
      </c>
      <c r="E114">
        <v>0</v>
      </c>
      <c r="F114">
        <v>4.1609999999999998E-3</v>
      </c>
      <c r="G114">
        <v>1.835E-3</v>
      </c>
      <c r="H114">
        <v>1.5365999999999999E-3</v>
      </c>
      <c r="I114">
        <v>1.2704999999999999E-3</v>
      </c>
      <c r="J114">
        <v>7.9823999999999997E-4</v>
      </c>
      <c r="K114">
        <v>1.8338E-3</v>
      </c>
      <c r="L114">
        <v>4.9163000000000002E-3</v>
      </c>
      <c r="M114">
        <v>4.5360000000000001E-3</v>
      </c>
      <c r="N114">
        <v>7.0518000000000002E-4</v>
      </c>
      <c r="O114">
        <v>1.623950333333333E-3</v>
      </c>
      <c r="P114">
        <v>1.5364880000000001E-3</v>
      </c>
      <c r="Q114">
        <v>1.8258040000000001E-3</v>
      </c>
      <c r="R114">
        <v>3.2336826666666666E-3</v>
      </c>
      <c r="S114">
        <v>9.718379999999997E-3</v>
      </c>
      <c r="T114">
        <v>5.247628333333333E-3</v>
      </c>
      <c r="U114">
        <v>1.5846719999999999E-3</v>
      </c>
      <c r="V114">
        <v>1.9387743333333333E-3</v>
      </c>
      <c r="W114">
        <v>4.4415083333333343E-3</v>
      </c>
      <c r="X114">
        <v>5.0307346666666666E-3</v>
      </c>
      <c r="Y114">
        <v>4.2684339999999998E-3</v>
      </c>
      <c r="Z114">
        <v>3.3424746666666665E-3</v>
      </c>
      <c r="AA114">
        <v>2.8942999999999998E-3</v>
      </c>
      <c r="AB114">
        <v>0</v>
      </c>
      <c r="AC114">
        <v>6.3356000000000003E-4</v>
      </c>
      <c r="AD114">
        <v>3.3482E-3</v>
      </c>
      <c r="AE114">
        <v>1.2668E-2</v>
      </c>
      <c r="AF114">
        <v>1.4612999999999999E-2</v>
      </c>
      <c r="AG114">
        <v>1.1797999999999999E-2</v>
      </c>
      <c r="AH114">
        <v>3.2076000000000001E-3</v>
      </c>
      <c r="AI114">
        <v>6.1789999999999996E-3</v>
      </c>
      <c r="AJ114">
        <v>1.2311000000000001E-2</v>
      </c>
      <c r="AK114">
        <v>4.9791000000000002E-3</v>
      </c>
      <c r="AL114">
        <v>2.4137E-3</v>
      </c>
    </row>
    <row r="115" spans="1:38" x14ac:dyDescent="0.35">
      <c r="A115">
        <v>113</v>
      </c>
      <c r="B115" s="86" t="s">
        <v>1936</v>
      </c>
      <c r="C115">
        <v>84.138000000000005</v>
      </c>
      <c r="D115">
        <v>530.73</v>
      </c>
      <c r="E115">
        <v>312.31</v>
      </c>
      <c r="F115">
        <v>1156.5999999999999</v>
      </c>
      <c r="G115">
        <v>319.57</v>
      </c>
      <c r="H115">
        <v>141.78</v>
      </c>
      <c r="I115">
        <v>136.05000000000001</v>
      </c>
      <c r="J115">
        <v>121.99</v>
      </c>
      <c r="K115">
        <v>117.02</v>
      </c>
      <c r="L115">
        <v>46.442999999999998</v>
      </c>
      <c r="M115">
        <v>480.59</v>
      </c>
      <c r="N115">
        <v>667.36</v>
      </c>
      <c r="O115">
        <v>996.20226666666679</v>
      </c>
      <c r="P115">
        <v>896.47999999999979</v>
      </c>
      <c r="Q115">
        <v>656.57133333333331</v>
      </c>
      <c r="R115">
        <v>832.81899999999973</v>
      </c>
      <c r="S115">
        <v>630.03166666666675</v>
      </c>
      <c r="T115">
        <v>415.00366666666662</v>
      </c>
      <c r="U115">
        <v>175.21913333333333</v>
      </c>
      <c r="V115">
        <v>163.05299999999997</v>
      </c>
      <c r="W115">
        <v>268.16133333333335</v>
      </c>
      <c r="X115">
        <v>565.56743333333338</v>
      </c>
      <c r="Y115">
        <v>824.89320000000009</v>
      </c>
      <c r="Z115">
        <v>1000.3416666666668</v>
      </c>
      <c r="AA115">
        <v>2893.5</v>
      </c>
      <c r="AB115">
        <v>1991.3</v>
      </c>
      <c r="AC115">
        <v>1030.2</v>
      </c>
      <c r="AD115">
        <v>1098.5</v>
      </c>
      <c r="AE115">
        <v>634.52</v>
      </c>
      <c r="AF115">
        <v>518.95000000000005</v>
      </c>
      <c r="AG115">
        <v>150.66</v>
      </c>
      <c r="AH115">
        <v>143.28</v>
      </c>
      <c r="AI115">
        <v>189.94</v>
      </c>
      <c r="AJ115">
        <v>1090.4000000000001</v>
      </c>
      <c r="AK115">
        <v>884.6</v>
      </c>
      <c r="AL115">
        <v>770.95</v>
      </c>
    </row>
    <row r="116" spans="1:38" x14ac:dyDescent="0.35">
      <c r="A116">
        <v>114</v>
      </c>
      <c r="B116" s="86" t="s">
        <v>2469</v>
      </c>
      <c r="C116">
        <v>3.7797999999999998E-3</v>
      </c>
      <c r="D116">
        <v>0</v>
      </c>
      <c r="E116">
        <v>6.6562000000000001E-3</v>
      </c>
      <c r="F116">
        <v>0.55900000000000005</v>
      </c>
      <c r="G116">
        <v>2.4904999999999999</v>
      </c>
      <c r="H116">
        <v>6.0049999999999999</v>
      </c>
      <c r="I116">
        <v>7.1177000000000001</v>
      </c>
      <c r="J116">
        <v>2.0691999999999999</v>
      </c>
      <c r="K116">
        <v>0.24828</v>
      </c>
      <c r="L116">
        <v>7.8944E-2</v>
      </c>
      <c r="M116">
        <v>0.23960000000000001</v>
      </c>
      <c r="N116">
        <v>4.4502E-2</v>
      </c>
      <c r="O116">
        <v>4.119501666666666E-2</v>
      </c>
      <c r="P116">
        <v>3.9583559000000004E-2</v>
      </c>
      <c r="Q116">
        <v>8.2443327333333316E-2</v>
      </c>
      <c r="R116">
        <v>0.30068040000000007</v>
      </c>
      <c r="S116">
        <v>2.5407669999999998</v>
      </c>
      <c r="T116">
        <v>6.8061333333333316</v>
      </c>
      <c r="U116">
        <v>8.6381966666666674</v>
      </c>
      <c r="V116">
        <v>3.9270569999999996</v>
      </c>
      <c r="W116">
        <v>2.3027799999999998</v>
      </c>
      <c r="X116">
        <v>1.8601659666666668</v>
      </c>
      <c r="Y116">
        <v>0.42651636666666665</v>
      </c>
      <c r="Z116">
        <v>0.1564681436666667</v>
      </c>
      <c r="AA116">
        <v>0</v>
      </c>
      <c r="AB116">
        <v>4.4164E-3</v>
      </c>
      <c r="AC116">
        <v>0.18884000000000001</v>
      </c>
      <c r="AD116">
        <v>0.51515</v>
      </c>
      <c r="AE116">
        <v>2.3803999999999998</v>
      </c>
      <c r="AF116">
        <v>7.0450999999999997</v>
      </c>
      <c r="AG116">
        <v>12.268000000000001</v>
      </c>
      <c r="AH116">
        <v>6.8762999999999996</v>
      </c>
      <c r="AI116">
        <v>3.0224000000000002</v>
      </c>
      <c r="AJ116">
        <v>3.6133999999999999</v>
      </c>
      <c r="AK116">
        <v>0.13197999999999999</v>
      </c>
      <c r="AL116">
        <v>0</v>
      </c>
    </row>
    <row r="117" spans="1:38" x14ac:dyDescent="0.35">
      <c r="A117">
        <v>115</v>
      </c>
      <c r="B117" s="86" t="s">
        <v>1695</v>
      </c>
      <c r="C117">
        <v>94.926000000000002</v>
      </c>
      <c r="D117">
        <v>64.138999999999996</v>
      </c>
      <c r="E117">
        <v>277.82</v>
      </c>
      <c r="F117">
        <v>3147.4</v>
      </c>
      <c r="G117">
        <v>549.44000000000005</v>
      </c>
      <c r="H117">
        <v>502.16</v>
      </c>
      <c r="I117">
        <v>434.31</v>
      </c>
      <c r="J117">
        <v>373.32</v>
      </c>
      <c r="K117">
        <v>175.81</v>
      </c>
      <c r="L117">
        <v>212.13</v>
      </c>
      <c r="M117">
        <v>489.55</v>
      </c>
      <c r="N117">
        <v>447.81</v>
      </c>
      <c r="O117">
        <v>653.56367046666674</v>
      </c>
      <c r="P117">
        <v>668.26830746666656</v>
      </c>
      <c r="Q117">
        <v>1427.6290033333335</v>
      </c>
      <c r="R117">
        <v>2444.1469999999999</v>
      </c>
      <c r="S117">
        <v>570.57600000000002</v>
      </c>
      <c r="T117">
        <v>629.41466666666668</v>
      </c>
      <c r="U117">
        <v>658.44200000000001</v>
      </c>
      <c r="V117">
        <v>581.15086666666673</v>
      </c>
      <c r="W117">
        <v>796.45366666666666</v>
      </c>
      <c r="X117">
        <v>896.12666666666667</v>
      </c>
      <c r="Y117">
        <v>1061.2418666666667</v>
      </c>
      <c r="Z117">
        <v>749.82292699999994</v>
      </c>
      <c r="AA117">
        <v>1901.3</v>
      </c>
      <c r="AB117">
        <v>2809.9</v>
      </c>
      <c r="AC117">
        <v>2283</v>
      </c>
      <c r="AD117">
        <v>215.55</v>
      </c>
      <c r="AE117">
        <v>380.73</v>
      </c>
      <c r="AF117">
        <v>334.96</v>
      </c>
      <c r="AG117">
        <v>847.23</v>
      </c>
      <c r="AH117">
        <v>815.68</v>
      </c>
      <c r="AI117">
        <v>2771.7</v>
      </c>
      <c r="AJ117">
        <v>1839.2</v>
      </c>
      <c r="AK117">
        <v>2136.3000000000002</v>
      </c>
      <c r="AL117">
        <v>767.59</v>
      </c>
    </row>
    <row r="118" spans="1:38" x14ac:dyDescent="0.35">
      <c r="A118">
        <v>116</v>
      </c>
      <c r="B118" s="86" t="s">
        <v>2472</v>
      </c>
      <c r="C118">
        <v>1.3392999999999999</v>
      </c>
      <c r="D118">
        <v>1.4453</v>
      </c>
      <c r="E118">
        <v>4.3446999999999996</v>
      </c>
      <c r="F118">
        <v>14.628</v>
      </c>
      <c r="G118">
        <v>13.478</v>
      </c>
      <c r="H118">
        <v>30.439</v>
      </c>
      <c r="I118">
        <v>11.042999999999999</v>
      </c>
      <c r="J118">
        <v>14.416</v>
      </c>
      <c r="K118">
        <v>2.8347000000000002</v>
      </c>
      <c r="L118">
        <v>1.5869</v>
      </c>
      <c r="M118">
        <v>7.0084999999999997</v>
      </c>
      <c r="N118">
        <v>6.3182999999999998</v>
      </c>
      <c r="O118">
        <v>4.851375</v>
      </c>
      <c r="P118">
        <v>5.3970703333333327</v>
      </c>
      <c r="Q118">
        <v>8.4933799999999984</v>
      </c>
      <c r="R118">
        <v>12.669819999999998</v>
      </c>
      <c r="S118">
        <v>24.213799999999996</v>
      </c>
      <c r="T118">
        <v>30.327933333333334</v>
      </c>
      <c r="U118">
        <v>25.276499999999999</v>
      </c>
      <c r="V118">
        <v>16.378763333333335</v>
      </c>
      <c r="W118">
        <v>13.325366666666669</v>
      </c>
      <c r="X118">
        <v>10.528296666666668</v>
      </c>
      <c r="Y118">
        <v>9.343273333333336</v>
      </c>
      <c r="Z118">
        <v>6.6375980000000006</v>
      </c>
      <c r="AA118">
        <v>5.8814000000000002</v>
      </c>
      <c r="AB118">
        <v>5.5968</v>
      </c>
      <c r="AC118">
        <v>9.8609000000000009</v>
      </c>
      <c r="AD118">
        <v>22.312000000000001</v>
      </c>
      <c r="AE118">
        <v>54.447000000000003</v>
      </c>
      <c r="AF118">
        <v>47.286000000000001</v>
      </c>
      <c r="AG118">
        <v>18.245999999999999</v>
      </c>
      <c r="AH118">
        <v>16.338000000000001</v>
      </c>
      <c r="AI118">
        <v>22.14</v>
      </c>
      <c r="AJ118">
        <v>8.7484000000000002</v>
      </c>
      <c r="AK118">
        <v>9.1574000000000009</v>
      </c>
      <c r="AL118">
        <v>4.9587000000000003</v>
      </c>
    </row>
    <row r="119" spans="1:38" x14ac:dyDescent="0.35">
      <c r="A119">
        <v>117</v>
      </c>
      <c r="B119" s="86" t="s">
        <v>1520</v>
      </c>
      <c r="C119">
        <v>0</v>
      </c>
      <c r="D119">
        <v>5.7993000000000003E-3</v>
      </c>
      <c r="E119">
        <v>0.22064</v>
      </c>
      <c r="F119">
        <v>1.0669</v>
      </c>
      <c r="G119">
        <v>2.1463999999999999</v>
      </c>
      <c r="H119">
        <v>0.23144999999999999</v>
      </c>
      <c r="I119">
        <v>0.33073000000000002</v>
      </c>
      <c r="J119">
        <v>0.15816</v>
      </c>
      <c r="K119">
        <v>0.55962999999999996</v>
      </c>
      <c r="L119">
        <v>1.2375</v>
      </c>
      <c r="M119">
        <v>1.238</v>
      </c>
      <c r="N119">
        <v>0</v>
      </c>
      <c r="O119">
        <v>0.4579100333333333</v>
      </c>
      <c r="P119">
        <v>0.38220177666666666</v>
      </c>
      <c r="Q119">
        <v>0.74185926666666668</v>
      </c>
      <c r="R119">
        <v>1.6995690000000001</v>
      </c>
      <c r="S119">
        <v>3.8194266666666667</v>
      </c>
      <c r="T119">
        <v>2.3940116666666666</v>
      </c>
      <c r="U119">
        <v>0.72720799999999985</v>
      </c>
      <c r="V119">
        <v>0.4150623</v>
      </c>
      <c r="W119">
        <v>0.73915770000000003</v>
      </c>
      <c r="X119">
        <v>1.2981276999999998</v>
      </c>
      <c r="Y119">
        <v>1.1712327333333334</v>
      </c>
      <c r="Z119">
        <v>0.80004216666666672</v>
      </c>
      <c r="AA119">
        <v>0</v>
      </c>
      <c r="AB119">
        <v>0.78530999999999995</v>
      </c>
      <c r="AC119">
        <v>0.18214</v>
      </c>
      <c r="AD119">
        <v>0.50314000000000003</v>
      </c>
      <c r="AE119">
        <v>3.6469</v>
      </c>
      <c r="AF119">
        <v>6.7508999999999997</v>
      </c>
      <c r="AG119">
        <v>3.5987</v>
      </c>
      <c r="AH119">
        <v>0.15751000000000001</v>
      </c>
      <c r="AI119">
        <v>0.39992</v>
      </c>
      <c r="AJ119">
        <v>3.0988000000000002</v>
      </c>
      <c r="AK119">
        <v>0.52915999999999996</v>
      </c>
      <c r="AL119">
        <v>0.46983000000000003</v>
      </c>
    </row>
    <row r="120" spans="1:38" x14ac:dyDescent="0.35">
      <c r="A120">
        <v>118</v>
      </c>
      <c r="B120" s="86" t="s">
        <v>2710</v>
      </c>
    </row>
    <row r="121" spans="1:38" x14ac:dyDescent="0.35">
      <c r="A121">
        <v>119</v>
      </c>
      <c r="B121" s="88" t="s">
        <v>1889</v>
      </c>
      <c r="C121">
        <v>257.27</v>
      </c>
      <c r="D121">
        <v>73.751999999999995</v>
      </c>
      <c r="E121">
        <v>340.05</v>
      </c>
      <c r="F121">
        <v>425.96</v>
      </c>
      <c r="G121">
        <v>156.72999999999999</v>
      </c>
      <c r="H121">
        <v>251.36</v>
      </c>
      <c r="I121">
        <v>75.745000000000005</v>
      </c>
      <c r="J121">
        <v>66.358000000000004</v>
      </c>
      <c r="K121">
        <v>41.844999999999999</v>
      </c>
      <c r="L121">
        <v>864.76</v>
      </c>
      <c r="M121">
        <v>62.97</v>
      </c>
      <c r="N121">
        <v>921.17</v>
      </c>
      <c r="O121">
        <v>994.68970000000002</v>
      </c>
      <c r="P121">
        <v>964.60873333333336</v>
      </c>
      <c r="Q121">
        <v>416.73353666666662</v>
      </c>
      <c r="R121">
        <v>559.23866666666663</v>
      </c>
      <c r="S121">
        <v>452.83066666666656</v>
      </c>
      <c r="T121">
        <v>240.93553333333338</v>
      </c>
      <c r="U121">
        <v>117.41810666666667</v>
      </c>
      <c r="V121">
        <v>68.938003333333342</v>
      </c>
      <c r="W121">
        <v>110.51593333333335</v>
      </c>
      <c r="X121">
        <v>361.58983333333339</v>
      </c>
      <c r="Y121">
        <v>658.85837333333325</v>
      </c>
      <c r="Z121">
        <v>1102.9204666666665</v>
      </c>
      <c r="AA121">
        <v>2207.5</v>
      </c>
      <c r="AB121">
        <v>3977.4</v>
      </c>
      <c r="AC121">
        <v>1370.2</v>
      </c>
      <c r="AD121">
        <v>858.85</v>
      </c>
      <c r="AE121">
        <v>307.29000000000002</v>
      </c>
      <c r="AF121">
        <v>202.14</v>
      </c>
      <c r="AG121">
        <v>152.88999999999999</v>
      </c>
      <c r="AH121">
        <v>36.838000000000001</v>
      </c>
      <c r="AI121">
        <v>84.608000000000004</v>
      </c>
      <c r="AJ121">
        <v>784.96</v>
      </c>
      <c r="AK121">
        <v>574.54999999999995</v>
      </c>
      <c r="AL121">
        <v>688.7</v>
      </c>
    </row>
    <row r="122" spans="1:38" x14ac:dyDescent="0.35">
      <c r="A122">
        <v>120</v>
      </c>
      <c r="B122" s="86" t="s">
        <v>521</v>
      </c>
      <c r="C122">
        <v>0</v>
      </c>
      <c r="D122">
        <v>0.22264999999999999</v>
      </c>
      <c r="E122">
        <v>4.9673999999999996</v>
      </c>
      <c r="F122">
        <v>1.2341</v>
      </c>
      <c r="G122">
        <v>58.841999999999999</v>
      </c>
      <c r="H122">
        <v>33.146000000000001</v>
      </c>
      <c r="I122">
        <v>13.811</v>
      </c>
      <c r="J122">
        <v>4.1528</v>
      </c>
      <c r="K122">
        <v>3.3212999999999999</v>
      </c>
      <c r="L122">
        <v>15.420999999999999</v>
      </c>
      <c r="M122">
        <v>10.066000000000001</v>
      </c>
      <c r="N122">
        <v>0</v>
      </c>
      <c r="O122">
        <v>4.7624166666666669E-2</v>
      </c>
      <c r="P122">
        <v>0.19865166666666667</v>
      </c>
      <c r="Q122">
        <v>1.669363887</v>
      </c>
      <c r="R122">
        <v>5.2786763333333333</v>
      </c>
      <c r="S122">
        <v>44.295250000000003</v>
      </c>
      <c r="T122">
        <v>68.900166666666649</v>
      </c>
      <c r="U122">
        <v>42.624110000000002</v>
      </c>
      <c r="V122">
        <v>15.667133333333332</v>
      </c>
      <c r="W122">
        <v>20.740373333333331</v>
      </c>
      <c r="X122">
        <v>25.831029666666669</v>
      </c>
      <c r="Y122">
        <v>7.8396220000000003</v>
      </c>
      <c r="Z122">
        <v>1.5733613573333334</v>
      </c>
      <c r="AA122">
        <v>0</v>
      </c>
      <c r="AB122">
        <v>0</v>
      </c>
      <c r="AC122">
        <v>2.2433000000000001</v>
      </c>
      <c r="AD122">
        <v>15.119</v>
      </c>
      <c r="AE122">
        <v>43.56</v>
      </c>
      <c r="AF122">
        <v>88.641000000000005</v>
      </c>
      <c r="AG122">
        <v>121.98</v>
      </c>
      <c r="AH122">
        <v>64.444000000000003</v>
      </c>
      <c r="AI122">
        <v>4.2030000000000003</v>
      </c>
      <c r="AJ122">
        <v>32.198999999999998</v>
      </c>
      <c r="AK122">
        <v>0.87848999999999999</v>
      </c>
      <c r="AL122">
        <v>0</v>
      </c>
    </row>
    <row r="123" spans="1:38" x14ac:dyDescent="0.35">
      <c r="A123">
        <v>121</v>
      </c>
      <c r="B123" s="86" t="s">
        <v>2662</v>
      </c>
      <c r="C123">
        <v>0.87994000000000006</v>
      </c>
      <c r="D123">
        <v>46.046999999999997</v>
      </c>
      <c r="E123">
        <v>53.613999999999997</v>
      </c>
      <c r="F123">
        <v>129.04</v>
      </c>
      <c r="G123">
        <v>43.508000000000003</v>
      </c>
      <c r="H123">
        <v>16.39</v>
      </c>
      <c r="I123">
        <v>12.173</v>
      </c>
      <c r="J123">
        <v>7.5438000000000001</v>
      </c>
      <c r="K123">
        <v>4.8670999999999998</v>
      </c>
      <c r="L123">
        <v>2.1890999999999998</v>
      </c>
      <c r="M123">
        <v>3.4670999999999998</v>
      </c>
      <c r="N123">
        <v>65.206999999999994</v>
      </c>
      <c r="O123">
        <v>40.382217999999988</v>
      </c>
      <c r="P123">
        <v>41.273616333333337</v>
      </c>
      <c r="Q123">
        <v>59.939016666666674</v>
      </c>
      <c r="R123">
        <v>123.43866666666663</v>
      </c>
      <c r="S123">
        <v>112.58583333333333</v>
      </c>
      <c r="T123">
        <v>44.600433333333335</v>
      </c>
      <c r="U123">
        <v>18.105993333333327</v>
      </c>
      <c r="V123">
        <v>15.316766666666666</v>
      </c>
      <c r="W123">
        <v>37.595536666666675</v>
      </c>
      <c r="X123">
        <v>93.565443333333306</v>
      </c>
      <c r="Y123">
        <v>64.504729433333324</v>
      </c>
      <c r="Z123">
        <v>61.288056666666662</v>
      </c>
      <c r="AA123">
        <v>47.656999999999996</v>
      </c>
      <c r="AB123">
        <v>104.78</v>
      </c>
      <c r="AC123">
        <v>164.91</v>
      </c>
      <c r="AD123">
        <v>181.98</v>
      </c>
      <c r="AE123">
        <v>269.29000000000002</v>
      </c>
      <c r="AF123">
        <v>46.628999999999998</v>
      </c>
      <c r="AG123">
        <v>51.088999999999999</v>
      </c>
      <c r="AH123">
        <v>55.956000000000003</v>
      </c>
      <c r="AI123">
        <v>3.1282000000000001</v>
      </c>
      <c r="AJ123">
        <v>174.08</v>
      </c>
      <c r="AK123">
        <v>13.920999999999999</v>
      </c>
      <c r="AL123">
        <v>116.55</v>
      </c>
    </row>
    <row r="124" spans="1:38" x14ac:dyDescent="0.35">
      <c r="A124">
        <v>122</v>
      </c>
      <c r="B124" s="86" t="s">
        <v>2283</v>
      </c>
      <c r="C124">
        <v>0</v>
      </c>
      <c r="D124">
        <v>0.34782999999999997</v>
      </c>
      <c r="E124">
        <v>0.52529000000000003</v>
      </c>
      <c r="F124">
        <v>3.2290999999999999</v>
      </c>
      <c r="G124">
        <v>0.73407999999999995</v>
      </c>
      <c r="H124">
        <v>0.72167999999999999</v>
      </c>
      <c r="I124">
        <v>0.25169000000000002</v>
      </c>
      <c r="J124">
        <v>1.2962</v>
      </c>
      <c r="K124">
        <v>0.88073999999999997</v>
      </c>
      <c r="L124">
        <v>0.13020999999999999</v>
      </c>
      <c r="M124">
        <v>0.99502000000000002</v>
      </c>
      <c r="N124">
        <v>1.131</v>
      </c>
      <c r="O124">
        <v>0.84848296666666656</v>
      </c>
      <c r="P124">
        <v>0.94363246666666667</v>
      </c>
      <c r="Q124">
        <v>1.9524386666666667</v>
      </c>
      <c r="R124">
        <v>3.1752540000000002</v>
      </c>
      <c r="S124">
        <v>2.2728756666666667</v>
      </c>
      <c r="T124">
        <v>1.7297160000000003</v>
      </c>
      <c r="U124">
        <v>2.011393</v>
      </c>
      <c r="V124">
        <v>1.7532723333333333</v>
      </c>
      <c r="W124">
        <v>1.4900579999999999</v>
      </c>
      <c r="X124">
        <v>1.2254293999999999</v>
      </c>
      <c r="Y124">
        <v>1.4443716666666666</v>
      </c>
      <c r="Z124">
        <v>1.0062593333333334</v>
      </c>
      <c r="AA124">
        <v>1.1147</v>
      </c>
      <c r="AB124">
        <v>1.0936999999999999</v>
      </c>
      <c r="AC124">
        <v>6.2987000000000002</v>
      </c>
      <c r="AD124">
        <v>4.4645000000000001</v>
      </c>
      <c r="AE124">
        <v>1.0448999999999999</v>
      </c>
      <c r="AF124">
        <v>0.89259999999999995</v>
      </c>
      <c r="AG124">
        <v>3.1518000000000002</v>
      </c>
      <c r="AH124">
        <v>2.0537999999999998</v>
      </c>
      <c r="AI124">
        <v>2.3418999999999999</v>
      </c>
      <c r="AJ124">
        <v>3.2103000000000002</v>
      </c>
      <c r="AK124">
        <v>3.3620000000000001</v>
      </c>
      <c r="AL124">
        <v>0.64112999999999998</v>
      </c>
    </row>
    <row r="125" spans="1:38" x14ac:dyDescent="0.35">
      <c r="A125">
        <v>123</v>
      </c>
      <c r="B125" s="86" t="s">
        <v>2315</v>
      </c>
    </row>
    <row r="126" spans="1:38" x14ac:dyDescent="0.35">
      <c r="A126">
        <v>124</v>
      </c>
      <c r="B126" s="86" t="s">
        <v>2322</v>
      </c>
    </row>
    <row r="127" spans="1:38" x14ac:dyDescent="0.35">
      <c r="A127">
        <v>125</v>
      </c>
      <c r="B127" s="86" t="s">
        <v>2694</v>
      </c>
      <c r="C127">
        <v>2.5668E-2</v>
      </c>
      <c r="D127">
        <v>1.4824E-2</v>
      </c>
      <c r="E127">
        <v>1.0354E-2</v>
      </c>
      <c r="F127">
        <v>5.7676000000000003E-3</v>
      </c>
      <c r="G127">
        <v>3.7777000000000002E-3</v>
      </c>
      <c r="H127">
        <v>1.2863E-3</v>
      </c>
      <c r="I127">
        <v>1.4752999999999999E-3</v>
      </c>
      <c r="J127">
        <v>7.7287999999999999E-4</v>
      </c>
      <c r="K127">
        <v>1.6364E-2</v>
      </c>
      <c r="L127">
        <v>2.3605000000000001E-2</v>
      </c>
      <c r="M127">
        <v>1.9526999999999999E-2</v>
      </c>
      <c r="N127">
        <v>1.9095000000000001E-2</v>
      </c>
      <c r="O127">
        <v>2.7610436666666672E-2</v>
      </c>
      <c r="P127">
        <v>2.1555566666666668E-2</v>
      </c>
      <c r="Q127">
        <v>1.7926190000000002E-2</v>
      </c>
      <c r="R127">
        <v>9.3529200000000007E-3</v>
      </c>
      <c r="S127">
        <v>4.927686666666666E-3</v>
      </c>
      <c r="T127">
        <v>4.1811999999999995E-3</v>
      </c>
      <c r="U127">
        <v>3.0217806666666667E-3</v>
      </c>
      <c r="V127">
        <v>5.5412246666666663E-3</v>
      </c>
      <c r="W127">
        <v>1.0959134000000001E-2</v>
      </c>
      <c r="X127">
        <v>2.398842666666667E-2</v>
      </c>
      <c r="Y127">
        <v>2.7079533333333333E-2</v>
      </c>
      <c r="Z127">
        <v>2.9364200000000007E-2</v>
      </c>
      <c r="AA127">
        <v>3.6517000000000001E-2</v>
      </c>
      <c r="AB127">
        <v>2.3255000000000001E-2</v>
      </c>
      <c r="AC127">
        <v>3.8329000000000002E-2</v>
      </c>
      <c r="AD127">
        <v>1.7481E-2</v>
      </c>
      <c r="AE127">
        <v>2.1849E-3</v>
      </c>
      <c r="AF127">
        <v>1.8269E-3</v>
      </c>
      <c r="AG127">
        <v>1.5610000000000001E-3</v>
      </c>
      <c r="AH127">
        <v>2.2054000000000002E-3</v>
      </c>
      <c r="AI127">
        <v>1.4053E-2</v>
      </c>
      <c r="AJ127">
        <v>2.4213999999999999E-2</v>
      </c>
      <c r="AK127">
        <v>2.3990999999999998E-2</v>
      </c>
      <c r="AL127">
        <v>5.1887000000000003E-2</v>
      </c>
    </row>
    <row r="128" spans="1:38" x14ac:dyDescent="0.35">
      <c r="A128">
        <v>126</v>
      </c>
      <c r="B128" s="86" t="s">
        <v>2483</v>
      </c>
      <c r="C128">
        <v>2.6289E-4</v>
      </c>
      <c r="D128">
        <v>0</v>
      </c>
      <c r="E128">
        <v>0</v>
      </c>
      <c r="F128">
        <v>5.5659000000000004E-3</v>
      </c>
      <c r="G128">
        <v>2.8299000000000002E-3</v>
      </c>
      <c r="H128">
        <v>2.0720999999999999E-3</v>
      </c>
      <c r="I128">
        <v>1.902E-3</v>
      </c>
      <c r="J128">
        <v>1.4935E-3</v>
      </c>
      <c r="K128">
        <v>2.2690000000000002E-3</v>
      </c>
      <c r="L128">
        <v>1.157E-2</v>
      </c>
      <c r="M128">
        <v>1.0832E-2</v>
      </c>
      <c r="N128">
        <v>1.9502E-3</v>
      </c>
      <c r="O128">
        <v>3.9522026666666665E-3</v>
      </c>
      <c r="P128">
        <v>2.9345386666666667E-3</v>
      </c>
      <c r="Q128">
        <v>2.2874916666666668E-3</v>
      </c>
      <c r="R128">
        <v>4.2929496666666671E-3</v>
      </c>
      <c r="S128">
        <v>1.1753319999999999E-2</v>
      </c>
      <c r="T128">
        <v>9.3940986666666663E-3</v>
      </c>
      <c r="U128">
        <v>2.7903439999999993E-3</v>
      </c>
      <c r="V128">
        <v>3.6213240000000004E-3</v>
      </c>
      <c r="W128">
        <v>7.1597129999999998E-3</v>
      </c>
      <c r="X128">
        <v>8.6666013333333326E-3</v>
      </c>
      <c r="Y128">
        <v>8.3449433333333319E-3</v>
      </c>
      <c r="Z128">
        <v>7.5576520000000015E-3</v>
      </c>
      <c r="AA128">
        <v>1.6115000000000001E-2</v>
      </c>
      <c r="AB128">
        <v>0</v>
      </c>
      <c r="AC128">
        <v>2.0306999999999999E-3</v>
      </c>
      <c r="AD128">
        <v>4.2249999999999996E-3</v>
      </c>
      <c r="AE128">
        <v>1.6102999999999999E-2</v>
      </c>
      <c r="AF128">
        <v>1.6788999999999998E-2</v>
      </c>
      <c r="AG128">
        <v>6.1177000000000002E-3</v>
      </c>
      <c r="AH128">
        <v>2.9767000000000001E-3</v>
      </c>
      <c r="AI128">
        <v>9.6194000000000002E-3</v>
      </c>
      <c r="AJ128">
        <v>2.5958999999999999E-2</v>
      </c>
      <c r="AK128">
        <v>5.8814999999999996E-3</v>
      </c>
      <c r="AL128">
        <v>9.7970999999999996E-3</v>
      </c>
    </row>
    <row r="129" spans="1:38" x14ac:dyDescent="0.35">
      <c r="A129">
        <v>127</v>
      </c>
      <c r="B129" s="86" t="s">
        <v>2712</v>
      </c>
      <c r="C129">
        <v>2.5387000000000001E-4</v>
      </c>
      <c r="D129">
        <v>0</v>
      </c>
      <c r="E129">
        <v>0</v>
      </c>
      <c r="F129">
        <v>3.8037000000000001E-3</v>
      </c>
      <c r="G129">
        <v>2.4290000000000002E-3</v>
      </c>
      <c r="H129">
        <v>1.2478000000000001E-3</v>
      </c>
      <c r="I129">
        <v>1.0771999999999999E-3</v>
      </c>
      <c r="J129">
        <v>7.4381999999999996E-4</v>
      </c>
      <c r="K129">
        <v>2.6156999999999998E-4</v>
      </c>
      <c r="L129">
        <v>5.1986999999999997E-3</v>
      </c>
      <c r="M129">
        <v>5.0553000000000004E-3</v>
      </c>
      <c r="N129">
        <v>4.7423000000000002E-4</v>
      </c>
      <c r="O129">
        <v>1.2665676666666669E-3</v>
      </c>
      <c r="P129">
        <v>1.1791816666666664E-3</v>
      </c>
      <c r="Q129">
        <v>1.343470333333333E-3</v>
      </c>
      <c r="R129">
        <v>2.9840199999999996E-3</v>
      </c>
      <c r="S129">
        <v>9.7115633333333343E-3</v>
      </c>
      <c r="T129">
        <v>8.448282666666666E-3</v>
      </c>
      <c r="U129">
        <v>2.235201E-3</v>
      </c>
      <c r="V129">
        <v>1.8411809999999997E-3</v>
      </c>
      <c r="W129">
        <v>3.8491256666666664E-3</v>
      </c>
      <c r="X129">
        <v>4.7618486666666663E-3</v>
      </c>
      <c r="Y129">
        <v>4.1165580000000002E-3</v>
      </c>
      <c r="Z129">
        <v>3.3296263333333332E-3</v>
      </c>
      <c r="AA129">
        <v>4.348E-4</v>
      </c>
      <c r="AB129">
        <v>0</v>
      </c>
      <c r="AC129">
        <v>4.2683E-4</v>
      </c>
      <c r="AD129">
        <v>2.6521000000000001E-3</v>
      </c>
      <c r="AE129">
        <v>1.3625E-2</v>
      </c>
      <c r="AF129">
        <v>1.5082999999999999E-2</v>
      </c>
      <c r="AG129">
        <v>1.4343E-2</v>
      </c>
      <c r="AH129">
        <v>3.3167000000000001E-3</v>
      </c>
      <c r="AI129">
        <v>6.3818E-3</v>
      </c>
      <c r="AJ129">
        <v>1.1795E-2</v>
      </c>
      <c r="AK129">
        <v>3.9858000000000003E-3</v>
      </c>
      <c r="AL129">
        <v>2.2109999999999999E-3</v>
      </c>
    </row>
    <row r="130" spans="1:38" x14ac:dyDescent="0.35">
      <c r="A130">
        <v>128</v>
      </c>
      <c r="B130" s="86" t="s">
        <v>2677</v>
      </c>
      <c r="C130">
        <v>1.3815999999999999</v>
      </c>
      <c r="D130">
        <v>7.1554000000000002</v>
      </c>
      <c r="E130">
        <v>4.0098000000000003</v>
      </c>
      <c r="F130">
        <v>13.987</v>
      </c>
      <c r="G130">
        <v>1.1924999999999999</v>
      </c>
      <c r="H130">
        <v>3.4125000000000001</v>
      </c>
      <c r="I130">
        <v>0</v>
      </c>
      <c r="J130">
        <v>0</v>
      </c>
      <c r="K130">
        <v>0</v>
      </c>
      <c r="L130">
        <v>0.79617000000000004</v>
      </c>
      <c r="M130">
        <v>0.74192999999999998</v>
      </c>
      <c r="N130">
        <v>9.6519999999999995E-2</v>
      </c>
      <c r="O130">
        <v>32.998310000000004</v>
      </c>
      <c r="P130">
        <v>20.848083333333332</v>
      </c>
      <c r="Q130">
        <v>12.14297333333333</v>
      </c>
      <c r="R130">
        <v>8.7264383333333324</v>
      </c>
      <c r="S130">
        <v>4.8997112666666656</v>
      </c>
      <c r="T130">
        <v>1.4459515333333333</v>
      </c>
      <c r="U130">
        <v>0.19302720000000001</v>
      </c>
      <c r="V130">
        <v>0.78094053333333335</v>
      </c>
      <c r="W130">
        <v>1.4414581666666668</v>
      </c>
      <c r="X130">
        <v>7.6240472233333332</v>
      </c>
      <c r="Y130">
        <v>28.720950999999992</v>
      </c>
      <c r="Z130">
        <v>39.195828999999996</v>
      </c>
      <c r="AA130">
        <v>166.03</v>
      </c>
      <c r="AB130">
        <v>39.526000000000003</v>
      </c>
      <c r="AC130">
        <v>17.695</v>
      </c>
      <c r="AD130">
        <v>7.8727999999999998</v>
      </c>
      <c r="AE130">
        <v>39.247999999999998</v>
      </c>
      <c r="AF130">
        <v>0.36871999999999999</v>
      </c>
      <c r="AG130">
        <v>0</v>
      </c>
      <c r="AH130">
        <v>3.7263000000000002</v>
      </c>
      <c r="AI130">
        <v>6.2461000000000002</v>
      </c>
      <c r="AJ130">
        <v>4.7363999999999997</v>
      </c>
      <c r="AK130">
        <v>35.323999999999998</v>
      </c>
      <c r="AL130">
        <v>225.72</v>
      </c>
    </row>
    <row r="131" spans="1:38" x14ac:dyDescent="0.35">
      <c r="A131">
        <v>129</v>
      </c>
      <c r="B131" s="86" t="s">
        <v>2695</v>
      </c>
      <c r="C131">
        <v>0.26419999999999999</v>
      </c>
      <c r="D131">
        <v>0.50368999999999997</v>
      </c>
      <c r="E131">
        <v>0.15167</v>
      </c>
      <c r="F131">
        <v>0.16569999999999999</v>
      </c>
      <c r="G131">
        <v>0.13184999999999999</v>
      </c>
      <c r="H131">
        <v>3.5920000000000001E-2</v>
      </c>
      <c r="I131">
        <v>4.1243000000000002E-2</v>
      </c>
      <c r="J131">
        <v>5.1566000000000001E-2</v>
      </c>
      <c r="K131">
        <v>8.5195000000000007E-2</v>
      </c>
      <c r="L131">
        <v>0.59297</v>
      </c>
      <c r="M131">
        <v>0.66664000000000001</v>
      </c>
      <c r="N131">
        <v>0.21056</v>
      </c>
      <c r="O131">
        <v>0.56652819999999993</v>
      </c>
      <c r="P131">
        <v>0.43982689999999997</v>
      </c>
      <c r="Q131">
        <v>0.36537656666666668</v>
      </c>
      <c r="R131">
        <v>0.18827213333333334</v>
      </c>
      <c r="S131">
        <v>9.9688533333333329E-2</v>
      </c>
      <c r="T131">
        <v>8.3371533333333331E-2</v>
      </c>
      <c r="U131">
        <v>6.0444866666666673E-2</v>
      </c>
      <c r="V131">
        <v>0.10593086666666666</v>
      </c>
      <c r="W131">
        <v>0.2104239</v>
      </c>
      <c r="X131">
        <v>0.47658166666666668</v>
      </c>
      <c r="Y131">
        <v>0.56136566666666676</v>
      </c>
      <c r="Z131">
        <v>0.60690033333333337</v>
      </c>
      <c r="AA131">
        <v>0.45478000000000002</v>
      </c>
      <c r="AB131">
        <v>0.55208999999999997</v>
      </c>
      <c r="AC131">
        <v>0.24618999999999999</v>
      </c>
      <c r="AD131">
        <v>0.27363999999999999</v>
      </c>
      <c r="AE131">
        <v>7.1457000000000007E-2</v>
      </c>
      <c r="AF131">
        <v>0.11272</v>
      </c>
      <c r="AG131">
        <v>0.10929999999999999</v>
      </c>
      <c r="AH131">
        <v>0.10611</v>
      </c>
      <c r="AI131">
        <v>0.35283999999999999</v>
      </c>
      <c r="AJ131">
        <v>0.91500999999999999</v>
      </c>
      <c r="AK131">
        <v>0.99273999999999996</v>
      </c>
      <c r="AL131">
        <v>0.68764000000000003</v>
      </c>
    </row>
    <row r="132" spans="1:38" x14ac:dyDescent="0.35">
      <c r="A132">
        <v>130</v>
      </c>
      <c r="B132" s="86" t="s">
        <v>2458</v>
      </c>
      <c r="C132">
        <v>5.4366000000000003</v>
      </c>
      <c r="D132">
        <v>2.9218999999999999</v>
      </c>
      <c r="E132">
        <v>22.843</v>
      </c>
      <c r="F132">
        <v>23.92</v>
      </c>
      <c r="G132">
        <v>35.262999999999998</v>
      </c>
      <c r="H132">
        <v>8.8801000000000005</v>
      </c>
      <c r="I132">
        <v>3.9603999999999999</v>
      </c>
      <c r="J132">
        <v>2.5489000000000002</v>
      </c>
      <c r="K132">
        <v>1.2016</v>
      </c>
      <c r="L132">
        <v>0.78310999999999997</v>
      </c>
      <c r="M132">
        <v>1.2023999999999999</v>
      </c>
      <c r="N132">
        <v>43.674999999999997</v>
      </c>
      <c r="O132">
        <v>31.6922</v>
      </c>
      <c r="P132">
        <v>61.119403333333331</v>
      </c>
      <c r="Q132">
        <v>63.02596666666669</v>
      </c>
      <c r="R132">
        <v>58.974796666666677</v>
      </c>
      <c r="S132">
        <v>31.299500000000005</v>
      </c>
      <c r="T132">
        <v>18.361356666666666</v>
      </c>
      <c r="U132">
        <v>11.60909</v>
      </c>
      <c r="V132">
        <v>6.5311753333333336</v>
      </c>
      <c r="W132">
        <v>5.6933253333333331</v>
      </c>
      <c r="X132">
        <v>9.6065080000000016</v>
      </c>
      <c r="Y132">
        <v>25.809000000000001</v>
      </c>
      <c r="Z132">
        <v>44.814750999999987</v>
      </c>
      <c r="AA132">
        <v>72.817999999999998</v>
      </c>
      <c r="AB132">
        <v>97.878</v>
      </c>
      <c r="AC132">
        <v>38.481999999999999</v>
      </c>
      <c r="AD132">
        <v>74.843999999999994</v>
      </c>
      <c r="AE132">
        <v>59.66</v>
      </c>
      <c r="AF132">
        <v>15.917999999999999</v>
      </c>
      <c r="AG132">
        <v>12.257999999999999</v>
      </c>
      <c r="AH132">
        <v>9.9502000000000006</v>
      </c>
      <c r="AI132">
        <v>3.6379000000000001</v>
      </c>
      <c r="AJ132">
        <v>16.158000000000001</v>
      </c>
      <c r="AK132">
        <v>107.19</v>
      </c>
      <c r="AL132">
        <v>48.7</v>
      </c>
    </row>
    <row r="133" spans="1:38" x14ac:dyDescent="0.35">
      <c r="A133">
        <v>131</v>
      </c>
      <c r="B133" s="86" t="s">
        <v>2353</v>
      </c>
      <c r="C133">
        <v>0</v>
      </c>
      <c r="D133">
        <v>0</v>
      </c>
      <c r="E133">
        <v>3.1406000000000003E-2</v>
      </c>
      <c r="F133">
        <v>3.3147000000000002</v>
      </c>
      <c r="G133">
        <v>7.3364000000000003</v>
      </c>
      <c r="H133">
        <v>5.2878999999999996</v>
      </c>
      <c r="I133">
        <v>0.39849000000000001</v>
      </c>
      <c r="J133">
        <v>2.738</v>
      </c>
      <c r="K133">
        <v>0.56605000000000005</v>
      </c>
      <c r="L133">
        <v>0.14768999999999999</v>
      </c>
      <c r="M133">
        <v>1.6204000000000001</v>
      </c>
      <c r="N133">
        <v>0.13922000000000001</v>
      </c>
      <c r="O133">
        <v>0.36881703333333332</v>
      </c>
      <c r="P133">
        <v>0.19597896666666664</v>
      </c>
      <c r="Q133">
        <v>0.69010356666666683</v>
      </c>
      <c r="R133">
        <v>2.0904923333333332</v>
      </c>
      <c r="S133">
        <v>7.0281433333333352</v>
      </c>
      <c r="T133">
        <v>8.6639169999999996</v>
      </c>
      <c r="U133">
        <v>4.3662203333333345</v>
      </c>
      <c r="V133">
        <v>2.543857333333333</v>
      </c>
      <c r="W133">
        <v>3.0690526666666664</v>
      </c>
      <c r="X133">
        <v>2.8624445666666665</v>
      </c>
      <c r="Y133">
        <v>1.7501629999999997</v>
      </c>
      <c r="Z133">
        <v>1.0965457366666667</v>
      </c>
      <c r="AA133">
        <v>0.51600999999999997</v>
      </c>
      <c r="AB133">
        <v>0</v>
      </c>
      <c r="AC133">
        <v>0.27479999999999999</v>
      </c>
      <c r="AD133">
        <v>2.2610999999999999</v>
      </c>
      <c r="AE133">
        <v>11.333</v>
      </c>
      <c r="AF133">
        <v>13.843999999999999</v>
      </c>
      <c r="AG133">
        <v>3.5434000000000001</v>
      </c>
      <c r="AH133">
        <v>3.2881999999999998</v>
      </c>
      <c r="AI133">
        <v>4.6711</v>
      </c>
      <c r="AJ133">
        <v>2.8944999999999999</v>
      </c>
      <c r="AK133">
        <v>1.6805000000000001</v>
      </c>
      <c r="AL133">
        <v>1.6185</v>
      </c>
    </row>
    <row r="134" spans="1:38" x14ac:dyDescent="0.35">
      <c r="A134">
        <v>132</v>
      </c>
      <c r="B134" s="86" t="s">
        <v>2419</v>
      </c>
      <c r="C134">
        <v>0</v>
      </c>
      <c r="D134">
        <v>0</v>
      </c>
      <c r="E134">
        <v>3.5104999999999999E-4</v>
      </c>
      <c r="F134">
        <v>1.0264E-3</v>
      </c>
      <c r="G134">
        <v>8.1134999999999992E-3</v>
      </c>
      <c r="H134">
        <v>5.457E-3</v>
      </c>
      <c r="I134">
        <v>6.4628999999999999E-4</v>
      </c>
      <c r="J134">
        <v>1.4796000000000001E-4</v>
      </c>
      <c r="K134">
        <v>3.1330000000000003E-4</v>
      </c>
      <c r="L134">
        <v>9.5978000000000003E-4</v>
      </c>
      <c r="M134">
        <v>3.3019999999999999E-5</v>
      </c>
      <c r="N134">
        <v>0</v>
      </c>
      <c r="O134">
        <v>1.159411E-4</v>
      </c>
      <c r="P134">
        <v>6.2996273333333335E-5</v>
      </c>
      <c r="Q134">
        <v>1.2412893333333335E-4</v>
      </c>
      <c r="R134">
        <v>8.2230073666666667E-4</v>
      </c>
      <c r="S134">
        <v>7.4712033333333315E-3</v>
      </c>
      <c r="T134">
        <v>9.4269286666666657E-3</v>
      </c>
      <c r="U134">
        <v>1.9372329999999998E-3</v>
      </c>
      <c r="V134">
        <v>1.9119036666666671E-3</v>
      </c>
      <c r="W134">
        <v>2.9612723333333332E-3</v>
      </c>
      <c r="X134">
        <v>3.4260203333333341E-3</v>
      </c>
      <c r="Y134">
        <v>1.8364393333333334E-3</v>
      </c>
      <c r="Z134">
        <v>8.4912366666666655E-4</v>
      </c>
      <c r="AA134">
        <v>0</v>
      </c>
      <c r="AB134">
        <v>0</v>
      </c>
      <c r="AC134">
        <v>0</v>
      </c>
      <c r="AD134">
        <v>5.7328000000000001E-4</v>
      </c>
      <c r="AE134">
        <v>1.3257E-2</v>
      </c>
      <c r="AF134">
        <v>1.2147E-2</v>
      </c>
      <c r="AG134">
        <v>6.9324E-3</v>
      </c>
      <c r="AH134">
        <v>4.4577000000000001E-4</v>
      </c>
      <c r="AI134">
        <v>4.9714E-3</v>
      </c>
      <c r="AJ134">
        <v>7.5959E-3</v>
      </c>
      <c r="AK134">
        <v>1.1195000000000001E-3</v>
      </c>
      <c r="AL134">
        <v>5.3105000000000003E-4</v>
      </c>
    </row>
    <row r="135" spans="1:38" x14ac:dyDescent="0.35">
      <c r="A135">
        <v>133</v>
      </c>
      <c r="B135" s="86" t="s">
        <v>2309</v>
      </c>
      <c r="C135">
        <v>40.058</v>
      </c>
      <c r="D135">
        <v>20.707000000000001</v>
      </c>
      <c r="E135">
        <v>18.898</v>
      </c>
      <c r="F135">
        <v>49.390999999999998</v>
      </c>
      <c r="G135">
        <v>12.254</v>
      </c>
      <c r="H135">
        <v>7.1467000000000001</v>
      </c>
      <c r="I135">
        <v>0.48499999999999999</v>
      </c>
      <c r="J135">
        <v>4.3810000000000002</v>
      </c>
      <c r="K135">
        <v>7.7525000000000004</v>
      </c>
      <c r="L135">
        <v>33.753999999999998</v>
      </c>
      <c r="M135">
        <v>25.635000000000002</v>
      </c>
      <c r="N135">
        <v>115.61</v>
      </c>
      <c r="O135">
        <v>101.82268616333332</v>
      </c>
      <c r="P135">
        <v>94.26746</v>
      </c>
      <c r="Q135">
        <v>37.665156666666661</v>
      </c>
      <c r="R135">
        <v>42.900280000000009</v>
      </c>
      <c r="S135">
        <v>28.013120666666666</v>
      </c>
      <c r="T135">
        <v>9.7421433333333329</v>
      </c>
      <c r="U135">
        <v>2.6961018833333337</v>
      </c>
      <c r="V135">
        <v>1.5760949999999998</v>
      </c>
      <c r="W135">
        <v>10.161098333333335</v>
      </c>
      <c r="X135">
        <v>48.543904999999981</v>
      </c>
      <c r="Y135">
        <v>68.197987333333344</v>
      </c>
      <c r="Z135">
        <v>118.64366666666668</v>
      </c>
      <c r="AA135">
        <v>113.03</v>
      </c>
      <c r="AB135">
        <v>276.51</v>
      </c>
      <c r="AC135">
        <v>71.231999999999999</v>
      </c>
      <c r="AD135">
        <v>47.985999999999997</v>
      </c>
      <c r="AE135">
        <v>34.808</v>
      </c>
      <c r="AF135">
        <v>9.0876000000000001</v>
      </c>
      <c r="AG135">
        <v>2.7345000000000001E-2</v>
      </c>
      <c r="AH135">
        <v>0</v>
      </c>
      <c r="AI135">
        <v>0.97655000000000003</v>
      </c>
      <c r="AJ135">
        <v>0.88449999999999995</v>
      </c>
      <c r="AK135">
        <v>0.80362</v>
      </c>
      <c r="AL135">
        <v>397.05</v>
      </c>
    </row>
    <row r="136" spans="1:38" x14ac:dyDescent="0.35">
      <c r="A136">
        <v>134</v>
      </c>
      <c r="B136" s="86" t="s">
        <v>2663</v>
      </c>
      <c r="C136">
        <v>0</v>
      </c>
      <c r="D136">
        <v>0</v>
      </c>
      <c r="E136">
        <v>0</v>
      </c>
      <c r="F136">
        <v>1.6356999999999999E-3</v>
      </c>
      <c r="G136">
        <v>3.4629000000000001E-3</v>
      </c>
      <c r="H136">
        <v>1.8123E-3</v>
      </c>
      <c r="I136">
        <v>1.2634E-3</v>
      </c>
      <c r="J136">
        <v>6.3836999999999997E-4</v>
      </c>
      <c r="K136">
        <v>1.0269000000000001E-3</v>
      </c>
      <c r="L136">
        <v>2.1294999999999999E-3</v>
      </c>
      <c r="M136">
        <v>8.5550000000000003E-4</v>
      </c>
      <c r="N136">
        <v>0</v>
      </c>
      <c r="O136">
        <v>3.4099333333333334E-5</v>
      </c>
      <c r="P136">
        <v>4.885566666666666E-5</v>
      </c>
      <c r="Q136">
        <v>1.7427370000000004E-4</v>
      </c>
      <c r="R136">
        <v>5.8665489999999991E-4</v>
      </c>
      <c r="S136">
        <v>5.4891066666666651E-3</v>
      </c>
      <c r="T136">
        <v>7.1593833333333332E-3</v>
      </c>
      <c r="U136">
        <v>1.7468186666666668E-3</v>
      </c>
      <c r="V136">
        <v>1.2587326666666666E-3</v>
      </c>
      <c r="W136">
        <v>1.9386736666666669E-3</v>
      </c>
      <c r="X136">
        <v>2.0973326666666667E-3</v>
      </c>
      <c r="Y136">
        <v>6.6855333333333327E-4</v>
      </c>
      <c r="Z136">
        <v>3.0433190000000001E-4</v>
      </c>
      <c r="AA136">
        <v>0</v>
      </c>
      <c r="AB136">
        <v>0</v>
      </c>
      <c r="AC136">
        <v>0</v>
      </c>
      <c r="AD136">
        <v>1.9888999999999999E-4</v>
      </c>
      <c r="AE136">
        <v>7.6851999999999997E-3</v>
      </c>
      <c r="AF136">
        <v>8.1361000000000003E-3</v>
      </c>
      <c r="AG136">
        <v>7.6835999999999996E-3</v>
      </c>
      <c r="AH136">
        <v>1.4442999999999999E-3</v>
      </c>
      <c r="AI136">
        <v>3.1208E-3</v>
      </c>
      <c r="AJ136">
        <v>4.7317000000000001E-3</v>
      </c>
      <c r="AK136">
        <v>7.2325000000000004E-4</v>
      </c>
      <c r="AL136">
        <v>1.2341000000000001E-4</v>
      </c>
    </row>
    <row r="137" spans="1:38" x14ac:dyDescent="0.35">
      <c r="A137">
        <v>135</v>
      </c>
      <c r="B137" s="86" t="s">
        <v>2431</v>
      </c>
      <c r="C137">
        <v>0</v>
      </c>
      <c r="D137">
        <v>1.1223E-2</v>
      </c>
      <c r="E137">
        <v>0.30577599999999999</v>
      </c>
      <c r="F137">
        <v>0.10833</v>
      </c>
      <c r="G137">
        <v>2.9823</v>
      </c>
      <c r="H137">
        <v>0</v>
      </c>
      <c r="I137">
        <v>0</v>
      </c>
      <c r="J137">
        <v>5.1980000000000026E-2</v>
      </c>
      <c r="K137">
        <v>7.0620000000000016E-2</v>
      </c>
      <c r="L137">
        <v>0.98101999999999989</v>
      </c>
      <c r="M137">
        <v>0.95216999999999996</v>
      </c>
      <c r="N137">
        <v>0</v>
      </c>
      <c r="O137">
        <v>4.2225736666666666E-3</v>
      </c>
      <c r="P137">
        <v>1.5857933333333334E-2</v>
      </c>
      <c r="Q137">
        <v>0.13250416566666667</v>
      </c>
      <c r="R137">
        <v>0.3772622667733333</v>
      </c>
      <c r="S137">
        <v>2.7357490666666662</v>
      </c>
      <c r="T137">
        <v>3.0697566666666667</v>
      </c>
      <c r="U137">
        <v>0.83519233333333331</v>
      </c>
      <c r="V137">
        <v>0.259272</v>
      </c>
      <c r="W137">
        <v>0.9118896666666666</v>
      </c>
      <c r="X137">
        <v>1.378960433333333</v>
      </c>
      <c r="Y137">
        <v>0.51410184066666653</v>
      </c>
      <c r="Z137">
        <v>8.7910082866666656E-2</v>
      </c>
      <c r="AA137">
        <v>0</v>
      </c>
      <c r="AB137">
        <v>0</v>
      </c>
      <c r="AC137">
        <v>0.2122</v>
      </c>
      <c r="AD137">
        <v>1.3433999999999999</v>
      </c>
      <c r="AE137">
        <v>3.4406400000000001</v>
      </c>
      <c r="AF137">
        <v>4.3410000000000002</v>
      </c>
      <c r="AG137">
        <v>5.1881999999999993</v>
      </c>
      <c r="AH137">
        <v>0.9018000000000006</v>
      </c>
      <c r="AI137">
        <v>0</v>
      </c>
      <c r="AJ137">
        <v>2.2513700000000001</v>
      </c>
      <c r="AK137">
        <v>0</v>
      </c>
      <c r="AL137">
        <v>0</v>
      </c>
    </row>
    <row r="138" spans="1:38" x14ac:dyDescent="0.35">
      <c r="A138">
        <v>136</v>
      </c>
      <c r="B138" s="86" t="s">
        <v>2736</v>
      </c>
      <c r="C138">
        <v>7.7413999999999998E-4</v>
      </c>
      <c r="D138">
        <v>0</v>
      </c>
      <c r="E138">
        <v>0</v>
      </c>
      <c r="F138">
        <v>4.1609999999999998E-3</v>
      </c>
      <c r="G138">
        <v>1.835E-3</v>
      </c>
      <c r="H138">
        <v>1.5365999999999999E-3</v>
      </c>
      <c r="I138">
        <v>1.2704999999999999E-3</v>
      </c>
      <c r="J138">
        <v>7.9823999999999997E-4</v>
      </c>
      <c r="K138">
        <v>1.8338E-3</v>
      </c>
      <c r="L138">
        <v>4.9163000000000002E-3</v>
      </c>
      <c r="M138">
        <v>4.5360000000000001E-3</v>
      </c>
      <c r="N138">
        <v>7.0518000000000002E-4</v>
      </c>
      <c r="O138">
        <v>1.623950333333333E-3</v>
      </c>
      <c r="P138">
        <v>1.5364880000000001E-3</v>
      </c>
      <c r="Q138">
        <v>1.8258040000000001E-3</v>
      </c>
      <c r="R138">
        <v>3.2336826666666666E-3</v>
      </c>
      <c r="S138">
        <v>9.718379999999997E-3</v>
      </c>
      <c r="T138">
        <v>5.247628333333333E-3</v>
      </c>
      <c r="U138">
        <v>1.5846719999999999E-3</v>
      </c>
      <c r="V138">
        <v>1.9387743333333333E-3</v>
      </c>
      <c r="W138">
        <v>4.4415083333333343E-3</v>
      </c>
      <c r="X138">
        <v>5.0307346666666666E-3</v>
      </c>
      <c r="Y138">
        <v>4.2684339999999998E-3</v>
      </c>
      <c r="Z138">
        <v>3.3424746666666665E-3</v>
      </c>
      <c r="AA138">
        <v>2.8942999999999998E-3</v>
      </c>
      <c r="AB138">
        <v>0</v>
      </c>
      <c r="AC138">
        <v>6.3356000000000003E-4</v>
      </c>
      <c r="AD138">
        <v>3.3482E-3</v>
      </c>
      <c r="AE138">
        <v>1.2668E-2</v>
      </c>
      <c r="AF138">
        <v>1.4612999999999999E-2</v>
      </c>
      <c r="AG138">
        <v>1.1797999999999999E-2</v>
      </c>
      <c r="AH138">
        <v>3.2076000000000001E-3</v>
      </c>
      <c r="AI138">
        <v>6.1789999999999996E-3</v>
      </c>
      <c r="AJ138">
        <v>1.2311000000000001E-2</v>
      </c>
      <c r="AK138">
        <v>4.9791000000000002E-3</v>
      </c>
      <c r="AL138">
        <v>2.4137E-3</v>
      </c>
    </row>
    <row r="139" spans="1:38" x14ac:dyDescent="0.35">
      <c r="A139">
        <v>137</v>
      </c>
      <c r="B139" s="86" t="s">
        <v>2083</v>
      </c>
      <c r="C139">
        <v>0.49865999999999999</v>
      </c>
      <c r="D139">
        <v>2.4386999999999999</v>
      </c>
      <c r="E139">
        <v>5.3878000000000004</v>
      </c>
      <c r="F139">
        <v>6.4752999999999998</v>
      </c>
      <c r="G139">
        <v>1.2316</v>
      </c>
      <c r="H139">
        <v>0.67586000000000002</v>
      </c>
      <c r="I139">
        <v>0.66671999999999998</v>
      </c>
      <c r="J139">
        <v>0.47294999999999998</v>
      </c>
      <c r="K139">
        <v>0.29925000000000002</v>
      </c>
      <c r="L139">
        <v>0.17993999999999999</v>
      </c>
      <c r="M139">
        <v>0.1331</v>
      </c>
      <c r="N139">
        <v>2.6459000000000001</v>
      </c>
      <c r="O139">
        <v>3.1074229999999994</v>
      </c>
      <c r="P139">
        <v>3.5692082333333337</v>
      </c>
      <c r="Q139">
        <v>4.5624213333333339</v>
      </c>
      <c r="R139">
        <v>7.4270180000000003</v>
      </c>
      <c r="S139">
        <v>5.7396553333333333</v>
      </c>
      <c r="T139">
        <v>2.3185813333333343</v>
      </c>
      <c r="U139">
        <v>1.540380666666666</v>
      </c>
      <c r="V139">
        <v>0.90520499999999982</v>
      </c>
      <c r="W139">
        <v>1.9922133333333332</v>
      </c>
      <c r="X139">
        <v>4.0761286666666665</v>
      </c>
      <c r="Y139">
        <v>4.6600974666666666</v>
      </c>
      <c r="Z139">
        <v>4.3594853333333337</v>
      </c>
      <c r="AA139">
        <v>0.76900999999999997</v>
      </c>
      <c r="AB139">
        <v>10.166</v>
      </c>
      <c r="AC139">
        <v>11.057</v>
      </c>
      <c r="AD139">
        <v>11.909000000000001</v>
      </c>
      <c r="AE139">
        <v>6.5852000000000004</v>
      </c>
      <c r="AF139">
        <v>1.6514</v>
      </c>
      <c r="AG139">
        <v>2.9590000000000001</v>
      </c>
      <c r="AH139">
        <v>1.2014</v>
      </c>
      <c r="AI139">
        <v>0.25278</v>
      </c>
      <c r="AJ139">
        <v>4.7687999999999997</v>
      </c>
      <c r="AK139">
        <v>2.8515999999999999</v>
      </c>
      <c r="AL139">
        <v>8.4460999999999995</v>
      </c>
    </row>
    <row r="140" spans="1:38" x14ac:dyDescent="0.35">
      <c r="A140">
        <v>138</v>
      </c>
      <c r="B140" s="86" t="s">
        <v>2154</v>
      </c>
      <c r="C140">
        <v>1.3724000000000001E-4</v>
      </c>
      <c r="D140">
        <v>0</v>
      </c>
      <c r="E140">
        <v>0</v>
      </c>
      <c r="F140">
        <v>3.3072000000000002E-3</v>
      </c>
      <c r="G140">
        <v>1.7183000000000001E-3</v>
      </c>
      <c r="H140">
        <v>9.4675E-4</v>
      </c>
      <c r="I140">
        <v>7.2705000000000003E-4</v>
      </c>
      <c r="J140">
        <v>6.4400999999999998E-4</v>
      </c>
      <c r="K140">
        <v>3.1387E-4</v>
      </c>
      <c r="L140">
        <v>2.5588E-3</v>
      </c>
      <c r="M140">
        <v>2.6167E-3</v>
      </c>
      <c r="N140">
        <v>1.6008999999999999E-4</v>
      </c>
      <c r="O140">
        <v>5.6197800000000009E-4</v>
      </c>
      <c r="P140">
        <v>7.0348900000000007E-4</v>
      </c>
      <c r="Q140">
        <v>1.1023267000000003E-3</v>
      </c>
      <c r="R140">
        <v>2.2935173333333328E-3</v>
      </c>
      <c r="S140">
        <v>7.9652766666666666E-3</v>
      </c>
      <c r="T140">
        <v>3.2271770000000012E-3</v>
      </c>
      <c r="U140">
        <v>9.6995533333333337E-4</v>
      </c>
      <c r="V140">
        <v>1.0555453333333333E-3</v>
      </c>
      <c r="W140">
        <v>1.916463E-3</v>
      </c>
      <c r="X140">
        <v>2.7612903333333332E-3</v>
      </c>
      <c r="Y140">
        <v>1.9818959999999999E-3</v>
      </c>
      <c r="Z140">
        <v>1.6044856666666669E-3</v>
      </c>
      <c r="AA140">
        <v>0</v>
      </c>
      <c r="AB140">
        <v>0</v>
      </c>
      <c r="AC140">
        <v>3.4798000000000001E-4</v>
      </c>
      <c r="AD140">
        <v>2.6805000000000002E-3</v>
      </c>
      <c r="AE140">
        <v>1.2938E-2</v>
      </c>
      <c r="AF140">
        <v>1.2730999999999999E-2</v>
      </c>
      <c r="AG140">
        <v>9.2652000000000001E-4</v>
      </c>
      <c r="AH140">
        <v>7.4111999999999995E-4</v>
      </c>
      <c r="AI140">
        <v>3.9709000000000003E-3</v>
      </c>
      <c r="AJ140">
        <v>5.6334999999999996E-3</v>
      </c>
      <c r="AK140">
        <v>1.5272E-3</v>
      </c>
      <c r="AL140">
        <v>7.2090000000000001E-4</v>
      </c>
    </row>
    <row r="141" spans="1:38" x14ac:dyDescent="0.35">
      <c r="A141">
        <v>139</v>
      </c>
      <c r="B141" s="86" t="s">
        <v>2078</v>
      </c>
      <c r="C141">
        <v>4.8493000000000001E-2</v>
      </c>
      <c r="D141">
        <v>2.5477E-2</v>
      </c>
      <c r="E141">
        <v>1.6889999999999999E-2</v>
      </c>
      <c r="F141">
        <v>2.9405E-3</v>
      </c>
      <c r="G141">
        <v>8.4218999999999995E-3</v>
      </c>
      <c r="H141">
        <v>1.2606E-3</v>
      </c>
      <c r="I141">
        <v>4.8032999999999999E-3</v>
      </c>
      <c r="J141">
        <v>1.2722E-3</v>
      </c>
      <c r="K141">
        <v>3.4534000000000001E-3</v>
      </c>
      <c r="L141">
        <v>5.0343000000000002E-3</v>
      </c>
      <c r="M141">
        <v>3.6539000000000002E-2</v>
      </c>
      <c r="N141">
        <v>4.1332000000000001E-2</v>
      </c>
      <c r="O141">
        <v>7.1112066666666668E-2</v>
      </c>
      <c r="P141">
        <v>4.5743873333333337E-2</v>
      </c>
      <c r="Q141">
        <v>4.2480413333333335E-2</v>
      </c>
      <c r="R141">
        <v>2.4244993333333333E-2</v>
      </c>
      <c r="S141">
        <v>1.5441133333333331E-2</v>
      </c>
      <c r="T141">
        <v>1.3949793333333332E-2</v>
      </c>
      <c r="U141">
        <v>1.2399993333333331E-2</v>
      </c>
      <c r="V141">
        <v>6.7411443333333342E-3</v>
      </c>
      <c r="W141">
        <v>1.0796173333333332E-2</v>
      </c>
      <c r="X141">
        <v>2.9257583333333337E-2</v>
      </c>
      <c r="Y141">
        <v>3.5434177666666664E-2</v>
      </c>
      <c r="Z141">
        <v>6.4642916666666675E-2</v>
      </c>
      <c r="AA141">
        <v>7.9909999999999995E-2</v>
      </c>
      <c r="AB141">
        <v>2.5672E-2</v>
      </c>
      <c r="AC141">
        <v>7.3215000000000002E-2</v>
      </c>
      <c r="AD141">
        <v>2.3969000000000001E-2</v>
      </c>
      <c r="AE141">
        <v>1.6028000000000001E-2</v>
      </c>
      <c r="AF141">
        <v>2.1706E-2</v>
      </c>
      <c r="AG141">
        <v>1.5488999999999999E-2</v>
      </c>
      <c r="AH141">
        <v>1.1162999999999999E-2</v>
      </c>
      <c r="AI141">
        <v>3.5131000000000003E-2</v>
      </c>
      <c r="AJ141">
        <v>0.10561</v>
      </c>
      <c r="AK141">
        <v>3.7541999999999999E-2</v>
      </c>
      <c r="AL141">
        <v>7.6422000000000004E-2</v>
      </c>
    </row>
    <row r="142" spans="1:38" x14ac:dyDescent="0.35">
      <c r="A142">
        <v>140</v>
      </c>
      <c r="B142" s="86" t="s">
        <v>2077</v>
      </c>
      <c r="C142">
        <v>9.6985000000000005E-3</v>
      </c>
      <c r="D142">
        <v>5.0953999999999999E-3</v>
      </c>
      <c r="E142">
        <v>3.3779999999999999E-3</v>
      </c>
      <c r="F142">
        <v>5.8810000000000004E-4</v>
      </c>
      <c r="G142">
        <v>1.6844E-3</v>
      </c>
      <c r="H142">
        <v>2.5212999999999999E-4</v>
      </c>
      <c r="I142">
        <v>9.6066000000000001E-4</v>
      </c>
      <c r="J142">
        <v>2.5443999999999998E-4</v>
      </c>
      <c r="K142">
        <v>6.9068000000000005E-4</v>
      </c>
      <c r="L142">
        <v>1.0069E-3</v>
      </c>
      <c r="M142">
        <v>7.3077000000000003E-3</v>
      </c>
      <c r="N142">
        <v>8.2664000000000001E-3</v>
      </c>
      <c r="O142">
        <v>1.4222389999999996E-2</v>
      </c>
      <c r="P142">
        <v>9.1488249999999993E-3</v>
      </c>
      <c r="Q142">
        <v>8.4960573333333327E-3</v>
      </c>
      <c r="R142">
        <v>4.8489649999999994E-3</v>
      </c>
      <c r="S142">
        <v>3.0882399999999995E-3</v>
      </c>
      <c r="T142">
        <v>2.7899276666666665E-3</v>
      </c>
      <c r="U142">
        <v>2.4799996666666664E-3</v>
      </c>
      <c r="V142">
        <v>1.3482356666666669E-3</v>
      </c>
      <c r="W142">
        <v>2.1592300000000003E-3</v>
      </c>
      <c r="X142">
        <v>5.851616666666665E-3</v>
      </c>
      <c r="Y142">
        <v>7.0868225666666663E-3</v>
      </c>
      <c r="Z142">
        <v>1.2928545E-2</v>
      </c>
      <c r="AA142">
        <v>1.5982E-2</v>
      </c>
      <c r="AB142">
        <v>5.1342999999999996E-3</v>
      </c>
      <c r="AC142">
        <v>1.4643E-2</v>
      </c>
      <c r="AD142">
        <v>4.7939000000000002E-3</v>
      </c>
      <c r="AE142">
        <v>3.2055999999999999E-3</v>
      </c>
      <c r="AF142">
        <v>4.3411999999999999E-3</v>
      </c>
      <c r="AG142">
        <v>3.0977999999999999E-3</v>
      </c>
      <c r="AH142">
        <v>2.2326999999999998E-3</v>
      </c>
      <c r="AI142">
        <v>7.0261000000000004E-3</v>
      </c>
      <c r="AJ142">
        <v>2.1122999999999999E-2</v>
      </c>
      <c r="AK142">
        <v>7.5085000000000004E-3</v>
      </c>
      <c r="AL142">
        <v>1.5284000000000001E-2</v>
      </c>
    </row>
    <row r="143" spans="1:38" x14ac:dyDescent="0.35">
      <c r="A143">
        <v>141</v>
      </c>
      <c r="B143" s="86" t="s">
        <v>2157</v>
      </c>
      <c r="C143">
        <v>7.7413999999999998E-4</v>
      </c>
      <c r="D143">
        <v>0</v>
      </c>
      <c r="E143">
        <v>0</v>
      </c>
      <c r="F143">
        <v>4.1609999999999998E-3</v>
      </c>
      <c r="G143">
        <v>1.835E-3</v>
      </c>
      <c r="H143">
        <v>1.5365999999999999E-3</v>
      </c>
      <c r="I143">
        <v>1.2704999999999999E-3</v>
      </c>
      <c r="J143">
        <v>7.9823999999999997E-4</v>
      </c>
      <c r="K143">
        <v>1.8338E-3</v>
      </c>
      <c r="L143">
        <v>4.9163000000000002E-3</v>
      </c>
      <c r="M143">
        <v>4.5360000000000001E-3</v>
      </c>
      <c r="N143">
        <v>7.0518000000000002E-4</v>
      </c>
      <c r="O143">
        <v>1.623950333333333E-3</v>
      </c>
      <c r="P143">
        <v>1.5364880000000001E-3</v>
      </c>
      <c r="Q143">
        <v>1.8258040000000001E-3</v>
      </c>
      <c r="R143">
        <v>3.2336826666666666E-3</v>
      </c>
      <c r="S143">
        <v>9.718379999999997E-3</v>
      </c>
      <c r="T143">
        <v>5.247628333333333E-3</v>
      </c>
      <c r="U143">
        <v>1.5846719999999999E-3</v>
      </c>
      <c r="V143">
        <v>1.9387743333333333E-3</v>
      </c>
      <c r="W143">
        <v>4.4415083333333343E-3</v>
      </c>
      <c r="X143">
        <v>5.0307346666666666E-3</v>
      </c>
      <c r="Y143">
        <v>4.2684339999999998E-3</v>
      </c>
      <c r="Z143">
        <v>3.3424746666666665E-3</v>
      </c>
      <c r="AA143">
        <v>2.8942999999999998E-3</v>
      </c>
      <c r="AB143">
        <v>0</v>
      </c>
      <c r="AC143">
        <v>6.3356000000000003E-4</v>
      </c>
      <c r="AD143">
        <v>3.3482E-3</v>
      </c>
      <c r="AE143">
        <v>1.2668E-2</v>
      </c>
      <c r="AF143">
        <v>1.4612999999999999E-2</v>
      </c>
      <c r="AG143">
        <v>1.1797999999999999E-2</v>
      </c>
      <c r="AH143">
        <v>3.2076000000000001E-3</v>
      </c>
      <c r="AI143">
        <v>6.1789999999999996E-3</v>
      </c>
      <c r="AJ143">
        <v>1.2311000000000001E-2</v>
      </c>
      <c r="AK143">
        <v>4.9791000000000002E-3</v>
      </c>
      <c r="AL143">
        <v>2.4137E-3</v>
      </c>
    </row>
    <row r="144" spans="1:38" x14ac:dyDescent="0.35">
      <c r="A144">
        <v>142</v>
      </c>
      <c r="B144" s="86" t="s">
        <v>2271</v>
      </c>
      <c r="C144">
        <v>0.27272000000000002</v>
      </c>
      <c r="D144">
        <v>2.3329</v>
      </c>
      <c r="E144">
        <v>0.45935999999999999</v>
      </c>
      <c r="F144">
        <v>1.1278999999999999</v>
      </c>
      <c r="G144">
        <v>0.82164000000000004</v>
      </c>
      <c r="H144">
        <v>0.81381000000000003</v>
      </c>
      <c r="I144">
        <v>0.69333999999999996</v>
      </c>
      <c r="J144">
        <v>0.32131999999999999</v>
      </c>
      <c r="K144">
        <v>0.40742</v>
      </c>
      <c r="L144">
        <v>0.22871</v>
      </c>
      <c r="M144">
        <v>4.6179999999999999E-2</v>
      </c>
      <c r="N144">
        <v>2.2189999999999999</v>
      </c>
      <c r="O144">
        <v>0.7014408333333334</v>
      </c>
      <c r="P144">
        <v>1.1220015666666667</v>
      </c>
      <c r="Q144">
        <v>2.5625123333333337</v>
      </c>
      <c r="R144">
        <v>3.6724699999999997</v>
      </c>
      <c r="S144">
        <v>2.1543466666666671</v>
      </c>
      <c r="T144">
        <v>2.0620689999999997</v>
      </c>
      <c r="U144">
        <v>1.6206393333333333</v>
      </c>
      <c r="V144">
        <v>1.2683210000000003</v>
      </c>
      <c r="W144">
        <v>1.1828604666666667</v>
      </c>
      <c r="X144">
        <v>1.2470894333333336</v>
      </c>
      <c r="Y144">
        <v>1.0433864590000002</v>
      </c>
      <c r="Z144">
        <v>1.1666260333333334</v>
      </c>
      <c r="AA144">
        <v>3.2250000000000001</v>
      </c>
      <c r="AB144">
        <v>1.7113</v>
      </c>
      <c r="AC144">
        <v>0.34625</v>
      </c>
      <c r="AD144">
        <v>1.3293999999999999</v>
      </c>
      <c r="AE144">
        <v>1.5536000000000001</v>
      </c>
      <c r="AF144">
        <v>1.1716</v>
      </c>
      <c r="AG144">
        <v>5.1874000000000002</v>
      </c>
      <c r="AH144">
        <v>2.3498999999999999</v>
      </c>
      <c r="AI144">
        <v>6.0567000000000002</v>
      </c>
      <c r="AJ144">
        <v>9.2997999999999994</v>
      </c>
      <c r="AK144">
        <v>1.2574000000000001</v>
      </c>
      <c r="AL144">
        <v>0.27633999999999997</v>
      </c>
    </row>
    <row r="145" spans="1:38" x14ac:dyDescent="0.35">
      <c r="A145">
        <v>143</v>
      </c>
      <c r="B145" s="86" t="s">
        <v>2385</v>
      </c>
      <c r="C145">
        <v>0.55984999999999996</v>
      </c>
      <c r="D145">
        <v>0.92206999999999995</v>
      </c>
      <c r="E145">
        <v>1.0680000000000001</v>
      </c>
      <c r="F145">
        <v>0.25729000000000002</v>
      </c>
      <c r="G145">
        <v>0.21919</v>
      </c>
      <c r="H145">
        <v>0.29836000000000001</v>
      </c>
      <c r="I145">
        <v>0.10261000000000001</v>
      </c>
      <c r="J145">
        <v>7.9225000000000004E-2</v>
      </c>
      <c r="K145">
        <v>0.12113</v>
      </c>
      <c r="L145">
        <v>0.73270999999999997</v>
      </c>
      <c r="M145">
        <v>1.677</v>
      </c>
      <c r="N145">
        <v>0.56606999999999996</v>
      </c>
      <c r="O145">
        <v>1.487111733333333</v>
      </c>
      <c r="P145">
        <v>1.5302733333333334</v>
      </c>
      <c r="Q145">
        <v>0.88480093333333332</v>
      </c>
      <c r="R145">
        <v>0.83206283333333342</v>
      </c>
      <c r="S145">
        <v>0.67346366666666657</v>
      </c>
      <c r="T145">
        <v>0.41878166666666666</v>
      </c>
      <c r="U145">
        <v>0.19135386666666671</v>
      </c>
      <c r="V145">
        <v>0.19046630000000003</v>
      </c>
      <c r="W145">
        <v>0.3797261666666667</v>
      </c>
      <c r="X145">
        <v>0.94133053333333339</v>
      </c>
      <c r="Y145">
        <v>1.1271678666666669</v>
      </c>
      <c r="Z145">
        <v>1.5448993666666666</v>
      </c>
      <c r="AA145">
        <v>2.0198999999999998</v>
      </c>
      <c r="AB145">
        <v>1.3967000000000001</v>
      </c>
      <c r="AC145">
        <v>0.71313000000000004</v>
      </c>
      <c r="AD145">
        <v>0.76070000000000004</v>
      </c>
      <c r="AE145">
        <v>2.7054999999999998</v>
      </c>
      <c r="AF145">
        <v>0.11316</v>
      </c>
      <c r="AG145">
        <v>0.13042000000000001</v>
      </c>
      <c r="AH145">
        <v>0.49772</v>
      </c>
      <c r="AI145">
        <v>0.32952999999999999</v>
      </c>
      <c r="AJ145">
        <v>1.9305000000000001</v>
      </c>
      <c r="AK145">
        <v>1.9247000000000001</v>
      </c>
      <c r="AL145">
        <v>2.4445000000000001</v>
      </c>
    </row>
    <row r="146" spans="1:38" x14ac:dyDescent="0.35">
      <c r="A146">
        <v>144</v>
      </c>
      <c r="B146" s="86" t="s">
        <v>2413</v>
      </c>
      <c r="C146">
        <v>0</v>
      </c>
      <c r="D146">
        <v>0</v>
      </c>
      <c r="E146">
        <v>3.5104999999999999E-4</v>
      </c>
      <c r="F146">
        <v>1.0264E-3</v>
      </c>
      <c r="G146">
        <v>8.1134999999999992E-3</v>
      </c>
      <c r="H146">
        <v>5.457E-3</v>
      </c>
      <c r="I146">
        <v>6.4628999999999999E-4</v>
      </c>
      <c r="J146">
        <v>1.4796000000000001E-4</v>
      </c>
      <c r="K146">
        <v>3.1330000000000003E-4</v>
      </c>
      <c r="L146">
        <v>9.5978000000000003E-4</v>
      </c>
      <c r="M146">
        <v>3.3019999999999999E-5</v>
      </c>
      <c r="N146">
        <v>0</v>
      </c>
      <c r="O146">
        <v>1.159411E-4</v>
      </c>
      <c r="P146">
        <v>6.2996273333333335E-5</v>
      </c>
      <c r="Q146">
        <v>1.2412893333333335E-4</v>
      </c>
      <c r="R146">
        <v>8.2230073666666667E-4</v>
      </c>
      <c r="S146">
        <v>7.4712033333333315E-3</v>
      </c>
      <c r="T146">
        <v>9.4269286666666657E-3</v>
      </c>
      <c r="U146">
        <v>1.9372329999999998E-3</v>
      </c>
      <c r="V146">
        <v>1.9119036666666671E-3</v>
      </c>
      <c r="W146">
        <v>2.9612723333333332E-3</v>
      </c>
      <c r="X146">
        <v>3.4260203333333341E-3</v>
      </c>
      <c r="Y146">
        <v>1.8364393333333334E-3</v>
      </c>
      <c r="Z146">
        <v>8.4912366666666655E-4</v>
      </c>
      <c r="AA146">
        <v>0</v>
      </c>
      <c r="AB146">
        <v>0</v>
      </c>
      <c r="AC146">
        <v>0</v>
      </c>
      <c r="AD146">
        <v>5.7328000000000001E-4</v>
      </c>
      <c r="AE146">
        <v>1.3257E-2</v>
      </c>
      <c r="AF146">
        <v>1.2147E-2</v>
      </c>
      <c r="AG146">
        <v>6.9324E-3</v>
      </c>
      <c r="AH146">
        <v>4.4577000000000001E-4</v>
      </c>
      <c r="AI146">
        <v>4.9714E-3</v>
      </c>
      <c r="AJ146">
        <v>7.5959E-3</v>
      </c>
      <c r="AK146">
        <v>1.1195000000000001E-3</v>
      </c>
      <c r="AL146">
        <v>5.3105000000000003E-4</v>
      </c>
    </row>
    <row r="147" spans="1:38" x14ac:dyDescent="0.35">
      <c r="A147">
        <v>145</v>
      </c>
      <c r="B147" s="86" t="s">
        <v>2471</v>
      </c>
      <c r="C147">
        <v>0</v>
      </c>
      <c r="D147">
        <v>0</v>
      </c>
      <c r="E147">
        <v>0.10310999999999999</v>
      </c>
      <c r="F147">
        <v>1.1591</v>
      </c>
      <c r="G147">
        <v>2.2099000000000002</v>
      </c>
      <c r="H147">
        <v>1.4842</v>
      </c>
      <c r="I147">
        <v>0.29807</v>
      </c>
      <c r="J147">
        <v>0.99100999999999995</v>
      </c>
      <c r="K147">
        <v>0.43315999999999999</v>
      </c>
      <c r="L147">
        <v>0.10721</v>
      </c>
      <c r="M147">
        <v>0.27700999999999998</v>
      </c>
      <c r="N147">
        <v>0.26850000000000002</v>
      </c>
      <c r="O147">
        <v>0.20658160333333334</v>
      </c>
      <c r="P147">
        <v>7.0895366666666668E-2</v>
      </c>
      <c r="Q147">
        <v>0.30224903333333331</v>
      </c>
      <c r="R147">
        <v>0.88110600000000017</v>
      </c>
      <c r="S147">
        <v>3.6156740000000012</v>
      </c>
      <c r="T147">
        <v>3.3195933333333336</v>
      </c>
      <c r="U147">
        <v>1.7698626666666668</v>
      </c>
      <c r="V147">
        <v>1.333839</v>
      </c>
      <c r="W147">
        <v>1.0937906666666666</v>
      </c>
      <c r="X147">
        <v>0.84227526666666674</v>
      </c>
      <c r="Y147">
        <v>0.63105886666666666</v>
      </c>
      <c r="Z147">
        <v>0.32687747000000006</v>
      </c>
      <c r="AA147">
        <v>0.77839999999999998</v>
      </c>
      <c r="AB147">
        <v>8.2768999999999995E-2</v>
      </c>
      <c r="AC147">
        <v>0.19281999999999999</v>
      </c>
      <c r="AD147">
        <v>1.889</v>
      </c>
      <c r="AE147">
        <v>5.6581000000000001</v>
      </c>
      <c r="AF147">
        <v>1.8996</v>
      </c>
      <c r="AG147">
        <v>2.1055999999999999</v>
      </c>
      <c r="AH147">
        <v>1.4154</v>
      </c>
      <c r="AI147">
        <v>1.2843</v>
      </c>
      <c r="AJ147">
        <v>1.8633</v>
      </c>
      <c r="AK147">
        <v>1.3434999999999999</v>
      </c>
      <c r="AL147">
        <v>0.51459999999999995</v>
      </c>
    </row>
    <row r="148" spans="1:38" x14ac:dyDescent="0.35">
      <c r="A148">
        <v>146</v>
      </c>
      <c r="B148" s="86" t="s">
        <v>2613</v>
      </c>
      <c r="C148">
        <v>1.8566</v>
      </c>
      <c r="D148">
        <v>1.0718000000000001</v>
      </c>
      <c r="E148">
        <v>1.3144</v>
      </c>
      <c r="F148">
        <v>0.21975</v>
      </c>
      <c r="G148">
        <v>0.40667999999999999</v>
      </c>
      <c r="H148">
        <v>2.1718999999999999</v>
      </c>
      <c r="I148">
        <v>0.20544000000000001</v>
      </c>
      <c r="J148">
        <v>0.59638999999999998</v>
      </c>
      <c r="K148">
        <v>0.22056999999999999</v>
      </c>
      <c r="L148">
        <v>4.9689999999999998E-2</v>
      </c>
      <c r="M148">
        <v>1.4898</v>
      </c>
      <c r="N148">
        <v>1.2283999999999999</v>
      </c>
      <c r="O148">
        <v>2.486872</v>
      </c>
      <c r="P148">
        <v>2.5422023333333335</v>
      </c>
      <c r="Q148">
        <v>1.9655050000000001</v>
      </c>
      <c r="R148">
        <v>1.4859466666666665</v>
      </c>
      <c r="S148">
        <v>1.3214073333333336</v>
      </c>
      <c r="T148">
        <v>1.2296649999999998</v>
      </c>
      <c r="U148">
        <v>0.97217700000000007</v>
      </c>
      <c r="V148">
        <v>0.67452616666666654</v>
      </c>
      <c r="W148">
        <v>0.87821866666666681</v>
      </c>
      <c r="X148">
        <v>1.8576507666666668</v>
      </c>
      <c r="Y148">
        <v>2.5581426666666669</v>
      </c>
      <c r="Z148">
        <v>3.1514409999999997</v>
      </c>
      <c r="AA148">
        <v>3.1602999999999999</v>
      </c>
      <c r="AB148">
        <v>5.8333000000000004</v>
      </c>
      <c r="AC148">
        <v>2.1423999999999999</v>
      </c>
      <c r="AD148">
        <v>2.4097</v>
      </c>
      <c r="AE148">
        <v>2.5630999999999999</v>
      </c>
      <c r="AF148">
        <v>1.4233</v>
      </c>
      <c r="AG148">
        <v>1.8241000000000001</v>
      </c>
      <c r="AH148">
        <v>0.81716</v>
      </c>
      <c r="AI148">
        <v>1.0145</v>
      </c>
      <c r="AJ148">
        <v>1.6044</v>
      </c>
      <c r="AK148">
        <v>1.796</v>
      </c>
      <c r="AL148">
        <v>5.6444999999999999</v>
      </c>
    </row>
    <row r="149" spans="1:38" x14ac:dyDescent="0.35">
      <c r="A149">
        <v>147</v>
      </c>
      <c r="B149" s="86" t="s">
        <v>2265</v>
      </c>
      <c r="C149">
        <v>2.4418000000000002</v>
      </c>
      <c r="D149">
        <v>1.9331</v>
      </c>
      <c r="E149">
        <v>1.0370999999999999</v>
      </c>
      <c r="F149">
        <v>0.30464000000000002</v>
      </c>
      <c r="G149">
        <v>0.30029</v>
      </c>
      <c r="H149">
        <v>4.5243999999999999E-2</v>
      </c>
      <c r="I149">
        <v>0.13038</v>
      </c>
      <c r="J149">
        <v>1.6021000000000001E-2</v>
      </c>
      <c r="K149">
        <v>0.10697</v>
      </c>
      <c r="L149">
        <v>0.33377000000000001</v>
      </c>
      <c r="M149">
        <v>2.6187999999999998</v>
      </c>
      <c r="N149">
        <v>1.4380999999999999</v>
      </c>
      <c r="O149">
        <v>3.3807579999999993</v>
      </c>
      <c r="P149">
        <v>2.6834700333333332</v>
      </c>
      <c r="Q149">
        <v>2.4566984000000001</v>
      </c>
      <c r="R149">
        <v>1.2848030000000001</v>
      </c>
      <c r="S149">
        <v>0.77521933333333348</v>
      </c>
      <c r="T149">
        <v>0.71667179999999997</v>
      </c>
      <c r="U149">
        <v>0.6390309999999999</v>
      </c>
      <c r="V149">
        <v>0.3445988333333333</v>
      </c>
      <c r="W149">
        <v>0.53694236666666673</v>
      </c>
      <c r="X149">
        <v>1.6296722333333329</v>
      </c>
      <c r="Y149">
        <v>2.5293873333333332</v>
      </c>
      <c r="Z149">
        <v>3.4792879999999999</v>
      </c>
      <c r="AA149">
        <v>4.4358000000000004</v>
      </c>
      <c r="AB149">
        <v>1.9622999999999999</v>
      </c>
      <c r="AC149">
        <v>4.1109999999999998</v>
      </c>
      <c r="AD149">
        <v>0.48381000000000002</v>
      </c>
      <c r="AE149">
        <v>1.0557000000000001</v>
      </c>
      <c r="AF149">
        <v>2.0600999999999998</v>
      </c>
      <c r="AG149">
        <v>0.86726999999999999</v>
      </c>
      <c r="AH149">
        <v>0.33851999999999999</v>
      </c>
      <c r="AI149">
        <v>1.0130999999999999</v>
      </c>
      <c r="AJ149">
        <v>5.6632999999999996</v>
      </c>
      <c r="AK149">
        <v>2.4624000000000001</v>
      </c>
      <c r="AL149">
        <v>4.9659000000000004</v>
      </c>
    </row>
    <row r="150" spans="1:38" x14ac:dyDescent="0.35">
      <c r="A150">
        <v>148</v>
      </c>
      <c r="B150" s="86" t="s">
        <v>2347</v>
      </c>
      <c r="C150">
        <v>4.5187999999999999E-3</v>
      </c>
      <c r="D150">
        <v>19.253</v>
      </c>
      <c r="E150">
        <v>29.817</v>
      </c>
      <c r="F150">
        <v>13.163</v>
      </c>
      <c r="G150">
        <v>10.792999999999999</v>
      </c>
      <c r="H150">
        <v>9.8132000000000001</v>
      </c>
      <c r="I150">
        <v>7.2920999999999996</v>
      </c>
      <c r="J150">
        <v>9.0749999999999993</v>
      </c>
      <c r="K150">
        <v>8.5847999999999995</v>
      </c>
      <c r="L150">
        <v>25.062000000000001</v>
      </c>
      <c r="M150">
        <v>16.968</v>
      </c>
      <c r="N150">
        <v>7.3792</v>
      </c>
      <c r="O150">
        <v>36.128617293333328</v>
      </c>
      <c r="P150">
        <v>33.674576666666667</v>
      </c>
      <c r="Q150">
        <v>30.327899999999996</v>
      </c>
      <c r="R150">
        <v>22.788909999999998</v>
      </c>
      <c r="S150">
        <v>13.634063666666668</v>
      </c>
      <c r="T150">
        <v>7.8979533333333318</v>
      </c>
      <c r="U150">
        <v>4.3007133333333334</v>
      </c>
      <c r="V150">
        <v>4.7148966666666672</v>
      </c>
      <c r="W150">
        <v>15.395769000000001</v>
      </c>
      <c r="X150">
        <v>28.277811999999994</v>
      </c>
      <c r="Y150">
        <v>51.120133333333321</v>
      </c>
      <c r="Z150">
        <v>51.027200000000008</v>
      </c>
      <c r="AA150">
        <v>8.3353999999999999</v>
      </c>
      <c r="AB150">
        <v>38.927</v>
      </c>
      <c r="AC150">
        <v>28.509</v>
      </c>
      <c r="AD150">
        <v>27.585999999999999</v>
      </c>
      <c r="AE150">
        <v>13.177</v>
      </c>
      <c r="AF150">
        <v>5.7972999999999999</v>
      </c>
      <c r="AG150">
        <v>25.465</v>
      </c>
      <c r="AH150">
        <v>13.231999999999999</v>
      </c>
      <c r="AI150">
        <v>24.45</v>
      </c>
      <c r="AJ150">
        <v>70.710999999999999</v>
      </c>
      <c r="AK150">
        <v>82.027000000000001</v>
      </c>
      <c r="AL150">
        <v>112.81</v>
      </c>
    </row>
    <row r="151" spans="1:38" x14ac:dyDescent="0.35">
      <c r="A151">
        <v>149</v>
      </c>
      <c r="B151" s="88" t="s">
        <v>2638</v>
      </c>
      <c r="C151">
        <v>1.6213E-3</v>
      </c>
      <c r="D151">
        <v>4.2903999999999998E-3</v>
      </c>
      <c r="E151">
        <v>4.4929000000000002E-3</v>
      </c>
      <c r="F151">
        <v>1.4478E-3</v>
      </c>
      <c r="G151">
        <v>9.6265999999999995E-4</v>
      </c>
      <c r="H151">
        <v>1.9685000000000002E-3</v>
      </c>
      <c r="I151">
        <v>1.286E-3</v>
      </c>
      <c r="J151">
        <v>1.4040000000000001E-3</v>
      </c>
      <c r="K151">
        <v>3.1911999999999999E-3</v>
      </c>
      <c r="L151">
        <v>6.1914999999999995E-4</v>
      </c>
      <c r="M151">
        <v>3.1192999999999998E-4</v>
      </c>
      <c r="N151">
        <v>3.8298999999999999E-4</v>
      </c>
      <c r="O151">
        <v>2.1985016E-3</v>
      </c>
      <c r="P151">
        <v>3.3992409999999999E-3</v>
      </c>
      <c r="Q151">
        <v>4.0521289999999998E-3</v>
      </c>
      <c r="R151">
        <v>3.4664026666666667E-3</v>
      </c>
      <c r="S151">
        <v>2.0868309999999995E-3</v>
      </c>
      <c r="T151">
        <v>3.0182929999999992E-3</v>
      </c>
      <c r="U151">
        <v>2.9337436666666667E-3</v>
      </c>
      <c r="V151">
        <v>2.7672466666666664E-3</v>
      </c>
      <c r="W151">
        <v>2.6250686666666671E-3</v>
      </c>
      <c r="X151">
        <v>2.3502609999999993E-3</v>
      </c>
      <c r="Y151">
        <v>2.4320173333333343E-3</v>
      </c>
      <c r="Z151">
        <v>2.8398036666666669E-3</v>
      </c>
      <c r="AA151">
        <v>4.5500999999999996E-3</v>
      </c>
      <c r="AB151">
        <v>5.9147000000000002E-3</v>
      </c>
      <c r="AC151">
        <v>2.8235000000000001E-4</v>
      </c>
      <c r="AD151">
        <v>7.4136000000000004E-4</v>
      </c>
      <c r="AE151">
        <v>3.9399999999999999E-3</v>
      </c>
      <c r="AF151">
        <v>6.3185000000000003E-3</v>
      </c>
      <c r="AG151">
        <v>4.6918000000000003E-3</v>
      </c>
      <c r="AH151">
        <v>1.5583999999999999E-3</v>
      </c>
      <c r="AI151">
        <v>3.4015999999999998E-3</v>
      </c>
      <c r="AJ151">
        <v>9.1263000000000004E-3</v>
      </c>
      <c r="AK151">
        <v>2.5224000000000002E-3</v>
      </c>
      <c r="AL151">
        <v>5.6658000000000003E-3</v>
      </c>
    </row>
    <row r="152" spans="1:38" x14ac:dyDescent="0.35">
      <c r="A152">
        <v>150</v>
      </c>
      <c r="B152" s="86" t="s">
        <v>2479</v>
      </c>
      <c r="C152">
        <v>2.2759999999999998</v>
      </c>
      <c r="D152">
        <v>0.65625999999999995</v>
      </c>
      <c r="E152">
        <v>0.92562</v>
      </c>
      <c r="F152">
        <v>0.52480000000000004</v>
      </c>
      <c r="G152">
        <v>0.71628000000000003</v>
      </c>
      <c r="H152">
        <v>0.32235000000000003</v>
      </c>
      <c r="I152">
        <v>0.33143</v>
      </c>
      <c r="J152">
        <v>0.13116</v>
      </c>
      <c r="K152">
        <v>9.6826999999999996E-2</v>
      </c>
      <c r="L152">
        <v>0.32107000000000002</v>
      </c>
      <c r="M152">
        <v>0.10102999999999999</v>
      </c>
      <c r="N152">
        <v>0.60189000000000004</v>
      </c>
      <c r="O152">
        <v>1.4493349999999998</v>
      </c>
      <c r="P152">
        <v>1.3423560566666668</v>
      </c>
      <c r="Q152">
        <v>1.8359579999999998</v>
      </c>
      <c r="R152">
        <v>1.6091322000000003</v>
      </c>
      <c r="S152">
        <v>0.58534399999999998</v>
      </c>
      <c r="T152">
        <v>0.65440999999999983</v>
      </c>
      <c r="U152">
        <v>0.66904216666666672</v>
      </c>
      <c r="V152">
        <v>0.53905443333333325</v>
      </c>
      <c r="W152">
        <v>0.64842983333333359</v>
      </c>
      <c r="X152">
        <v>1.2430304000000001</v>
      </c>
      <c r="Y152">
        <v>1.4509209999999999</v>
      </c>
      <c r="Z152">
        <v>1.759674933333333</v>
      </c>
      <c r="AA152">
        <v>0</v>
      </c>
      <c r="AB152">
        <v>7.9027E-2</v>
      </c>
      <c r="AC152">
        <v>1.0221</v>
      </c>
      <c r="AD152">
        <v>4.2634999999999996</v>
      </c>
      <c r="AE152">
        <v>0.47538999999999998</v>
      </c>
      <c r="AF152">
        <v>0.69837000000000005</v>
      </c>
      <c r="AG152">
        <v>4.3558000000000003</v>
      </c>
      <c r="AH152">
        <v>0.65727000000000002</v>
      </c>
      <c r="AI152">
        <v>0.44198999999999999</v>
      </c>
      <c r="AJ152">
        <v>3.1499000000000001</v>
      </c>
      <c r="AK152">
        <v>2.2214999999999998</v>
      </c>
      <c r="AL152">
        <v>3.1743000000000001</v>
      </c>
    </row>
    <row r="153" spans="1:38" x14ac:dyDescent="0.35">
      <c r="A153">
        <v>151</v>
      </c>
      <c r="B153" s="92" t="s">
        <v>38</v>
      </c>
      <c r="C153">
        <v>0</v>
      </c>
      <c r="D153">
        <v>0.11222</v>
      </c>
      <c r="E153">
        <v>0.30587999999999999</v>
      </c>
      <c r="F153">
        <v>1.0670999999999999</v>
      </c>
      <c r="G153">
        <v>0.34821999999999997</v>
      </c>
      <c r="H153">
        <v>0.51578999999999997</v>
      </c>
      <c r="I153">
        <v>0.27535999999999999</v>
      </c>
      <c r="J153">
        <v>0.61589000000000005</v>
      </c>
      <c r="K153">
        <v>0.33534000000000003</v>
      </c>
      <c r="L153">
        <v>6.8249000000000004E-2</v>
      </c>
      <c r="M153">
        <v>0.42910999999999999</v>
      </c>
      <c r="N153">
        <v>0.65276999999999996</v>
      </c>
      <c r="O153">
        <v>0.3608561666666667</v>
      </c>
      <c r="P153">
        <v>0.37636983333333335</v>
      </c>
      <c r="Q153">
        <v>0.79184966666666678</v>
      </c>
      <c r="R153">
        <v>1.0890463333333333</v>
      </c>
      <c r="S153">
        <v>0.59191233333333326</v>
      </c>
      <c r="T153">
        <v>0.75620666666666669</v>
      </c>
      <c r="U153">
        <v>0.98507599999999995</v>
      </c>
      <c r="V153">
        <v>0.86429633333333322</v>
      </c>
      <c r="W153">
        <v>0.65431466666666671</v>
      </c>
      <c r="X153">
        <v>0.54245469999999996</v>
      </c>
      <c r="Y153">
        <v>0.60289833333333342</v>
      </c>
      <c r="Z153">
        <v>0.45215313333333335</v>
      </c>
      <c r="AA153">
        <v>0.52673999999999999</v>
      </c>
      <c r="AB153">
        <v>0.40841</v>
      </c>
      <c r="AC153">
        <v>2.4750000000000001</v>
      </c>
      <c r="AD153">
        <v>1.2955000000000001</v>
      </c>
      <c r="AE153">
        <v>0.39556999999999998</v>
      </c>
      <c r="AF153">
        <v>0.31637999999999999</v>
      </c>
      <c r="AG153">
        <v>1.3159000000000001</v>
      </c>
      <c r="AH153">
        <v>0.95196000000000003</v>
      </c>
      <c r="AI153">
        <v>0.84848999999999997</v>
      </c>
      <c r="AJ153">
        <v>1.4051</v>
      </c>
      <c r="AK153">
        <v>1.2208000000000001</v>
      </c>
      <c r="AL153">
        <v>0.17479</v>
      </c>
    </row>
    <row r="154" spans="1:38" x14ac:dyDescent="0.35">
      <c r="A154">
        <v>152</v>
      </c>
      <c r="B154" s="83" t="s">
        <v>2382</v>
      </c>
      <c r="C154">
        <v>1.3977E-2</v>
      </c>
      <c r="D154">
        <v>1.0375000000000001E-2</v>
      </c>
      <c r="E154">
        <v>3.5755000000000002E-2</v>
      </c>
      <c r="F154">
        <v>2.2870999999999999E-2</v>
      </c>
      <c r="G154">
        <v>7.0055000000000006E-2</v>
      </c>
      <c r="H154">
        <v>6.7042000000000004E-2</v>
      </c>
      <c r="I154">
        <v>1.9671999999999999E-2</v>
      </c>
      <c r="J154">
        <v>1.6293999999999999E-2</v>
      </c>
      <c r="K154">
        <v>1.2630000000000001E-2</v>
      </c>
      <c r="L154">
        <v>1.6482E-2</v>
      </c>
      <c r="M154">
        <v>1.2494999999999999E-2</v>
      </c>
      <c r="N154">
        <v>0.73426000000000002</v>
      </c>
      <c r="O154">
        <v>0.44987349333333326</v>
      </c>
      <c r="P154">
        <v>0.54006256666666674</v>
      </c>
      <c r="Q154">
        <v>0.52277156666666658</v>
      </c>
      <c r="R154">
        <v>0.45382543333333331</v>
      </c>
      <c r="S154">
        <v>0.25004806666666668</v>
      </c>
      <c r="T154">
        <v>0.15642856666666671</v>
      </c>
      <c r="U154">
        <v>8.2910933333333325E-2</v>
      </c>
      <c r="V154">
        <v>7.400499666666667E-2</v>
      </c>
      <c r="W154">
        <v>0.23985116333333334</v>
      </c>
      <c r="X154">
        <v>0.47142244000000005</v>
      </c>
      <c r="Y154">
        <v>0.71149506999999979</v>
      </c>
      <c r="Z154">
        <v>0.61841792333333323</v>
      </c>
      <c r="AA154">
        <v>0.44236999999999999</v>
      </c>
      <c r="AB154">
        <v>1.0683</v>
      </c>
      <c r="AC154">
        <v>0.74944</v>
      </c>
      <c r="AD154">
        <v>1.0972999999999999</v>
      </c>
      <c r="AE154">
        <v>0.17921999999999999</v>
      </c>
      <c r="AF154">
        <v>0.30415999999999999</v>
      </c>
      <c r="AG154">
        <v>0.25436999999999999</v>
      </c>
      <c r="AH154">
        <v>3.2162000000000003E-2</v>
      </c>
      <c r="AI154">
        <v>0.35782000000000003</v>
      </c>
      <c r="AJ154">
        <v>0.68945999999999996</v>
      </c>
      <c r="AK154">
        <v>1.0055000000000001</v>
      </c>
      <c r="AL154">
        <v>2.6032999999999999</v>
      </c>
    </row>
    <row r="155" spans="1:38" x14ac:dyDescent="0.35">
      <c r="A155">
        <v>153</v>
      </c>
      <c r="B155" s="83" t="s">
        <v>2185</v>
      </c>
      <c r="C155">
        <v>60.317</v>
      </c>
      <c r="D155">
        <v>128.85</v>
      </c>
      <c r="E155">
        <v>26.863</v>
      </c>
      <c r="F155">
        <v>98.748000000000005</v>
      </c>
      <c r="G155">
        <v>103.28</v>
      </c>
      <c r="H155">
        <v>293.04000000000002</v>
      </c>
      <c r="I155">
        <v>28.530999999999999</v>
      </c>
      <c r="J155">
        <v>24.858000000000001</v>
      </c>
      <c r="K155">
        <v>18.858000000000001</v>
      </c>
      <c r="L155">
        <v>282.62</v>
      </c>
      <c r="M155">
        <v>169.56</v>
      </c>
      <c r="N155">
        <v>14.105</v>
      </c>
      <c r="O155">
        <v>43.419392333333327</v>
      </c>
      <c r="P155">
        <v>50.66794666666668</v>
      </c>
      <c r="Q155">
        <v>133.15880000000001</v>
      </c>
      <c r="R155">
        <v>258.00276666666667</v>
      </c>
      <c r="S155">
        <v>309.92176666666666</v>
      </c>
      <c r="T155">
        <v>211.64243333333337</v>
      </c>
      <c r="U155">
        <v>127.01853333333332</v>
      </c>
      <c r="V155">
        <v>130.51276666666664</v>
      </c>
      <c r="W155">
        <v>217.53146333333333</v>
      </c>
      <c r="X155">
        <v>238.69783333333339</v>
      </c>
      <c r="Y155">
        <v>134.015908</v>
      </c>
      <c r="Z155">
        <v>78.869533333333337</v>
      </c>
      <c r="AA155">
        <v>38.296999999999997</v>
      </c>
      <c r="AB155">
        <v>134.41</v>
      </c>
      <c r="AC155">
        <v>401.39</v>
      </c>
      <c r="AD155">
        <v>396.98</v>
      </c>
      <c r="AE155">
        <v>519.15</v>
      </c>
      <c r="AF155">
        <v>163.86</v>
      </c>
      <c r="AG155">
        <v>308.41000000000003</v>
      </c>
      <c r="AH155">
        <v>577.62</v>
      </c>
      <c r="AI155">
        <v>15.569000000000001</v>
      </c>
      <c r="AJ155">
        <v>381.48</v>
      </c>
      <c r="AK155">
        <v>30.524999999999999</v>
      </c>
      <c r="AL155">
        <v>129.44999999999999</v>
      </c>
    </row>
    <row r="156" spans="1:38" x14ac:dyDescent="0.35">
      <c r="A156">
        <v>154</v>
      </c>
      <c r="B156" s="83" t="s">
        <v>2649</v>
      </c>
      <c r="C156">
        <v>10.754</v>
      </c>
      <c r="D156">
        <v>53.734000000000002</v>
      </c>
      <c r="E156">
        <v>154.29</v>
      </c>
      <c r="F156">
        <v>199.07</v>
      </c>
      <c r="G156">
        <v>119.71</v>
      </c>
      <c r="H156">
        <v>30.87</v>
      </c>
      <c r="I156">
        <v>24.251000000000001</v>
      </c>
      <c r="J156">
        <v>16.241</v>
      </c>
      <c r="K156">
        <v>10.564</v>
      </c>
      <c r="L156">
        <v>6.4287999999999998</v>
      </c>
      <c r="M156">
        <v>18.672000000000001</v>
      </c>
      <c r="N156">
        <v>100.95</v>
      </c>
      <c r="O156">
        <v>88.533600000000007</v>
      </c>
      <c r="P156">
        <v>94.379886666666664</v>
      </c>
      <c r="Q156">
        <v>117.86839999999998</v>
      </c>
      <c r="R156">
        <v>189.55123333333333</v>
      </c>
      <c r="S156">
        <v>270.42323333333331</v>
      </c>
      <c r="T156">
        <v>144.98309999999998</v>
      </c>
      <c r="U156">
        <v>59.825833333333328</v>
      </c>
      <c r="V156">
        <v>36.285899999999998</v>
      </c>
      <c r="W156">
        <v>71.12260666666667</v>
      </c>
      <c r="X156">
        <v>135.05846999999997</v>
      </c>
      <c r="Y156">
        <v>136.1721</v>
      </c>
      <c r="Z156">
        <v>122.4044</v>
      </c>
      <c r="AA156">
        <v>44.128999999999998</v>
      </c>
      <c r="AB156">
        <v>250.84</v>
      </c>
      <c r="AC156">
        <v>230.01</v>
      </c>
      <c r="AD156">
        <v>297.37</v>
      </c>
      <c r="AE156">
        <v>324.91000000000003</v>
      </c>
      <c r="AF156">
        <v>237.74</v>
      </c>
      <c r="AG156">
        <v>115.85</v>
      </c>
      <c r="AH156">
        <v>63.292000000000002</v>
      </c>
      <c r="AI156">
        <v>13.321</v>
      </c>
      <c r="AJ156">
        <v>133.28</v>
      </c>
      <c r="AK156">
        <v>116.71</v>
      </c>
      <c r="AL156">
        <v>189.41</v>
      </c>
    </row>
    <row r="157" spans="1:38" x14ac:dyDescent="0.35">
      <c r="A157">
        <v>155</v>
      </c>
      <c r="B157" s="83" t="s">
        <v>2480</v>
      </c>
      <c r="C157">
        <v>3.2783E-2</v>
      </c>
      <c r="D157">
        <v>0.13497000000000001</v>
      </c>
      <c r="E157">
        <v>0.13813</v>
      </c>
      <c r="F157">
        <v>0.80447000000000002</v>
      </c>
      <c r="G157">
        <v>6.4994999999999997E-2</v>
      </c>
      <c r="H157">
        <v>3.3224999999999998E-2</v>
      </c>
      <c r="I157">
        <v>2.4150999999999999E-2</v>
      </c>
      <c r="J157">
        <v>2.6381999999999999E-2</v>
      </c>
      <c r="K157">
        <v>2.0996000000000001E-2</v>
      </c>
      <c r="L157">
        <v>8.6476000000000001E-3</v>
      </c>
      <c r="M157">
        <v>4.5773000000000001E-2</v>
      </c>
      <c r="N157">
        <v>0.22667000000000001</v>
      </c>
      <c r="O157">
        <v>0.33894415666666666</v>
      </c>
      <c r="P157">
        <v>0.36467540000000004</v>
      </c>
      <c r="Q157">
        <v>0.30351836666666665</v>
      </c>
      <c r="R157">
        <v>0.37120976666666683</v>
      </c>
      <c r="S157">
        <v>0.25311210000000001</v>
      </c>
      <c r="T157">
        <v>0.16120040000000005</v>
      </c>
      <c r="U157">
        <v>7.0235556666666657E-2</v>
      </c>
      <c r="V157">
        <v>6.4046766666666657E-2</v>
      </c>
      <c r="W157">
        <v>0.1107228566666667</v>
      </c>
      <c r="X157">
        <v>0.19796881666666669</v>
      </c>
      <c r="Y157">
        <v>0.29421018333333332</v>
      </c>
      <c r="Z157">
        <v>0.38123856666666656</v>
      </c>
      <c r="AA157">
        <v>1.0192000000000001</v>
      </c>
      <c r="AB157">
        <v>0.60519000000000001</v>
      </c>
      <c r="AC157">
        <v>0.42803999999999998</v>
      </c>
      <c r="AD157">
        <v>0.68413000000000002</v>
      </c>
      <c r="AE157">
        <v>0.18956000000000001</v>
      </c>
      <c r="AF157">
        <v>0.20618</v>
      </c>
      <c r="AG157">
        <v>2.9845E-2</v>
      </c>
      <c r="AH157">
        <v>2.699E-2</v>
      </c>
      <c r="AI157">
        <v>2.2374999999999999E-2</v>
      </c>
      <c r="AJ157">
        <v>0.57221999999999995</v>
      </c>
      <c r="AK157">
        <v>0.12776000000000001</v>
      </c>
      <c r="AL157">
        <v>0.27023000000000003</v>
      </c>
    </row>
  </sheetData>
  <pageMargins left="0.7" right="0.7" top="0.75" bottom="0.75" header="0.3" footer="0.3"/>
  <pageSetup orientation="portrait" r:id="rId1"/>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8">
    <tabColor rgb="FF00B0F0"/>
  </sheetPr>
  <dimension ref="B3:AK165"/>
  <sheetViews>
    <sheetView topLeftCell="A85" zoomScale="80" zoomScaleNormal="80" zoomScalePageLayoutView="80" workbookViewId="0">
      <selection activeCell="D100" sqref="D100"/>
    </sheetView>
  </sheetViews>
  <sheetFormatPr defaultColWidth="8.81640625" defaultRowHeight="14.5" x14ac:dyDescent="0.35"/>
  <cols>
    <col min="1" max="1" width="8.81640625" style="127"/>
    <col min="2" max="2" width="11.81640625" style="127" bestFit="1" customWidth="1"/>
    <col min="3" max="3" width="14.453125" style="127" customWidth="1"/>
    <col min="4" max="4" width="13.81640625" style="127" bestFit="1" customWidth="1"/>
    <col min="5" max="5" width="12.453125" style="127" customWidth="1"/>
    <col min="6" max="7" width="8.81640625" style="127"/>
    <col min="8" max="8" width="11.1796875" style="129" bestFit="1" customWidth="1"/>
    <col min="9" max="9" width="13.81640625" style="127" bestFit="1" customWidth="1"/>
    <col min="10" max="10" width="10.81640625" style="127" bestFit="1" customWidth="1"/>
    <col min="11" max="11" width="15.6328125" style="127" bestFit="1" customWidth="1"/>
    <col min="12" max="12" width="15.6328125" style="127" customWidth="1"/>
    <col min="13" max="13" width="14.81640625" style="127" customWidth="1"/>
    <col min="14" max="14" width="15.36328125" style="127" customWidth="1"/>
    <col min="15" max="17" width="15.1796875" style="127" customWidth="1"/>
    <col min="18" max="18" width="8.81640625" style="127"/>
    <col min="19" max="19" width="17.81640625" style="127" customWidth="1"/>
    <col min="20" max="20" width="15" style="127" customWidth="1"/>
    <col min="21" max="21" width="22.453125" style="127" customWidth="1"/>
    <col min="22" max="23" width="8.81640625" style="127"/>
    <col min="24" max="24" width="15.6328125" style="127" customWidth="1"/>
    <col min="25" max="25" width="11.453125" style="127" customWidth="1"/>
    <col min="26" max="26" width="19" style="127" customWidth="1"/>
    <col min="27" max="27" width="18.453125" style="127" customWidth="1"/>
    <col min="28" max="28" width="26.1796875" style="129" customWidth="1"/>
    <col min="29" max="29" width="25.453125" style="127" customWidth="1"/>
    <col min="30" max="30" width="21" style="127" customWidth="1"/>
    <col min="31" max="31" width="11.1796875" style="127" bestFit="1" customWidth="1"/>
    <col min="32" max="33" width="10.81640625" style="127" bestFit="1" customWidth="1"/>
    <col min="34" max="34" width="12.1796875" style="127" customWidth="1"/>
    <col min="35" max="35" width="10.81640625" style="127" customWidth="1"/>
    <col min="36" max="36" width="12" style="127" customWidth="1"/>
    <col min="37" max="16384" width="8.81640625" style="127"/>
  </cols>
  <sheetData>
    <row r="3" spans="2:20" x14ac:dyDescent="0.35">
      <c r="C3" s="200" t="s">
        <v>2868</v>
      </c>
      <c r="D3" s="198"/>
      <c r="E3" s="198"/>
      <c r="F3" s="198"/>
      <c r="G3" s="198"/>
      <c r="H3" s="199"/>
      <c r="I3" s="198"/>
      <c r="K3" s="201" t="s">
        <v>2869</v>
      </c>
      <c r="L3" s="201"/>
      <c r="M3" s="202"/>
      <c r="N3" s="202"/>
      <c r="O3" s="202"/>
      <c r="P3" s="202"/>
      <c r="Q3" s="202"/>
      <c r="R3" s="202"/>
      <c r="S3" s="203"/>
      <c r="T3" s="202"/>
    </row>
    <row r="4" spans="2:20" x14ac:dyDescent="0.35">
      <c r="C4" s="402" t="s">
        <v>2837</v>
      </c>
      <c r="D4" s="402"/>
      <c r="E4" s="402"/>
      <c r="F4" s="149" t="s">
        <v>3080</v>
      </c>
    </row>
    <row r="5" spans="2:20" ht="96" customHeight="1" x14ac:dyDescent="0.35">
      <c r="B5" s="125"/>
      <c r="C5" s="130" t="s">
        <v>2838</v>
      </c>
      <c r="D5" s="131" t="s">
        <v>2835</v>
      </c>
      <c r="E5" s="131" t="s">
        <v>2836</v>
      </c>
      <c r="F5" s="130" t="s">
        <v>2838</v>
      </c>
      <c r="H5" s="126" t="s">
        <v>2842</v>
      </c>
      <c r="I5" s="126" t="s">
        <v>2843</v>
      </c>
      <c r="K5" s="126" t="s">
        <v>2981</v>
      </c>
      <c r="L5" s="126"/>
    </row>
    <row r="6" spans="2:20" x14ac:dyDescent="0.35">
      <c r="B6" s="125" t="s">
        <v>2797</v>
      </c>
      <c r="C6" s="125">
        <v>13569</v>
      </c>
      <c r="D6" s="125">
        <v>13569</v>
      </c>
      <c r="E6" s="125"/>
      <c r="F6" s="127">
        <f>VLOOKUP(B6,$B$137:$C$165,2,FALSE)</f>
        <v>13351</v>
      </c>
      <c r="H6" s="129" t="e">
        <f t="array" ref="H6">SUM((B6=Generators!$H$2:$H$9790)*("Y"=Generators!C2:C9790)*Generators!$U$2:$U$9790)</f>
        <v>#N/A</v>
      </c>
      <c r="I6" s="138" t="e">
        <f>H6/C6</f>
        <v>#N/A</v>
      </c>
      <c r="K6" s="127" t="e">
        <f t="array" ref="K6">SUM((B6=Generators!$H$2:$H$9790)*("Y"=Generators!C2:C9790)*Generators!$U$2:$U$9790)</f>
        <v>#N/A</v>
      </c>
      <c r="N6" s="197" t="s">
        <v>2980</v>
      </c>
    </row>
    <row r="7" spans="2:20" x14ac:dyDescent="0.35">
      <c r="B7" s="125" t="s">
        <v>2798</v>
      </c>
      <c r="C7" s="125">
        <v>1424</v>
      </c>
      <c r="D7" s="125">
        <v>116</v>
      </c>
      <c r="E7" s="125">
        <v>1308</v>
      </c>
      <c r="F7" s="127">
        <f t="shared" ref="F7:F35" si="0">VLOOKUP(B7,$B$137:$C$165,2,FALSE)</f>
        <v>1422</v>
      </c>
      <c r="H7" s="135" t="e">
        <f t="array" ref="H7">SUM((B7=Generators!$H$2:$H$9790)*("Y"=Generators!C3:C9791)*Generators!$U$2:$U$9790)</f>
        <v>#N/A</v>
      </c>
      <c r="I7" s="138" t="e">
        <f>H7/C7</f>
        <v>#N/A</v>
      </c>
    </row>
    <row r="8" spans="2:20" x14ac:dyDescent="0.35">
      <c r="B8" s="125" t="s">
        <v>2799</v>
      </c>
      <c r="C8" s="125">
        <v>3198</v>
      </c>
      <c r="D8" s="125">
        <v>2334</v>
      </c>
      <c r="E8" s="125">
        <v>864</v>
      </c>
      <c r="F8" s="127">
        <f t="shared" si="0"/>
        <v>3219</v>
      </c>
      <c r="H8" s="135" t="e">
        <f t="array" ref="H8">SUM((B8=Generators!$H$2:$H$9790)*("Y"=Generators!C4:C9792)*Generators!$U$2:$U$9790)</f>
        <v>#N/A</v>
      </c>
      <c r="I8" s="138" t="e">
        <f>H8/C8</f>
        <v>#N/A</v>
      </c>
    </row>
    <row r="9" spans="2:20" x14ac:dyDescent="0.35">
      <c r="B9" s="125" t="s">
        <v>2800</v>
      </c>
      <c r="C9" s="125">
        <v>13828</v>
      </c>
      <c r="D9" s="125">
        <v>12445</v>
      </c>
      <c r="E9" s="125">
        <v>1383</v>
      </c>
      <c r="F9" s="127">
        <f t="shared" si="0"/>
        <v>13760</v>
      </c>
      <c r="H9" s="135" t="e">
        <f t="array" ref="H9">SUM((B9=Generators!$H$2:$H$9790)*("Y"=Generators!C5:C9793)*Generators!$U$2:$U$9790)</f>
        <v>#N/A</v>
      </c>
      <c r="I9" s="138" t="e">
        <f>H9/C9</f>
        <v>#N/A</v>
      </c>
    </row>
    <row r="10" spans="2:20" x14ac:dyDescent="0.35">
      <c r="B10" s="125" t="s">
        <v>2801</v>
      </c>
      <c r="C10" s="125">
        <v>0</v>
      </c>
      <c r="D10" s="125"/>
      <c r="E10" s="125"/>
      <c r="F10" s="127">
        <f t="shared" si="0"/>
        <v>0</v>
      </c>
      <c r="H10" s="135"/>
      <c r="I10" s="138"/>
    </row>
    <row r="11" spans="2:20" x14ac:dyDescent="0.35">
      <c r="B11" s="125" t="s">
        <v>2802</v>
      </c>
      <c r="C11" s="125">
        <v>2253</v>
      </c>
      <c r="D11" s="125">
        <v>1081</v>
      </c>
      <c r="E11" s="125">
        <v>1172</v>
      </c>
      <c r="F11" s="127">
        <f t="shared" si="0"/>
        <v>2260</v>
      </c>
      <c r="H11" s="135" t="e">
        <f t="array" ref="H11">SUM((B11=Generators!$H$2:$H$9790)*("Y"=Generators!C7:C9795)*Generators!$U$2:$U$9790)</f>
        <v>#N/A</v>
      </c>
      <c r="I11" s="138" t="e">
        <f>H11/C11</f>
        <v>#N/A</v>
      </c>
    </row>
    <row r="12" spans="2:20" x14ac:dyDescent="0.35">
      <c r="B12" s="125" t="s">
        <v>2803</v>
      </c>
      <c r="C12" s="125">
        <v>9610</v>
      </c>
      <c r="D12" s="125">
        <v>3270</v>
      </c>
      <c r="E12" s="125">
        <v>6340</v>
      </c>
      <c r="F12" s="127">
        <f t="shared" si="0"/>
        <v>11399</v>
      </c>
      <c r="H12" s="135" t="e">
        <f t="array" ref="H12">SUM((B12=Generators!$H$2:$H$9790)*("Y"=Generators!C8:C9796)*Generators!$U$2:$U$9790)</f>
        <v>#N/A</v>
      </c>
      <c r="I12" s="138" t="e">
        <f>H12/C12</f>
        <v>#N/A</v>
      </c>
    </row>
    <row r="13" spans="2:20" x14ac:dyDescent="0.35">
      <c r="B13" s="125" t="s">
        <v>2804</v>
      </c>
      <c r="C13" s="125">
        <v>7</v>
      </c>
      <c r="D13" s="125">
        <v>7</v>
      </c>
      <c r="E13" s="125"/>
      <c r="F13" s="127">
        <f t="shared" si="0"/>
        <v>7</v>
      </c>
      <c r="H13" s="135" t="e">
        <f t="array" ref="H13">SUM((B13=Generators!$H$2:$H$9790)*("Y"=Generators!C9:C9797)*Generators!$U$2:$U$9790)</f>
        <v>#N/A</v>
      </c>
      <c r="I13" s="138" t="e">
        <f>H13/C13</f>
        <v>#N/A</v>
      </c>
    </row>
    <row r="14" spans="2:20" x14ac:dyDescent="0.35">
      <c r="B14" s="125" t="s">
        <v>2805</v>
      </c>
      <c r="C14" s="125">
        <v>8</v>
      </c>
      <c r="D14" s="125">
        <v>8</v>
      </c>
      <c r="E14" s="125"/>
      <c r="F14" s="127">
        <f t="shared" si="0"/>
        <v>6</v>
      </c>
      <c r="H14" s="135" t="e">
        <f t="array" ref="H14">SUM((B14=Generators!$H$2:$H$9790)*("Y"=Generators!C10:C9798)*Generators!$U$2:$U$9790)</f>
        <v>#N/A</v>
      </c>
      <c r="I14" s="138" t="e">
        <f>H14/C14</f>
        <v>#N/A</v>
      </c>
    </row>
    <row r="15" spans="2:20" x14ac:dyDescent="0.35">
      <c r="B15" s="125" t="s">
        <v>2807</v>
      </c>
      <c r="C15" s="125">
        <v>20336</v>
      </c>
      <c r="D15" s="125">
        <v>17036</v>
      </c>
      <c r="E15" s="125">
        <v>3300</v>
      </c>
      <c r="F15" s="127">
        <f t="shared" si="0"/>
        <v>20053</v>
      </c>
      <c r="H15" s="135" t="e">
        <f t="array" ref="H15">SUM((B15=Generators!$H$2:$H$9790)*("Y"=Generators!C11:C9799)*Generators!$U$2:$U$9790)</f>
        <v>#N/A</v>
      </c>
      <c r="I15" s="138" t="e">
        <f>H15/C15</f>
        <v>#N/A</v>
      </c>
    </row>
    <row r="16" spans="2:20" x14ac:dyDescent="0.35">
      <c r="B16" s="125" t="s">
        <v>2808</v>
      </c>
      <c r="C16" s="125">
        <v>3263</v>
      </c>
      <c r="D16" s="125">
        <v>3263</v>
      </c>
      <c r="E16" s="125"/>
      <c r="F16" s="127">
        <f t="shared" si="0"/>
        <v>3249</v>
      </c>
      <c r="H16" s="135" t="e">
        <f t="array" ref="H16">SUM((B16=Generators!$H$2:$H$9790)*("Y"=Generators!C12:C9800)*Generators!$U$2:$U$9790)</f>
        <v>#N/A</v>
      </c>
      <c r="I16" s="138" t="e">
        <f t="shared" ref="I16:I25" si="1">H16/C16</f>
        <v>#N/A</v>
      </c>
    </row>
    <row r="17" spans="2:31" x14ac:dyDescent="0.35">
      <c r="B17" s="125" t="s">
        <v>2809</v>
      </c>
      <c r="C17" s="125">
        <v>25421</v>
      </c>
      <c r="D17" s="125">
        <v>23442</v>
      </c>
      <c r="E17" s="125">
        <v>1979</v>
      </c>
      <c r="F17" s="127">
        <f t="shared" si="0"/>
        <v>25278</v>
      </c>
      <c r="H17" s="135" t="e">
        <f t="array" ref="H17">SUM((B17=Generators!$H$2:$H$9790)*("Y"=Generators!C13:C9801)*Generators!$U$2:$U$9790)</f>
        <v>#N/A</v>
      </c>
      <c r="I17" s="138" t="e">
        <f t="shared" si="1"/>
        <v>#N/A</v>
      </c>
    </row>
    <row r="18" spans="2:31" x14ac:dyDescent="0.35">
      <c r="B18" s="125" t="s">
        <v>2832</v>
      </c>
      <c r="C18" s="125">
        <v>3866</v>
      </c>
      <c r="D18" s="125">
        <v>1122</v>
      </c>
      <c r="E18" s="125">
        <v>2744</v>
      </c>
      <c r="F18" s="197">
        <f>VLOOKUP("UK",$B$137:$C$165,2,FALSE)</f>
        <v>4503</v>
      </c>
      <c r="H18" s="135" t="e">
        <f t="array" ref="H18">SUM((B18=Generators!$H$2:$H$9790)*("Y"=Generators!C14:C9802)*Generators!$U$2:$U$9790)</f>
        <v>#N/A</v>
      </c>
      <c r="I18" s="138" t="e">
        <f t="shared" si="1"/>
        <v>#N/A</v>
      </c>
    </row>
    <row r="19" spans="2:31" x14ac:dyDescent="0.35">
      <c r="B19" s="125" t="s">
        <v>2806</v>
      </c>
      <c r="C19" s="125">
        <v>3242</v>
      </c>
      <c r="D19" s="125">
        <v>224</v>
      </c>
      <c r="E19" s="125">
        <v>3018</v>
      </c>
      <c r="F19" s="127">
        <f t="shared" si="0"/>
        <v>3392</v>
      </c>
      <c r="H19" s="135" t="e">
        <f t="array" ref="H19">SUM((B19=Generators!$H$2:$H$9790)*("Y"=Generators!C15:C9803)*Generators!$U$2:$U$9790)</f>
        <v>#N/A</v>
      </c>
      <c r="I19" s="138" t="e">
        <f t="shared" si="1"/>
        <v>#N/A</v>
      </c>
    </row>
    <row r="20" spans="2:31" x14ac:dyDescent="0.35">
      <c r="B20" s="125" t="s">
        <v>2810</v>
      </c>
      <c r="C20" s="125">
        <v>2112</v>
      </c>
      <c r="D20" s="125">
        <v>2112</v>
      </c>
      <c r="E20" s="125"/>
      <c r="F20" s="127">
        <f t="shared" si="0"/>
        <v>2208</v>
      </c>
      <c r="H20" s="135" t="e">
        <f t="array" ref="H20">SUM((B20=Generators!$H$2:$H$9790)*("Y"=Generators!C16:C9804)*Generators!$U$2:$U$9790)</f>
        <v>#N/A</v>
      </c>
      <c r="I20" s="138" t="e">
        <f t="shared" si="1"/>
        <v>#N/A</v>
      </c>
    </row>
    <row r="21" spans="2:31" x14ac:dyDescent="0.35">
      <c r="B21" s="125" t="s">
        <v>2811</v>
      </c>
      <c r="C21" s="125">
        <v>57</v>
      </c>
      <c r="D21" s="125">
        <v>57</v>
      </c>
      <c r="E21" s="125">
        <v>292</v>
      </c>
      <c r="F21" s="127">
        <f t="shared" si="0"/>
        <v>57</v>
      </c>
      <c r="H21" s="135" t="e">
        <f t="array" ref="H21">SUM((B21=Generators!$H$2:$H$9790)*("Y"=Generators!C17:C9805)*Generators!$U$2:$U$9790)</f>
        <v>#N/A</v>
      </c>
      <c r="I21" s="138" t="e">
        <f t="shared" si="1"/>
        <v>#N/A</v>
      </c>
    </row>
    <row r="22" spans="2:31" x14ac:dyDescent="0.35">
      <c r="B22" s="125" t="s">
        <v>2812</v>
      </c>
      <c r="C22" s="125">
        <v>534</v>
      </c>
      <c r="D22" s="125">
        <v>242</v>
      </c>
      <c r="E22" s="125"/>
      <c r="F22" s="127">
        <f t="shared" si="0"/>
        <v>529</v>
      </c>
      <c r="H22" s="135" t="e">
        <f t="array" ref="H22">SUM((B22=Generators!$H$2:$H$9790)*("Y"=Generators!C18:C9806)*Generators!$U$2:$U$9790)</f>
        <v>#N/A</v>
      </c>
      <c r="I22" s="138" t="e">
        <f t="shared" si="1"/>
        <v>#N/A</v>
      </c>
    </row>
    <row r="23" spans="2:31" x14ac:dyDescent="0.35">
      <c r="B23" s="125" t="s">
        <v>2813</v>
      </c>
      <c r="C23" s="125">
        <v>22150</v>
      </c>
      <c r="D23" s="125"/>
      <c r="E23" s="125">
        <v>22150</v>
      </c>
      <c r="F23" s="127">
        <f t="shared" si="0"/>
        <v>22220</v>
      </c>
      <c r="H23" s="135" t="e">
        <f t="array" ref="H23">SUM((B23=Generators!$H$2:$H$9790)*("Y"=Generators!C19:C9807)*Generators!$U$2:$U$9790)</f>
        <v>#N/A</v>
      </c>
      <c r="I23" s="138" t="e">
        <f t="shared" si="1"/>
        <v>#N/A</v>
      </c>
    </row>
    <row r="24" spans="2:31" x14ac:dyDescent="0.35">
      <c r="B24" s="125" t="s">
        <v>2814</v>
      </c>
      <c r="C24" s="125">
        <v>126</v>
      </c>
      <c r="D24" s="125">
        <v>126</v>
      </c>
      <c r="E24" s="125"/>
      <c r="F24" s="127">
        <f t="shared" si="0"/>
        <v>877</v>
      </c>
      <c r="H24" s="135" t="e">
        <f t="array" ref="H24">SUM((B24=Generators!$H$2:$H$9790)*("Y"=Generators!C20:C9808)*Generators!$U$2:$U$9790)</f>
        <v>#N/A</v>
      </c>
      <c r="I24" s="138" t="e">
        <f t="shared" si="1"/>
        <v>#N/A</v>
      </c>
    </row>
    <row r="25" spans="2:31" x14ac:dyDescent="0.35">
      <c r="B25" s="125" t="s">
        <v>2815</v>
      </c>
      <c r="C25" s="125">
        <v>1334</v>
      </c>
      <c r="D25" s="125">
        <v>44</v>
      </c>
      <c r="E25" s="125">
        <v>1290</v>
      </c>
      <c r="F25" s="127">
        <f t="shared" si="0"/>
        <v>1330</v>
      </c>
      <c r="H25" s="135" t="e">
        <f t="array" ref="H25">SUM((B25=Generators!$H$2:$H$9790)*("Y"=Generators!C21:C9809)*Generators!$U$2:$U$9790)</f>
        <v>#N/A</v>
      </c>
      <c r="I25" s="138" t="e">
        <f t="shared" si="1"/>
        <v>#N/A</v>
      </c>
    </row>
    <row r="26" spans="2:31" x14ac:dyDescent="0.35">
      <c r="B26" s="125" t="s">
        <v>2816</v>
      </c>
      <c r="C26" s="125">
        <v>1556</v>
      </c>
      <c r="D26" s="125">
        <v>1556</v>
      </c>
      <c r="E26" s="125"/>
      <c r="F26" s="127">
        <f t="shared" si="0"/>
        <v>1589</v>
      </c>
      <c r="H26" s="135" t="e">
        <f t="array" ref="H26">SUM((B26=Generators!$H$2:$H$9790)*("Y"=Generators!C22:C9810)*Generators!$U$2:$U$9790)</f>
        <v>#N/A</v>
      </c>
      <c r="I26" s="138" t="e">
        <f t="shared" ref="I26:I35" si="2">H26/C26</f>
        <v>#N/A</v>
      </c>
    </row>
    <row r="27" spans="2:31" x14ac:dyDescent="0.35">
      <c r="B27" s="125" t="s">
        <v>2833</v>
      </c>
      <c r="C27" s="125">
        <v>12</v>
      </c>
      <c r="D27" s="125">
        <v>12</v>
      </c>
      <c r="E27" s="125"/>
      <c r="F27" s="127" t="e">
        <f t="shared" si="0"/>
        <v>#N/A</v>
      </c>
      <c r="H27" s="135" t="e">
        <f t="array" ref="H27">SUM((B27=Generators!$H$2:$H$9790)*("Y"=Generators!C23:C9811)*Generators!$U$2:$U$9790)</f>
        <v>#N/A</v>
      </c>
      <c r="I27" s="138" t="e">
        <f t="shared" si="2"/>
        <v>#N/A</v>
      </c>
    </row>
    <row r="28" spans="2:31" x14ac:dyDescent="0.35">
      <c r="B28" s="125" t="s">
        <v>2818</v>
      </c>
      <c r="C28" s="125">
        <v>38</v>
      </c>
      <c r="D28" s="125">
        <v>38</v>
      </c>
      <c r="E28" s="125"/>
      <c r="F28" s="127">
        <f t="shared" si="0"/>
        <v>37</v>
      </c>
      <c r="H28" s="135" t="e">
        <f t="array" ref="H28">SUM((B28=Generators!$H$2:$H$9790)*("Y"=Generators!C24:C9812)*Generators!$U$2:$U$9790)</f>
        <v>#N/A</v>
      </c>
      <c r="I28" s="138" t="e">
        <f t="shared" si="2"/>
        <v>#N/A</v>
      </c>
      <c r="V28" s="127" t="s">
        <v>2986</v>
      </c>
    </row>
    <row r="29" spans="2:31" x14ac:dyDescent="0.35">
      <c r="B29" s="125" t="s">
        <v>2819</v>
      </c>
      <c r="C29" s="125">
        <v>31200</v>
      </c>
      <c r="D29" s="125">
        <v>31200</v>
      </c>
      <c r="E29" s="125"/>
      <c r="F29" s="127">
        <f t="shared" si="0"/>
        <v>31372</v>
      </c>
      <c r="H29" s="135" t="e">
        <f t="array" ref="H29">SUM((B29=Generators!$H$2:$H$9790)*("Y"=Generators!C25:C9813)*Generators!$U$2:$U$9790)</f>
        <v>#N/A</v>
      </c>
      <c r="I29" s="138" t="e">
        <f t="shared" si="2"/>
        <v>#N/A</v>
      </c>
      <c r="V29" s="207" t="s">
        <v>2985</v>
      </c>
      <c r="W29" s="207"/>
      <c r="X29" s="207"/>
      <c r="Y29" s="207"/>
      <c r="Z29" s="207"/>
      <c r="AA29" s="207"/>
      <c r="AB29" s="261"/>
      <c r="AC29" s="207"/>
      <c r="AD29" s="207"/>
      <c r="AE29" s="207"/>
    </row>
    <row r="30" spans="2:31" x14ac:dyDescent="0.35">
      <c r="B30" s="125" t="s">
        <v>2820</v>
      </c>
      <c r="C30" s="125">
        <v>2355</v>
      </c>
      <c r="D30" s="125">
        <v>942</v>
      </c>
      <c r="E30" s="125">
        <v>1413</v>
      </c>
      <c r="F30" s="127">
        <f t="shared" si="0"/>
        <v>2370</v>
      </c>
      <c r="H30" s="135" t="e">
        <f t="array" ref="H30">SUM((B30=Generators!$H$2:$H$9790)*("Y"=Generators!C26:C9814)*Generators!$U$2:$U$9790)</f>
        <v>#N/A</v>
      </c>
      <c r="I30" s="138" t="e">
        <f t="shared" si="2"/>
        <v>#N/A</v>
      </c>
    </row>
    <row r="31" spans="2:31" x14ac:dyDescent="0.35">
      <c r="B31" s="125" t="s">
        <v>2821</v>
      </c>
      <c r="C31" s="125">
        <v>6146</v>
      </c>
      <c r="D31" s="125">
        <v>6146</v>
      </c>
      <c r="E31" s="125"/>
      <c r="F31" s="127">
        <f t="shared" si="0"/>
        <v>6168</v>
      </c>
      <c r="H31" s="135" t="e">
        <f t="array" ref="H31">SUM((B31=Generators!$H$2:$H$9790)*("Y"=Generators!C27:C9815)*Generators!$U$2:$U$9790)</f>
        <v>#N/A</v>
      </c>
      <c r="I31" s="138" t="e">
        <f t="shared" si="2"/>
        <v>#N/A</v>
      </c>
    </row>
    <row r="32" spans="2:31" x14ac:dyDescent="0.35">
      <c r="B32" s="125" t="s">
        <v>2822</v>
      </c>
      <c r="C32" s="125">
        <v>6339</v>
      </c>
      <c r="D32" s="125">
        <v>6339</v>
      </c>
      <c r="E32" s="125"/>
      <c r="F32" s="127">
        <f t="shared" si="0"/>
        <v>6730</v>
      </c>
      <c r="H32" s="135" t="e">
        <f t="array" ref="H32">SUM((B32=Generators!$H$2:$H$9790)*("Y"=Generators!C28:C9816)*Generators!$U$2:$U$9790)</f>
        <v>#N/A</v>
      </c>
      <c r="I32" s="138" t="e">
        <f t="shared" si="2"/>
        <v>#N/A</v>
      </c>
    </row>
    <row r="33" spans="2:36" x14ac:dyDescent="0.35">
      <c r="B33" s="125" t="s">
        <v>2823</v>
      </c>
      <c r="C33" s="125">
        <v>16184</v>
      </c>
      <c r="D33" s="125">
        <v>16184</v>
      </c>
      <c r="E33" s="125"/>
      <c r="F33" s="127">
        <f t="shared" si="0"/>
        <v>16329</v>
      </c>
      <c r="H33" s="135" t="e">
        <f t="array" ref="H33">SUM((B33=Generators!$H$2:$H$9790)*("Y"=Generators!C29:C9817)*Generators!$U$2:$U$9790)</f>
        <v>#N/A</v>
      </c>
      <c r="I33" s="138" t="e">
        <f t="shared" si="2"/>
        <v>#N/A</v>
      </c>
    </row>
    <row r="34" spans="2:36" x14ac:dyDescent="0.35">
      <c r="B34" s="125" t="s">
        <v>2824</v>
      </c>
      <c r="C34" s="125">
        <v>1233</v>
      </c>
      <c r="D34" s="125">
        <v>1053</v>
      </c>
      <c r="E34" s="125">
        <v>180</v>
      </c>
      <c r="F34" s="127">
        <f t="shared" si="0"/>
        <v>1295</v>
      </c>
      <c r="H34" s="135" t="e">
        <f t="array" ref="H34">SUM((B34=Generators!$H$2:$H$9790)*("Y"=Generators!C30:C9818)*Generators!$U$2:$U$9790)</f>
        <v>#N/A</v>
      </c>
      <c r="I34" s="138" t="e">
        <f t="shared" si="2"/>
        <v>#N/A</v>
      </c>
    </row>
    <row r="35" spans="2:36" x14ac:dyDescent="0.35">
      <c r="B35" s="125" t="s">
        <v>2825</v>
      </c>
      <c r="C35" s="125">
        <v>2533</v>
      </c>
      <c r="D35" s="125">
        <v>1617</v>
      </c>
      <c r="E35" s="125">
        <v>916</v>
      </c>
      <c r="F35" s="127">
        <f t="shared" si="0"/>
        <v>2522</v>
      </c>
      <c r="H35" s="135" t="e">
        <f t="array" ref="H35">SUM((B35=Generators!$H$2:$H$9790)*("Y"=Generators!C31:C9819)*Generators!$U$2:$U$9790)</f>
        <v>#N/A</v>
      </c>
      <c r="I35" s="138" t="e">
        <f t="shared" si="2"/>
        <v>#N/A</v>
      </c>
    </row>
    <row r="36" spans="2:36" ht="15" thickBot="1" x14ac:dyDescent="0.4">
      <c r="B36" s="128" t="s">
        <v>2834</v>
      </c>
      <c r="C36" s="128">
        <v>193934</v>
      </c>
      <c r="D36" s="128">
        <v>145585</v>
      </c>
      <c r="E36" s="128">
        <v>48349</v>
      </c>
      <c r="F36" s="136"/>
      <c r="G36" s="136"/>
      <c r="H36" s="137" t="e">
        <f>SUM(H6:H35)</f>
        <v>#N/A</v>
      </c>
      <c r="I36" s="138" t="e">
        <f>H36/C36</f>
        <v>#N/A</v>
      </c>
      <c r="U36" s="127" t="s">
        <v>2978</v>
      </c>
    </row>
    <row r="38" spans="2:36" ht="15.5" x14ac:dyDescent="0.35">
      <c r="B38" s="195" t="s">
        <v>2868</v>
      </c>
      <c r="U38" s="142" t="s">
        <v>2869</v>
      </c>
    </row>
    <row r="41" spans="2:36" ht="15" thickBot="1" x14ac:dyDescent="0.4"/>
    <row r="42" spans="2:36" x14ac:dyDescent="0.35">
      <c r="AB42" s="283"/>
      <c r="AC42" s="284"/>
      <c r="AD42" s="284"/>
      <c r="AE42" s="284"/>
      <c r="AF42" s="284"/>
      <c r="AG42" s="284"/>
      <c r="AH42" s="284"/>
      <c r="AI42" s="284"/>
      <c r="AJ42" s="285"/>
    </row>
    <row r="43" spans="2:36" x14ac:dyDescent="0.35">
      <c r="AB43" s="286"/>
      <c r="AC43" s="229"/>
      <c r="AD43" s="229"/>
      <c r="AE43" s="229"/>
      <c r="AF43" s="229"/>
      <c r="AG43" s="229"/>
      <c r="AH43" s="229"/>
      <c r="AI43" s="229"/>
      <c r="AJ43" s="287"/>
    </row>
    <row r="44" spans="2:36" x14ac:dyDescent="0.35">
      <c r="AB44" s="321" t="s">
        <v>3076</v>
      </c>
      <c r="AC44" s="322"/>
      <c r="AD44" s="322"/>
      <c r="AE44" s="229"/>
      <c r="AF44" s="229"/>
      <c r="AG44" s="229"/>
      <c r="AH44" s="229"/>
      <c r="AI44" s="229"/>
      <c r="AJ44" s="287"/>
    </row>
    <row r="45" spans="2:36" ht="26" x14ac:dyDescent="0.35">
      <c r="AB45" s="320"/>
      <c r="AC45" s="133" t="s">
        <v>3050</v>
      </c>
      <c r="AD45" s="133" t="s">
        <v>3049</v>
      </c>
      <c r="AE45" s="229"/>
      <c r="AF45" s="229"/>
      <c r="AG45" s="229"/>
      <c r="AH45" s="229"/>
      <c r="AI45" s="229"/>
      <c r="AJ45" s="287"/>
    </row>
    <row r="46" spans="2:36" x14ac:dyDescent="0.35">
      <c r="AB46" s="290" t="s">
        <v>2882</v>
      </c>
      <c r="AC46" s="134">
        <f>AVERAGEIF(Generators!$F$2:$F$1016,AB46,Generators!$BB$2:$BB$1016)</f>
        <v>30.18610519174775</v>
      </c>
      <c r="AD46" s="134">
        <f>AVERAGEIF(Generators!$F$2:$F$1016,AB46,Generators!$BJ$2:$BJ$1016)</f>
        <v>59.776761636285968</v>
      </c>
      <c r="AE46" s="229"/>
      <c r="AF46" s="229"/>
      <c r="AG46" s="229"/>
      <c r="AH46" s="229"/>
      <c r="AI46" s="229"/>
      <c r="AJ46" s="287"/>
    </row>
    <row r="47" spans="2:36" x14ac:dyDescent="0.35">
      <c r="AB47" s="290" t="s">
        <v>2883</v>
      </c>
      <c r="AC47" s="134">
        <f>AVERAGEIF(Generators!$F$2:$F$1016,AB47,Generators!$BB$2:$BB$1016)</f>
        <v>545.73505730922955</v>
      </c>
      <c r="AD47" s="134">
        <f>AVERAGEIF(Generators!$F$2:$F$1016,AB47,Generators!$BJ$2:$BJ$1016)</f>
        <v>1608.4897668254005</v>
      </c>
      <c r="AE47" s="229"/>
      <c r="AF47" s="56"/>
      <c r="AG47" s="56"/>
      <c r="AH47" s="56"/>
      <c r="AI47" s="229"/>
      <c r="AJ47" s="287"/>
    </row>
    <row r="48" spans="2:36" x14ac:dyDescent="0.35">
      <c r="AB48" s="290" t="s">
        <v>2884</v>
      </c>
      <c r="AC48" s="134">
        <f>AVERAGEIF(Generators!$F$2:$F$1016,AB48,Generators!$BB$2:$BB$1016)</f>
        <v>66.311753358050026</v>
      </c>
      <c r="AD48" s="134">
        <f>AVERAGEIF(Generators!$F$2:$F$1016,AB48,Generators!$BJ$2:$BJ$1016)</f>
        <v>112.53000944848284</v>
      </c>
      <c r="AE48" s="229"/>
      <c r="AF48" s="229"/>
      <c r="AG48" s="229"/>
      <c r="AH48" s="229"/>
      <c r="AI48" s="229"/>
      <c r="AJ48" s="287"/>
    </row>
    <row r="49" spans="2:37" x14ac:dyDescent="0.35">
      <c r="AB49" s="286"/>
      <c r="AC49" s="229"/>
      <c r="AD49" s="229"/>
      <c r="AE49" s="229"/>
      <c r="AF49" s="229"/>
      <c r="AG49" s="229"/>
      <c r="AH49" s="229"/>
      <c r="AI49" s="229"/>
      <c r="AJ49" s="287"/>
    </row>
    <row r="50" spans="2:37" x14ac:dyDescent="0.35">
      <c r="AB50" s="286"/>
      <c r="AC50" s="229"/>
      <c r="AD50" s="229"/>
      <c r="AE50" s="229"/>
      <c r="AF50" s="229"/>
      <c r="AG50" s="229"/>
      <c r="AH50" s="229"/>
      <c r="AI50" s="229"/>
      <c r="AJ50" s="287"/>
    </row>
    <row r="51" spans="2:37" x14ac:dyDescent="0.35">
      <c r="AB51" s="286"/>
      <c r="AC51" s="229"/>
      <c r="AD51" s="229"/>
      <c r="AE51" s="229"/>
      <c r="AF51" s="229"/>
      <c r="AG51" s="229"/>
      <c r="AH51" s="229"/>
      <c r="AI51" s="229"/>
      <c r="AJ51" s="287"/>
    </row>
    <row r="52" spans="2:37" x14ac:dyDescent="0.35">
      <c r="AB52" s="299" t="s">
        <v>3060</v>
      </c>
      <c r="AC52" s="300"/>
      <c r="AD52" s="300"/>
      <c r="AE52" s="229"/>
      <c r="AF52" s="229"/>
      <c r="AG52" s="229"/>
      <c r="AH52" s="229"/>
      <c r="AI52" s="229"/>
      <c r="AJ52" s="287"/>
    </row>
    <row r="53" spans="2:37" x14ac:dyDescent="0.35">
      <c r="AB53" s="288" t="s">
        <v>2886</v>
      </c>
      <c r="AC53" s="289" t="s">
        <v>3057</v>
      </c>
      <c r="AD53" s="289" t="s">
        <v>3056</v>
      </c>
      <c r="AE53" s="229"/>
      <c r="AF53" s="229"/>
      <c r="AG53" s="229"/>
      <c r="AH53" s="229"/>
      <c r="AI53" s="229"/>
      <c r="AJ53" s="287"/>
    </row>
    <row r="54" spans="2:37" x14ac:dyDescent="0.35">
      <c r="AB54" s="290" t="s">
        <v>2882</v>
      </c>
      <c r="AC54" s="291">
        <v>67.56903765690376</v>
      </c>
      <c r="AD54" s="292">
        <v>70</v>
      </c>
      <c r="AE54" s="229"/>
      <c r="AF54" s="229"/>
      <c r="AG54" s="293"/>
      <c r="AH54" s="229"/>
      <c r="AI54" s="229"/>
      <c r="AJ54" s="287"/>
    </row>
    <row r="55" spans="2:37" x14ac:dyDescent="0.35">
      <c r="AB55" s="290" t="s">
        <v>2883</v>
      </c>
      <c r="AC55" s="291">
        <v>112.51232876712329</v>
      </c>
      <c r="AD55" s="292">
        <v>100</v>
      </c>
      <c r="AE55" s="229"/>
      <c r="AF55" s="229"/>
      <c r="AG55" s="229"/>
      <c r="AH55" s="229"/>
      <c r="AI55" s="229"/>
      <c r="AJ55" s="287"/>
    </row>
    <row r="56" spans="2:37" x14ac:dyDescent="0.35">
      <c r="AB56" s="290" t="s">
        <v>2884</v>
      </c>
      <c r="AC56" s="291">
        <v>426.57547169811323</v>
      </c>
      <c r="AD56" s="292">
        <v>400</v>
      </c>
      <c r="AE56" s="229"/>
      <c r="AF56" s="229"/>
      <c r="AG56" s="229"/>
      <c r="AH56" s="294" t="s">
        <v>3052</v>
      </c>
      <c r="AI56" s="229"/>
      <c r="AJ56" s="295" t="s">
        <v>3051</v>
      </c>
    </row>
    <row r="57" spans="2:37" x14ac:dyDescent="0.35">
      <c r="AB57" s="286"/>
      <c r="AC57" s="229"/>
      <c r="AD57" s="229"/>
      <c r="AE57" s="229"/>
      <c r="AF57" s="229"/>
      <c r="AG57" s="229"/>
      <c r="AH57" s="229"/>
      <c r="AI57" s="229"/>
      <c r="AJ57" s="287"/>
    </row>
    <row r="58" spans="2:37" x14ac:dyDescent="0.35">
      <c r="AB58" s="286"/>
      <c r="AC58" s="229"/>
      <c r="AD58" s="229"/>
      <c r="AE58" s="229"/>
      <c r="AF58" s="229"/>
      <c r="AG58" s="229"/>
      <c r="AH58" s="296" t="s">
        <v>3051</v>
      </c>
      <c r="AI58" s="229" t="s">
        <v>3053</v>
      </c>
      <c r="AJ58" s="287"/>
    </row>
    <row r="59" spans="2:37" x14ac:dyDescent="0.35">
      <c r="AB59" s="286"/>
      <c r="AC59" s="229"/>
      <c r="AD59" s="229"/>
      <c r="AE59" s="229"/>
      <c r="AF59" s="229"/>
      <c r="AG59" s="229"/>
      <c r="AH59" s="296" t="s">
        <v>3054</v>
      </c>
      <c r="AI59" s="229" t="s">
        <v>3055</v>
      </c>
      <c r="AJ59" s="287"/>
    </row>
    <row r="60" spans="2:37" ht="15" thickBot="1" x14ac:dyDescent="0.4">
      <c r="AB60" s="297"/>
      <c r="AC60" s="252"/>
      <c r="AD60" s="252"/>
      <c r="AE60" s="252"/>
      <c r="AF60" s="252"/>
      <c r="AG60" s="252"/>
      <c r="AH60" s="252"/>
      <c r="AI60" s="252"/>
      <c r="AJ60" s="298"/>
    </row>
    <row r="61" spans="2:37" ht="15" thickBot="1" x14ac:dyDescent="0.4">
      <c r="H61" s="242" t="s">
        <v>3044</v>
      </c>
    </row>
    <row r="62" spans="2:37" s="219" customFormat="1" ht="60" customHeight="1" thickBot="1" x14ac:dyDescent="0.4">
      <c r="B62" s="403" t="s">
        <v>3025</v>
      </c>
      <c r="C62" s="403"/>
      <c r="D62" s="403"/>
      <c r="E62" s="403"/>
      <c r="H62" s="404" t="s">
        <v>3024</v>
      </c>
      <c r="I62" s="404"/>
      <c r="J62" s="404"/>
      <c r="M62" s="262" t="s">
        <v>3028</v>
      </c>
      <c r="N62" s="263"/>
      <c r="P62" s="262" t="s">
        <v>3030</v>
      </c>
      <c r="S62" s="406" t="s">
        <v>3029</v>
      </c>
      <c r="T62" s="406"/>
      <c r="U62" s="406"/>
      <c r="W62" s="405" t="s">
        <v>3034</v>
      </c>
      <c r="X62" s="405"/>
      <c r="Y62" s="405"/>
      <c r="Z62" s="405"/>
      <c r="AB62" s="272" t="s">
        <v>3046</v>
      </c>
      <c r="AC62" s="273" t="s">
        <v>3041</v>
      </c>
      <c r="AE62" s="399" t="s">
        <v>3059</v>
      </c>
      <c r="AF62" s="400"/>
      <c r="AG62" s="401"/>
      <c r="AH62" s="302"/>
      <c r="AI62" s="399" t="s">
        <v>3063</v>
      </c>
      <c r="AJ62" s="400"/>
      <c r="AK62" s="401"/>
    </row>
    <row r="63" spans="2:37" x14ac:dyDescent="0.35">
      <c r="C63" s="196" t="s">
        <v>2882</v>
      </c>
      <c r="D63" s="196" t="s">
        <v>2883</v>
      </c>
      <c r="E63" s="196" t="s">
        <v>2884</v>
      </c>
      <c r="H63" s="196" t="s">
        <v>2882</v>
      </c>
      <c r="I63" s="196" t="s">
        <v>2883</v>
      </c>
      <c r="J63" s="196" t="s">
        <v>2884</v>
      </c>
      <c r="M63" s="196" t="s">
        <v>3026</v>
      </c>
      <c r="N63" s="196" t="s">
        <v>3022</v>
      </c>
      <c r="O63" s="196" t="s">
        <v>3027</v>
      </c>
      <c r="P63" s="196"/>
      <c r="Q63" s="196"/>
      <c r="S63" s="196" t="s">
        <v>2882</v>
      </c>
      <c r="T63" s="196" t="s">
        <v>2883</v>
      </c>
      <c r="U63" s="196" t="s">
        <v>2884</v>
      </c>
      <c r="W63" s="275" t="s">
        <v>2995</v>
      </c>
      <c r="X63" s="278" t="s">
        <v>2882</v>
      </c>
      <c r="Y63" s="278" t="s">
        <v>2883</v>
      </c>
      <c r="Z63" s="278" t="s">
        <v>2884</v>
      </c>
      <c r="AB63" s="246" t="s">
        <v>2995</v>
      </c>
      <c r="AC63" s="196" t="s">
        <v>3042</v>
      </c>
      <c r="AE63" s="278" t="s">
        <v>2882</v>
      </c>
      <c r="AF63" s="278" t="s">
        <v>2883</v>
      </c>
      <c r="AG63" s="278" t="s">
        <v>2884</v>
      </c>
      <c r="AH63" s="303"/>
      <c r="AI63" s="278" t="s">
        <v>2882</v>
      </c>
      <c r="AJ63" s="278" t="s">
        <v>2883</v>
      </c>
      <c r="AK63" s="278" t="s">
        <v>2884</v>
      </c>
    </row>
    <row r="64" spans="2:37" x14ac:dyDescent="0.35">
      <c r="B64" s="216" t="s">
        <v>2797</v>
      </c>
      <c r="C64" s="129" t="e">
        <f t="array" ref="C64">SUM(($B6=Generators!$H$2:$H$9790)*("Y"=Generators!$C$2:$C$9790)*(C$63=Generators!$F$2:$F$9790)*Generators!$U$2:$U$9790)</f>
        <v>#N/A</v>
      </c>
      <c r="D64" s="129" t="e">
        <f t="array" ref="D64">SUM(($B6=Generators!$H$2:$H$9790)*("Y"=Generators!$C$2:$C$9790)*(D$63=Generators!$F$2:$F$9790)*Generators!$U$2:$U$9790)</f>
        <v>#N/A</v>
      </c>
      <c r="E64" s="129" t="e">
        <f t="array" ref="E64">SUM(($B6=Generators!$H$2:$H$9790)*("Y"=Generators!$C$2:$C$9790)*(E$63=Generators!$F$2:$F$9790)*Generators!$U$2:$U$9790)</f>
        <v>#N/A</v>
      </c>
      <c r="G64" s="216" t="s">
        <v>2797</v>
      </c>
      <c r="H64" s="129">
        <f>VLOOKUP($B64,$B$107:$E$132,2,FALSE)</f>
        <v>2061</v>
      </c>
      <c r="I64" s="129">
        <f>VLOOKUP($B64,$B$107:$E$132,3,FALSE)</f>
        <v>1005</v>
      </c>
      <c r="J64" s="129">
        <f>VLOOKUP($B64,$B$107:$E$132,4,FALSE)</f>
        <v>1808</v>
      </c>
      <c r="M64" s="127">
        <v>13177</v>
      </c>
      <c r="N64" s="127">
        <v>5200</v>
      </c>
      <c r="P64" s="127">
        <f>VLOOKUP(B64,$B$137:$C$165,2,FALSE)</f>
        <v>13351</v>
      </c>
      <c r="R64" s="216" t="s">
        <v>2797</v>
      </c>
      <c r="S64" s="129" t="e">
        <f>H64-C64</f>
        <v>#N/A</v>
      </c>
      <c r="T64" s="129" t="e">
        <f>I64-D64</f>
        <v>#N/A</v>
      </c>
      <c r="U64" s="129" t="e">
        <f>J64-E64</f>
        <v>#N/A</v>
      </c>
      <c r="W64" s="276" t="e">
        <f>P64-SUM(C64:E64)</f>
        <v>#N/A</v>
      </c>
      <c r="X64" s="277" t="e">
        <f t="shared" ref="X64:X93" si="3">IF(AND($S64=0,$S64=0,$U64=0, $W64&gt;0),$W64*$K$100,$W64*IF(S64&gt;0,S64/SUMIF($S64:$U64,"&gt;0",$S64:$U64),0))</f>
        <v>#N/A</v>
      </c>
      <c r="Y64" s="277" t="e">
        <f t="shared" ref="Y64:Y93" si="4">IF(AND($S64=0,$S64=0,$U64=0, $W64&gt;0),$W64*$K$101,$W64*IF(T64&gt;0,T64/SUMIF($S64:$U64,"&gt;0",$S64:$U64),0))</f>
        <v>#N/A</v>
      </c>
      <c r="Z64" s="277" t="e">
        <f t="shared" ref="Z64:Z93" si="5">IF(AND($S64=0,$S64=0,$U64=0, $W64&gt;0),$W64*$K$102,$W64*IF(U64&gt;0,U64/SUMIF($S64:$U64,"&gt;0",$S64:$U64),0))</f>
        <v>#N/A</v>
      </c>
      <c r="AB64" s="135" t="e">
        <f>SUM(C64:E64)+SUM(X64:Z64)</f>
        <v>#N/A</v>
      </c>
      <c r="AC64" s="135" t="e">
        <f>P64-AB64</f>
        <v>#N/A</v>
      </c>
      <c r="AD64" s="129" t="str">
        <f>B64</f>
        <v>AT</v>
      </c>
      <c r="AE64" s="129" t="e">
        <f>ROUND(X64/VLOOKUP(AE$63,$AB$54:$AD$56,3,FALSE),0)</f>
        <v>#N/A</v>
      </c>
      <c r="AF64" s="129" t="e">
        <f t="shared" ref="AF64:AG64" si="6">ROUND(Y64/VLOOKUP(AF$63,$AB$54:$AD$56,3,FALSE),0)</f>
        <v>#N/A</v>
      </c>
      <c r="AG64" s="129" t="e">
        <f t="shared" si="6"/>
        <v>#N/A</v>
      </c>
      <c r="AH64" s="129" t="str">
        <f>AD64</f>
        <v>AT</v>
      </c>
      <c r="AI64" s="127" t="e">
        <f>ROUND(IF($AJ$56="Specific",AE64*VLOOKUP(AI$63,$AB$54:$AD$56,3,FALSE)/1000*VLOOKUP(AE$63,'Country Totals'!$AB$46:$AD$48,3,FALSE),AE64*VLOOKUP(AE$63,'Country Totals'!$AB$46:$AD$48,2,FALSE)),2)</f>
        <v>#N/A</v>
      </c>
      <c r="AJ64" s="127" t="e">
        <f>ROUND(IF($AJ$56="Specific",AF64*VLOOKUP(AJ$63,$AB$54:$AD$56,3,FALSE)/1000*VLOOKUP(AF$63,'Country Totals'!$AB$46:$AD$48,3,FALSE),AF64*VLOOKUP(AF$63,'Country Totals'!$AB$46:$AD$48,2,FALSE)),2)</f>
        <v>#N/A</v>
      </c>
      <c r="AK64" s="127" t="e">
        <f>ROUND(IF($AJ$56="Specific",AG64*VLOOKUP(AK$63,$AB$54:$AD$56,3,FALSE)/1000*VLOOKUP(AG$63,'Country Totals'!$AB$46:$AD$48,3,FALSE),AG64*VLOOKUP(AG$63,'Country Totals'!$AB$46:$AD$48,2,FALSE)),2)</f>
        <v>#N/A</v>
      </c>
    </row>
    <row r="65" spans="2:37" x14ac:dyDescent="0.35">
      <c r="B65" s="216" t="s">
        <v>2798</v>
      </c>
      <c r="C65" s="129" t="e">
        <f t="array" ref="C65">SUM(($B7=Generators!$H$2:$H$9790)*("Y"=Generators!$C$2:$C$9790)*(C$63=Generators!$F$2:$F$9790)*Generators!$U$2:$U$9790)</f>
        <v>#N/A</v>
      </c>
      <c r="D65" s="129" t="e">
        <f t="array" ref="D65">SUM(($B7=Generators!$H$2:$H$9790)*("Y"=Generators!$C$2:$C$9790)*(D$63=Generators!$F$2:$F$9790)*Generators!$U$2:$U$9790)</f>
        <v>#N/A</v>
      </c>
      <c r="E65" s="129" t="e">
        <f t="array" ref="E65">SUM(($B7=Generators!$H$2:$H$9790)*("Y"=Generators!$C$2:$C$9790)*(E$63=Generators!$F$2:$F$9790)*Generators!$U$2:$U$9790)</f>
        <v>#N/A</v>
      </c>
      <c r="G65" s="216" t="s">
        <v>2798</v>
      </c>
      <c r="H65" s="129">
        <f>VLOOKUP($B65,$B$107:$E$132,2,FALSE)</f>
        <v>0</v>
      </c>
      <c r="I65" s="129">
        <f>VLOOKUP($B65,$B$107:$E$132,3,FALSE)</f>
        <v>0</v>
      </c>
      <c r="J65" s="129">
        <f>VLOOKUP($B65,$B$107:$E$132,4,FALSE)</f>
        <v>1308</v>
      </c>
      <c r="M65" s="127">
        <v>1427</v>
      </c>
      <c r="N65" s="127">
        <v>1307</v>
      </c>
      <c r="P65" s="127">
        <f>VLOOKUP(B65,$B$137:$C$165,2,FALSE)</f>
        <v>1422</v>
      </c>
      <c r="R65" s="216" t="s">
        <v>2798</v>
      </c>
      <c r="S65" s="129" t="e">
        <f t="shared" ref="S65:S70" si="7">H65-C65</f>
        <v>#N/A</v>
      </c>
      <c r="T65" s="129" t="e">
        <f t="shared" ref="T65:T71" si="8">I65-D65</f>
        <v>#N/A</v>
      </c>
      <c r="U65" s="129" t="e">
        <f t="shared" ref="U65:U71" si="9">J65-E65</f>
        <v>#N/A</v>
      </c>
      <c r="W65" s="276" t="e">
        <f t="shared" ref="W65:W93" si="10">P65-SUM(C65:E65)</f>
        <v>#N/A</v>
      </c>
      <c r="X65" s="277" t="e">
        <f t="shared" si="3"/>
        <v>#N/A</v>
      </c>
      <c r="Y65" s="277" t="e">
        <f t="shared" si="4"/>
        <v>#N/A</v>
      </c>
      <c r="Z65" s="277" t="e">
        <f t="shared" si="5"/>
        <v>#N/A</v>
      </c>
      <c r="AB65" s="129" t="e">
        <f t="shared" ref="AB65:AB93" si="11">SUM(C65:E65)+SUM(X65:Z65)</f>
        <v>#N/A</v>
      </c>
      <c r="AC65" s="135" t="e">
        <f t="shared" ref="AC65:AC83" si="12">P65-AB65</f>
        <v>#N/A</v>
      </c>
      <c r="AD65" s="129" t="str">
        <f t="shared" ref="AD65:AD92" si="13">B65</f>
        <v>BE</v>
      </c>
      <c r="AE65" s="129" t="e">
        <f t="shared" ref="AE65:AE76" si="14">ROUND(X65/VLOOKUP(AE$63,$AB$54:$AD$56,3,FALSE),0)</f>
        <v>#N/A</v>
      </c>
      <c r="AF65" s="129" t="e">
        <f t="shared" ref="AF65:AF77" si="15">ROUND(Y65/VLOOKUP(AF$63,$AB$54:$AD$56,3,FALSE),0)</f>
        <v>#N/A</v>
      </c>
      <c r="AG65" s="129" t="e">
        <f t="shared" ref="AG65:AG77" si="16">ROUND(Z65/VLOOKUP(AG$63,$AB$54:$AD$56,3,FALSE),0)</f>
        <v>#N/A</v>
      </c>
      <c r="AH65" s="129" t="str">
        <f t="shared" ref="AH65:AH93" si="17">AD65</f>
        <v>BE</v>
      </c>
      <c r="AI65" s="127" t="e">
        <f>ROUND(IF($AJ$56="Specific",AE65*VLOOKUP(AI$63,$AB$54:$AD$56,3,FALSE)/1000*VLOOKUP(AE$63,'Country Totals'!$AB$46:$AD$48,3,FALSE),AE65*VLOOKUP(AE$63,'Country Totals'!$AB$46:$AD$48,2,FALSE)),2)</f>
        <v>#N/A</v>
      </c>
      <c r="AJ65" s="127" t="e">
        <f>ROUND(IF($AJ$56="Specific",AF65*VLOOKUP(AJ$63,$AB$54:$AD$56,3,FALSE)/1000*VLOOKUP(AF$63,'Country Totals'!$AB$46:$AD$48,3,FALSE),AF65*VLOOKUP(AF$63,'Country Totals'!$AB$46:$AD$48,2,FALSE)),2)</f>
        <v>#N/A</v>
      </c>
      <c r="AK65" s="127" t="e">
        <f>ROUND(IF($AJ$56="Specific",AG65*VLOOKUP(AK$63,$AB$54:$AD$56,3,FALSE)/1000*VLOOKUP(AG$63,'Country Totals'!$AB$46:$AD$48,3,FALSE),AG65*VLOOKUP(AG$63,'Country Totals'!$AB$46:$AD$48,2,FALSE)),2)</f>
        <v>#N/A</v>
      </c>
    </row>
    <row r="66" spans="2:37" x14ac:dyDescent="0.35">
      <c r="B66" s="216" t="s">
        <v>2799</v>
      </c>
      <c r="C66" s="129" t="e">
        <f t="array" ref="C66">SUM(($B8=Generators!$H$2:$H$9790)*("Y"=Generators!$C$2:$C$9790)*(C$63=Generators!$F$2:$F$9790)*Generators!$U$2:$U$9790)</f>
        <v>#N/A</v>
      </c>
      <c r="D66" s="129" t="e">
        <f t="array" ref="D66">SUM(($B8=Generators!$H$2:$H$9790)*("Y"=Generators!$C$2:$C$9790)*(D$63=Generators!$F$2:$F$9790)*Generators!$U$2:$U$9790)</f>
        <v>#N/A</v>
      </c>
      <c r="E66" s="129" t="e">
        <f t="array" ref="E66">SUM(($B8=Generators!$H$2:$H$9790)*("Y"=Generators!$C$2:$C$9790)*(E$63=Generators!$F$2:$F$9790)*Generators!$U$2:$U$9790)</f>
        <v>#N/A</v>
      </c>
      <c r="G66" s="216" t="s">
        <v>2799</v>
      </c>
      <c r="H66" s="129">
        <f>VLOOKUP($B66,$B$107:$E$132,2,FALSE)</f>
        <v>0</v>
      </c>
      <c r="I66" s="129">
        <f>VLOOKUP($B66,$B$107:$E$132,3,FALSE)</f>
        <v>719</v>
      </c>
      <c r="J66" s="129">
        <f>VLOOKUP($B66,$B$107:$E$132,4,FALSE)</f>
        <v>1399</v>
      </c>
      <c r="M66" s="127">
        <v>3129</v>
      </c>
      <c r="N66" s="127">
        <v>864</v>
      </c>
      <c r="P66" s="127">
        <f>VLOOKUP(B66,$B$137:$C$165,2,FALSE)</f>
        <v>3219</v>
      </c>
      <c r="R66" s="216" t="s">
        <v>2799</v>
      </c>
      <c r="S66" s="129" t="e">
        <f t="shared" si="7"/>
        <v>#N/A</v>
      </c>
      <c r="T66" s="129" t="e">
        <f t="shared" si="8"/>
        <v>#N/A</v>
      </c>
      <c r="U66" s="129" t="e">
        <f t="shared" si="9"/>
        <v>#N/A</v>
      </c>
      <c r="W66" s="276" t="e">
        <f t="shared" si="10"/>
        <v>#N/A</v>
      </c>
      <c r="X66" s="277" t="e">
        <f t="shared" si="3"/>
        <v>#N/A</v>
      </c>
      <c r="Y66" s="277" t="e">
        <f t="shared" si="4"/>
        <v>#N/A</v>
      </c>
      <c r="Z66" s="277" t="e">
        <f t="shared" si="5"/>
        <v>#N/A</v>
      </c>
      <c r="AB66" s="129" t="e">
        <f t="shared" si="11"/>
        <v>#N/A</v>
      </c>
      <c r="AC66" s="135" t="e">
        <f t="shared" si="12"/>
        <v>#N/A</v>
      </c>
      <c r="AD66" s="129" t="str">
        <f t="shared" si="13"/>
        <v>BG</v>
      </c>
      <c r="AE66" s="129" t="e">
        <f t="shared" si="14"/>
        <v>#N/A</v>
      </c>
      <c r="AF66" s="129" t="e">
        <f t="shared" si="15"/>
        <v>#N/A</v>
      </c>
      <c r="AG66" s="129" t="e">
        <f t="shared" si="16"/>
        <v>#N/A</v>
      </c>
      <c r="AH66" s="129" t="str">
        <f t="shared" si="17"/>
        <v>BG</v>
      </c>
      <c r="AI66" s="127" t="e">
        <f>ROUND(IF($AJ$56="Specific",AE66*VLOOKUP(AI$63,$AB$54:$AD$56,3,FALSE)/1000*VLOOKUP(AE$63,'Country Totals'!$AB$46:$AD$48,3,FALSE),AE66*VLOOKUP(AE$63,'Country Totals'!$AB$46:$AD$48,2,FALSE)),2)</f>
        <v>#N/A</v>
      </c>
      <c r="AJ66" s="127" t="e">
        <f>ROUND(IF($AJ$56="Specific",AF66*VLOOKUP(AJ$63,$AB$54:$AD$56,3,FALSE)/1000*VLOOKUP(AF$63,'Country Totals'!$AB$46:$AD$48,3,FALSE),AF66*VLOOKUP(AF$63,'Country Totals'!$AB$46:$AD$48,2,FALSE)),2)</f>
        <v>#N/A</v>
      </c>
      <c r="AK66" s="127" t="e">
        <f>ROUND(IF($AJ$56="Specific",AG66*VLOOKUP(AK$63,$AB$54:$AD$56,3,FALSE)/1000*VLOOKUP(AG$63,'Country Totals'!$AB$46:$AD$48,3,FALSE),AG66*VLOOKUP(AG$63,'Country Totals'!$AB$46:$AD$48,2,FALSE)),2)</f>
        <v>#N/A</v>
      </c>
    </row>
    <row r="67" spans="2:37" x14ac:dyDescent="0.35">
      <c r="B67" s="216" t="s">
        <v>2800</v>
      </c>
      <c r="C67" s="129" t="e">
        <f t="array" ref="C67">SUM(($B9=Generators!$H$2:$H$9790)*("Y"=Generators!$C$2:$C$9790)*(C$63=Generators!$F$2:$F$9790)*Generators!$U$2:$U$9790)</f>
        <v>#N/A</v>
      </c>
      <c r="D67" s="129" t="e">
        <f t="array" ref="D67">SUM(($B9=Generators!$H$2:$H$9790)*("Y"=Generators!$C$2:$C$9790)*(D$63=Generators!$F$2:$F$9790)*Generators!$U$2:$U$9790)</f>
        <v>#N/A</v>
      </c>
      <c r="E67" s="129" t="e">
        <f t="array" ref="E67">SUM(($B9=Generators!$H$2:$H$9790)*("Y"=Generators!$C$2:$C$9790)*(E$63=Generators!$F$2:$F$9790)*Generators!$U$2:$U$9790)</f>
        <v>#N/A</v>
      </c>
      <c r="G67" s="216" t="s">
        <v>2800</v>
      </c>
      <c r="H67" s="129">
        <f>VLOOKUP($B67,$B$107:$E$132,2,FALSE)</f>
        <v>100</v>
      </c>
      <c r="I67" s="129">
        <f>VLOOKUP($B67,$B$107:$E$132,3,FALSE)</f>
        <v>4779</v>
      </c>
      <c r="J67" s="129">
        <f>VLOOKUP($B67,$B$107:$E$132,4,FALSE)</f>
        <v>4002</v>
      </c>
      <c r="M67" s="127">
        <v>15635</v>
      </c>
      <c r="N67" s="127">
        <v>1817</v>
      </c>
      <c r="P67" s="127">
        <f>VLOOKUP(B67,$B$137:$C$165,2,FALSE)</f>
        <v>13760</v>
      </c>
      <c r="R67" s="216" t="s">
        <v>2800</v>
      </c>
      <c r="S67" s="129" t="e">
        <f t="shared" si="7"/>
        <v>#N/A</v>
      </c>
      <c r="T67" s="129" t="e">
        <f t="shared" si="8"/>
        <v>#N/A</v>
      </c>
      <c r="U67" s="129" t="e">
        <f t="shared" si="9"/>
        <v>#N/A</v>
      </c>
      <c r="W67" s="276" t="e">
        <f t="shared" si="10"/>
        <v>#N/A</v>
      </c>
      <c r="X67" s="277" t="e">
        <f t="shared" si="3"/>
        <v>#N/A</v>
      </c>
      <c r="Y67" s="277" t="e">
        <f t="shared" si="4"/>
        <v>#N/A</v>
      </c>
      <c r="Z67" s="277" t="e">
        <f t="shared" si="5"/>
        <v>#N/A</v>
      </c>
      <c r="AB67" s="129" t="e">
        <f t="shared" si="11"/>
        <v>#N/A</v>
      </c>
      <c r="AC67" s="135" t="e">
        <f t="shared" si="12"/>
        <v>#N/A</v>
      </c>
      <c r="AD67" s="129" t="str">
        <f t="shared" si="13"/>
        <v>CH</v>
      </c>
      <c r="AE67" s="129" t="e">
        <f t="shared" si="14"/>
        <v>#N/A</v>
      </c>
      <c r="AF67" s="129" t="e">
        <f t="shared" si="15"/>
        <v>#N/A</v>
      </c>
      <c r="AG67" s="129" t="e">
        <f t="shared" si="16"/>
        <v>#N/A</v>
      </c>
      <c r="AH67" s="129" t="str">
        <f t="shared" si="17"/>
        <v>CH</v>
      </c>
      <c r="AI67" s="127" t="e">
        <f>ROUND(IF($AJ$56="Specific",AE67*VLOOKUP(AI$63,$AB$54:$AD$56,3,FALSE)/1000*VLOOKUP(AE$63,'Country Totals'!$AB$46:$AD$48,3,FALSE),AE67*VLOOKUP(AE$63,'Country Totals'!$AB$46:$AD$48,2,FALSE)),2)</f>
        <v>#N/A</v>
      </c>
      <c r="AJ67" s="127" t="e">
        <f>ROUND(IF($AJ$56="Specific",AF67*VLOOKUP(AJ$63,$AB$54:$AD$56,3,FALSE)/1000*VLOOKUP(AF$63,'Country Totals'!$AB$46:$AD$48,3,FALSE),AF67*VLOOKUP(AF$63,'Country Totals'!$AB$46:$AD$48,2,FALSE)),2)</f>
        <v>#N/A</v>
      </c>
      <c r="AK67" s="127" t="e">
        <f>ROUND(IF($AJ$56="Specific",AG67*VLOOKUP(AK$63,$AB$54:$AD$56,3,FALSE)/1000*VLOOKUP(AG$63,'Country Totals'!$AB$46:$AD$48,3,FALSE),AG67*VLOOKUP(AG$63,'Country Totals'!$AB$46:$AD$48,2,FALSE)),2)</f>
        <v>#N/A</v>
      </c>
    </row>
    <row r="68" spans="2:37" x14ac:dyDescent="0.35">
      <c r="B68" s="216" t="s">
        <v>2801</v>
      </c>
      <c r="C68" s="129" t="e">
        <f t="array" ref="C68">SUM(($B10=Generators!$H$2:$H$9790)*("Y"=Generators!$C$2:$C$9790)*(C$63=Generators!$F$2:$F$9790)*Generators!$U$2:$U$9790)</f>
        <v>#N/A</v>
      </c>
      <c r="D68" s="129" t="e">
        <f t="array" ref="D68">SUM(($B10=Generators!$H$2:$H$9790)*("Y"=Generators!$C$2:$C$9790)*(D$63=Generators!$F$2:$F$9790)*Generators!$U$2:$U$9790)</f>
        <v>#N/A</v>
      </c>
      <c r="E68" s="129" t="e">
        <f t="array" ref="E68">SUM(($B10=Generators!$H$2:$H$9790)*("Y"=Generators!$C$2:$C$9790)*(E$63=Generators!$F$2:$F$9790)*Generators!$U$2:$U$9790)</f>
        <v>#N/A</v>
      </c>
      <c r="G68" s="216" t="s">
        <v>2801</v>
      </c>
      <c r="H68" s="240">
        <v>0</v>
      </c>
      <c r="I68" s="240">
        <v>0</v>
      </c>
      <c r="J68" s="240">
        <v>0</v>
      </c>
      <c r="M68" s="127">
        <v>0</v>
      </c>
      <c r="N68" s="127">
        <v>0</v>
      </c>
      <c r="P68" s="247">
        <v>0</v>
      </c>
      <c r="R68" s="216" t="s">
        <v>2801</v>
      </c>
      <c r="S68" s="129" t="e">
        <f t="shared" si="7"/>
        <v>#N/A</v>
      </c>
      <c r="T68" s="129" t="e">
        <f t="shared" si="8"/>
        <v>#N/A</v>
      </c>
      <c r="U68" s="129" t="e">
        <f t="shared" si="9"/>
        <v>#N/A</v>
      </c>
      <c r="W68" s="276" t="e">
        <f t="shared" si="10"/>
        <v>#N/A</v>
      </c>
      <c r="X68" s="277" t="e">
        <f t="shared" si="3"/>
        <v>#N/A</v>
      </c>
      <c r="Y68" s="277" t="e">
        <f t="shared" si="4"/>
        <v>#N/A</v>
      </c>
      <c r="Z68" s="277" t="e">
        <f t="shared" si="5"/>
        <v>#N/A</v>
      </c>
      <c r="AB68" s="129" t="e">
        <f t="shared" si="11"/>
        <v>#N/A</v>
      </c>
      <c r="AC68" s="135" t="e">
        <f t="shared" si="12"/>
        <v>#N/A</v>
      </c>
      <c r="AD68" s="129" t="str">
        <f t="shared" si="13"/>
        <v>CY</v>
      </c>
      <c r="AE68" s="129" t="e">
        <f t="shared" si="14"/>
        <v>#N/A</v>
      </c>
      <c r="AF68" s="129" t="e">
        <f t="shared" si="15"/>
        <v>#N/A</v>
      </c>
      <c r="AG68" s="129" t="e">
        <f t="shared" si="16"/>
        <v>#N/A</v>
      </c>
      <c r="AH68" s="129" t="str">
        <f t="shared" si="17"/>
        <v>CY</v>
      </c>
      <c r="AI68" s="127" t="e">
        <f>ROUND(IF($AJ$56="Specific",AE68*VLOOKUP(AI$63,$AB$54:$AD$56,3,FALSE)/1000*VLOOKUP(AE$63,'Country Totals'!$AB$46:$AD$48,3,FALSE),AE68*VLOOKUP(AE$63,'Country Totals'!$AB$46:$AD$48,2,FALSE)),2)</f>
        <v>#N/A</v>
      </c>
      <c r="AJ68" s="127" t="e">
        <f>ROUND(IF($AJ$56="Specific",AF68*VLOOKUP(AJ$63,$AB$54:$AD$56,3,FALSE)/1000*VLOOKUP(AF$63,'Country Totals'!$AB$46:$AD$48,3,FALSE),AF68*VLOOKUP(AF$63,'Country Totals'!$AB$46:$AD$48,2,FALSE)),2)</f>
        <v>#N/A</v>
      </c>
      <c r="AK68" s="127" t="e">
        <f>ROUND(IF($AJ$56="Specific",AG68*VLOOKUP(AK$63,$AB$54:$AD$56,3,FALSE)/1000*VLOOKUP(AG$63,'Country Totals'!$AB$46:$AD$48,3,FALSE),AG68*VLOOKUP(AG$63,'Country Totals'!$AB$46:$AD$48,2,FALSE)),2)</f>
        <v>#N/A</v>
      </c>
    </row>
    <row r="69" spans="2:37" x14ac:dyDescent="0.35">
      <c r="B69" s="216" t="s">
        <v>2802</v>
      </c>
      <c r="C69" s="129" t="e">
        <f t="array" ref="C69">SUM(($B11=Generators!$H$2:$H$9790)*("Y"=Generators!$C$2:$C$9790)*(C$63=Generators!$F$2:$F$9790)*Generators!$U$2:$U$9790)</f>
        <v>#N/A</v>
      </c>
      <c r="D69" s="129" t="e">
        <f t="array" ref="D69">SUM(($B11=Generators!$H$2:$H$9790)*("Y"=Generators!$C$2:$C$9790)*(D$63=Generators!$F$2:$F$9790)*Generators!$U$2:$U$9790)</f>
        <v>#N/A</v>
      </c>
      <c r="E69" s="129" t="e">
        <f t="array" ref="E69">SUM(($B11=Generators!$H$2:$H$9790)*("Y"=Generators!$C$2:$C$9790)*(E$63=Generators!$F$2:$F$9790)*Generators!$U$2:$U$9790)</f>
        <v>#N/A</v>
      </c>
      <c r="G69" s="216" t="s">
        <v>2802</v>
      </c>
      <c r="H69" s="129">
        <f>VLOOKUP($B69,$B$107:$E$132,2,FALSE)</f>
        <v>0</v>
      </c>
      <c r="I69" s="129">
        <f>VLOOKUP($B69,$B$107:$E$132,3,FALSE)</f>
        <v>612</v>
      </c>
      <c r="J69" s="129">
        <f>VLOOKUP($B69,$B$107:$E$132,4,FALSE)</f>
        <v>1110</v>
      </c>
      <c r="M69" s="127">
        <v>2259</v>
      </c>
      <c r="N69" s="127">
        <v>1172</v>
      </c>
      <c r="P69" s="127">
        <f>VLOOKUP(B69,$B$137:$C$165,2,FALSE)</f>
        <v>2260</v>
      </c>
      <c r="R69" s="216" t="s">
        <v>2802</v>
      </c>
      <c r="S69" s="129" t="e">
        <f t="shared" si="7"/>
        <v>#N/A</v>
      </c>
      <c r="T69" s="129" t="e">
        <f t="shared" si="8"/>
        <v>#N/A</v>
      </c>
      <c r="U69" s="129" t="e">
        <f t="shared" si="9"/>
        <v>#N/A</v>
      </c>
      <c r="W69" s="276" t="e">
        <f t="shared" si="10"/>
        <v>#N/A</v>
      </c>
      <c r="X69" s="277" t="e">
        <f t="shared" si="3"/>
        <v>#N/A</v>
      </c>
      <c r="Y69" s="277" t="e">
        <f t="shared" si="4"/>
        <v>#N/A</v>
      </c>
      <c r="Z69" s="277" t="e">
        <f t="shared" si="5"/>
        <v>#N/A</v>
      </c>
      <c r="AB69" s="129" t="e">
        <f t="shared" si="11"/>
        <v>#N/A</v>
      </c>
      <c r="AC69" s="135" t="e">
        <f t="shared" si="12"/>
        <v>#N/A</v>
      </c>
      <c r="AD69" s="129" t="str">
        <f t="shared" si="13"/>
        <v>CZ</v>
      </c>
      <c r="AE69" s="129" t="e">
        <f t="shared" si="14"/>
        <v>#N/A</v>
      </c>
      <c r="AF69" s="129" t="e">
        <f t="shared" si="15"/>
        <v>#N/A</v>
      </c>
      <c r="AG69" s="129" t="e">
        <f t="shared" si="16"/>
        <v>#N/A</v>
      </c>
      <c r="AH69" s="129" t="str">
        <f t="shared" si="17"/>
        <v>CZ</v>
      </c>
      <c r="AI69" s="127" t="e">
        <f>ROUND(IF($AJ$56="Specific",AE69*VLOOKUP(AI$63,$AB$54:$AD$56,3,FALSE)/1000*VLOOKUP(AE$63,'Country Totals'!$AB$46:$AD$48,3,FALSE),AE69*VLOOKUP(AE$63,'Country Totals'!$AB$46:$AD$48,2,FALSE)),2)</f>
        <v>#N/A</v>
      </c>
      <c r="AJ69" s="127" t="e">
        <f>ROUND(IF($AJ$56="Specific",AF69*VLOOKUP(AJ$63,$AB$54:$AD$56,3,FALSE)/1000*VLOOKUP(AF$63,'Country Totals'!$AB$46:$AD$48,3,FALSE),AF69*VLOOKUP(AF$63,'Country Totals'!$AB$46:$AD$48,2,FALSE)),2)</f>
        <v>#N/A</v>
      </c>
      <c r="AK69" s="127" t="e">
        <f>ROUND(IF($AJ$56="Specific",AG69*VLOOKUP(AK$63,$AB$54:$AD$56,3,FALSE)/1000*VLOOKUP(AG$63,'Country Totals'!$AB$46:$AD$48,3,FALSE),AG69*VLOOKUP(AG$63,'Country Totals'!$AB$46:$AD$48,2,FALSE)),2)</f>
        <v>#N/A</v>
      </c>
    </row>
    <row r="70" spans="2:37" x14ac:dyDescent="0.35">
      <c r="B70" s="216" t="s">
        <v>2803</v>
      </c>
      <c r="C70" s="129" t="e">
        <f t="array" ref="C70">SUM(($B12=Generators!$H$2:$H$9790)*("Y"=Generators!$C$2:$C$9790)*(C$63=Generators!$F$2:$F$9790)*Generators!$U$2:$U$9790)</f>
        <v>#N/A</v>
      </c>
      <c r="D70" s="129" t="e">
        <f t="array" ref="D70">SUM(($B12=Generators!$H$2:$H$9790)*("Y"=Generators!$C$2:$C$9790)*(D$63=Generators!$F$2:$F$9790)*Generators!$U$2:$U$9790)</f>
        <v>#N/A</v>
      </c>
      <c r="E70" s="129" t="e">
        <f t="array" ref="E70">SUM(($B12=Generators!$H$2:$H$9790)*("Y"=Generators!$C$2:$C$9790)*(E$63=Generators!$F$2:$F$9790)*Generators!$U$2:$U$9790)</f>
        <v>#N/A</v>
      </c>
      <c r="G70" s="216" t="s">
        <v>2803</v>
      </c>
      <c r="H70" s="129">
        <f>VLOOKUP($B70,$B$107:$E$132,2,FALSE)</f>
        <v>2413</v>
      </c>
      <c r="I70" s="129">
        <f>VLOOKUP($B70,$B$107:$E$132,3,FALSE)</f>
        <v>1875</v>
      </c>
      <c r="J70" s="129">
        <f>VLOOKUP($B70,$B$107:$E$132,4,FALSE)</f>
        <v>10183</v>
      </c>
      <c r="M70" s="127">
        <v>11258</v>
      </c>
      <c r="N70" s="127">
        <v>6806</v>
      </c>
      <c r="P70" s="127">
        <f>VLOOKUP(B70,$B$137:$C$165,2,FALSE)</f>
        <v>11399</v>
      </c>
      <c r="R70" s="216" t="s">
        <v>2803</v>
      </c>
      <c r="S70" s="129" t="e">
        <f t="shared" si="7"/>
        <v>#N/A</v>
      </c>
      <c r="T70" s="129" t="e">
        <f t="shared" si="8"/>
        <v>#N/A</v>
      </c>
      <c r="U70" s="129" t="e">
        <f t="shared" si="9"/>
        <v>#N/A</v>
      </c>
      <c r="W70" s="276" t="e">
        <f t="shared" si="10"/>
        <v>#N/A</v>
      </c>
      <c r="X70" s="277" t="e">
        <f t="shared" si="3"/>
        <v>#N/A</v>
      </c>
      <c r="Y70" s="277" t="e">
        <f t="shared" si="4"/>
        <v>#N/A</v>
      </c>
      <c r="Z70" s="277" t="e">
        <f t="shared" si="5"/>
        <v>#N/A</v>
      </c>
      <c r="AB70" s="129" t="e">
        <f t="shared" si="11"/>
        <v>#N/A</v>
      </c>
      <c r="AC70" s="135" t="e">
        <f t="shared" si="12"/>
        <v>#N/A</v>
      </c>
      <c r="AD70" s="129" t="str">
        <f t="shared" si="13"/>
        <v>DE</v>
      </c>
      <c r="AE70" s="129" t="e">
        <f t="shared" si="14"/>
        <v>#N/A</v>
      </c>
      <c r="AF70" s="129" t="e">
        <f t="shared" si="15"/>
        <v>#N/A</v>
      </c>
      <c r="AG70" s="129" t="e">
        <f t="shared" si="16"/>
        <v>#N/A</v>
      </c>
      <c r="AH70" s="129" t="str">
        <f t="shared" si="17"/>
        <v>DE</v>
      </c>
      <c r="AI70" s="127" t="e">
        <f>ROUND(IF($AJ$56="Specific",AE70*VLOOKUP(AI$63,$AB$54:$AD$56,3,FALSE)/1000*VLOOKUP(AE$63,'Country Totals'!$AB$46:$AD$48,3,FALSE),AE70*VLOOKUP(AE$63,'Country Totals'!$AB$46:$AD$48,2,FALSE)),2)</f>
        <v>#N/A</v>
      </c>
      <c r="AJ70" s="127" t="e">
        <f>ROUND(IF($AJ$56="Specific",AF70*VLOOKUP(AJ$63,$AB$54:$AD$56,3,FALSE)/1000*VLOOKUP(AF$63,'Country Totals'!$AB$46:$AD$48,3,FALSE),AF70*VLOOKUP(AF$63,'Country Totals'!$AB$46:$AD$48,2,FALSE)),2)</f>
        <v>#N/A</v>
      </c>
      <c r="AK70" s="127" t="e">
        <f>ROUND(IF($AJ$56="Specific",AG70*VLOOKUP(AK$63,$AB$54:$AD$56,3,FALSE)/1000*VLOOKUP(AG$63,'Country Totals'!$AB$46:$AD$48,3,FALSE),AG70*VLOOKUP(AG$63,'Country Totals'!$AB$46:$AD$48,2,FALSE)),2)</f>
        <v>#N/A</v>
      </c>
    </row>
    <row r="71" spans="2:37" x14ac:dyDescent="0.35">
      <c r="B71" s="216" t="s">
        <v>2804</v>
      </c>
      <c r="C71" s="129" t="e">
        <f t="array" ref="C71">SUM(($B13=Generators!$H$2:$H$9790)*("Y"=Generators!$C$2:$C$9790)*(C$63=Generators!$F$2:$F$9790)*Generators!$U$2:$U$9790)</f>
        <v>#N/A</v>
      </c>
      <c r="D71" s="129" t="e">
        <f t="array" ref="D71">SUM(($B13=Generators!$H$2:$H$9790)*("Y"=Generators!$C$2:$C$9790)*(D$63=Generators!$F$2:$F$9790)*Generators!$U$2:$U$9790)</f>
        <v>#N/A</v>
      </c>
      <c r="E71" s="129" t="e">
        <f t="array" ref="E71">SUM(($B13=Generators!$H$2:$H$9790)*("Y"=Generators!$C$2:$C$9790)*(E$63=Generators!$F$2:$F$9790)*Generators!$U$2:$U$9790)</f>
        <v>#N/A</v>
      </c>
      <c r="G71" s="216" t="s">
        <v>2804</v>
      </c>
      <c r="H71" s="240">
        <v>0</v>
      </c>
      <c r="I71" s="240">
        <v>0</v>
      </c>
      <c r="J71" s="240">
        <v>0</v>
      </c>
      <c r="M71" s="241">
        <v>0</v>
      </c>
      <c r="N71" s="240">
        <v>0</v>
      </c>
      <c r="P71" s="247">
        <v>0</v>
      </c>
      <c r="R71" s="216" t="s">
        <v>2804</v>
      </c>
      <c r="S71" s="129" t="e">
        <f t="shared" ref="S71:S76" si="18">H71-C71</f>
        <v>#N/A</v>
      </c>
      <c r="T71" s="129" t="e">
        <f t="shared" si="8"/>
        <v>#N/A</v>
      </c>
      <c r="U71" s="129" t="e">
        <f t="shared" si="9"/>
        <v>#N/A</v>
      </c>
      <c r="W71" s="276" t="e">
        <f t="shared" si="10"/>
        <v>#N/A</v>
      </c>
      <c r="X71" s="277" t="e">
        <f t="shared" si="3"/>
        <v>#N/A</v>
      </c>
      <c r="Y71" s="277" t="e">
        <f t="shared" si="4"/>
        <v>#N/A</v>
      </c>
      <c r="Z71" s="277" t="e">
        <f t="shared" si="5"/>
        <v>#N/A</v>
      </c>
      <c r="AB71" s="129" t="e">
        <f t="shared" si="11"/>
        <v>#N/A</v>
      </c>
      <c r="AC71" s="135" t="e">
        <f t="shared" si="12"/>
        <v>#N/A</v>
      </c>
      <c r="AD71" s="129" t="str">
        <f t="shared" si="13"/>
        <v>DK</v>
      </c>
      <c r="AE71" s="129" t="e">
        <f t="shared" si="14"/>
        <v>#N/A</v>
      </c>
      <c r="AF71" s="129" t="e">
        <f t="shared" si="15"/>
        <v>#N/A</v>
      </c>
      <c r="AG71" s="129" t="e">
        <f t="shared" si="16"/>
        <v>#N/A</v>
      </c>
      <c r="AH71" s="129" t="str">
        <f t="shared" si="17"/>
        <v>DK</v>
      </c>
      <c r="AI71" s="127" t="e">
        <f>ROUND(IF($AJ$56="Specific",AE71*VLOOKUP(AI$63,$AB$54:$AD$56,3,FALSE)/1000*VLOOKUP(AE$63,'Country Totals'!$AB$46:$AD$48,3,FALSE),AE71*VLOOKUP(AE$63,'Country Totals'!$AB$46:$AD$48,2,FALSE)),2)</f>
        <v>#N/A</v>
      </c>
      <c r="AJ71" s="127" t="e">
        <f>ROUND(IF($AJ$56="Specific",AF71*VLOOKUP(AJ$63,$AB$54:$AD$56,3,FALSE)/1000*VLOOKUP(AF$63,'Country Totals'!$AB$46:$AD$48,3,FALSE),AF71*VLOOKUP(AF$63,'Country Totals'!$AB$46:$AD$48,2,FALSE)),2)</f>
        <v>#N/A</v>
      </c>
      <c r="AK71" s="127" t="e">
        <f>ROUND(IF($AJ$56="Specific",AG71*VLOOKUP(AK$63,$AB$54:$AD$56,3,FALSE)/1000*VLOOKUP(AG$63,'Country Totals'!$AB$46:$AD$48,3,FALSE),AG71*VLOOKUP(AG$63,'Country Totals'!$AB$46:$AD$48,2,FALSE)),2)</f>
        <v>#N/A</v>
      </c>
    </row>
    <row r="72" spans="2:37" x14ac:dyDescent="0.35">
      <c r="B72" s="216" t="s">
        <v>2805</v>
      </c>
      <c r="C72" s="129" t="e">
        <f t="array" ref="C72">SUM(($B14=Generators!$H$2:$H$9790)*("Y"=Generators!$C$2:$C$9790)*(C$63=Generators!$F$2:$F$9790)*Generators!$U$2:$U$9790)</f>
        <v>#N/A</v>
      </c>
      <c r="D72" s="129" t="e">
        <f t="array" ref="D72">SUM(($B14=Generators!$H$2:$H$9790)*("Y"=Generators!$C$2:$C$9790)*(D$63=Generators!$F$2:$F$9790)*Generators!$U$2:$U$9790)</f>
        <v>#N/A</v>
      </c>
      <c r="E72" s="129" t="e">
        <f t="array" ref="E72">SUM(($B14=Generators!$H$2:$H$9790)*("Y"=Generators!$C$2:$C$9790)*(E$63=Generators!$F$2:$F$9790)*Generators!$U$2:$U$9790)</f>
        <v>#N/A</v>
      </c>
      <c r="G72" s="216" t="s">
        <v>2805</v>
      </c>
      <c r="H72" s="239">
        <f t="shared" ref="H72:H77" si="19">VLOOKUP($B72,$B$107:$E$132,2,FALSE)</f>
        <v>0</v>
      </c>
      <c r="I72" s="239">
        <f t="shared" ref="I72:I77" si="20">VLOOKUP($B72,$B$107:$E$132,3,FALSE)</f>
        <v>0</v>
      </c>
      <c r="J72" s="239">
        <f t="shared" ref="J72:J77" si="21">VLOOKUP($B72,$B$107:$E$132,4,FALSE)</f>
        <v>0</v>
      </c>
      <c r="M72" s="241">
        <v>0</v>
      </c>
      <c r="N72" s="240">
        <v>0</v>
      </c>
      <c r="P72" s="247">
        <v>0</v>
      </c>
      <c r="R72" s="216" t="s">
        <v>2805</v>
      </c>
      <c r="S72" s="129" t="e">
        <f t="shared" si="18"/>
        <v>#N/A</v>
      </c>
      <c r="T72" s="129" t="e">
        <f t="shared" ref="T72:U76" si="22">I72-D72</f>
        <v>#N/A</v>
      </c>
      <c r="U72" s="129" t="e">
        <f t="shared" si="22"/>
        <v>#N/A</v>
      </c>
      <c r="W72" s="276" t="e">
        <f t="shared" si="10"/>
        <v>#N/A</v>
      </c>
      <c r="X72" s="277" t="e">
        <f t="shared" si="3"/>
        <v>#N/A</v>
      </c>
      <c r="Y72" s="277" t="e">
        <f t="shared" si="4"/>
        <v>#N/A</v>
      </c>
      <c r="Z72" s="277" t="e">
        <f t="shared" si="5"/>
        <v>#N/A</v>
      </c>
      <c r="AB72" s="129" t="e">
        <f t="shared" si="11"/>
        <v>#N/A</v>
      </c>
      <c r="AC72" s="135" t="e">
        <f t="shared" si="12"/>
        <v>#N/A</v>
      </c>
      <c r="AD72" s="129" t="str">
        <f t="shared" si="13"/>
        <v>EE</v>
      </c>
      <c r="AE72" s="129" t="e">
        <f t="shared" si="14"/>
        <v>#N/A</v>
      </c>
      <c r="AF72" s="129" t="e">
        <f t="shared" si="15"/>
        <v>#N/A</v>
      </c>
      <c r="AG72" s="129" t="e">
        <f t="shared" si="16"/>
        <v>#N/A</v>
      </c>
      <c r="AH72" s="129" t="str">
        <f t="shared" si="17"/>
        <v>EE</v>
      </c>
      <c r="AI72" s="127" t="e">
        <f>ROUND(IF($AJ$56="Specific",AE72*VLOOKUP(AI$63,$AB$54:$AD$56,3,FALSE)/1000*VLOOKUP(AE$63,'Country Totals'!$AB$46:$AD$48,3,FALSE),AE72*VLOOKUP(AE$63,'Country Totals'!$AB$46:$AD$48,2,FALSE)),2)</f>
        <v>#N/A</v>
      </c>
      <c r="AJ72" s="127" t="e">
        <f>ROUND(IF($AJ$56="Specific",AF72*VLOOKUP(AJ$63,$AB$54:$AD$56,3,FALSE)/1000*VLOOKUP(AF$63,'Country Totals'!$AB$46:$AD$48,3,FALSE),AF72*VLOOKUP(AF$63,'Country Totals'!$AB$46:$AD$48,2,FALSE)),2)</f>
        <v>#N/A</v>
      </c>
      <c r="AK72" s="127" t="e">
        <f>ROUND(IF($AJ$56="Specific",AG72*VLOOKUP(AK$63,$AB$54:$AD$56,3,FALSE)/1000*VLOOKUP(AG$63,'Country Totals'!$AB$46:$AD$48,3,FALSE),AG72*VLOOKUP(AG$63,'Country Totals'!$AB$46:$AD$48,2,FALSE)),2)</f>
        <v>#N/A</v>
      </c>
    </row>
    <row r="73" spans="2:37" x14ac:dyDescent="0.35">
      <c r="B73" s="216" t="s">
        <v>2806</v>
      </c>
      <c r="C73" s="129" t="e">
        <f t="array" ref="C73">SUM(($B19=Generators!$H$2:$H$9790)*("Y"=Generators!$C$2:$C$9790)*(C$63=Generators!$F$2:$F$9790)*Generators!$U$2:$U$9790)</f>
        <v>#N/A</v>
      </c>
      <c r="D73" s="129" t="e">
        <f t="array" ref="D73">SUM(($B19=Generators!$H$2:$H$9790)*("Y"=Generators!$C$2:$C$9790)*(D$63=Generators!$F$2:$F$9790)*Generators!$U$2:$U$9790)</f>
        <v>#N/A</v>
      </c>
      <c r="E73" s="129" t="e">
        <f t="array" ref="E73">SUM(($B19=Generators!$H$2:$H$9790)*("Y"=Generators!$C$2:$C$9790)*(E$63=Generators!$F$2:$F$9790)*Generators!$U$2:$U$9790)</f>
        <v>#N/A</v>
      </c>
      <c r="G73" s="216" t="s">
        <v>2806</v>
      </c>
      <c r="H73" s="129">
        <f t="shared" si="19"/>
        <v>0</v>
      </c>
      <c r="I73" s="129">
        <f t="shared" si="20"/>
        <v>2166</v>
      </c>
      <c r="J73" s="129">
        <f t="shared" si="21"/>
        <v>693</v>
      </c>
      <c r="M73" s="127">
        <v>3396</v>
      </c>
      <c r="N73" s="127">
        <v>6966</v>
      </c>
      <c r="P73" s="127">
        <f>VLOOKUP(B73,$B$137:$C$165,2,FALSE)</f>
        <v>3392</v>
      </c>
      <c r="R73" s="216" t="s">
        <v>2806</v>
      </c>
      <c r="S73" s="129" t="e">
        <f t="shared" si="18"/>
        <v>#N/A</v>
      </c>
      <c r="T73" s="129" t="e">
        <f t="shared" si="22"/>
        <v>#N/A</v>
      </c>
      <c r="U73" s="129" t="e">
        <f t="shared" si="22"/>
        <v>#N/A</v>
      </c>
      <c r="W73" s="276" t="e">
        <f>P73-SUM(C73:E73)</f>
        <v>#N/A</v>
      </c>
      <c r="X73" s="277" t="e">
        <f t="shared" si="3"/>
        <v>#N/A</v>
      </c>
      <c r="Y73" s="277" t="e">
        <f t="shared" si="4"/>
        <v>#N/A</v>
      </c>
      <c r="Z73" s="277" t="e">
        <f t="shared" si="5"/>
        <v>#N/A</v>
      </c>
      <c r="AB73" s="129" t="e">
        <f>SUM(C73:E73)+SUM(X73:Z73)</f>
        <v>#N/A</v>
      </c>
      <c r="AC73" s="135" t="e">
        <f>P73-AB73</f>
        <v>#N/A</v>
      </c>
      <c r="AD73" s="129" t="str">
        <f>B73</f>
        <v>EL</v>
      </c>
      <c r="AE73" s="129" t="e">
        <f>ROUND(X73/VLOOKUP(AE$63,$AB$54:$AD$56,3,FALSE),0)</f>
        <v>#N/A</v>
      </c>
      <c r="AF73" s="129" t="e">
        <f>ROUND(Y73/VLOOKUP(AF$63,$AB$54:$AD$56,3,FALSE),0)</f>
        <v>#N/A</v>
      </c>
      <c r="AG73" s="129" t="e">
        <f>ROUND(Z73/VLOOKUP(AG$63,$AB$54:$AD$56,3,FALSE),0)</f>
        <v>#N/A</v>
      </c>
      <c r="AH73" s="129" t="str">
        <f>AD73</f>
        <v>EL</v>
      </c>
      <c r="AI73" s="127" t="e">
        <f>ROUND(IF($AJ$56="Specific",AE73*VLOOKUP(AI$63,$AB$54:$AD$56,3,FALSE)/1000*VLOOKUP(AE$63,'Country Totals'!$AB$46:$AD$48,3,FALSE),AE73*VLOOKUP(AE$63,'Country Totals'!$AB$46:$AD$48,2,FALSE)),2)</f>
        <v>#N/A</v>
      </c>
      <c r="AJ73" s="127" t="e">
        <f>ROUND(IF($AJ$56="Specific",AF73*VLOOKUP(AJ$63,$AB$54:$AD$56,3,FALSE)/1000*VLOOKUP(AF$63,'Country Totals'!$AB$46:$AD$48,3,FALSE),AF73*VLOOKUP(AF$63,'Country Totals'!$AB$46:$AD$48,2,FALSE)),2)</f>
        <v>#N/A</v>
      </c>
      <c r="AK73" s="127" t="e">
        <f>ROUND(IF($AJ$56="Specific",AG73*VLOOKUP(AK$63,$AB$54:$AD$56,3,FALSE)/1000*VLOOKUP(AG$63,'Country Totals'!$AB$46:$AD$48,3,FALSE),AG73*VLOOKUP(AG$63,'Country Totals'!$AB$46:$AD$48,2,FALSE)),2)</f>
        <v>#N/A</v>
      </c>
    </row>
    <row r="74" spans="2:37" x14ac:dyDescent="0.35">
      <c r="B74" s="216" t="s">
        <v>2807</v>
      </c>
      <c r="C74" s="129" t="e">
        <f t="array" ref="C74">SUM(($B15=Generators!$H$2:$H$9790)*("Y"=Generators!$C$2:$C$9790)*(C$63=Generators!$F$2:$F$9790)*Generators!$U$2:$U$9790)</f>
        <v>#N/A</v>
      </c>
      <c r="D74" s="129" t="e">
        <f t="array" ref="D74">SUM(($B15=Generators!$H$2:$H$9790)*("Y"=Generators!$C$2:$C$9790)*(D$63=Generators!$F$2:$F$9790)*Generators!$U$2:$U$9790)</f>
        <v>#N/A</v>
      </c>
      <c r="E74" s="129" t="e">
        <f t="array" ref="E74">SUM(($B15=Generators!$H$2:$H$9790)*("Y"=Generators!$C$2:$C$9790)*(E$63=Generators!$F$2:$F$9790)*Generators!$U$2:$U$9790)</f>
        <v>#N/A</v>
      </c>
      <c r="G74" s="216" t="s">
        <v>2807</v>
      </c>
      <c r="H74" s="129">
        <f t="shared" si="19"/>
        <v>0</v>
      </c>
      <c r="I74" s="129">
        <f t="shared" si="20"/>
        <v>18165</v>
      </c>
      <c r="J74" s="129">
        <f t="shared" si="21"/>
        <v>5480</v>
      </c>
      <c r="M74" s="127">
        <v>18561</v>
      </c>
      <c r="N74" s="127">
        <v>5268</v>
      </c>
      <c r="P74" s="127">
        <f>VLOOKUP(B74,$B$137:$C$165,2,FALSE)</f>
        <v>20053</v>
      </c>
      <c r="R74" s="216" t="s">
        <v>2807</v>
      </c>
      <c r="S74" s="129" t="e">
        <f t="shared" si="18"/>
        <v>#N/A</v>
      </c>
      <c r="T74" s="129" t="e">
        <f t="shared" si="22"/>
        <v>#N/A</v>
      </c>
      <c r="U74" s="129" t="e">
        <f t="shared" si="22"/>
        <v>#N/A</v>
      </c>
      <c r="W74" s="276" t="e">
        <f t="shared" si="10"/>
        <v>#N/A</v>
      </c>
      <c r="X74" s="277" t="e">
        <f t="shared" si="3"/>
        <v>#N/A</v>
      </c>
      <c r="Y74" s="277" t="e">
        <f t="shared" si="4"/>
        <v>#N/A</v>
      </c>
      <c r="Z74" s="277" t="e">
        <f t="shared" si="5"/>
        <v>#N/A</v>
      </c>
      <c r="AB74" s="129" t="e">
        <f t="shared" si="11"/>
        <v>#N/A</v>
      </c>
      <c r="AC74" s="135" t="e">
        <f t="shared" si="12"/>
        <v>#N/A</v>
      </c>
      <c r="AD74" s="129" t="str">
        <f t="shared" si="13"/>
        <v>ES</v>
      </c>
      <c r="AE74" s="129" t="e">
        <f t="shared" si="14"/>
        <v>#N/A</v>
      </c>
      <c r="AF74" s="129" t="e">
        <f t="shared" si="15"/>
        <v>#N/A</v>
      </c>
      <c r="AG74" s="129" t="e">
        <f t="shared" si="16"/>
        <v>#N/A</v>
      </c>
      <c r="AH74" s="129" t="str">
        <f t="shared" si="17"/>
        <v>ES</v>
      </c>
      <c r="AI74" s="127" t="e">
        <f>ROUND(IF($AJ$56="Specific",AE74*VLOOKUP(AI$63,$AB$54:$AD$56,3,FALSE)/1000*VLOOKUP(AE$63,'Country Totals'!$AB$46:$AD$48,3,FALSE),AE74*VLOOKUP(AE$63,'Country Totals'!$AB$46:$AD$48,2,FALSE)),2)</f>
        <v>#N/A</v>
      </c>
      <c r="AJ74" s="127" t="e">
        <f>ROUND(IF($AJ$56="Specific",AF74*VLOOKUP(AJ$63,$AB$54:$AD$56,3,FALSE)/1000*VLOOKUP(AF$63,'Country Totals'!$AB$46:$AD$48,3,FALSE),AF74*VLOOKUP(AF$63,'Country Totals'!$AB$46:$AD$48,2,FALSE)),2)</f>
        <v>#N/A</v>
      </c>
      <c r="AK74" s="127" t="e">
        <f>ROUND(IF($AJ$56="Specific",AG74*VLOOKUP(AK$63,$AB$54:$AD$56,3,FALSE)/1000*VLOOKUP(AG$63,'Country Totals'!$AB$46:$AD$48,3,FALSE),AG74*VLOOKUP(AG$63,'Country Totals'!$AB$46:$AD$48,2,FALSE)),2)</f>
        <v>#N/A</v>
      </c>
    </row>
    <row r="75" spans="2:37" x14ac:dyDescent="0.35">
      <c r="B75" s="216" t="s">
        <v>2808</v>
      </c>
      <c r="C75" s="129" t="e">
        <f t="array" ref="C75">SUM(($B16=Generators!$H$2:$H$9790)*("Y"=Generators!$C$2:$C$9790)*(C$63=Generators!$F$2:$F$9790)*Generators!$U$2:$U$9790)</f>
        <v>#N/A</v>
      </c>
      <c r="D75" s="129" t="e">
        <f t="array" ref="D75">SUM(($B16=Generators!$H$2:$H$9790)*("Y"=Generators!$C$2:$C$9790)*(D$63=Generators!$F$2:$F$9790)*Generators!$U$2:$U$9790)</f>
        <v>#N/A</v>
      </c>
      <c r="E75" s="129" t="e">
        <f t="array" ref="E75">SUM(($B16=Generators!$H$2:$H$9790)*("Y"=Generators!$C$2:$C$9790)*(E$63=Generators!$F$2:$F$9790)*Generators!$U$2:$U$9790)</f>
        <v>#N/A</v>
      </c>
      <c r="G75" s="216" t="s">
        <v>2808</v>
      </c>
      <c r="H75" s="129">
        <f t="shared" si="19"/>
        <v>428</v>
      </c>
      <c r="I75" s="129">
        <f t="shared" si="20"/>
        <v>0</v>
      </c>
      <c r="J75" s="129">
        <f t="shared" si="21"/>
        <v>0</v>
      </c>
      <c r="M75" s="127">
        <v>3198</v>
      </c>
      <c r="N75" s="127">
        <v>0</v>
      </c>
      <c r="P75" s="127">
        <f>VLOOKUP(B75,$B$137:$C$165,2,FALSE)</f>
        <v>3249</v>
      </c>
      <c r="R75" s="216" t="s">
        <v>2808</v>
      </c>
      <c r="S75" s="129" t="e">
        <f t="shared" si="18"/>
        <v>#N/A</v>
      </c>
      <c r="T75" s="129" t="e">
        <f t="shared" si="22"/>
        <v>#N/A</v>
      </c>
      <c r="U75" s="129" t="e">
        <f t="shared" si="22"/>
        <v>#N/A</v>
      </c>
      <c r="W75" s="276" t="e">
        <f t="shared" si="10"/>
        <v>#N/A</v>
      </c>
      <c r="X75" s="277" t="e">
        <f t="shared" si="3"/>
        <v>#N/A</v>
      </c>
      <c r="Y75" s="277" t="e">
        <f t="shared" si="4"/>
        <v>#N/A</v>
      </c>
      <c r="Z75" s="277" t="e">
        <f t="shared" si="5"/>
        <v>#N/A</v>
      </c>
      <c r="AB75" s="129" t="e">
        <f t="shared" si="11"/>
        <v>#N/A</v>
      </c>
      <c r="AC75" s="135" t="e">
        <f t="shared" si="12"/>
        <v>#N/A</v>
      </c>
      <c r="AD75" s="129" t="str">
        <f t="shared" si="13"/>
        <v>FI</v>
      </c>
      <c r="AE75" s="129" t="e">
        <f t="shared" si="14"/>
        <v>#N/A</v>
      </c>
      <c r="AF75" s="129" t="e">
        <f t="shared" si="15"/>
        <v>#N/A</v>
      </c>
      <c r="AG75" s="129" t="e">
        <f t="shared" si="16"/>
        <v>#N/A</v>
      </c>
      <c r="AH75" s="129" t="str">
        <f t="shared" si="17"/>
        <v>FI</v>
      </c>
      <c r="AI75" s="127" t="e">
        <f>ROUND(IF($AJ$56="Specific",AE75*VLOOKUP(AI$63,$AB$54:$AD$56,3,FALSE)/1000*VLOOKUP(AE$63,'Country Totals'!$AB$46:$AD$48,3,FALSE),AE75*VLOOKUP(AE$63,'Country Totals'!$AB$46:$AD$48,2,FALSE)),2)</f>
        <v>#N/A</v>
      </c>
      <c r="AJ75" s="127" t="e">
        <f>ROUND(IF($AJ$56="Specific",AF75*VLOOKUP(AJ$63,$AB$54:$AD$56,3,FALSE)/1000*VLOOKUP(AF$63,'Country Totals'!$AB$46:$AD$48,3,FALSE),AF75*VLOOKUP(AF$63,'Country Totals'!$AB$46:$AD$48,2,FALSE)),2)</f>
        <v>#N/A</v>
      </c>
      <c r="AK75" s="127" t="e">
        <f>ROUND(IF($AJ$56="Specific",AG75*VLOOKUP(AK$63,$AB$54:$AD$56,3,FALSE)/1000*VLOOKUP(AG$63,'Country Totals'!$AB$46:$AD$48,3,FALSE),AG75*VLOOKUP(AG$63,'Country Totals'!$AB$46:$AD$48,2,FALSE)),2)</f>
        <v>#N/A</v>
      </c>
    </row>
    <row r="76" spans="2:37" x14ac:dyDescent="0.35">
      <c r="B76" s="216" t="s">
        <v>2809</v>
      </c>
      <c r="C76" s="129" t="e">
        <f t="array" ref="C76">SUM(($B17=Generators!$H$2:$H$9790)*("Y"=Generators!$C$2:$C$9790)*(C$63=Generators!$F$2:$F$9790)*Generators!$U$2:$U$9790)</f>
        <v>#N/A</v>
      </c>
      <c r="D76" s="129" t="e">
        <f t="array" ref="D76">SUM(($B17=Generators!$H$2:$H$9790)*("Y"=Generators!$C$2:$C$9790)*(D$63=Generators!$F$2:$F$9790)*Generators!$U$2:$U$9790)</f>
        <v>#N/A</v>
      </c>
      <c r="E76" s="129" t="e">
        <f t="array" ref="E76">SUM(($B17=Generators!$H$2:$H$9790)*("Y"=Generators!$C$2:$C$9790)*(E$63=Generators!$F$2:$F$9790)*Generators!$U$2:$U$9790)</f>
        <v>#N/A</v>
      </c>
      <c r="G76" s="216" t="s">
        <v>2809</v>
      </c>
      <c r="H76" s="129">
        <f t="shared" si="19"/>
        <v>4690</v>
      </c>
      <c r="I76" s="129">
        <f t="shared" si="20"/>
        <v>5614</v>
      </c>
      <c r="J76" s="129">
        <f t="shared" si="21"/>
        <v>4955</v>
      </c>
      <c r="M76" s="127">
        <v>25397</v>
      </c>
      <c r="N76" s="127">
        <v>6985</v>
      </c>
      <c r="P76" s="127">
        <f>VLOOKUP(B76,$B$137:$C$165,2,FALSE)</f>
        <v>25278</v>
      </c>
      <c r="R76" s="216" t="s">
        <v>2809</v>
      </c>
      <c r="S76" s="129" t="e">
        <f t="shared" si="18"/>
        <v>#N/A</v>
      </c>
      <c r="T76" s="129" t="e">
        <f t="shared" si="22"/>
        <v>#N/A</v>
      </c>
      <c r="U76" s="129" t="e">
        <f t="shared" si="22"/>
        <v>#N/A</v>
      </c>
      <c r="W76" s="276" t="e">
        <f t="shared" si="10"/>
        <v>#N/A</v>
      </c>
      <c r="X76" s="277" t="e">
        <f t="shared" si="3"/>
        <v>#N/A</v>
      </c>
      <c r="Y76" s="277" t="e">
        <f t="shared" si="4"/>
        <v>#N/A</v>
      </c>
      <c r="Z76" s="277" t="e">
        <f t="shared" si="5"/>
        <v>#N/A</v>
      </c>
      <c r="AB76" s="129" t="e">
        <f t="shared" si="11"/>
        <v>#N/A</v>
      </c>
      <c r="AC76" s="135" t="e">
        <f t="shared" si="12"/>
        <v>#N/A</v>
      </c>
      <c r="AD76" s="129" t="str">
        <f t="shared" si="13"/>
        <v>FR</v>
      </c>
      <c r="AE76" s="129" t="e">
        <f t="shared" si="14"/>
        <v>#N/A</v>
      </c>
      <c r="AF76" s="129" t="e">
        <f t="shared" si="15"/>
        <v>#N/A</v>
      </c>
      <c r="AG76" s="129" t="e">
        <f t="shared" si="16"/>
        <v>#N/A</v>
      </c>
      <c r="AH76" s="129" t="str">
        <f t="shared" si="17"/>
        <v>FR</v>
      </c>
      <c r="AI76" s="127" t="e">
        <f>ROUND(IF($AJ$56="Specific",AE76*VLOOKUP(AI$63,$AB$54:$AD$56,3,FALSE)/1000*VLOOKUP(AE$63,'Country Totals'!$AB$46:$AD$48,3,FALSE),AE76*VLOOKUP(AE$63,'Country Totals'!$AB$46:$AD$48,2,FALSE)),2)</f>
        <v>#N/A</v>
      </c>
      <c r="AJ76" s="127" t="e">
        <f>ROUND(IF($AJ$56="Specific",AF76*VLOOKUP(AJ$63,$AB$54:$AD$56,3,FALSE)/1000*VLOOKUP(AF$63,'Country Totals'!$AB$46:$AD$48,3,FALSE),AF76*VLOOKUP(AF$63,'Country Totals'!$AB$46:$AD$48,2,FALSE)),2)</f>
        <v>#N/A</v>
      </c>
      <c r="AK76" s="127" t="e">
        <f>ROUND(IF($AJ$56="Specific",AG76*VLOOKUP(AK$63,$AB$54:$AD$56,3,FALSE)/1000*VLOOKUP(AG$63,'Country Totals'!$AB$46:$AD$48,3,FALSE),AG76*VLOOKUP(AG$63,'Country Totals'!$AB$46:$AD$48,2,FALSE)),2)</f>
        <v>#N/A</v>
      </c>
    </row>
    <row r="77" spans="2:37" x14ac:dyDescent="0.35">
      <c r="B77" s="216" t="s">
        <v>2832</v>
      </c>
      <c r="C77" s="129" t="e">
        <f t="array" ref="C77">SUM(($B18=Generators!$H$2:$H$9790)*("Y"=Generators!$C$2:$C$9790)*(C$63=Generators!$F$2:$F$9790)*Generators!$U$2:$U$9790)</f>
        <v>#N/A</v>
      </c>
      <c r="D77" s="129" t="e">
        <f t="array" ref="D77">SUM(($B18=Generators!$H$2:$H$9790)*("Y"=Generators!$C$2:$C$9790)*(D$63=Generators!$F$2:$F$9790)*Generators!$U$2:$U$9790)</f>
        <v>#N/A</v>
      </c>
      <c r="E77" s="129" t="e">
        <f t="array" ref="E77">SUM(($B18=Generators!$H$2:$H$9790)*("Y"=Generators!$C$2:$C$9790)*(E$63=Generators!$F$2:$F$9790)*Generators!$U$2:$U$9790)</f>
        <v>#N/A</v>
      </c>
      <c r="G77" s="216" t="s">
        <v>2832</v>
      </c>
      <c r="H77" s="129">
        <f t="shared" si="19"/>
        <v>4146</v>
      </c>
      <c r="I77" s="129">
        <f t="shared" si="20"/>
        <v>0</v>
      </c>
      <c r="J77" s="129">
        <f t="shared" si="21"/>
        <v>791</v>
      </c>
      <c r="M77" s="127">
        <v>4443</v>
      </c>
      <c r="N77" s="127">
        <v>2744</v>
      </c>
      <c r="P77" s="247">
        <f>VLOOKUP("UK",$B$137:$C$165,2,FALSE)</f>
        <v>4503</v>
      </c>
      <c r="R77" s="216" t="s">
        <v>2832</v>
      </c>
      <c r="S77" s="129" t="e">
        <f t="shared" ref="S77:S86" si="23">H77-C77</f>
        <v>#N/A</v>
      </c>
      <c r="T77" s="129" t="e">
        <f t="shared" ref="T77:T86" si="24">I77-D77</f>
        <v>#N/A</v>
      </c>
      <c r="U77" s="129" t="e">
        <f t="shared" ref="U77:U86" si="25">J77-E77</f>
        <v>#N/A</v>
      </c>
      <c r="W77" s="276" t="e">
        <f>P77-SUM(C77:E77)</f>
        <v>#N/A</v>
      </c>
      <c r="X77" s="277" t="e">
        <f t="shared" si="3"/>
        <v>#N/A</v>
      </c>
      <c r="Y77" s="277" t="e">
        <f t="shared" si="4"/>
        <v>#N/A</v>
      </c>
      <c r="Z77" s="277" t="e">
        <f t="shared" si="5"/>
        <v>#N/A</v>
      </c>
      <c r="AB77" s="129" t="e">
        <f t="shared" si="11"/>
        <v>#N/A</v>
      </c>
      <c r="AC77" s="135" t="e">
        <f>P77-AB77</f>
        <v>#N/A</v>
      </c>
      <c r="AD77" s="129" t="str">
        <f t="shared" si="13"/>
        <v>GB</v>
      </c>
      <c r="AE77" s="129" t="e">
        <f>ROUND(X77/VLOOKUP(AE$63,$AB$54:$AD$56,3,FALSE),0)</f>
        <v>#N/A</v>
      </c>
      <c r="AF77" s="129" t="e">
        <f t="shared" si="15"/>
        <v>#N/A</v>
      </c>
      <c r="AG77" s="129" t="e">
        <f t="shared" si="16"/>
        <v>#N/A</v>
      </c>
      <c r="AH77" s="129" t="str">
        <f t="shared" si="17"/>
        <v>GB</v>
      </c>
      <c r="AI77" s="127" t="e">
        <f>ROUND(IF($AJ$56="Specific",AE77*VLOOKUP(AI$63,$AB$54:$AD$56,3,FALSE)/1000*VLOOKUP(AE$63,'Country Totals'!$AB$46:$AD$48,3,FALSE),AE77*VLOOKUP(AE$63,'Country Totals'!$AB$46:$AD$48,2,FALSE)),2)</f>
        <v>#N/A</v>
      </c>
      <c r="AJ77" s="127" t="e">
        <f>ROUND(IF($AJ$56="Specific",AF77*VLOOKUP(AJ$63,$AB$54:$AD$56,3,FALSE)/1000*VLOOKUP(AF$63,'Country Totals'!$AB$46:$AD$48,3,FALSE),AF77*VLOOKUP(AF$63,'Country Totals'!$AB$46:$AD$48,2,FALSE)),2)</f>
        <v>#N/A</v>
      </c>
      <c r="AK77" s="127" t="e">
        <f>ROUND(IF($AJ$56="Specific",AG77*VLOOKUP(AK$63,$AB$54:$AD$56,3,FALSE)/1000*VLOOKUP(AG$63,'Country Totals'!$AB$46:$AD$48,3,FALSE),AG77*VLOOKUP(AG$63,'Country Totals'!$AB$46:$AD$48,2,FALSE)),2)</f>
        <v>#N/A</v>
      </c>
    </row>
    <row r="78" spans="2:37" x14ac:dyDescent="0.35">
      <c r="B78" s="216" t="s">
        <v>2810</v>
      </c>
      <c r="C78" s="129" t="e">
        <f t="array" ref="C78">SUM(($B20=Generators!$H$2:$H$9790)*("Y"=Generators!$C$2:$C$9790)*(C$63=Generators!$F$2:$F$9790)*Generators!$U$2:$U$9790)</f>
        <v>#N/A</v>
      </c>
      <c r="D78" s="129" t="e">
        <f t="array" ref="D78">SUM(($B20=Generators!$H$2:$H$9790)*("Y"=Generators!$C$2:$C$9790)*(D$63=Generators!$F$2:$F$9790)*Generators!$U$2:$U$9790)</f>
        <v>#N/A</v>
      </c>
      <c r="E78" s="129" t="e">
        <f t="array" ref="E78">SUM(($B20=Generators!$H$2:$H$9790)*("Y"=Generators!$C$2:$C$9790)*(E$63=Generators!$F$2:$F$9790)*Generators!$U$2:$U$9790)</f>
        <v>#N/A</v>
      </c>
      <c r="G78" s="216" t="s">
        <v>2810</v>
      </c>
      <c r="H78" s="240" t="e">
        <f t="array" ref="H78">SUM(($B20=Generators!$H$2:$H$9790)*("Y"=Generators!$C$2:$C$9790)*(H$63=Generators!$F$2:$F$9790)*Generators!$U$2:$U$9790)</f>
        <v>#N/A</v>
      </c>
      <c r="I78" s="240" t="e">
        <f t="array" ref="I78">SUM(($B20=Generators!$H$2:$H$9790)*("Y"=Generators!$C$2:$C$9790)*(I$63=Generators!$F$2:$F$9790)*Generators!$U$2:$U$9790)</f>
        <v>#N/A</v>
      </c>
      <c r="J78" s="240" t="e">
        <f t="array" ref="J78">SUM(($B20=Generators!$H$2:$H$9790)*("Y"=Generators!$C$2:$C$9790)*(J$63=Generators!$F$2:$F$9790)*Generators!$U$2:$U$9790)</f>
        <v>#N/A</v>
      </c>
      <c r="M78" s="127">
        <v>2141</v>
      </c>
      <c r="N78" s="127">
        <v>293</v>
      </c>
      <c r="P78" s="127">
        <f>VLOOKUP(B78,$B$137:$C$165,2,FALSE)</f>
        <v>2208</v>
      </c>
      <c r="R78" s="216" t="s">
        <v>2810</v>
      </c>
      <c r="S78" s="129" t="e">
        <f t="shared" si="23"/>
        <v>#N/A</v>
      </c>
      <c r="T78" s="129" t="e">
        <f t="shared" si="24"/>
        <v>#N/A</v>
      </c>
      <c r="U78" s="129" t="e">
        <f t="shared" si="25"/>
        <v>#N/A</v>
      </c>
      <c r="W78" s="276" t="e">
        <f>P78-SUM(C78:E78)</f>
        <v>#N/A</v>
      </c>
      <c r="X78" s="277" t="e">
        <f t="shared" si="3"/>
        <v>#N/A</v>
      </c>
      <c r="Y78" s="277" t="e">
        <f t="shared" si="4"/>
        <v>#N/A</v>
      </c>
      <c r="Z78" s="277" t="e">
        <f t="shared" si="5"/>
        <v>#N/A</v>
      </c>
      <c r="AB78" s="135" t="e">
        <f>SUM(C78:E78)+SUM(X78:Z78)</f>
        <v>#N/A</v>
      </c>
      <c r="AC78" s="135" t="e">
        <f t="shared" si="12"/>
        <v>#N/A</v>
      </c>
      <c r="AD78" s="129" t="str">
        <f t="shared" si="13"/>
        <v>HR</v>
      </c>
      <c r="AE78" s="129" t="e">
        <f t="shared" ref="AE78:AE85" si="26">ROUND(X78/VLOOKUP(AE$63,$AB$54:$AD$56,3,FALSE),0)</f>
        <v>#N/A</v>
      </c>
      <c r="AF78" s="129" t="e">
        <f t="shared" ref="AF78:AF93" si="27">ROUND(Y78/VLOOKUP(AF$63,$AB$54:$AD$56,3,FALSE),0)</f>
        <v>#N/A</v>
      </c>
      <c r="AG78" s="129" t="e">
        <f t="shared" ref="AG78:AG93" si="28">ROUND(Z78/VLOOKUP(AG$63,$AB$54:$AD$56,3,FALSE),0)</f>
        <v>#N/A</v>
      </c>
      <c r="AH78" s="129" t="str">
        <f t="shared" si="17"/>
        <v>HR</v>
      </c>
      <c r="AI78" s="127" t="e">
        <f>ROUND(IF($AJ$56="Specific",AE78*VLOOKUP(AI$63,$AB$54:$AD$56,3,FALSE)/1000*VLOOKUP(AE$63,'Country Totals'!$AB$46:$AD$48,3,FALSE),AE78*VLOOKUP(AE$63,'Country Totals'!$AB$46:$AD$48,2,FALSE)),2)</f>
        <v>#N/A</v>
      </c>
      <c r="AJ78" s="127" t="e">
        <f>ROUND(IF($AJ$56="Specific",AF78*VLOOKUP(AJ$63,$AB$54:$AD$56,3,FALSE)/1000*VLOOKUP(AF$63,'Country Totals'!$AB$46:$AD$48,3,FALSE),AF78*VLOOKUP(AF$63,'Country Totals'!$AB$46:$AD$48,2,FALSE)),2)</f>
        <v>#N/A</v>
      </c>
      <c r="AK78" s="127" t="e">
        <f>ROUND(IF($AJ$56="Specific",AG78*VLOOKUP(AK$63,$AB$54:$AD$56,3,FALSE)/1000*VLOOKUP(AG$63,'Country Totals'!$AB$46:$AD$48,3,FALSE),AG78*VLOOKUP(AG$63,'Country Totals'!$AB$46:$AD$48,2,FALSE)),2)</f>
        <v>#N/A</v>
      </c>
    </row>
    <row r="79" spans="2:37" x14ac:dyDescent="0.35">
      <c r="B79" s="216" t="s">
        <v>2811</v>
      </c>
      <c r="C79" s="129" t="e">
        <f t="array" ref="C79">SUM(($B21=Generators!$H$2:$H$9790)*("Y"=Generators!$C$2:$C$9790)*(C$63=Generators!$F$2:$F$9790)*Generators!$U$2:$U$9790)</f>
        <v>#N/A</v>
      </c>
      <c r="D79" s="129" t="e">
        <f t="array" ref="D79">SUM(($B21=Generators!$H$2:$H$9790)*("Y"=Generators!$C$2:$C$9790)*(D$63=Generators!$F$2:$F$9790)*Generators!$U$2:$U$9790)</f>
        <v>#N/A</v>
      </c>
      <c r="E79" s="129" t="e">
        <f t="array" ref="E79">SUM(($B21=Generators!$H$2:$H$9790)*("Y"=Generators!$C$2:$C$9790)*(E$63=Generators!$F$2:$F$9790)*Generators!$U$2:$U$9790)</f>
        <v>#N/A</v>
      </c>
      <c r="G79" s="216" t="s">
        <v>2811</v>
      </c>
      <c r="H79" s="129">
        <f>VLOOKUP($B79,$B$107:$E$132,2,FALSE)</f>
        <v>0</v>
      </c>
      <c r="I79" s="129">
        <f>VLOOKUP($B79,$B$107:$E$132,3,FALSE)</f>
        <v>0</v>
      </c>
      <c r="J79" s="129">
        <f>VLOOKUP($B79,$B$107:$E$132,4,FALSE)</f>
        <v>0</v>
      </c>
      <c r="M79" s="241">
        <v>0</v>
      </c>
      <c r="N79" s="127">
        <v>0</v>
      </c>
      <c r="P79" s="247">
        <v>0</v>
      </c>
      <c r="R79" s="216" t="s">
        <v>2811</v>
      </c>
      <c r="S79" s="129" t="e">
        <f t="shared" si="23"/>
        <v>#N/A</v>
      </c>
      <c r="T79" s="129" t="e">
        <f t="shared" si="24"/>
        <v>#N/A</v>
      </c>
      <c r="U79" s="129" t="e">
        <f t="shared" si="25"/>
        <v>#N/A</v>
      </c>
      <c r="W79" s="276" t="e">
        <f t="shared" si="10"/>
        <v>#N/A</v>
      </c>
      <c r="X79" s="277" t="e">
        <f t="shared" si="3"/>
        <v>#N/A</v>
      </c>
      <c r="Y79" s="277" t="e">
        <f t="shared" si="4"/>
        <v>#N/A</v>
      </c>
      <c r="Z79" s="277" t="e">
        <f t="shared" si="5"/>
        <v>#N/A</v>
      </c>
      <c r="AB79" s="129" t="e">
        <f t="shared" si="11"/>
        <v>#N/A</v>
      </c>
      <c r="AC79" s="135" t="e">
        <f t="shared" si="12"/>
        <v>#N/A</v>
      </c>
      <c r="AD79" s="129" t="str">
        <f t="shared" si="13"/>
        <v>HU</v>
      </c>
      <c r="AE79" s="129" t="e">
        <f t="shared" si="26"/>
        <v>#N/A</v>
      </c>
      <c r="AF79" s="129" t="e">
        <f t="shared" si="27"/>
        <v>#N/A</v>
      </c>
      <c r="AG79" s="129" t="e">
        <f t="shared" si="28"/>
        <v>#N/A</v>
      </c>
      <c r="AH79" s="129" t="str">
        <f t="shared" si="17"/>
        <v>HU</v>
      </c>
      <c r="AI79" s="127" t="e">
        <f>ROUND(IF($AJ$56="Specific",AE79*VLOOKUP(AI$63,$AB$54:$AD$56,3,FALSE)/1000*VLOOKUP(AE$63,'Country Totals'!$AB$46:$AD$48,3,FALSE),AE79*VLOOKUP(AE$63,'Country Totals'!$AB$46:$AD$48,2,FALSE)),2)</f>
        <v>#N/A</v>
      </c>
      <c r="AJ79" s="127" t="e">
        <f>ROUND(IF($AJ$56="Specific",AF79*VLOOKUP(AJ$63,$AB$54:$AD$56,3,FALSE)/1000*VLOOKUP(AF$63,'Country Totals'!$AB$46:$AD$48,3,FALSE),AF79*VLOOKUP(AF$63,'Country Totals'!$AB$46:$AD$48,2,FALSE)),2)</f>
        <v>#N/A</v>
      </c>
      <c r="AK79" s="127" t="e">
        <f>ROUND(IF($AJ$56="Specific",AG79*VLOOKUP(AK$63,$AB$54:$AD$56,3,FALSE)/1000*VLOOKUP(AG$63,'Country Totals'!$AB$46:$AD$48,3,FALSE),AG79*VLOOKUP(AG$63,'Country Totals'!$AB$46:$AD$48,2,FALSE)),2)</f>
        <v>#N/A</v>
      </c>
    </row>
    <row r="80" spans="2:37" x14ac:dyDescent="0.35">
      <c r="B80" s="216" t="s">
        <v>2812</v>
      </c>
      <c r="C80" s="129" t="e">
        <f t="array" ref="C80">SUM(($B22=Generators!$H$2:$H$9790)*("Y"=Generators!$C$2:$C$9790)*(C$63=Generators!$F$2:$F$9790)*Generators!$U$2:$U$9790)</f>
        <v>#N/A</v>
      </c>
      <c r="D80" s="129" t="e">
        <f t="array" ref="D80">SUM(($B22=Generators!$H$2:$H$9790)*("Y"=Generators!$C$2:$C$9790)*(D$63=Generators!$F$2:$F$9790)*Generators!$U$2:$U$9790)</f>
        <v>#N/A</v>
      </c>
      <c r="E80" s="129" t="e">
        <f t="array" ref="E80">SUM(($B22=Generators!$H$2:$H$9790)*("Y"=Generators!$C$2:$C$9790)*(E$63=Generators!$F$2:$F$9790)*Generators!$U$2:$U$9790)</f>
        <v>#N/A</v>
      </c>
      <c r="G80" s="216" t="s">
        <v>2812</v>
      </c>
      <c r="H80" s="129">
        <f>VLOOKUP($B80,$B$107:$E$132,2,FALSE)</f>
        <v>215</v>
      </c>
      <c r="I80" s="129">
        <f>VLOOKUP($B80,$B$107:$E$132,3,FALSE)</f>
        <v>0</v>
      </c>
      <c r="J80" s="129">
        <f>VLOOKUP($B80,$B$107:$E$132,4,FALSE)</f>
        <v>392</v>
      </c>
      <c r="M80" s="127">
        <v>530</v>
      </c>
      <c r="N80" s="127">
        <v>292</v>
      </c>
      <c r="P80" s="127">
        <f>VLOOKUP(B80,$B$137:$C$165,2,FALSE)</f>
        <v>529</v>
      </c>
      <c r="R80" s="216" t="s">
        <v>2812</v>
      </c>
      <c r="S80" s="129" t="e">
        <f t="shared" si="23"/>
        <v>#N/A</v>
      </c>
      <c r="T80" s="129" t="e">
        <f t="shared" si="24"/>
        <v>#N/A</v>
      </c>
      <c r="U80" s="129" t="e">
        <f t="shared" si="25"/>
        <v>#N/A</v>
      </c>
      <c r="W80" s="276" t="e">
        <f t="shared" si="10"/>
        <v>#N/A</v>
      </c>
      <c r="X80" s="277" t="e">
        <f t="shared" si="3"/>
        <v>#N/A</v>
      </c>
      <c r="Y80" s="277" t="e">
        <f t="shared" si="4"/>
        <v>#N/A</v>
      </c>
      <c r="Z80" s="277" t="e">
        <f t="shared" si="5"/>
        <v>#N/A</v>
      </c>
      <c r="AB80" s="129" t="e">
        <f t="shared" si="11"/>
        <v>#N/A</v>
      </c>
      <c r="AC80" s="135" t="e">
        <f t="shared" si="12"/>
        <v>#N/A</v>
      </c>
      <c r="AD80" s="129" t="str">
        <f t="shared" si="13"/>
        <v>IE</v>
      </c>
      <c r="AE80" s="129" t="e">
        <f t="shared" si="26"/>
        <v>#N/A</v>
      </c>
      <c r="AF80" s="129" t="e">
        <f t="shared" si="27"/>
        <v>#N/A</v>
      </c>
      <c r="AG80" s="129" t="e">
        <f t="shared" si="28"/>
        <v>#N/A</v>
      </c>
      <c r="AH80" s="129" t="str">
        <f t="shared" si="17"/>
        <v>IE</v>
      </c>
      <c r="AI80" s="127" t="e">
        <f>ROUND(IF($AJ$56="Specific",AE80*VLOOKUP(AI$63,$AB$54:$AD$56,3,FALSE)/1000*VLOOKUP(AE$63,'Country Totals'!$AB$46:$AD$48,3,FALSE),AE80*VLOOKUP(AE$63,'Country Totals'!$AB$46:$AD$48,2,FALSE)),2)</f>
        <v>#N/A</v>
      </c>
      <c r="AJ80" s="127" t="e">
        <f>ROUND(IF($AJ$56="Specific",AF80*VLOOKUP(AJ$63,$AB$54:$AD$56,3,FALSE)/1000*VLOOKUP(AF$63,'Country Totals'!$AB$46:$AD$48,3,FALSE),AF80*VLOOKUP(AF$63,'Country Totals'!$AB$46:$AD$48,2,FALSE)),2)</f>
        <v>#N/A</v>
      </c>
      <c r="AK80" s="127" t="e">
        <f>ROUND(IF($AJ$56="Specific",AG80*VLOOKUP(AK$63,$AB$54:$AD$56,3,FALSE)/1000*VLOOKUP(AG$63,'Country Totals'!$AB$46:$AD$48,3,FALSE),AG80*VLOOKUP(AG$63,'Country Totals'!$AB$46:$AD$48,2,FALSE)),2)</f>
        <v>#N/A</v>
      </c>
    </row>
    <row r="81" spans="2:37" x14ac:dyDescent="0.35">
      <c r="B81" s="216" t="s">
        <v>2813</v>
      </c>
      <c r="C81" s="129" t="e">
        <f t="array" ref="C81">SUM(($B23=Generators!$H$2:$H$9790)*("Y"=Generators!$C$2:$C$9790)*(C$63=Generators!$F$2:$F$9790)*Generators!$U$2:$U$9790)</f>
        <v>#N/A</v>
      </c>
      <c r="D81" s="129" t="e">
        <f t="array" ref="D81">SUM(($B23=Generators!$H$2:$H$9790)*("Y"=Generators!$C$2:$C$9790)*(D$63=Generators!$F$2:$F$9790)*Generators!$U$2:$U$9790)</f>
        <v>#N/A</v>
      </c>
      <c r="E81" s="129" t="e">
        <f t="array" ref="E81">SUM(($B23=Generators!$H$2:$H$9790)*("Y"=Generators!$C$2:$C$9790)*(E$63=Generators!$F$2:$F$9790)*Generators!$U$2:$U$9790)</f>
        <v>#N/A</v>
      </c>
      <c r="G81" s="216" t="s">
        <v>2813</v>
      </c>
      <c r="H81" s="129">
        <f>VLOOKUP($B81,$B$107:$E$132,2,FALSE)</f>
        <v>8261</v>
      </c>
      <c r="I81" s="129">
        <f>VLOOKUP($B81,$B$107:$E$132,3,FALSE)</f>
        <v>3547</v>
      </c>
      <c r="J81" s="129">
        <f>VLOOKUP($B81,$B$107:$E$132,4,FALSE)</f>
        <v>6988</v>
      </c>
      <c r="M81" s="127">
        <v>21880</v>
      </c>
      <c r="N81" s="127">
        <v>7555</v>
      </c>
      <c r="P81" s="127">
        <f>VLOOKUP(B81,$B$137:$C$165,2,FALSE)</f>
        <v>22220</v>
      </c>
      <c r="R81" s="216" t="s">
        <v>2813</v>
      </c>
      <c r="S81" s="129" t="e">
        <f t="shared" si="23"/>
        <v>#N/A</v>
      </c>
      <c r="T81" s="129" t="e">
        <f t="shared" si="24"/>
        <v>#N/A</v>
      </c>
      <c r="U81" s="129" t="e">
        <f t="shared" si="25"/>
        <v>#N/A</v>
      </c>
      <c r="W81" s="276" t="e">
        <f t="shared" si="10"/>
        <v>#N/A</v>
      </c>
      <c r="X81" s="277" t="e">
        <f t="shared" si="3"/>
        <v>#N/A</v>
      </c>
      <c r="Y81" s="277" t="e">
        <f t="shared" si="4"/>
        <v>#N/A</v>
      </c>
      <c r="Z81" s="277" t="e">
        <f t="shared" si="5"/>
        <v>#N/A</v>
      </c>
      <c r="AB81" s="129" t="e">
        <f t="shared" si="11"/>
        <v>#N/A</v>
      </c>
      <c r="AC81" s="135" t="e">
        <f t="shared" si="12"/>
        <v>#N/A</v>
      </c>
      <c r="AD81" s="129" t="str">
        <f t="shared" si="13"/>
        <v>IT</v>
      </c>
      <c r="AE81" s="129" t="e">
        <f t="shared" si="26"/>
        <v>#N/A</v>
      </c>
      <c r="AF81" s="129" t="e">
        <f t="shared" si="27"/>
        <v>#N/A</v>
      </c>
      <c r="AG81" s="129" t="e">
        <f t="shared" si="28"/>
        <v>#N/A</v>
      </c>
      <c r="AH81" s="129" t="str">
        <f t="shared" si="17"/>
        <v>IT</v>
      </c>
      <c r="AI81" s="127" t="e">
        <f>ROUND(IF($AJ$56="Specific",AE81*VLOOKUP(AI$63,$AB$54:$AD$56,3,FALSE)/1000*VLOOKUP(AE$63,'Country Totals'!$AB$46:$AD$48,3,FALSE),AE81*VLOOKUP(AE$63,'Country Totals'!$AB$46:$AD$48,2,FALSE)),2)</f>
        <v>#N/A</v>
      </c>
      <c r="AJ81" s="127" t="e">
        <f>ROUND(IF($AJ$56="Specific",AF81*VLOOKUP(AJ$63,$AB$54:$AD$56,3,FALSE)/1000*VLOOKUP(AF$63,'Country Totals'!$AB$46:$AD$48,3,FALSE),AF81*VLOOKUP(AF$63,'Country Totals'!$AB$46:$AD$48,2,FALSE)),2)</f>
        <v>#N/A</v>
      </c>
      <c r="AK81" s="127" t="e">
        <f>ROUND(IF($AJ$56="Specific",AG81*VLOOKUP(AK$63,$AB$54:$AD$56,3,FALSE)/1000*VLOOKUP(AG$63,'Country Totals'!$AB$46:$AD$48,3,FALSE),AG81*VLOOKUP(AG$63,'Country Totals'!$AB$46:$AD$48,2,FALSE)),2)</f>
        <v>#N/A</v>
      </c>
    </row>
    <row r="82" spans="2:37" x14ac:dyDescent="0.35">
      <c r="B82" s="216" t="s">
        <v>2814</v>
      </c>
      <c r="C82" s="129" t="e">
        <f t="array" ref="C82">SUM(($B24=Generators!$H$2:$H$9790)*("Y"=Generators!$C$2:$C$9790)*(C$63=Generators!$F$2:$F$9790)*Generators!$U$2:$U$9790)</f>
        <v>#N/A</v>
      </c>
      <c r="D82" s="129" t="e">
        <f t="array" ref="D82">SUM(($B24=Generators!$H$2:$H$9790)*("Y"=Generators!$C$2:$C$9790)*(D$63=Generators!$F$2:$F$9790)*Generators!$U$2:$U$9790)</f>
        <v>#N/A</v>
      </c>
      <c r="E82" s="129" t="e">
        <f t="array" ref="E82">SUM(($B24=Generators!$H$2:$H$9790)*("Y"=Generators!$C$2:$C$9790)*(E$63=Generators!$F$2:$F$9790)*Generators!$U$2:$U$9790)</f>
        <v>#N/A</v>
      </c>
      <c r="G82" s="216" t="s">
        <v>2814</v>
      </c>
      <c r="H82" s="129">
        <f>VLOOKUP($B82,$B$107:$E$132,2,FALSE)</f>
        <v>101</v>
      </c>
      <c r="I82" s="129">
        <f>VLOOKUP($B82,$B$107:$E$132,3,FALSE)</f>
        <v>0</v>
      </c>
      <c r="J82" s="129">
        <f>VLOOKUP($B82,$B$107:$E$132,4,FALSE)</f>
        <v>900</v>
      </c>
      <c r="M82" s="127">
        <v>876</v>
      </c>
      <c r="N82" s="127">
        <v>760</v>
      </c>
      <c r="P82" s="127">
        <f>VLOOKUP(B82,$B$137:$C$165,2,FALSE)</f>
        <v>877</v>
      </c>
      <c r="R82" s="216" t="s">
        <v>2814</v>
      </c>
      <c r="S82" s="129" t="e">
        <f t="shared" si="23"/>
        <v>#N/A</v>
      </c>
      <c r="T82" s="129" t="e">
        <f t="shared" si="24"/>
        <v>#N/A</v>
      </c>
      <c r="U82" s="129" t="e">
        <f t="shared" si="25"/>
        <v>#N/A</v>
      </c>
      <c r="W82" s="276" t="e">
        <f t="shared" si="10"/>
        <v>#N/A</v>
      </c>
      <c r="X82" s="277" t="e">
        <f t="shared" si="3"/>
        <v>#N/A</v>
      </c>
      <c r="Y82" s="277" t="e">
        <f t="shared" si="4"/>
        <v>#N/A</v>
      </c>
      <c r="Z82" s="277" t="e">
        <f t="shared" si="5"/>
        <v>#N/A</v>
      </c>
      <c r="AB82" s="129" t="e">
        <f t="shared" si="11"/>
        <v>#N/A</v>
      </c>
      <c r="AC82" s="135" t="e">
        <f t="shared" si="12"/>
        <v>#N/A</v>
      </c>
      <c r="AD82" s="129" t="str">
        <f t="shared" si="13"/>
        <v>LT</v>
      </c>
      <c r="AE82" s="129" t="e">
        <f t="shared" si="26"/>
        <v>#N/A</v>
      </c>
      <c r="AF82" s="129" t="e">
        <f t="shared" si="27"/>
        <v>#N/A</v>
      </c>
      <c r="AG82" s="129" t="e">
        <f t="shared" si="28"/>
        <v>#N/A</v>
      </c>
      <c r="AH82" s="129" t="str">
        <f t="shared" si="17"/>
        <v>LT</v>
      </c>
      <c r="AI82" s="127" t="e">
        <f>ROUND(IF($AJ$56="Specific",AE82*VLOOKUP(AI$63,$AB$54:$AD$56,3,FALSE)/1000*VLOOKUP(AE$63,'Country Totals'!$AB$46:$AD$48,3,FALSE),AE82*VLOOKUP(AE$63,'Country Totals'!$AB$46:$AD$48,2,FALSE)),2)</f>
        <v>#N/A</v>
      </c>
      <c r="AJ82" s="127" t="e">
        <f>ROUND(IF($AJ$56="Specific",AF82*VLOOKUP(AJ$63,$AB$54:$AD$56,3,FALSE)/1000*VLOOKUP(AF$63,'Country Totals'!$AB$46:$AD$48,3,FALSE),AF82*VLOOKUP(AF$63,'Country Totals'!$AB$46:$AD$48,2,FALSE)),2)</f>
        <v>#N/A</v>
      </c>
      <c r="AK82" s="127" t="e">
        <f>ROUND(IF($AJ$56="Specific",AG82*VLOOKUP(AK$63,$AB$54:$AD$56,3,FALSE)/1000*VLOOKUP(AG$63,'Country Totals'!$AB$46:$AD$48,3,FALSE),AG82*VLOOKUP(AG$63,'Country Totals'!$AB$46:$AD$48,2,FALSE)),2)</f>
        <v>#N/A</v>
      </c>
    </row>
    <row r="83" spans="2:37" x14ac:dyDescent="0.35">
      <c r="B83" s="216" t="s">
        <v>2815</v>
      </c>
      <c r="C83" s="129" t="e">
        <f t="array" ref="C83">SUM(($B25=Generators!$H$2:$H$9790)*("Y"=Generators!$C$2:$C$9790)*(C$63=Generators!$F$2:$F$9790)*Generators!$U$2:$U$9790)</f>
        <v>#N/A</v>
      </c>
      <c r="D83" s="129" t="e">
        <f t="array" ref="D83">SUM(($B25=Generators!$H$2:$H$9790)*("Y"=Generators!$C$2:$C$9790)*(D$63=Generators!$F$2:$F$9790)*Generators!$U$2:$U$9790)</f>
        <v>#N/A</v>
      </c>
      <c r="E83" s="129" t="e">
        <f t="array" ref="E83">SUM(($B25=Generators!$H$2:$H$9790)*("Y"=Generators!$C$2:$C$9790)*(E$63=Generators!$F$2:$F$9790)*Generators!$U$2:$U$9790)</f>
        <v>#N/A</v>
      </c>
      <c r="G83" s="216" t="s">
        <v>2815</v>
      </c>
      <c r="H83" s="240" t="e">
        <f t="array" ref="H83">SUM(($B25=Generators!$H$2:$H$9790)*("Y"=Generators!$C$2:$C$9790)*(H$63=Generators!$F$2:$F$9790)*Generators!$U$2:$U$9790)</f>
        <v>#N/A</v>
      </c>
      <c r="I83" s="240" t="e">
        <f t="array" ref="I83">SUM(($B25=Generators!$H$2:$H$9790)*("Y"=Generators!$C$2:$C$9790)*(I$63=Generators!$F$2:$F$9790)*Generators!$U$2:$U$9790)</f>
        <v>#N/A</v>
      </c>
      <c r="J83" s="240" t="e">
        <f t="array" ref="J83">SUM(($B25=Generators!$H$2:$H$9790)*("Y"=Generators!$C$2:$C$9790)*(J$63=Generators!$F$2:$F$9790)*Generators!$U$2:$U$9790)</f>
        <v>#N/A</v>
      </c>
      <c r="M83" s="127">
        <v>1134</v>
      </c>
      <c r="N83" s="127">
        <v>1100</v>
      </c>
      <c r="P83" s="127">
        <f>VLOOKUP(B83,$B$137:$C$165,2,FALSE)</f>
        <v>1330</v>
      </c>
      <c r="R83" s="216" t="s">
        <v>2815</v>
      </c>
      <c r="S83" s="129" t="e">
        <f t="shared" si="23"/>
        <v>#N/A</v>
      </c>
      <c r="T83" s="129" t="e">
        <f t="shared" si="24"/>
        <v>#N/A</v>
      </c>
      <c r="U83" s="129" t="e">
        <f t="shared" si="25"/>
        <v>#N/A</v>
      </c>
      <c r="W83" s="276" t="e">
        <f t="shared" si="10"/>
        <v>#N/A</v>
      </c>
      <c r="X83" s="277" t="e">
        <f t="shared" si="3"/>
        <v>#N/A</v>
      </c>
      <c r="Y83" s="277" t="e">
        <f t="shared" si="4"/>
        <v>#N/A</v>
      </c>
      <c r="Z83" s="277" t="e">
        <f t="shared" si="5"/>
        <v>#N/A</v>
      </c>
      <c r="AB83" s="129" t="e">
        <f t="shared" si="11"/>
        <v>#N/A</v>
      </c>
      <c r="AC83" s="135" t="e">
        <f t="shared" si="12"/>
        <v>#N/A</v>
      </c>
      <c r="AD83" s="129" t="str">
        <f t="shared" si="13"/>
        <v>LU</v>
      </c>
      <c r="AE83" s="129" t="e">
        <f t="shared" si="26"/>
        <v>#N/A</v>
      </c>
      <c r="AF83" s="129" t="e">
        <f t="shared" si="27"/>
        <v>#N/A</v>
      </c>
      <c r="AG83" s="129" t="e">
        <f t="shared" si="28"/>
        <v>#N/A</v>
      </c>
      <c r="AH83" s="129" t="str">
        <f t="shared" si="17"/>
        <v>LU</v>
      </c>
      <c r="AI83" s="127" t="e">
        <f>ROUND(IF($AJ$56="Specific",AE83*VLOOKUP(AI$63,$AB$54:$AD$56,3,FALSE)/1000*VLOOKUP(AE$63,'Country Totals'!$AB$46:$AD$48,3,FALSE),AE83*VLOOKUP(AE$63,'Country Totals'!$AB$46:$AD$48,2,FALSE)),2)</f>
        <v>#N/A</v>
      </c>
      <c r="AJ83" s="127" t="e">
        <f>ROUND(IF($AJ$56="Specific",AF83*VLOOKUP(AJ$63,$AB$54:$AD$56,3,FALSE)/1000*VLOOKUP(AF$63,'Country Totals'!$AB$46:$AD$48,3,FALSE),AF83*VLOOKUP(AF$63,'Country Totals'!$AB$46:$AD$48,2,FALSE)),2)</f>
        <v>#N/A</v>
      </c>
      <c r="AK83" s="127" t="e">
        <f>ROUND(IF($AJ$56="Specific",AG83*VLOOKUP(AK$63,$AB$54:$AD$56,3,FALSE)/1000*VLOOKUP(AG$63,'Country Totals'!$AB$46:$AD$48,3,FALSE),AG83*VLOOKUP(AG$63,'Country Totals'!$AB$46:$AD$48,2,FALSE)),2)</f>
        <v>#N/A</v>
      </c>
    </row>
    <row r="84" spans="2:37" x14ac:dyDescent="0.35">
      <c r="B84" s="216" t="s">
        <v>2816</v>
      </c>
      <c r="C84" s="129" t="e">
        <f t="array" ref="C84">SUM(($B26=Generators!$H$2:$H$9790)*("Y"=Generators!$C$2:$C$9790)*(C$63=Generators!$F$2:$F$9790)*Generators!$U$2:$U$9790)</f>
        <v>#N/A</v>
      </c>
      <c r="D84" s="129" t="e">
        <f t="array" ref="D84">SUM(($B26=Generators!$H$2:$H$9790)*("Y"=Generators!$C$2:$C$9790)*(D$63=Generators!$F$2:$F$9790)*Generators!$U$2:$U$9790)</f>
        <v>#N/A</v>
      </c>
      <c r="E84" s="129" t="e">
        <f t="array" ref="E84">SUM(($B26=Generators!$H$2:$H$9790)*("Y"=Generators!$C$2:$C$9790)*(E$63=Generators!$F$2:$F$9790)*Generators!$U$2:$U$9790)</f>
        <v>#N/A</v>
      </c>
      <c r="G84" s="216" t="s">
        <v>2816</v>
      </c>
      <c r="H84" s="239" t="e">
        <f>C84</f>
        <v>#N/A</v>
      </c>
      <c r="I84" s="129">
        <f>VLOOKUP($B84,$B$107:$E$132,3,FALSE)</f>
        <v>0</v>
      </c>
      <c r="J84" s="129">
        <f>VLOOKUP($B84,$B$107:$E$132,4,FALSE)</f>
        <v>0</v>
      </c>
      <c r="M84" s="127">
        <v>1576</v>
      </c>
      <c r="N84" s="127">
        <v>0</v>
      </c>
      <c r="P84" s="127">
        <f>VLOOKUP(B84,$B$137:$C$165,2,FALSE)</f>
        <v>1589</v>
      </c>
      <c r="R84" s="216" t="s">
        <v>2816</v>
      </c>
      <c r="S84" s="129" t="e">
        <f t="shared" si="23"/>
        <v>#N/A</v>
      </c>
      <c r="T84" s="129" t="e">
        <f t="shared" si="24"/>
        <v>#N/A</v>
      </c>
      <c r="U84" s="129" t="e">
        <f t="shared" si="25"/>
        <v>#N/A</v>
      </c>
      <c r="W84" s="276" t="e">
        <f>P84-SUM(C84:E84)</f>
        <v>#N/A</v>
      </c>
      <c r="X84" s="277" t="e">
        <f t="shared" si="3"/>
        <v>#N/A</v>
      </c>
      <c r="Y84" s="277" t="e">
        <f t="shared" si="4"/>
        <v>#N/A</v>
      </c>
      <c r="Z84" s="277" t="e">
        <f t="shared" si="5"/>
        <v>#N/A</v>
      </c>
      <c r="AB84" s="129" t="e">
        <f t="shared" si="11"/>
        <v>#N/A</v>
      </c>
      <c r="AC84" s="129" t="e">
        <f t="shared" ref="AC84:AC93" si="29">P84-AB84</f>
        <v>#N/A</v>
      </c>
      <c r="AD84" s="129" t="str">
        <f t="shared" si="13"/>
        <v>LV</v>
      </c>
      <c r="AE84" s="129" t="e">
        <f t="shared" si="26"/>
        <v>#N/A</v>
      </c>
      <c r="AF84" s="129" t="e">
        <f t="shared" si="27"/>
        <v>#N/A</v>
      </c>
      <c r="AG84" s="129" t="e">
        <f t="shared" si="28"/>
        <v>#N/A</v>
      </c>
      <c r="AH84" s="129" t="str">
        <f t="shared" si="17"/>
        <v>LV</v>
      </c>
      <c r="AI84" s="127" t="e">
        <f>ROUND(IF($AJ$56="Specific",AE84*VLOOKUP(AI$63,$AB$54:$AD$56,3,FALSE)/1000*VLOOKUP(AE$63,'Country Totals'!$AB$46:$AD$48,3,FALSE),AE84*VLOOKUP(AE$63,'Country Totals'!$AB$46:$AD$48,2,FALSE)),2)</f>
        <v>#N/A</v>
      </c>
      <c r="AJ84" s="127" t="e">
        <f>ROUND(IF($AJ$56="Specific",AF84*VLOOKUP(AJ$63,$AB$54:$AD$56,3,FALSE)/1000*VLOOKUP(AF$63,'Country Totals'!$AB$46:$AD$48,3,FALSE),AF84*VLOOKUP(AF$63,'Country Totals'!$AB$46:$AD$48,2,FALSE)),2)</f>
        <v>#N/A</v>
      </c>
      <c r="AK84" s="127" t="e">
        <f>ROUND(IF($AJ$56="Specific",AG84*VLOOKUP(AK$63,$AB$54:$AD$56,3,FALSE)/1000*VLOOKUP(AG$63,'Country Totals'!$AB$46:$AD$48,3,FALSE),AG84*VLOOKUP(AG$63,'Country Totals'!$AB$46:$AD$48,2,FALSE)),2)</f>
        <v>#N/A</v>
      </c>
    </row>
    <row r="85" spans="2:37" x14ac:dyDescent="0.35">
      <c r="B85" s="216" t="s">
        <v>2833</v>
      </c>
      <c r="C85" s="129" t="e">
        <f t="array" ref="C85">SUM(($B27=Generators!$H$2:$H$9790)*("Y"=Generators!$C$2:$C$9790)*(C$63=Generators!$F$2:$F$9790)*Generators!$U$2:$U$9790)</f>
        <v>#N/A</v>
      </c>
      <c r="D85" s="129" t="e">
        <f t="array" ref="D85">SUM(($B27=Generators!$H$2:$H$9790)*("Y"=Generators!$C$2:$C$9790)*(D$63=Generators!$F$2:$F$9790)*Generators!$U$2:$U$9790)</f>
        <v>#N/A</v>
      </c>
      <c r="E85" s="129" t="e">
        <f t="array" ref="E85">SUM(($B27=Generators!$H$2:$H$9790)*("Y"=Generators!$C$2:$C$9790)*(E$63=Generators!$F$2:$F$9790)*Generators!$U$2:$U$9790)</f>
        <v>#N/A</v>
      </c>
      <c r="G85" s="216" t="s">
        <v>2833</v>
      </c>
      <c r="H85" s="240">
        <v>0</v>
      </c>
      <c r="I85" s="240">
        <v>0</v>
      </c>
      <c r="J85" s="240">
        <v>0</v>
      </c>
      <c r="M85" s="240">
        <v>0</v>
      </c>
      <c r="N85" s="240">
        <v>0</v>
      </c>
      <c r="P85" s="247">
        <v>0</v>
      </c>
      <c r="R85" s="216" t="s">
        <v>2833</v>
      </c>
      <c r="S85" s="129" t="e">
        <f t="shared" si="23"/>
        <v>#N/A</v>
      </c>
      <c r="T85" s="129" t="e">
        <f t="shared" si="24"/>
        <v>#N/A</v>
      </c>
      <c r="U85" s="129" t="e">
        <f t="shared" si="25"/>
        <v>#N/A</v>
      </c>
      <c r="W85" s="276" t="e">
        <f t="shared" si="10"/>
        <v>#N/A</v>
      </c>
      <c r="X85" s="277" t="e">
        <f t="shared" si="3"/>
        <v>#N/A</v>
      </c>
      <c r="Y85" s="277" t="e">
        <f t="shared" si="4"/>
        <v>#N/A</v>
      </c>
      <c r="Z85" s="277" t="e">
        <f t="shared" si="5"/>
        <v>#N/A</v>
      </c>
      <c r="AB85" s="129" t="e">
        <f t="shared" si="11"/>
        <v>#N/A</v>
      </c>
      <c r="AC85" s="129" t="e">
        <f t="shared" si="29"/>
        <v>#N/A</v>
      </c>
      <c r="AD85" s="129" t="str">
        <f t="shared" si="13"/>
        <v>NI</v>
      </c>
      <c r="AE85" s="129" t="e">
        <f t="shared" si="26"/>
        <v>#N/A</v>
      </c>
      <c r="AF85" s="129" t="e">
        <f t="shared" si="27"/>
        <v>#N/A</v>
      </c>
      <c r="AG85" s="129" t="e">
        <f t="shared" si="28"/>
        <v>#N/A</v>
      </c>
      <c r="AH85" s="129" t="str">
        <f t="shared" si="17"/>
        <v>NI</v>
      </c>
      <c r="AI85" s="127" t="e">
        <f>ROUND(IF($AJ$56="Specific",AE85*VLOOKUP(AI$63,$AB$54:$AD$56,3,FALSE)/1000*VLOOKUP(AE$63,'Country Totals'!$AB$46:$AD$48,3,FALSE),AE85*VLOOKUP(AE$63,'Country Totals'!$AB$46:$AD$48,2,FALSE)),2)</f>
        <v>#N/A</v>
      </c>
      <c r="AJ85" s="127" t="e">
        <f>ROUND(IF($AJ$56="Specific",AF85*VLOOKUP(AJ$63,$AB$54:$AD$56,3,FALSE)/1000*VLOOKUP(AF$63,'Country Totals'!$AB$46:$AD$48,3,FALSE),AF85*VLOOKUP(AF$63,'Country Totals'!$AB$46:$AD$48,2,FALSE)),2)</f>
        <v>#N/A</v>
      </c>
      <c r="AK85" s="127" t="e">
        <f>ROUND(IF($AJ$56="Specific",AG85*VLOOKUP(AK$63,$AB$54:$AD$56,3,FALSE)/1000*VLOOKUP(AG$63,'Country Totals'!$AB$46:$AD$48,3,FALSE),AG85*VLOOKUP(AG$63,'Country Totals'!$AB$46:$AD$48,2,FALSE)),2)</f>
        <v>#N/A</v>
      </c>
    </row>
    <row r="86" spans="2:37" x14ac:dyDescent="0.35">
      <c r="B86" s="216" t="s">
        <v>2818</v>
      </c>
      <c r="C86" s="129" t="e">
        <f t="array" ref="C86">SUM(($B28=Generators!$H$2:$H$9790)*("Y"=Generators!$C$2:$C$9790)*(C$63=Generators!$F$2:$F$9790)*Generators!$U$2:$U$9790)</f>
        <v>#N/A</v>
      </c>
      <c r="D86" s="129" t="e">
        <f t="array" ref="D86">SUM(($B28=Generators!$H$2:$H$9790)*("Y"=Generators!$C$2:$C$9790)*(D$63=Generators!$F$2:$F$9790)*Generators!$U$2:$U$9790)</f>
        <v>#N/A</v>
      </c>
      <c r="E86" s="129" t="e">
        <f t="array" ref="E86">SUM(($B28=Generators!$H$2:$H$9790)*("Y"=Generators!$C$2:$C$9790)*(E$63=Generators!$F$2:$F$9790)*Generators!$U$2:$U$9790)</f>
        <v>#N/A</v>
      </c>
      <c r="G86" s="216" t="s">
        <v>2818</v>
      </c>
      <c r="H86" s="239">
        <f t="shared" ref="H86:H93" si="30">VLOOKUP($B86,$B$107:$E$132,2,FALSE)</f>
        <v>0</v>
      </c>
      <c r="I86" s="239">
        <f t="shared" ref="I86:I93" si="31">VLOOKUP($B86,$B$107:$E$132,3,FALSE)</f>
        <v>0</v>
      </c>
      <c r="J86" s="239">
        <f t="shared" ref="J86:J93" si="32">VLOOKUP($B86,$B$107:$E$132,4,FALSE)</f>
        <v>0</v>
      </c>
      <c r="M86" s="241">
        <v>0</v>
      </c>
      <c r="N86" s="240">
        <v>0</v>
      </c>
      <c r="P86" s="247">
        <v>0</v>
      </c>
      <c r="R86" s="216" t="s">
        <v>2818</v>
      </c>
      <c r="S86" s="129" t="e">
        <f t="shared" si="23"/>
        <v>#N/A</v>
      </c>
      <c r="T86" s="129" t="e">
        <f t="shared" si="24"/>
        <v>#N/A</v>
      </c>
      <c r="U86" s="129" t="e">
        <f t="shared" si="25"/>
        <v>#N/A</v>
      </c>
      <c r="W86" s="276" t="e">
        <f t="shared" si="10"/>
        <v>#N/A</v>
      </c>
      <c r="X86" s="277" t="e">
        <f t="shared" si="3"/>
        <v>#N/A</v>
      </c>
      <c r="Y86" s="277" t="e">
        <f t="shared" si="4"/>
        <v>#N/A</v>
      </c>
      <c r="Z86" s="277" t="e">
        <f t="shared" si="5"/>
        <v>#N/A</v>
      </c>
      <c r="AB86" s="129" t="e">
        <f t="shared" si="11"/>
        <v>#N/A</v>
      </c>
      <c r="AC86" s="129" t="e">
        <f t="shared" si="29"/>
        <v>#N/A</v>
      </c>
      <c r="AD86" s="129" t="str">
        <f t="shared" si="13"/>
        <v>NL</v>
      </c>
      <c r="AE86" s="129" t="e">
        <f>ROUND(X86/VLOOKUP(AE$63,$AB$54:$AD$56,3,FALSE),0)</f>
        <v>#N/A</v>
      </c>
      <c r="AF86" s="129" t="e">
        <f t="shared" si="27"/>
        <v>#N/A</v>
      </c>
      <c r="AG86" s="129" t="e">
        <f t="shared" si="28"/>
        <v>#N/A</v>
      </c>
      <c r="AH86" s="129" t="str">
        <f t="shared" si="17"/>
        <v>NL</v>
      </c>
      <c r="AI86" s="127" t="e">
        <f>ROUND(IF($AJ$56="Specific",AE86*VLOOKUP(AI$63,$AB$54:$AD$56,3,FALSE)/1000*VLOOKUP(AE$63,'Country Totals'!$AB$46:$AD$48,3,FALSE),AE86*VLOOKUP(AE$63,'Country Totals'!$AB$46:$AD$48,2,FALSE)),2)</f>
        <v>#N/A</v>
      </c>
      <c r="AJ86" s="127" t="e">
        <f>ROUND(IF($AJ$56="Specific",AF86*VLOOKUP(AJ$63,$AB$54:$AD$56,3,FALSE)/1000*VLOOKUP(AF$63,'Country Totals'!$AB$46:$AD$48,3,FALSE),AF86*VLOOKUP(AF$63,'Country Totals'!$AB$46:$AD$48,2,FALSE)),2)</f>
        <v>#N/A</v>
      </c>
      <c r="AK86" s="127" t="e">
        <f>ROUND(IF($AJ$56="Specific",AG86*VLOOKUP(AK$63,$AB$54:$AD$56,3,FALSE)/1000*VLOOKUP(AG$63,'Country Totals'!$AB$46:$AD$48,3,FALSE),AG86*VLOOKUP(AG$63,'Country Totals'!$AB$46:$AD$48,2,FALSE)),2)</f>
        <v>#N/A</v>
      </c>
    </row>
    <row r="87" spans="2:37" x14ac:dyDescent="0.35">
      <c r="B87" s="216" t="s">
        <v>2819</v>
      </c>
      <c r="C87" s="129" t="e">
        <f t="array" ref="C87">SUM(($B29=Generators!$H$2:$H$9790)*("Y"=Generators!$C$2:$C$9790)*(C$63=Generators!$F$2:$F$9790)*Generators!$U$2:$U$9790)</f>
        <v>#N/A</v>
      </c>
      <c r="D87" s="129" t="e">
        <f t="array" ref="D87">SUM(($B29=Generators!$H$2:$H$9790)*("Y"=Generators!$C$2:$C$9790)*(D$63=Generators!$F$2:$F$9790)*Generators!$U$2:$U$9790)</f>
        <v>#N/A</v>
      </c>
      <c r="E87" s="129" t="e">
        <f t="array" ref="E87">SUM(($B29=Generators!$H$2:$H$9790)*("Y"=Generators!$C$2:$C$9790)*(E$63=Generators!$F$2:$F$9790)*Generators!$U$2:$U$9790)</f>
        <v>#N/A</v>
      </c>
      <c r="G87" s="216" t="s">
        <v>2819</v>
      </c>
      <c r="H87" s="129">
        <f t="shared" si="30"/>
        <v>2592</v>
      </c>
      <c r="I87" s="129">
        <f t="shared" si="31"/>
        <v>32631</v>
      </c>
      <c r="J87" s="129">
        <f t="shared" si="32"/>
        <v>1164</v>
      </c>
      <c r="M87" s="127">
        <v>30566</v>
      </c>
      <c r="N87" s="127">
        <v>1351</v>
      </c>
      <c r="P87" s="127">
        <f t="shared" ref="P87:P93" si="33">VLOOKUP(B87,$B$137:$C$165,2,FALSE)</f>
        <v>31372</v>
      </c>
      <c r="R87" s="216" t="s">
        <v>2819</v>
      </c>
      <c r="S87" s="129" t="e">
        <f t="shared" ref="S87:S94" si="34">H87-C87</f>
        <v>#N/A</v>
      </c>
      <c r="T87" s="129" t="e">
        <f t="shared" ref="T87:T93" si="35">I87-D87</f>
        <v>#N/A</v>
      </c>
      <c r="U87" s="129" t="e">
        <f t="shared" ref="U87:U93" si="36">J87-E87</f>
        <v>#N/A</v>
      </c>
      <c r="W87" s="276" t="e">
        <f t="shared" si="10"/>
        <v>#N/A</v>
      </c>
      <c r="X87" s="277" t="e">
        <f t="shared" si="3"/>
        <v>#N/A</v>
      </c>
      <c r="Y87" s="277" t="e">
        <f t="shared" si="4"/>
        <v>#N/A</v>
      </c>
      <c r="Z87" s="277" t="e">
        <f t="shared" si="5"/>
        <v>#N/A</v>
      </c>
      <c r="AB87" s="135" t="e">
        <f>SUM(C87:E87)+SUM(X87:Z87)</f>
        <v>#N/A</v>
      </c>
      <c r="AC87" s="129" t="e">
        <f t="shared" si="29"/>
        <v>#N/A</v>
      </c>
      <c r="AD87" s="129" t="str">
        <f t="shared" si="13"/>
        <v>NO</v>
      </c>
      <c r="AE87" s="129" t="e">
        <f t="shared" ref="AE87:AE93" si="37">ROUND(X87/VLOOKUP(AE$63,$AB$54:$AD$56,3,FALSE),0)</f>
        <v>#N/A</v>
      </c>
      <c r="AF87" s="129" t="e">
        <f t="shared" si="27"/>
        <v>#N/A</v>
      </c>
      <c r="AG87" s="129" t="e">
        <f t="shared" si="28"/>
        <v>#N/A</v>
      </c>
      <c r="AH87" s="129" t="str">
        <f t="shared" si="17"/>
        <v>NO</v>
      </c>
      <c r="AI87" s="127" t="e">
        <f>ROUND(IF($AJ$56="Specific",AE87*VLOOKUP(AI$63,$AB$54:$AD$56,3,FALSE)/1000*VLOOKUP(AE$63,'Country Totals'!$AB$46:$AD$48,3,FALSE),AE87*VLOOKUP(AE$63,'Country Totals'!$AB$46:$AD$48,2,FALSE)),2)</f>
        <v>#N/A</v>
      </c>
      <c r="AJ87" s="127" t="e">
        <f>ROUND(IF($AJ$56="Specific",AF87*VLOOKUP(AJ$63,$AB$54:$AD$56,3,FALSE)/1000*VLOOKUP(AF$63,'Country Totals'!$AB$46:$AD$48,3,FALSE),AF87*VLOOKUP(AF$63,'Country Totals'!$AB$46:$AD$48,2,FALSE)),2)</f>
        <v>#N/A</v>
      </c>
      <c r="AK87" s="127" t="e">
        <f>ROUND(IF($AJ$56="Specific",AG87*VLOOKUP(AK$63,$AB$54:$AD$56,3,FALSE)/1000*VLOOKUP(AG$63,'Country Totals'!$AB$46:$AD$48,3,FALSE),AG87*VLOOKUP(AG$63,'Country Totals'!$AB$46:$AD$48,2,FALSE)),2)</f>
        <v>#N/A</v>
      </c>
    </row>
    <row r="88" spans="2:37" x14ac:dyDescent="0.35">
      <c r="B88" s="216" t="s">
        <v>2820</v>
      </c>
      <c r="C88" s="129" t="e">
        <f t="array" ref="C88">SUM(($B30=Generators!$H$2:$H$9790)*("Y"=Generators!$C$2:$C$9790)*(C$63=Generators!$F$2:$F$9790)*Generators!$U$2:$U$9790)</f>
        <v>#N/A</v>
      </c>
      <c r="D88" s="129" t="e">
        <f t="array" ref="D88">SUM(($B30=Generators!$H$2:$H$9790)*("Y"=Generators!$C$2:$C$9790)*(D$63=Generators!$F$2:$F$9790)*Generators!$U$2:$U$9790)</f>
        <v>#N/A</v>
      </c>
      <c r="E88" s="129" t="e">
        <f t="array" ref="E88">SUM(($B30=Generators!$H$2:$H$9790)*("Y"=Generators!$C$2:$C$9790)*(E$63=Generators!$F$2:$F$9790)*Generators!$U$2:$U$9790)</f>
        <v>#N/A</v>
      </c>
      <c r="G88" s="216" t="s">
        <v>2820</v>
      </c>
      <c r="H88" s="129">
        <f t="shared" si="30"/>
        <v>156</v>
      </c>
      <c r="I88" s="129">
        <f t="shared" si="31"/>
        <v>0</v>
      </c>
      <c r="J88" s="129">
        <f t="shared" si="32"/>
        <v>1611</v>
      </c>
      <c r="M88" s="127">
        <v>2351</v>
      </c>
      <c r="N88" s="127">
        <v>1782</v>
      </c>
      <c r="P88" s="127">
        <f t="shared" si="33"/>
        <v>2370</v>
      </c>
      <c r="R88" s="216" t="s">
        <v>2820</v>
      </c>
      <c r="S88" s="129" t="e">
        <f t="shared" si="34"/>
        <v>#N/A</v>
      </c>
      <c r="T88" s="129" t="e">
        <f t="shared" si="35"/>
        <v>#N/A</v>
      </c>
      <c r="U88" s="129" t="e">
        <f t="shared" si="36"/>
        <v>#N/A</v>
      </c>
      <c r="W88" s="276" t="e">
        <f t="shared" si="10"/>
        <v>#N/A</v>
      </c>
      <c r="X88" s="277" t="e">
        <f t="shared" si="3"/>
        <v>#N/A</v>
      </c>
      <c r="Y88" s="277" t="e">
        <f t="shared" si="4"/>
        <v>#N/A</v>
      </c>
      <c r="Z88" s="277" t="e">
        <f t="shared" si="5"/>
        <v>#N/A</v>
      </c>
      <c r="AB88" s="129" t="e">
        <f t="shared" si="11"/>
        <v>#N/A</v>
      </c>
      <c r="AC88" s="129" t="e">
        <f t="shared" si="29"/>
        <v>#N/A</v>
      </c>
      <c r="AD88" s="129" t="str">
        <f t="shared" si="13"/>
        <v>PL</v>
      </c>
      <c r="AE88" s="129" t="e">
        <f t="shared" si="37"/>
        <v>#N/A</v>
      </c>
      <c r="AF88" s="129" t="e">
        <f t="shared" si="27"/>
        <v>#N/A</v>
      </c>
      <c r="AG88" s="129" t="e">
        <f t="shared" si="28"/>
        <v>#N/A</v>
      </c>
      <c r="AH88" s="129" t="str">
        <f t="shared" si="17"/>
        <v>PL</v>
      </c>
      <c r="AI88" s="127" t="e">
        <f>ROUND(IF($AJ$56="Specific",AE88*VLOOKUP(AI$63,$AB$54:$AD$56,3,FALSE)/1000*VLOOKUP(AE$63,'Country Totals'!$AB$46:$AD$48,3,FALSE),AE88*VLOOKUP(AE$63,'Country Totals'!$AB$46:$AD$48,2,FALSE)),2)</f>
        <v>#N/A</v>
      </c>
      <c r="AJ88" s="127" t="e">
        <f>ROUND(IF($AJ$56="Specific",AF88*VLOOKUP(AJ$63,$AB$54:$AD$56,3,FALSE)/1000*VLOOKUP(AF$63,'Country Totals'!$AB$46:$AD$48,3,FALSE),AF88*VLOOKUP(AF$63,'Country Totals'!$AB$46:$AD$48,2,FALSE)),2)</f>
        <v>#N/A</v>
      </c>
      <c r="AK88" s="127" t="e">
        <f>ROUND(IF($AJ$56="Specific",AG88*VLOOKUP(AK$63,$AB$54:$AD$56,3,FALSE)/1000*VLOOKUP(AG$63,'Country Totals'!$AB$46:$AD$48,3,FALSE),AG88*VLOOKUP(AG$63,'Country Totals'!$AB$46:$AD$48,2,FALSE)),2)</f>
        <v>#N/A</v>
      </c>
    </row>
    <row r="89" spans="2:37" x14ac:dyDescent="0.35">
      <c r="B89" s="216" t="s">
        <v>2821</v>
      </c>
      <c r="C89" s="129" t="e">
        <f t="array" ref="C89">SUM(($B31=Generators!$H$2:$H$9790)*("Y"=Generators!$C$2:$C$9790)*(C$63=Generators!$F$2:$F$9790)*Generators!$U$2:$U$9790)</f>
        <v>#N/A</v>
      </c>
      <c r="D89" s="129" t="e">
        <f t="array" ref="D89">SUM(($B31=Generators!$H$2:$H$9790)*("Y"=Generators!$C$2:$C$9790)*(D$63=Generators!$F$2:$F$9790)*Generators!$U$2:$U$9790)</f>
        <v>#N/A</v>
      </c>
      <c r="E89" s="129" t="e">
        <f t="array" ref="E89">SUM(($B31=Generators!$H$2:$H$9790)*("Y"=Generators!$C$2:$C$9790)*(E$63=Generators!$F$2:$F$9790)*Generators!$U$2:$U$9790)</f>
        <v>#N/A</v>
      </c>
      <c r="G89" s="216" t="s">
        <v>2821</v>
      </c>
      <c r="H89" s="129">
        <f t="shared" si="30"/>
        <v>2436</v>
      </c>
      <c r="I89" s="129">
        <f t="shared" si="31"/>
        <v>897</v>
      </c>
      <c r="J89" s="129">
        <f t="shared" si="32"/>
        <v>1519</v>
      </c>
      <c r="M89" s="127">
        <v>5902</v>
      </c>
      <c r="N89" s="127">
        <v>1343</v>
      </c>
      <c r="P89" s="127">
        <f t="shared" si="33"/>
        <v>6168</v>
      </c>
      <c r="R89" s="216" t="s">
        <v>2821</v>
      </c>
      <c r="S89" s="129" t="e">
        <f t="shared" si="34"/>
        <v>#N/A</v>
      </c>
      <c r="T89" s="129" t="e">
        <f t="shared" si="35"/>
        <v>#N/A</v>
      </c>
      <c r="U89" s="129" t="e">
        <f t="shared" si="36"/>
        <v>#N/A</v>
      </c>
      <c r="W89" s="276" t="e">
        <f t="shared" si="10"/>
        <v>#N/A</v>
      </c>
      <c r="X89" s="277" t="e">
        <f t="shared" si="3"/>
        <v>#N/A</v>
      </c>
      <c r="Y89" s="277" t="e">
        <f t="shared" si="4"/>
        <v>#N/A</v>
      </c>
      <c r="Z89" s="277" t="e">
        <f t="shared" si="5"/>
        <v>#N/A</v>
      </c>
      <c r="AB89" s="129" t="e">
        <f t="shared" si="11"/>
        <v>#N/A</v>
      </c>
      <c r="AC89" s="129" t="e">
        <f t="shared" si="29"/>
        <v>#N/A</v>
      </c>
      <c r="AD89" s="129" t="str">
        <f t="shared" si="13"/>
        <v>PT</v>
      </c>
      <c r="AE89" s="129" t="e">
        <f t="shared" si="37"/>
        <v>#N/A</v>
      </c>
      <c r="AF89" s="129" t="e">
        <f t="shared" si="27"/>
        <v>#N/A</v>
      </c>
      <c r="AG89" s="129" t="e">
        <f t="shared" si="28"/>
        <v>#N/A</v>
      </c>
      <c r="AH89" s="129" t="str">
        <f t="shared" si="17"/>
        <v>PT</v>
      </c>
      <c r="AI89" s="127" t="e">
        <f>ROUND(IF($AJ$56="Specific",AE89*VLOOKUP(AI$63,$AB$54:$AD$56,3,FALSE)/1000*VLOOKUP(AE$63,'Country Totals'!$AB$46:$AD$48,3,FALSE),AE89*VLOOKUP(AE$63,'Country Totals'!$AB$46:$AD$48,2,FALSE)),2)</f>
        <v>#N/A</v>
      </c>
      <c r="AJ89" s="127" t="e">
        <f>ROUND(IF($AJ$56="Specific",AF89*VLOOKUP(AJ$63,$AB$54:$AD$56,3,FALSE)/1000*VLOOKUP(AF$63,'Country Totals'!$AB$46:$AD$48,3,FALSE),AF89*VLOOKUP(AF$63,'Country Totals'!$AB$46:$AD$48,2,FALSE)),2)</f>
        <v>#N/A</v>
      </c>
      <c r="AK89" s="127" t="e">
        <f>ROUND(IF($AJ$56="Specific",AG89*VLOOKUP(AK$63,$AB$54:$AD$56,3,FALSE)/1000*VLOOKUP(AG$63,'Country Totals'!$AB$46:$AD$48,3,FALSE),AG89*VLOOKUP(AG$63,'Country Totals'!$AB$46:$AD$48,2,FALSE)),2)</f>
        <v>#N/A</v>
      </c>
    </row>
    <row r="90" spans="2:37" x14ac:dyDescent="0.35">
      <c r="B90" s="216" t="s">
        <v>2822</v>
      </c>
      <c r="C90" s="129" t="e">
        <f t="array" ref="C90">SUM(($B32=Generators!$H$2:$H$9790)*("Y"=Generators!$C$2:$C$9790)*(C$63=Generators!$F$2:$F$9790)*Generators!$U$2:$U$9790)</f>
        <v>#N/A</v>
      </c>
      <c r="D90" s="129" t="e">
        <f t="array" ref="D90">SUM(($B32=Generators!$H$2:$H$9790)*("Y"=Generators!$C$2:$C$9790)*(D$63=Generators!$F$2:$F$9790)*Generators!$U$2:$U$9790)</f>
        <v>#N/A</v>
      </c>
      <c r="E90" s="129" t="e">
        <f t="array" ref="E90">SUM(($B32=Generators!$H$2:$H$9790)*("Y"=Generators!$C$2:$C$9790)*(E$63=Generators!$F$2:$F$9790)*Generators!$U$2:$U$9790)</f>
        <v>#N/A</v>
      </c>
      <c r="G90" s="216" t="s">
        <v>2822</v>
      </c>
      <c r="H90" s="129">
        <f t="shared" si="30"/>
        <v>1406</v>
      </c>
      <c r="I90" s="129">
        <f t="shared" si="31"/>
        <v>2146</v>
      </c>
      <c r="J90" s="129">
        <f t="shared" si="32"/>
        <v>0</v>
      </c>
      <c r="M90" s="127">
        <v>6705</v>
      </c>
      <c r="N90" s="127">
        <v>92</v>
      </c>
      <c r="P90" s="127">
        <f t="shared" si="33"/>
        <v>6730</v>
      </c>
      <c r="R90" s="216" t="s">
        <v>2822</v>
      </c>
      <c r="S90" s="129" t="e">
        <f t="shared" si="34"/>
        <v>#N/A</v>
      </c>
      <c r="T90" s="129" t="e">
        <f t="shared" si="35"/>
        <v>#N/A</v>
      </c>
      <c r="U90" s="129" t="e">
        <f t="shared" si="36"/>
        <v>#N/A</v>
      </c>
      <c r="W90" s="276" t="e">
        <f>P90-SUM(C90:E90)</f>
        <v>#N/A</v>
      </c>
      <c r="X90" s="277" t="e">
        <f t="shared" si="3"/>
        <v>#N/A</v>
      </c>
      <c r="Y90" s="277" t="e">
        <f t="shared" si="4"/>
        <v>#N/A</v>
      </c>
      <c r="Z90" s="277" t="e">
        <f t="shared" si="5"/>
        <v>#N/A</v>
      </c>
      <c r="AB90" s="129" t="e">
        <f t="shared" si="11"/>
        <v>#N/A</v>
      </c>
      <c r="AC90" s="129" t="e">
        <f t="shared" si="29"/>
        <v>#N/A</v>
      </c>
      <c r="AD90" s="129" t="str">
        <f t="shared" si="13"/>
        <v>RO</v>
      </c>
      <c r="AE90" s="129" t="e">
        <f t="shared" si="37"/>
        <v>#N/A</v>
      </c>
      <c r="AF90" s="129" t="e">
        <f t="shared" si="27"/>
        <v>#N/A</v>
      </c>
      <c r="AG90" s="129" t="e">
        <f t="shared" si="28"/>
        <v>#N/A</v>
      </c>
      <c r="AH90" s="129" t="str">
        <f t="shared" si="17"/>
        <v>RO</v>
      </c>
      <c r="AI90" s="127" t="e">
        <f>ROUND(IF($AJ$56="Specific",AE90*VLOOKUP(AI$63,$AB$54:$AD$56,3,FALSE)/1000*VLOOKUP(AE$63,'Country Totals'!$AB$46:$AD$48,3,FALSE),AE90*VLOOKUP(AE$63,'Country Totals'!$AB$46:$AD$48,2,FALSE)),2)</f>
        <v>#N/A</v>
      </c>
      <c r="AJ90" s="127" t="e">
        <f>ROUND(IF($AJ$56="Specific",AF90*VLOOKUP(AJ$63,$AB$54:$AD$56,3,FALSE)/1000*VLOOKUP(AF$63,'Country Totals'!$AB$46:$AD$48,3,FALSE),AF90*VLOOKUP(AF$63,'Country Totals'!$AB$46:$AD$48,2,FALSE)),2)</f>
        <v>#N/A</v>
      </c>
      <c r="AK90" s="127" t="e">
        <f>ROUND(IF($AJ$56="Specific",AG90*VLOOKUP(AK$63,$AB$54:$AD$56,3,FALSE)/1000*VLOOKUP(AG$63,'Country Totals'!$AB$46:$AD$48,3,FALSE),AG90*VLOOKUP(AG$63,'Country Totals'!$AB$46:$AD$48,2,FALSE)),2)</f>
        <v>#N/A</v>
      </c>
    </row>
    <row r="91" spans="2:37" x14ac:dyDescent="0.35">
      <c r="B91" s="216" t="s">
        <v>2823</v>
      </c>
      <c r="C91" s="129" t="e">
        <f t="array" ref="C91">SUM(($B33=Generators!$H$2:$H$9790)*("Y"=Generators!$C$2:$C$9790)*(C$63=Generators!$F$2:$F$9790)*Generators!$U$2:$U$9790)</f>
        <v>#N/A</v>
      </c>
      <c r="D91" s="129" t="e">
        <f t="array" ref="D91">SUM(($B33=Generators!$H$2:$H$9790)*("Y"=Generators!$C$2:$C$9790)*(D$63=Generators!$F$2:$F$9790)*Generators!$U$2:$U$9790)</f>
        <v>#N/A</v>
      </c>
      <c r="E91" s="129" t="e">
        <f t="array" ref="E91">SUM(($B33=Generators!$H$2:$H$9790)*("Y"=Generators!$C$2:$C$9790)*(E$63=Generators!$F$2:$F$9790)*Generators!$U$2:$U$9790)</f>
        <v>#N/A</v>
      </c>
      <c r="G91" s="216" t="s">
        <v>2823</v>
      </c>
      <c r="H91" s="129">
        <f t="shared" si="30"/>
        <v>795</v>
      </c>
      <c r="I91" s="129">
        <f t="shared" si="31"/>
        <v>7780</v>
      </c>
      <c r="J91" s="129">
        <f t="shared" si="32"/>
        <v>0</v>
      </c>
      <c r="M91" s="127">
        <v>16184</v>
      </c>
      <c r="N91" s="127">
        <v>99</v>
      </c>
      <c r="P91" s="127">
        <f t="shared" si="33"/>
        <v>16329</v>
      </c>
      <c r="R91" s="216" t="s">
        <v>2823</v>
      </c>
      <c r="S91" s="129" t="e">
        <f t="shared" si="34"/>
        <v>#N/A</v>
      </c>
      <c r="T91" s="129" t="e">
        <f t="shared" si="35"/>
        <v>#N/A</v>
      </c>
      <c r="U91" s="129" t="e">
        <f t="shared" si="36"/>
        <v>#N/A</v>
      </c>
      <c r="W91" s="276" t="e">
        <f t="shared" si="10"/>
        <v>#N/A</v>
      </c>
      <c r="X91" s="277" t="e">
        <f t="shared" si="3"/>
        <v>#N/A</v>
      </c>
      <c r="Y91" s="277" t="e">
        <f t="shared" si="4"/>
        <v>#N/A</v>
      </c>
      <c r="Z91" s="277" t="e">
        <f t="shared" si="5"/>
        <v>#N/A</v>
      </c>
      <c r="AB91" s="129" t="e">
        <f t="shared" si="11"/>
        <v>#N/A</v>
      </c>
      <c r="AC91" s="129" t="e">
        <f t="shared" si="29"/>
        <v>#N/A</v>
      </c>
      <c r="AD91" s="129" t="str">
        <f t="shared" si="13"/>
        <v>SE</v>
      </c>
      <c r="AE91" s="129" t="e">
        <f t="shared" si="37"/>
        <v>#N/A</v>
      </c>
      <c r="AF91" s="129" t="e">
        <f t="shared" si="27"/>
        <v>#N/A</v>
      </c>
      <c r="AG91" s="129" t="e">
        <f t="shared" si="28"/>
        <v>#N/A</v>
      </c>
      <c r="AH91" s="129" t="str">
        <f t="shared" si="17"/>
        <v>SE</v>
      </c>
      <c r="AI91" s="127" t="e">
        <f>ROUND(IF($AJ$56="Specific",AE91*VLOOKUP(AI$63,$AB$54:$AD$56,3,FALSE)/1000*VLOOKUP(AE$63,'Country Totals'!$AB$46:$AD$48,3,FALSE),AE91*VLOOKUP(AE$63,'Country Totals'!$AB$46:$AD$48,2,FALSE)),2)</f>
        <v>#N/A</v>
      </c>
      <c r="AJ91" s="127" t="e">
        <f>ROUND(IF($AJ$56="Specific",AF91*VLOOKUP(AJ$63,$AB$54:$AD$56,3,FALSE)/1000*VLOOKUP(AF$63,'Country Totals'!$AB$46:$AD$48,3,FALSE),AF91*VLOOKUP(AF$63,'Country Totals'!$AB$46:$AD$48,2,FALSE)),2)</f>
        <v>#N/A</v>
      </c>
      <c r="AK91" s="127" t="e">
        <f>ROUND(IF($AJ$56="Specific",AG91*VLOOKUP(AK$63,$AB$54:$AD$56,3,FALSE)/1000*VLOOKUP(AG$63,'Country Totals'!$AB$46:$AD$48,3,FALSE),AG91*VLOOKUP(AG$63,'Country Totals'!$AB$46:$AD$48,2,FALSE)),2)</f>
        <v>#N/A</v>
      </c>
    </row>
    <row r="92" spans="2:37" x14ac:dyDescent="0.35">
      <c r="B92" s="216" t="s">
        <v>2824</v>
      </c>
      <c r="C92" s="129" t="e">
        <f t="array" ref="C92">SUM(($B34=Generators!$H$2:$H$9790)*("Y"=Generators!$C$2:$C$9790)*(C$63=Generators!$F$2:$F$9790)*Generators!$U$2:$U$9790)</f>
        <v>#N/A</v>
      </c>
      <c r="D92" s="129" t="e">
        <f t="array" ref="D92">SUM(($B34=Generators!$H$2:$H$9790)*("Y"=Generators!$C$2:$C$9790)*(D$63=Generators!$F$2:$F$9790)*Generators!$U$2:$U$9790)</f>
        <v>#N/A</v>
      </c>
      <c r="E92" s="129" t="e">
        <f t="array" ref="E92">SUM(($B34=Generators!$H$2:$H$9790)*("Y"=Generators!$C$2:$C$9790)*(E$63=Generators!$F$2:$F$9790)*Generators!$U$2:$U$9790)</f>
        <v>#N/A</v>
      </c>
      <c r="G92" s="216" t="s">
        <v>2824</v>
      </c>
      <c r="H92" s="129">
        <f t="shared" si="30"/>
        <v>242</v>
      </c>
      <c r="I92" s="129">
        <f t="shared" si="31"/>
        <v>0</v>
      </c>
      <c r="J92" s="129">
        <f t="shared" si="32"/>
        <v>180</v>
      </c>
      <c r="M92" s="127">
        <v>1479</v>
      </c>
      <c r="N92" s="127">
        <v>180</v>
      </c>
      <c r="P92" s="127">
        <f t="shared" si="33"/>
        <v>1295</v>
      </c>
      <c r="R92" s="216" t="s">
        <v>2824</v>
      </c>
      <c r="S92" s="129" t="e">
        <f t="shared" si="34"/>
        <v>#N/A</v>
      </c>
      <c r="T92" s="129" t="e">
        <f t="shared" si="35"/>
        <v>#N/A</v>
      </c>
      <c r="U92" s="129" t="e">
        <f t="shared" si="36"/>
        <v>#N/A</v>
      </c>
      <c r="W92" s="276" t="e">
        <f t="shared" si="10"/>
        <v>#N/A</v>
      </c>
      <c r="X92" s="277" t="e">
        <f t="shared" si="3"/>
        <v>#N/A</v>
      </c>
      <c r="Y92" s="277" t="e">
        <f t="shared" si="4"/>
        <v>#N/A</v>
      </c>
      <c r="Z92" s="277" t="e">
        <f t="shared" si="5"/>
        <v>#N/A</v>
      </c>
      <c r="AB92" s="129" t="e">
        <f t="shared" si="11"/>
        <v>#N/A</v>
      </c>
      <c r="AC92" s="129" t="e">
        <f t="shared" si="29"/>
        <v>#N/A</v>
      </c>
      <c r="AD92" s="129" t="str">
        <f t="shared" si="13"/>
        <v>SI</v>
      </c>
      <c r="AE92" s="129" t="e">
        <f t="shared" si="37"/>
        <v>#N/A</v>
      </c>
      <c r="AF92" s="129" t="e">
        <f t="shared" si="27"/>
        <v>#N/A</v>
      </c>
      <c r="AG92" s="129" t="e">
        <f t="shared" si="28"/>
        <v>#N/A</v>
      </c>
      <c r="AH92" s="129" t="str">
        <f t="shared" si="17"/>
        <v>SI</v>
      </c>
      <c r="AI92" s="127" t="e">
        <f>ROUND(IF($AJ$56="Specific",AE92*VLOOKUP(AI$63,$AB$54:$AD$56,3,FALSE)/1000*VLOOKUP(AE$63,'Country Totals'!$AB$46:$AD$48,3,FALSE),AE92*VLOOKUP(AE$63,'Country Totals'!$AB$46:$AD$48,2,FALSE)),2)</f>
        <v>#N/A</v>
      </c>
      <c r="AJ92" s="127" t="e">
        <f>ROUND(IF($AJ$56="Specific",AF92*VLOOKUP(AJ$63,$AB$54:$AD$56,3,FALSE)/1000*VLOOKUP(AF$63,'Country Totals'!$AB$46:$AD$48,3,FALSE),AF92*VLOOKUP(AF$63,'Country Totals'!$AB$46:$AD$48,2,FALSE)),2)</f>
        <v>#N/A</v>
      </c>
      <c r="AK92" s="127" t="e">
        <f>ROUND(IF($AJ$56="Specific",AG92*VLOOKUP(AK$63,$AB$54:$AD$56,3,FALSE)/1000*VLOOKUP(AG$63,'Country Totals'!$AB$46:$AD$48,3,FALSE),AG92*VLOOKUP(AG$63,'Country Totals'!$AB$46:$AD$48,2,FALSE)),2)</f>
        <v>#N/A</v>
      </c>
    </row>
    <row r="93" spans="2:37" x14ac:dyDescent="0.35">
      <c r="B93" s="216" t="s">
        <v>2825</v>
      </c>
      <c r="C93" s="129" t="e">
        <f t="array" ref="C93">SUM(($B35=Generators!$H$2:$H$9790)*("Y"=Generators!$C$2:$C$9790)*(C$63=Generators!$F$2:$F$9790)*Generators!$U$2:$U$9790)</f>
        <v>#N/A</v>
      </c>
      <c r="D93" s="129" t="e">
        <f t="array" ref="D93">SUM(($B35=Generators!$H$2:$H$9790)*("Y"=Generators!$C$2:$C$9790)*(D$63=Generators!$F$2:$F$9790)*Generators!$U$2:$U$9790)</f>
        <v>#N/A</v>
      </c>
      <c r="E93" s="129" t="e">
        <f t="array" ref="E93">SUM(($B35=Generators!$H$2:$H$9790)*("Y"=Generators!$C$2:$C$9790)*(E$63=Generators!$F$2:$F$9790)*Generators!$U$2:$U$9790)</f>
        <v>#N/A</v>
      </c>
      <c r="G93" s="216" t="s">
        <v>2825</v>
      </c>
      <c r="H93" s="129">
        <f t="shared" si="30"/>
        <v>720</v>
      </c>
      <c r="I93" s="129">
        <f t="shared" si="31"/>
        <v>198</v>
      </c>
      <c r="J93" s="129">
        <f t="shared" si="32"/>
        <v>734</v>
      </c>
      <c r="M93" s="127">
        <v>2522</v>
      </c>
      <c r="N93" s="127">
        <v>916</v>
      </c>
      <c r="P93" s="127">
        <f t="shared" si="33"/>
        <v>2522</v>
      </c>
      <c r="R93" s="216" t="s">
        <v>2825</v>
      </c>
      <c r="S93" s="129" t="e">
        <f t="shared" si="34"/>
        <v>#N/A</v>
      </c>
      <c r="T93" s="129" t="e">
        <f t="shared" si="35"/>
        <v>#N/A</v>
      </c>
      <c r="U93" s="129" t="e">
        <f t="shared" si="36"/>
        <v>#N/A</v>
      </c>
      <c r="W93" s="276" t="e">
        <f t="shared" si="10"/>
        <v>#N/A</v>
      </c>
      <c r="X93" s="277" t="e">
        <f t="shared" si="3"/>
        <v>#N/A</v>
      </c>
      <c r="Y93" s="277" t="e">
        <f t="shared" si="4"/>
        <v>#N/A</v>
      </c>
      <c r="Z93" s="277" t="e">
        <f t="shared" si="5"/>
        <v>#N/A</v>
      </c>
      <c r="AB93" s="129" t="e">
        <f t="shared" si="11"/>
        <v>#N/A</v>
      </c>
      <c r="AC93" s="129" t="e">
        <f t="shared" si="29"/>
        <v>#N/A</v>
      </c>
      <c r="AD93" s="129" t="str">
        <f>B93</f>
        <v>SK</v>
      </c>
      <c r="AE93" s="129" t="e">
        <f t="shared" si="37"/>
        <v>#N/A</v>
      </c>
      <c r="AF93" s="129" t="e">
        <f t="shared" si="27"/>
        <v>#N/A</v>
      </c>
      <c r="AG93" s="129" t="e">
        <f t="shared" si="28"/>
        <v>#N/A</v>
      </c>
      <c r="AH93" s="129" t="str">
        <f t="shared" si="17"/>
        <v>SK</v>
      </c>
      <c r="AI93" s="127" t="e">
        <f>ROUND(IF($AJ$56="Specific",AE93*VLOOKUP(AI$63,$AB$54:$AD$56,3,FALSE)/1000*VLOOKUP(AE$63,'Country Totals'!$AB$46:$AD$48,3,FALSE),AE93*VLOOKUP(AE$63,'Country Totals'!$AB$46:$AD$48,2,FALSE)),2)</f>
        <v>#N/A</v>
      </c>
      <c r="AJ93" s="127" t="e">
        <f>ROUND(IF($AJ$56="Specific",AF93*VLOOKUP(AJ$63,$AB$54:$AD$56,3,FALSE)/1000*VLOOKUP(AF$63,'Country Totals'!$AB$46:$AD$48,3,FALSE),AF93*VLOOKUP(AF$63,'Country Totals'!$AB$46:$AD$48,2,FALSE)),2)</f>
        <v>#N/A</v>
      </c>
      <c r="AK93" s="127" t="e">
        <f>ROUND(IF($AJ$56="Specific",AG93*VLOOKUP(AK$63,$AB$54:$AD$56,3,FALSE)/1000*VLOOKUP(AG$63,'Country Totals'!$AB$46:$AD$48,3,FALSE),AG93*VLOOKUP(AG$63,'Country Totals'!$AB$46:$AD$48,2,FALSE)),2)</f>
        <v>#N/A</v>
      </c>
    </row>
    <row r="94" spans="2:37" x14ac:dyDescent="0.35">
      <c r="B94" s="248" t="s">
        <v>2995</v>
      </c>
      <c r="C94" s="249" t="e">
        <f>SUM(C64:C93)</f>
        <v>#N/A</v>
      </c>
      <c r="D94" s="249" t="e">
        <f>SUM(D64:D93)</f>
        <v>#N/A</v>
      </c>
      <c r="E94" s="249" t="e">
        <f>SUM(E64:E93)</f>
        <v>#N/A</v>
      </c>
      <c r="F94" s="249"/>
      <c r="G94" s="248" t="s">
        <v>2995</v>
      </c>
      <c r="H94" s="250" t="e">
        <f>SUM(H64:H93)</f>
        <v>#N/A</v>
      </c>
      <c r="I94" s="250" t="e">
        <f>SUM(I64:I93)</f>
        <v>#N/A</v>
      </c>
      <c r="J94" s="250" t="e">
        <f>SUM(J64:J93)</f>
        <v>#N/A</v>
      </c>
      <c r="K94" s="249"/>
      <c r="L94" s="249"/>
      <c r="M94" s="249">
        <f>SUM(M64:M93)</f>
        <v>195726</v>
      </c>
      <c r="N94" s="249">
        <f>SUM(N64:N93)</f>
        <v>54892</v>
      </c>
      <c r="O94" s="249"/>
      <c r="P94" s="249">
        <f>SUM(P64:P93)</f>
        <v>197425</v>
      </c>
      <c r="Q94" s="249"/>
      <c r="R94" s="249"/>
      <c r="S94" s="249" t="e">
        <f t="shared" si="34"/>
        <v>#N/A</v>
      </c>
      <c r="T94" s="249"/>
      <c r="U94" s="249"/>
      <c r="V94" s="249"/>
      <c r="W94" s="249"/>
      <c r="X94" s="249"/>
      <c r="Y94" s="249"/>
      <c r="Z94" s="249"/>
      <c r="AA94" s="249"/>
      <c r="AB94" s="250" t="e">
        <f>SUM(AB64:AB93)</f>
        <v>#N/A</v>
      </c>
      <c r="AC94" s="250"/>
      <c r="AD94" s="250"/>
      <c r="AE94" s="250" t="e">
        <f>SUM(AE64:AE93)</f>
        <v>#N/A</v>
      </c>
      <c r="AF94" s="250" t="e">
        <f>SUM(AF64:AF93)</f>
        <v>#N/A</v>
      </c>
      <c r="AG94" s="250" t="e">
        <f>SUM(AG64:AG93)</f>
        <v>#N/A</v>
      </c>
      <c r="AH94" s="264"/>
      <c r="AI94" s="250" t="e">
        <f>SUM(AI64:AI93)</f>
        <v>#N/A</v>
      </c>
      <c r="AJ94" s="250" t="e">
        <f>SUM(AJ64:AJ93)</f>
        <v>#N/A</v>
      </c>
      <c r="AK94" s="250" t="e">
        <f>SUM(AK64:AK93)</f>
        <v>#N/A</v>
      </c>
    </row>
    <row r="95" spans="2:37" ht="15" thickBot="1" x14ac:dyDescent="0.4">
      <c r="B95" s="251" t="s">
        <v>2996</v>
      </c>
      <c r="C95" s="252"/>
      <c r="D95" s="252"/>
      <c r="E95" s="252"/>
      <c r="F95" s="252"/>
      <c r="G95" s="251" t="s">
        <v>2996</v>
      </c>
      <c r="H95" s="253"/>
      <c r="I95" s="252"/>
      <c r="J95" s="252"/>
      <c r="K95" s="252"/>
      <c r="L95" s="252"/>
      <c r="M95" s="252"/>
      <c r="N95" s="252"/>
      <c r="O95" s="252"/>
      <c r="P95" s="252"/>
      <c r="Q95" s="252"/>
      <c r="R95" s="252"/>
      <c r="S95" s="252"/>
      <c r="T95" s="252"/>
      <c r="U95" s="252"/>
      <c r="V95" s="252"/>
      <c r="W95" s="252"/>
      <c r="X95" s="252"/>
      <c r="Y95" s="252"/>
      <c r="Z95" s="252"/>
      <c r="AA95" s="252"/>
      <c r="AB95" s="253"/>
      <c r="AC95" s="252"/>
      <c r="AD95" s="252"/>
      <c r="AE95" s="252"/>
      <c r="AF95" s="252"/>
      <c r="AG95" s="252"/>
      <c r="AH95" s="252"/>
      <c r="AI95" s="252"/>
      <c r="AJ95" s="252"/>
      <c r="AK95" s="252"/>
    </row>
    <row r="96" spans="2:37" x14ac:dyDescent="0.35">
      <c r="B96" s="216"/>
      <c r="C96" s="229"/>
      <c r="D96" s="229"/>
      <c r="E96" s="229"/>
      <c r="F96" s="229"/>
      <c r="G96" s="216"/>
      <c r="H96" s="264"/>
      <c r="I96" s="229"/>
      <c r="J96" s="229"/>
      <c r="K96" s="229"/>
      <c r="L96" s="229"/>
      <c r="M96" s="229"/>
      <c r="N96" s="229"/>
      <c r="O96" s="229"/>
      <c r="P96" s="229"/>
      <c r="Q96" s="229"/>
      <c r="R96" s="229"/>
      <c r="S96" s="229"/>
      <c r="T96" s="229"/>
      <c r="U96" s="229"/>
      <c r="V96" s="229"/>
      <c r="W96" s="229"/>
      <c r="X96" s="229"/>
      <c r="Y96" s="229"/>
      <c r="Z96" s="229"/>
      <c r="AA96" s="229"/>
      <c r="AB96" s="264"/>
      <c r="AC96" s="229"/>
      <c r="AD96" s="229"/>
      <c r="AE96" s="229"/>
    </row>
    <row r="97" spans="2:36" x14ac:dyDescent="0.35">
      <c r="AB97" s="269" t="s">
        <v>3035</v>
      </c>
      <c r="AC97" s="127" t="s">
        <v>3036</v>
      </c>
    </row>
    <row r="98" spans="2:36" x14ac:dyDescent="0.35">
      <c r="B98" s="259" t="s">
        <v>2999</v>
      </c>
      <c r="C98" s="141"/>
      <c r="D98" s="141"/>
      <c r="E98" s="141"/>
      <c r="F98" s="141"/>
      <c r="I98" s="260" t="s">
        <v>3033</v>
      </c>
      <c r="J98" s="260"/>
      <c r="K98" s="260"/>
      <c r="AA98" s="196" t="s">
        <v>2882</v>
      </c>
      <c r="AB98" s="135" t="e">
        <f>SUM(C64:C93,X64:X93)</f>
        <v>#N/A</v>
      </c>
      <c r="AC98" s="265" t="e">
        <f>AB98/AB$94</f>
        <v>#N/A</v>
      </c>
      <c r="AD98" s="265"/>
      <c r="AE98" s="265"/>
    </row>
    <row r="99" spans="2:36" x14ac:dyDescent="0.35">
      <c r="C99" s="254" t="s">
        <v>3088</v>
      </c>
      <c r="D99" s="254" t="s">
        <v>2997</v>
      </c>
      <c r="E99" s="217" t="s">
        <v>3018</v>
      </c>
      <c r="F99" s="217" t="s">
        <v>3032</v>
      </c>
      <c r="G99" s="127" t="s">
        <v>3084</v>
      </c>
      <c r="I99" s="254" t="s">
        <v>2998</v>
      </c>
      <c r="J99" s="254" t="s">
        <v>2997</v>
      </c>
      <c r="K99" s="217" t="s">
        <v>3018</v>
      </c>
      <c r="M99" s="266" t="s">
        <v>3037</v>
      </c>
      <c r="P99" s="127">
        <v>23.7</v>
      </c>
      <c r="Q99" s="127" t="s">
        <v>3038</v>
      </c>
      <c r="AA99" s="196" t="s">
        <v>2883</v>
      </c>
      <c r="AB99" s="135" t="e">
        <f>SUM(D64:D93,Y64:Y93)</f>
        <v>#N/A</v>
      </c>
      <c r="AC99" s="265" t="e">
        <f>AB99/AB$94</f>
        <v>#N/A</v>
      </c>
      <c r="AD99" s="265"/>
      <c r="AE99" s="305" t="s">
        <v>3067</v>
      </c>
      <c r="AF99" s="305"/>
      <c r="AG99" s="305"/>
      <c r="AH99" s="305"/>
      <c r="AI99" s="305"/>
      <c r="AJ99" s="305"/>
    </row>
    <row r="100" spans="2:36" x14ac:dyDescent="0.35">
      <c r="B100" s="196" t="s">
        <v>3081</v>
      </c>
      <c r="C100" s="255" t="e">
        <f>C94</f>
        <v>#N/A</v>
      </c>
      <c r="D100" s="238">
        <v>35934</v>
      </c>
      <c r="E100" s="247">
        <v>66000</v>
      </c>
      <c r="F100" s="247"/>
      <c r="G100" s="197" t="e">
        <f>AE94*AD54</f>
        <v>#N/A</v>
      </c>
      <c r="I100" s="138" t="e">
        <f t="shared" ref="I100:K102" si="38">C100/C$103</f>
        <v>#N/A</v>
      </c>
      <c r="J100" s="138">
        <f t="shared" si="38"/>
        <v>0.22027830564580397</v>
      </c>
      <c r="K100" s="138">
        <f t="shared" si="38"/>
        <v>0.30555555555555558</v>
      </c>
      <c r="P100" s="207" t="s">
        <v>3039</v>
      </c>
      <c r="AA100" s="196" t="s">
        <v>2884</v>
      </c>
      <c r="AB100" s="135" t="e">
        <f>SUM(E64:E93,Z64:Z93)</f>
        <v>#N/A</v>
      </c>
      <c r="AC100" s="265" t="e">
        <f>AB100/AB$94</f>
        <v>#N/A</v>
      </c>
      <c r="AD100" s="265"/>
      <c r="AE100" s="306" t="s">
        <v>3068</v>
      </c>
    </row>
    <row r="101" spans="2:36" x14ac:dyDescent="0.35">
      <c r="B101" s="196" t="s">
        <v>3082</v>
      </c>
      <c r="C101" s="255" t="e">
        <f>D94</f>
        <v>#N/A</v>
      </c>
      <c r="D101" s="238">
        <v>81979</v>
      </c>
      <c r="E101" s="247">
        <v>103000</v>
      </c>
      <c r="F101" s="247"/>
      <c r="G101" s="127" t="e">
        <f>AF94*AD55</f>
        <v>#N/A</v>
      </c>
      <c r="I101" s="138" t="e">
        <f t="shared" si="38"/>
        <v>#N/A</v>
      </c>
      <c r="J101" s="138">
        <f t="shared" si="38"/>
        <v>0.50253785324587752</v>
      </c>
      <c r="K101" s="138">
        <f t="shared" si="38"/>
        <v>0.47685185185185186</v>
      </c>
      <c r="AB101" s="271" t="e">
        <f>SUM(AB98:AB100)</f>
        <v>#N/A</v>
      </c>
      <c r="AF101" s="127" t="s">
        <v>3065</v>
      </c>
      <c r="AG101" s="127" t="s">
        <v>3066</v>
      </c>
      <c r="AH101" s="308" t="s">
        <v>2995</v>
      </c>
      <c r="AI101" s="310" t="s">
        <v>3070</v>
      </c>
    </row>
    <row r="102" spans="2:36" x14ac:dyDescent="0.35">
      <c r="B102" s="196" t="s">
        <v>3083</v>
      </c>
      <c r="C102" s="255" t="e">
        <f>E94</f>
        <v>#N/A</v>
      </c>
      <c r="D102" s="238">
        <v>45217</v>
      </c>
      <c r="E102" s="247">
        <v>47000</v>
      </c>
      <c r="F102" s="247"/>
      <c r="G102" s="127" t="e">
        <f>AG94*AD56</f>
        <v>#N/A</v>
      </c>
      <c r="I102" s="138" t="e">
        <f t="shared" si="38"/>
        <v>#N/A</v>
      </c>
      <c r="J102" s="138">
        <f t="shared" si="38"/>
        <v>0.27718384110831851</v>
      </c>
      <c r="K102" s="138">
        <f t="shared" si="38"/>
        <v>0.21759259259259259</v>
      </c>
      <c r="AE102" s="196" t="s">
        <v>2882</v>
      </c>
      <c r="AF102" s="267" t="e">
        <f>C94/1000</f>
        <v>#N/A</v>
      </c>
      <c r="AG102" s="267" t="e">
        <f>AE94*AD54/1000</f>
        <v>#N/A</v>
      </c>
      <c r="AH102" s="309" t="e">
        <f>SUM(AF102:AG102)</f>
        <v>#N/A</v>
      </c>
      <c r="AI102" s="314" t="e">
        <f>AH102/AH105</f>
        <v>#N/A</v>
      </c>
    </row>
    <row r="103" spans="2:36" ht="15" thickBot="1" x14ac:dyDescent="0.4">
      <c r="B103" s="256" t="s">
        <v>2995</v>
      </c>
      <c r="C103" s="257" t="e">
        <f>SUM(C100:C102)</f>
        <v>#N/A</v>
      </c>
      <c r="D103" s="257">
        <f>SUM(D100:D102)</f>
        <v>163130</v>
      </c>
      <c r="E103" s="257">
        <f>SUM(E100:E102)</f>
        <v>216000</v>
      </c>
      <c r="F103" s="258">
        <f>P94</f>
        <v>197425</v>
      </c>
      <c r="G103" s="257" t="e">
        <f>SUM(G100:G102)</f>
        <v>#N/A</v>
      </c>
      <c r="AB103" s="268" t="s">
        <v>3040</v>
      </c>
      <c r="AE103" s="196" t="s">
        <v>2883</v>
      </c>
      <c r="AF103" s="267" t="e">
        <f>D94/1000</f>
        <v>#N/A</v>
      </c>
      <c r="AG103" s="267" t="e">
        <f>AF94*AD55/1000</f>
        <v>#N/A</v>
      </c>
      <c r="AH103" s="309" t="e">
        <f>SUM(AF103:AG103)</f>
        <v>#N/A</v>
      </c>
      <c r="AI103" s="314" t="e">
        <f>AH103/AH105</f>
        <v>#N/A</v>
      </c>
    </row>
    <row r="104" spans="2:36" x14ac:dyDescent="0.35">
      <c r="AA104" s="196" t="s">
        <v>2882</v>
      </c>
      <c r="AB104" s="135">
        <f>$F$103*J100</f>
        <v>43488.44449212285</v>
      </c>
      <c r="AE104" s="311" t="s">
        <v>2884</v>
      </c>
      <c r="AF104" s="312" t="e">
        <f>E94/1000</f>
        <v>#N/A</v>
      </c>
      <c r="AG104" s="312" t="e">
        <f>AG94*AD56/1000</f>
        <v>#N/A</v>
      </c>
      <c r="AH104" s="313" t="e">
        <f>SUM(AF104:AG104)</f>
        <v>#N/A</v>
      </c>
      <c r="AI104" s="315" t="e">
        <f>AH104/AH105</f>
        <v>#N/A</v>
      </c>
    </row>
    <row r="105" spans="2:36" x14ac:dyDescent="0.35">
      <c r="B105" s="217" t="s">
        <v>3023</v>
      </c>
      <c r="AA105" s="196" t="s">
        <v>2883</v>
      </c>
      <c r="AB105" s="135">
        <f>$F$103*J101</f>
        <v>99213.535677067368</v>
      </c>
      <c r="AE105" s="307" t="s">
        <v>2995</v>
      </c>
      <c r="AF105" s="267" t="e">
        <f>SUM(AF102:AF104)</f>
        <v>#N/A</v>
      </c>
      <c r="AG105" s="267" t="e">
        <f t="shared" ref="AG105:AH105" si="39">SUM(AG102:AG104)</f>
        <v>#N/A</v>
      </c>
      <c r="AH105" s="309" t="e">
        <f t="shared" si="39"/>
        <v>#N/A</v>
      </c>
      <c r="AI105" s="310"/>
    </row>
    <row r="106" spans="2:36" x14ac:dyDescent="0.35">
      <c r="B106"/>
      <c r="C106" t="s">
        <v>3021</v>
      </c>
      <c r="D106" t="s">
        <v>3019</v>
      </c>
      <c r="E106" t="s">
        <v>3020</v>
      </c>
      <c r="F106" s="127" t="s">
        <v>2995</v>
      </c>
      <c r="AA106" s="196" t="s">
        <v>2884</v>
      </c>
      <c r="AB106" s="135">
        <f>$F$103*J102</f>
        <v>54723.019830809782</v>
      </c>
      <c r="AC106" s="196" t="s">
        <v>3045</v>
      </c>
    </row>
    <row r="107" spans="2:36" ht="15" thickBot="1" x14ac:dyDescent="0.4">
      <c r="B107" s="237" t="s">
        <v>2797</v>
      </c>
      <c r="C107">
        <v>2061</v>
      </c>
      <c r="D107">
        <v>1005</v>
      </c>
      <c r="E107">
        <v>1808</v>
      </c>
      <c r="F107" s="127">
        <f>SUM(C107:E107)</f>
        <v>4874</v>
      </c>
      <c r="I107" s="196" t="s">
        <v>3081</v>
      </c>
      <c r="J107" s="196" t="s">
        <v>3082</v>
      </c>
      <c r="K107" s="196" t="s">
        <v>3083</v>
      </c>
      <c r="L107" s="256" t="s">
        <v>2995</v>
      </c>
      <c r="AB107" s="271">
        <f>SUM(AB104:AB106)</f>
        <v>197425</v>
      </c>
      <c r="AE107" s="306" t="s">
        <v>3069</v>
      </c>
    </row>
    <row r="108" spans="2:36" x14ac:dyDescent="0.35">
      <c r="B108" s="237" t="s">
        <v>2798</v>
      </c>
      <c r="C108">
        <v>0</v>
      </c>
      <c r="D108">
        <v>0</v>
      </c>
      <c r="E108">
        <v>1308</v>
      </c>
      <c r="AF108" s="127" t="s">
        <v>3065</v>
      </c>
      <c r="AG108" s="127" t="s">
        <v>3066</v>
      </c>
      <c r="AH108" s="308" t="s">
        <v>2995</v>
      </c>
      <c r="AI108" s="310" t="s">
        <v>3070</v>
      </c>
    </row>
    <row r="109" spans="2:36" x14ac:dyDescent="0.35">
      <c r="B109" s="237" t="s">
        <v>2799</v>
      </c>
      <c r="C109">
        <v>0</v>
      </c>
      <c r="D109">
        <v>719</v>
      </c>
      <c r="E109">
        <v>1399</v>
      </c>
      <c r="H109" s="129" t="str">
        <f>D99</f>
        <v>ENTSOE (2016)</v>
      </c>
      <c r="I109" s="127">
        <f>$D$100</f>
        <v>35934</v>
      </c>
      <c r="J109" s="127">
        <f>$D$101</f>
        <v>81979</v>
      </c>
      <c r="K109" s="127">
        <f>$D$102</f>
        <v>45217</v>
      </c>
      <c r="L109" s="127">
        <f>$D$103</f>
        <v>163130</v>
      </c>
      <c r="AB109" s="268" t="s">
        <v>3047</v>
      </c>
      <c r="AE109" s="196" t="s">
        <v>2882</v>
      </c>
      <c r="AF109" s="135">
        <f>SUMIFS(Generators!$BB$2:$BB$1016,Generators!$C$2:$C$1016,"Y",Generators!$F$2:$F$1016,'Country Totals'!AE109)</f>
        <v>543.34989345145948</v>
      </c>
      <c r="AG109" s="267" t="e">
        <f>AI94</f>
        <v>#N/A</v>
      </c>
      <c r="AH109" s="309" t="e">
        <f>SUM(AF109:AG109)</f>
        <v>#N/A</v>
      </c>
      <c r="AI109" s="314" t="e">
        <f>AH109/AH112</f>
        <v>#N/A</v>
      </c>
    </row>
    <row r="110" spans="2:36" x14ac:dyDescent="0.35">
      <c r="B110" s="237" t="s">
        <v>2800</v>
      </c>
      <c r="C110">
        <v>100</v>
      </c>
      <c r="D110">
        <v>4779</v>
      </c>
      <c r="E110">
        <v>4002</v>
      </c>
      <c r="H110" s="129" t="str">
        <f>E99</f>
        <v>DNV GL</v>
      </c>
      <c r="I110" s="127">
        <f>$E$100</f>
        <v>66000</v>
      </c>
      <c r="J110" s="127">
        <f>$E$101</f>
        <v>103000</v>
      </c>
      <c r="K110" s="127">
        <f>$E$102</f>
        <v>47000</v>
      </c>
      <c r="L110" s="127">
        <f>E103</f>
        <v>216000</v>
      </c>
      <c r="AA110" s="196" t="s">
        <v>2882</v>
      </c>
      <c r="AB110" s="270" t="e">
        <f>AB104-AB98</f>
        <v>#N/A</v>
      </c>
      <c r="AE110" s="196" t="s">
        <v>2883</v>
      </c>
      <c r="AF110" s="135">
        <f>SUMIFS(Generators!$BB$2:$BB$1016,Generators!$C$2:$C$1016,"Y",Generators!$F$2:$F$1016,'Country Totals'!AE110)</f>
        <v>25649.547693533787</v>
      </c>
      <c r="AG110" s="267" t="e">
        <f>AJ94</f>
        <v>#N/A</v>
      </c>
      <c r="AH110" s="309" t="e">
        <f>SUM(AF110:AG110)</f>
        <v>#N/A</v>
      </c>
      <c r="AI110" s="314" t="e">
        <f>AH110/AH112</f>
        <v>#N/A</v>
      </c>
    </row>
    <row r="111" spans="2:36" x14ac:dyDescent="0.35">
      <c r="B111" s="237" t="s">
        <v>2802</v>
      </c>
      <c r="C111">
        <v>0</v>
      </c>
      <c r="D111">
        <v>612</v>
      </c>
      <c r="E111">
        <v>1110</v>
      </c>
      <c r="H111" s="129" t="str">
        <f>F99</f>
        <v>Eurostat (2015)</v>
      </c>
      <c r="I111" s="127">
        <f>$F$100</f>
        <v>0</v>
      </c>
      <c r="J111" s="127">
        <f>$F$101</f>
        <v>0</v>
      </c>
      <c r="K111" s="127">
        <f>$F$102</f>
        <v>0</v>
      </c>
      <c r="L111" s="127">
        <f>$F$103</f>
        <v>197425</v>
      </c>
      <c r="AA111" s="196" t="s">
        <v>2883</v>
      </c>
      <c r="AB111" s="270" t="e">
        <f>AB105-AB99</f>
        <v>#N/A</v>
      </c>
      <c r="AE111" s="311" t="s">
        <v>2884</v>
      </c>
      <c r="AF111" s="317">
        <f>SUMIFS(Generators!$BB$2:$BB$1016,Generators!$C$2:$C$1016,"Y",Generators!$F$2:$F$1016,'Country Totals'!AE111)</f>
        <v>3647.1464346927514</v>
      </c>
      <c r="AG111" s="312" t="e">
        <f>AK94</f>
        <v>#N/A</v>
      </c>
      <c r="AH111" s="313" t="e">
        <f>SUM(AF111:AG111)</f>
        <v>#N/A</v>
      </c>
      <c r="AI111" s="315" t="e">
        <f>AH111/AH112</f>
        <v>#N/A</v>
      </c>
    </row>
    <row r="112" spans="2:36" x14ac:dyDescent="0.35">
      <c r="B112" s="237" t="s">
        <v>2803</v>
      </c>
      <c r="C112">
        <v>2413</v>
      </c>
      <c r="D112">
        <v>1875</v>
      </c>
      <c r="E112">
        <v>10183</v>
      </c>
      <c r="H112" s="129" t="s">
        <v>3085</v>
      </c>
      <c r="I112" s="127">
        <v>0</v>
      </c>
      <c r="J112" s="127">
        <v>0</v>
      </c>
      <c r="K112" s="127">
        <v>0</v>
      </c>
      <c r="L112" s="127">
        <v>0</v>
      </c>
      <c r="AA112" s="196" t="s">
        <v>2884</v>
      </c>
      <c r="AB112" s="270" t="e">
        <f>AB106-AB100</f>
        <v>#N/A</v>
      </c>
      <c r="AE112" s="307" t="s">
        <v>2995</v>
      </c>
      <c r="AF112" s="267">
        <f>SUM(AF109:AF111)</f>
        <v>29840.044021677997</v>
      </c>
      <c r="AG112" s="267" t="e">
        <f t="shared" ref="AG112" si="40">SUM(AG109:AG111)</f>
        <v>#N/A</v>
      </c>
      <c r="AH112" s="318" t="e">
        <f t="shared" ref="AH112" si="41">SUM(AH109:AH111)</f>
        <v>#N/A</v>
      </c>
      <c r="AI112" s="310"/>
    </row>
    <row r="113" spans="2:36" x14ac:dyDescent="0.35">
      <c r="B113" s="237" t="s">
        <v>2804</v>
      </c>
      <c r="C113">
        <v>0</v>
      </c>
      <c r="D113">
        <v>0</v>
      </c>
      <c r="E113">
        <v>0</v>
      </c>
      <c r="H113" s="129" t="s">
        <v>3086</v>
      </c>
      <c r="I113" s="127">
        <v>0</v>
      </c>
      <c r="J113" s="127">
        <v>0</v>
      </c>
      <c r="K113" s="127">
        <v>0</v>
      </c>
      <c r="L113" s="127">
        <v>0</v>
      </c>
      <c r="AI113" s="247">
        <f>220-40</f>
        <v>180</v>
      </c>
      <c r="AJ113" s="127" t="s">
        <v>3075</v>
      </c>
    </row>
    <row r="114" spans="2:36" x14ac:dyDescent="0.35">
      <c r="B114" s="237" t="s">
        <v>2805</v>
      </c>
      <c r="C114">
        <v>0</v>
      </c>
      <c r="D114">
        <v>0</v>
      </c>
      <c r="E114">
        <v>0</v>
      </c>
      <c r="H114" s="129" t="s">
        <v>3087</v>
      </c>
      <c r="I114" s="127">
        <v>0</v>
      </c>
      <c r="J114" s="127">
        <v>0</v>
      </c>
      <c r="K114" s="127">
        <v>0</v>
      </c>
      <c r="L114" s="127">
        <v>0</v>
      </c>
      <c r="AB114" s="129" t="s">
        <v>3058</v>
      </c>
      <c r="AG114" s="127" t="s">
        <v>3074</v>
      </c>
      <c r="AH114" s="319" t="e">
        <f>AI113-AH112/1000</f>
        <v>#N/A</v>
      </c>
      <c r="AI114" s="127" t="s">
        <v>2979</v>
      </c>
    </row>
    <row r="115" spans="2:36" x14ac:dyDescent="0.35">
      <c r="B115" s="237" t="s">
        <v>2806</v>
      </c>
      <c r="C115">
        <v>0</v>
      </c>
      <c r="D115">
        <v>2166</v>
      </c>
      <c r="E115">
        <v>693</v>
      </c>
      <c r="H115" s="129" t="str">
        <f>C99</f>
        <v>This study: Detailed plants</v>
      </c>
      <c r="I115" s="127" t="e">
        <f>$C$100</f>
        <v>#N/A</v>
      </c>
      <c r="J115" s="127" t="e">
        <f>$C$101</f>
        <v>#N/A</v>
      </c>
      <c r="K115" s="127" t="e">
        <f>$C$102</f>
        <v>#N/A</v>
      </c>
      <c r="L115" s="127" t="e">
        <f>C103</f>
        <v>#N/A</v>
      </c>
    </row>
    <row r="116" spans="2:36" x14ac:dyDescent="0.35">
      <c r="B116" s="237" t="s">
        <v>2807</v>
      </c>
      <c r="C116">
        <v>0</v>
      </c>
      <c r="D116">
        <v>18165</v>
      </c>
      <c r="E116">
        <v>5480</v>
      </c>
      <c r="H116" s="129" t="str">
        <f>G99</f>
        <v>This study: Lumped plants</v>
      </c>
      <c r="I116" s="127" t="e">
        <f>$G$100</f>
        <v>#N/A</v>
      </c>
      <c r="J116" s="127" t="e">
        <f>$G$101</f>
        <v>#N/A</v>
      </c>
      <c r="K116" s="127" t="e">
        <f>$G$102</f>
        <v>#N/A</v>
      </c>
      <c r="L116" s="127" t="e">
        <f>$G$103</f>
        <v>#N/A</v>
      </c>
    </row>
    <row r="117" spans="2:36" x14ac:dyDescent="0.35">
      <c r="B117" s="237" t="s">
        <v>2808</v>
      </c>
      <c r="C117">
        <v>428</v>
      </c>
      <c r="D117">
        <v>0</v>
      </c>
      <c r="E117">
        <v>0</v>
      </c>
      <c r="AH117" s="197" t="s">
        <v>3071</v>
      </c>
    </row>
    <row r="118" spans="2:36" x14ac:dyDescent="0.35">
      <c r="B118" s="237" t="s">
        <v>2809</v>
      </c>
      <c r="C118">
        <v>4690</v>
      </c>
      <c r="D118">
        <v>5614</v>
      </c>
      <c r="E118">
        <v>4955</v>
      </c>
      <c r="AH118" s="127" t="s">
        <v>3072</v>
      </c>
    </row>
    <row r="119" spans="2:36" x14ac:dyDescent="0.35">
      <c r="B119" s="237" t="s">
        <v>2811</v>
      </c>
      <c r="C119">
        <v>0</v>
      </c>
      <c r="D119">
        <v>0</v>
      </c>
      <c r="E119">
        <v>0</v>
      </c>
    </row>
    <row r="120" spans="2:36" x14ac:dyDescent="0.35">
      <c r="B120" s="237" t="s">
        <v>2812</v>
      </c>
      <c r="C120">
        <v>215</v>
      </c>
      <c r="D120">
        <v>0</v>
      </c>
      <c r="E120">
        <v>392</v>
      </c>
      <c r="AH120" s="127" t="s">
        <v>3073</v>
      </c>
    </row>
    <row r="121" spans="2:36" x14ac:dyDescent="0.35">
      <c r="B121" s="237" t="s">
        <v>2813</v>
      </c>
      <c r="C121">
        <v>8261</v>
      </c>
      <c r="D121">
        <v>3547</v>
      </c>
      <c r="E121">
        <v>6988</v>
      </c>
    </row>
    <row r="122" spans="2:36" x14ac:dyDescent="0.35">
      <c r="B122" s="237" t="s">
        <v>2814</v>
      </c>
      <c r="C122">
        <v>101</v>
      </c>
      <c r="D122">
        <v>0</v>
      </c>
      <c r="E122">
        <v>900</v>
      </c>
    </row>
    <row r="123" spans="2:36" x14ac:dyDescent="0.35">
      <c r="B123" s="237" t="s">
        <v>2816</v>
      </c>
      <c r="C123">
        <v>1536</v>
      </c>
      <c r="D123">
        <v>0</v>
      </c>
      <c r="E123">
        <v>0</v>
      </c>
    </row>
    <row r="124" spans="2:36" x14ac:dyDescent="0.35">
      <c r="B124" s="237" t="s">
        <v>2818</v>
      </c>
      <c r="C124">
        <v>0</v>
      </c>
      <c r="D124">
        <v>0</v>
      </c>
      <c r="E124">
        <v>0</v>
      </c>
    </row>
    <row r="125" spans="2:36" x14ac:dyDescent="0.35">
      <c r="B125" s="237" t="s">
        <v>2819</v>
      </c>
      <c r="C125">
        <v>2592</v>
      </c>
      <c r="D125">
        <v>32631</v>
      </c>
      <c r="E125">
        <v>1164</v>
      </c>
    </row>
    <row r="126" spans="2:36" x14ac:dyDescent="0.35">
      <c r="B126" s="237" t="s">
        <v>2820</v>
      </c>
      <c r="C126">
        <v>156</v>
      </c>
      <c r="D126">
        <v>0</v>
      </c>
      <c r="E126">
        <v>1611</v>
      </c>
    </row>
    <row r="127" spans="2:36" x14ac:dyDescent="0.35">
      <c r="B127" s="237" t="s">
        <v>2821</v>
      </c>
      <c r="C127">
        <v>2436</v>
      </c>
      <c r="D127">
        <v>897</v>
      </c>
      <c r="E127">
        <v>1519</v>
      </c>
    </row>
    <row r="128" spans="2:36" x14ac:dyDescent="0.35">
      <c r="B128" s="237" t="s">
        <v>2822</v>
      </c>
      <c r="C128">
        <v>1406</v>
      </c>
      <c r="D128">
        <v>2146</v>
      </c>
      <c r="E128">
        <v>0</v>
      </c>
    </row>
    <row r="129" spans="2:5" x14ac:dyDescent="0.35">
      <c r="B129" s="237" t="s">
        <v>2823</v>
      </c>
      <c r="C129">
        <v>795</v>
      </c>
      <c r="D129">
        <v>7780</v>
      </c>
      <c r="E129">
        <v>0</v>
      </c>
    </row>
    <row r="130" spans="2:5" x14ac:dyDescent="0.35">
      <c r="B130" s="237" t="s">
        <v>2824</v>
      </c>
      <c r="C130">
        <v>242</v>
      </c>
      <c r="D130">
        <v>0</v>
      </c>
      <c r="E130">
        <v>180</v>
      </c>
    </row>
    <row r="131" spans="2:5" x14ac:dyDescent="0.35">
      <c r="B131" s="237" t="s">
        <v>2825</v>
      </c>
      <c r="C131">
        <v>720</v>
      </c>
      <c r="D131">
        <v>198</v>
      </c>
      <c r="E131">
        <v>734</v>
      </c>
    </row>
    <row r="132" spans="2:5" x14ac:dyDescent="0.35">
      <c r="B132" s="237" t="s">
        <v>2832</v>
      </c>
      <c r="C132">
        <v>4146</v>
      </c>
      <c r="D132">
        <v>0</v>
      </c>
      <c r="E132">
        <v>791</v>
      </c>
    </row>
    <row r="135" spans="2:5" x14ac:dyDescent="0.35">
      <c r="B135" s="274" t="s">
        <v>3043</v>
      </c>
    </row>
    <row r="136" spans="2:5" x14ac:dyDescent="0.35">
      <c r="C136" s="127" t="s">
        <v>3031</v>
      </c>
    </row>
    <row r="137" spans="2:5" x14ac:dyDescent="0.35">
      <c r="B137" s="216" t="s">
        <v>2797</v>
      </c>
      <c r="C137">
        <v>13351</v>
      </c>
    </row>
    <row r="138" spans="2:5" x14ac:dyDescent="0.35">
      <c r="B138" s="216" t="s">
        <v>2798</v>
      </c>
      <c r="C138">
        <v>1422</v>
      </c>
    </row>
    <row r="139" spans="2:5" x14ac:dyDescent="0.35">
      <c r="B139" s="216" t="s">
        <v>2799</v>
      </c>
      <c r="C139">
        <v>3219</v>
      </c>
    </row>
    <row r="140" spans="2:5" x14ac:dyDescent="0.35">
      <c r="B140" s="216" t="s">
        <v>2800</v>
      </c>
      <c r="C140" s="204">
        <v>13760</v>
      </c>
    </row>
    <row r="141" spans="2:5" x14ac:dyDescent="0.35">
      <c r="B141" s="216" t="s">
        <v>2801</v>
      </c>
      <c r="C141">
        <v>0</v>
      </c>
    </row>
    <row r="142" spans="2:5" x14ac:dyDescent="0.35">
      <c r="B142" s="216" t="s">
        <v>2802</v>
      </c>
      <c r="C142">
        <v>2260</v>
      </c>
    </row>
    <row r="143" spans="2:5" x14ac:dyDescent="0.35">
      <c r="B143" s="216" t="s">
        <v>2803</v>
      </c>
      <c r="C143">
        <v>11399</v>
      </c>
    </row>
    <row r="144" spans="2:5" x14ac:dyDescent="0.35">
      <c r="B144" s="216" t="s">
        <v>2804</v>
      </c>
      <c r="C144">
        <v>7</v>
      </c>
    </row>
    <row r="145" spans="2:3" x14ac:dyDescent="0.35">
      <c r="B145" s="216" t="s">
        <v>2805</v>
      </c>
      <c r="C145">
        <v>6</v>
      </c>
    </row>
    <row r="146" spans="2:3" x14ac:dyDescent="0.35">
      <c r="B146" s="216" t="s">
        <v>2807</v>
      </c>
      <c r="C146">
        <v>20053</v>
      </c>
    </row>
    <row r="147" spans="2:3" x14ac:dyDescent="0.35">
      <c r="B147" s="216" t="s">
        <v>2808</v>
      </c>
      <c r="C147">
        <v>3249</v>
      </c>
    </row>
    <row r="148" spans="2:3" x14ac:dyDescent="0.35">
      <c r="B148" s="216" t="s">
        <v>2809</v>
      </c>
      <c r="C148">
        <v>25278</v>
      </c>
    </row>
    <row r="149" spans="2:3" x14ac:dyDescent="0.35">
      <c r="B149" s="216" t="s">
        <v>1048</v>
      </c>
      <c r="C149">
        <v>4503</v>
      </c>
    </row>
    <row r="150" spans="2:3" x14ac:dyDescent="0.35">
      <c r="B150" s="216" t="s">
        <v>2806</v>
      </c>
      <c r="C150">
        <v>3392</v>
      </c>
    </row>
    <row r="151" spans="2:3" x14ac:dyDescent="0.35">
      <c r="B151" s="216" t="s">
        <v>2810</v>
      </c>
      <c r="C151">
        <v>2208</v>
      </c>
    </row>
    <row r="152" spans="2:3" x14ac:dyDescent="0.35">
      <c r="B152" s="216" t="s">
        <v>2811</v>
      </c>
      <c r="C152">
        <v>57</v>
      </c>
    </row>
    <row r="153" spans="2:3" x14ac:dyDescent="0.35">
      <c r="B153" s="216" t="s">
        <v>2812</v>
      </c>
      <c r="C153">
        <v>529</v>
      </c>
    </row>
    <row r="154" spans="2:3" x14ac:dyDescent="0.35">
      <c r="B154" s="216" t="s">
        <v>2813</v>
      </c>
      <c r="C154">
        <v>22220</v>
      </c>
    </row>
    <row r="155" spans="2:3" x14ac:dyDescent="0.35">
      <c r="B155" s="216" t="s">
        <v>2814</v>
      </c>
      <c r="C155">
        <v>877</v>
      </c>
    </row>
    <row r="156" spans="2:3" x14ac:dyDescent="0.35">
      <c r="B156" s="216" t="s">
        <v>2815</v>
      </c>
      <c r="C156">
        <v>1330</v>
      </c>
    </row>
    <row r="157" spans="2:3" x14ac:dyDescent="0.35">
      <c r="B157" s="216" t="s">
        <v>2816</v>
      </c>
      <c r="C157">
        <v>1589</v>
      </c>
    </row>
    <row r="158" spans="2:3" x14ac:dyDescent="0.35">
      <c r="B158" s="216" t="s">
        <v>2818</v>
      </c>
      <c r="C158">
        <v>37</v>
      </c>
    </row>
    <row r="159" spans="2:3" x14ac:dyDescent="0.35">
      <c r="B159" s="216" t="s">
        <v>2819</v>
      </c>
      <c r="C159">
        <v>31372</v>
      </c>
    </row>
    <row r="160" spans="2:3" x14ac:dyDescent="0.35">
      <c r="B160" s="216" t="s">
        <v>2820</v>
      </c>
      <c r="C160">
        <v>2370</v>
      </c>
    </row>
    <row r="161" spans="2:3" x14ac:dyDescent="0.35">
      <c r="B161" s="216" t="s">
        <v>2821</v>
      </c>
      <c r="C161">
        <v>6168</v>
      </c>
    </row>
    <row r="162" spans="2:3" x14ac:dyDescent="0.35">
      <c r="B162" s="216" t="s">
        <v>2822</v>
      </c>
      <c r="C162">
        <v>6730</v>
      </c>
    </row>
    <row r="163" spans="2:3" x14ac:dyDescent="0.35">
      <c r="B163" s="216" t="s">
        <v>2823</v>
      </c>
      <c r="C163">
        <v>16329</v>
      </c>
    </row>
    <row r="164" spans="2:3" x14ac:dyDescent="0.35">
      <c r="B164" s="216" t="s">
        <v>2824</v>
      </c>
      <c r="C164">
        <v>1295</v>
      </c>
    </row>
    <row r="165" spans="2:3" x14ac:dyDescent="0.35">
      <c r="B165" s="216" t="s">
        <v>2825</v>
      </c>
      <c r="C165">
        <v>2522</v>
      </c>
    </row>
  </sheetData>
  <mergeCells count="7">
    <mergeCell ref="AE62:AG62"/>
    <mergeCell ref="AI62:AK62"/>
    <mergeCell ref="C4:E4"/>
    <mergeCell ref="B62:E62"/>
    <mergeCell ref="H62:J62"/>
    <mergeCell ref="W62:Z62"/>
    <mergeCell ref="S62:U62"/>
  </mergeCells>
  <conditionalFormatting sqref="I6:I35">
    <cfRule type="dataBar" priority="6">
      <dataBar>
        <cfvo type="min"/>
        <cfvo type="max"/>
        <color rgb="FF63C384"/>
      </dataBar>
      <extLst>
        <ext xmlns:x14="http://schemas.microsoft.com/office/spreadsheetml/2009/9/main" uri="{B025F937-C7B1-47D3-B67F-A62EFF666E3E}">
          <x14:id>{A316C621-423A-44D0-94E3-27FCFF62B5FD}</x14:id>
        </ext>
      </extLst>
    </cfRule>
  </conditionalFormatting>
  <conditionalFormatting sqref="S64:U93">
    <cfRule type="dataBar" priority="4">
      <dataBar>
        <cfvo type="min"/>
        <cfvo type="max"/>
        <color rgb="FF638EC6"/>
      </dataBar>
      <extLst>
        <ext xmlns:x14="http://schemas.microsoft.com/office/spreadsheetml/2009/9/main" uri="{B025F937-C7B1-47D3-B67F-A62EFF666E3E}">
          <x14:id>{1687F49F-B317-4037-BE26-A17D5597FE23}</x14:id>
        </ext>
      </extLst>
    </cfRule>
  </conditionalFormatting>
  <dataValidations count="1">
    <dataValidation type="list" allowBlank="1" showInputMessage="1" showErrorMessage="1" sqref="AJ56" xr:uid="{00000000-0002-0000-0D00-000000000000}">
      <formula1>$AH$58:$AH$59</formula1>
    </dataValidation>
  </dataValidations>
  <hyperlinks>
    <hyperlink ref="V29" r:id="rId1" xr:uid="{00000000-0004-0000-0D00-000000000000}"/>
    <hyperlink ref="P100" r:id="rId2" xr:uid="{00000000-0004-0000-0D00-000001000000}"/>
  </hyperlinks>
  <pageMargins left="0.7" right="0.7" top="0.75" bottom="0.75" header="0.3" footer="0.3"/>
  <pageSetup orientation="portrait" r:id="rId3"/>
  <drawing r:id="rId4"/>
  <legacyDrawing r:id="rId5"/>
  <extLst>
    <ext xmlns:x14="http://schemas.microsoft.com/office/spreadsheetml/2009/9/main" uri="{78C0D931-6437-407d-A8EE-F0AAD7539E65}">
      <x14:conditionalFormattings>
        <x14:conditionalFormatting xmlns:xm="http://schemas.microsoft.com/office/excel/2006/main">
          <x14:cfRule type="dataBar" id="{A316C621-423A-44D0-94E3-27FCFF62B5FD}">
            <x14:dataBar minLength="0" maxLength="100" border="1" negativeBarBorderColorSameAsPositive="0">
              <x14:cfvo type="autoMin"/>
              <x14:cfvo type="autoMax"/>
              <x14:borderColor rgb="FF63C384"/>
              <x14:negativeFillColor rgb="FFFF0000"/>
              <x14:negativeBorderColor rgb="FFFF0000"/>
              <x14:axisColor rgb="FF000000"/>
            </x14:dataBar>
          </x14:cfRule>
          <xm:sqref>I6:I35</xm:sqref>
        </x14:conditionalFormatting>
        <x14:conditionalFormatting xmlns:xm="http://schemas.microsoft.com/office/excel/2006/main">
          <x14:cfRule type="dataBar" id="{1687F49F-B317-4037-BE26-A17D5597FE23}">
            <x14:dataBar minLength="0" maxLength="100" border="1" negativeBarBorderColorSameAsPositive="0">
              <x14:cfvo type="autoMin"/>
              <x14:cfvo type="autoMax"/>
              <x14:borderColor rgb="FF638EC6"/>
              <x14:negativeFillColor rgb="FFFF0000"/>
              <x14:negativeBorderColor rgb="FFFF0000"/>
              <x14:axisColor rgb="FF000000"/>
            </x14:dataBar>
          </x14:cfRule>
          <xm:sqref>S64:U93</xm:sqref>
        </x14:conditionalFormatting>
      </x14:conditionalFormatting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3" filterMode="1">
    <tabColor rgb="FF002060"/>
  </sheetPr>
  <dimension ref="A3:P94"/>
  <sheetViews>
    <sheetView workbookViewId="0">
      <selection activeCell="B33" sqref="B33"/>
    </sheetView>
  </sheetViews>
  <sheetFormatPr defaultColWidth="8.81640625" defaultRowHeight="14.5" x14ac:dyDescent="0.35"/>
  <cols>
    <col min="1" max="1" width="22.36328125" bestFit="1" customWidth="1"/>
    <col min="2" max="2" width="12" customWidth="1"/>
    <col min="4" max="4" width="8.81640625" style="159"/>
    <col min="6" max="6" width="15" bestFit="1" customWidth="1"/>
    <col min="10" max="10" width="28.453125" bestFit="1" customWidth="1"/>
    <col min="11" max="11" width="11.36328125" bestFit="1" customWidth="1"/>
  </cols>
  <sheetData>
    <row r="3" spans="1:16" x14ac:dyDescent="0.35">
      <c r="A3" s="323" t="s">
        <v>3062</v>
      </c>
      <c r="B3" s="301"/>
      <c r="C3" s="301"/>
      <c r="D3" s="325"/>
      <c r="E3" s="301"/>
      <c r="F3" s="301"/>
      <c r="J3" s="323" t="s">
        <v>3077</v>
      </c>
      <c r="K3" s="301"/>
      <c r="L3" s="301"/>
      <c r="N3" s="323" t="s">
        <v>3078</v>
      </c>
      <c r="O3" s="301"/>
      <c r="P3" s="301"/>
    </row>
    <row r="4" spans="1:16" x14ac:dyDescent="0.35">
      <c r="A4" s="94" t="s">
        <v>2960</v>
      </c>
      <c r="B4" s="94" t="s">
        <v>2886</v>
      </c>
      <c r="C4" s="94" t="s">
        <v>41</v>
      </c>
      <c r="D4" s="326" t="s">
        <v>3079</v>
      </c>
      <c r="E4" s="304" t="s">
        <v>2962</v>
      </c>
      <c r="F4" s="94" t="s">
        <v>2961</v>
      </c>
      <c r="J4" s="94" t="s">
        <v>2960</v>
      </c>
      <c r="K4" s="94" t="s">
        <v>2886</v>
      </c>
      <c r="L4" s="94" t="s">
        <v>3061</v>
      </c>
      <c r="N4" s="94" t="s">
        <v>2960</v>
      </c>
      <c r="O4" s="94" t="s">
        <v>2886</v>
      </c>
      <c r="P4" s="94" t="s">
        <v>3061</v>
      </c>
    </row>
    <row r="5" spans="1:16" x14ac:dyDescent="0.35">
      <c r="A5" s="281" t="str">
        <f t="shared" ref="A5:A36" si="0">C5&amp;"_"&amp;B5&amp;"_lumped"</f>
        <v>AT_hydro-ROR_lumped</v>
      </c>
      <c r="B5" s="278" t="s">
        <v>2882</v>
      </c>
      <c r="C5" s="216" t="s">
        <v>2797</v>
      </c>
      <c r="D5" s="327" t="e">
        <f>E5*F5</f>
        <v>#N/A</v>
      </c>
      <c r="E5" t="e">
        <f>VLOOKUP(C5,'Country Totals'!$AD$64:$AG$93,MATCH(B5,'Country Totals'!$AD$63:$AG$63,0),FALSE)</f>
        <v>#N/A</v>
      </c>
      <c r="F5">
        <f>VLOOKUP(B5,'Country Totals'!$AB$54:$AD$56,3,FALSE)</f>
        <v>70</v>
      </c>
      <c r="J5" s="281" t="str">
        <f>C5&amp;"_"&amp;B5&amp;"_lumped_Head"</f>
        <v>AT_hydro-ROR_lumped_Head</v>
      </c>
      <c r="K5" s="278" t="s">
        <v>3048</v>
      </c>
      <c r="L5" t="e">
        <f>VLOOKUP(C5,'Country Totals'!$AH$64:$AK$93,MATCH(B5,'Country Totals'!$AH$63:$AK$63,0),FALSE)</f>
        <v>#N/A</v>
      </c>
      <c r="N5" t="str">
        <f>C5&amp;"_"&amp;B5&amp;"_lumped_Tail"</f>
        <v>AT_hydro-ROR_lumped_Tail</v>
      </c>
    </row>
    <row r="6" spans="1:16" hidden="1" x14ac:dyDescent="0.35">
      <c r="A6" s="281" t="str">
        <f t="shared" si="0"/>
        <v>BE_hydro-ROR_lumped</v>
      </c>
      <c r="B6" s="278" t="s">
        <v>2882</v>
      </c>
      <c r="C6" s="216" t="s">
        <v>2798</v>
      </c>
      <c r="D6" s="216"/>
      <c r="E6" t="e">
        <f>VLOOKUP(C6,'Country Totals'!$AD$64:$AG$93,MATCH(B6,'Country Totals'!$AD$63:$AG$63,0),FALSE)</f>
        <v>#N/A</v>
      </c>
      <c r="F6">
        <f>VLOOKUP(B6,'Country Totals'!$AB$54:$AD$56,3,FALSE)</f>
        <v>70</v>
      </c>
      <c r="J6" s="281" t="str">
        <f t="shared" ref="J6:J69" si="1">C6&amp;"_"&amp;B6&amp;"_lumped_Head"</f>
        <v>BE_hydro-ROR_lumped_Head</v>
      </c>
      <c r="K6" s="278" t="s">
        <v>3048</v>
      </c>
      <c r="L6" t="e">
        <f>VLOOKUP(C6,'Country Totals'!$AH$64:$AK$93,MATCH(B6,'Country Totals'!$AH$63:$AK$63,0),FALSE)</f>
        <v>#N/A</v>
      </c>
    </row>
    <row r="7" spans="1:16" hidden="1" x14ac:dyDescent="0.35">
      <c r="A7" s="281" t="str">
        <f t="shared" si="0"/>
        <v>BG_hydro-ROR_lumped</v>
      </c>
      <c r="B7" s="278" t="s">
        <v>2882</v>
      </c>
      <c r="C7" s="216" t="s">
        <v>2799</v>
      </c>
      <c r="D7" s="216"/>
      <c r="E7" t="e">
        <f>VLOOKUP(C7,'Country Totals'!$AD$64:$AG$93,MATCH(B7,'Country Totals'!$AD$63:$AG$63,0),FALSE)</f>
        <v>#N/A</v>
      </c>
      <c r="F7">
        <f>VLOOKUP(B7,'Country Totals'!$AB$54:$AD$56,3,FALSE)</f>
        <v>70</v>
      </c>
      <c r="J7" s="281" t="str">
        <f t="shared" si="1"/>
        <v>BG_hydro-ROR_lumped_Head</v>
      </c>
      <c r="K7" s="278" t="s">
        <v>3048</v>
      </c>
      <c r="L7" t="e">
        <f>VLOOKUP(C7,'Country Totals'!$AH$64:$AK$93,MATCH(B7,'Country Totals'!$AH$63:$AK$63,0),FALSE)</f>
        <v>#N/A</v>
      </c>
    </row>
    <row r="8" spans="1:16" hidden="1" x14ac:dyDescent="0.35">
      <c r="A8" s="281" t="str">
        <f t="shared" si="0"/>
        <v>CH_hydro-ROR_lumped</v>
      </c>
      <c r="B8" s="278" t="s">
        <v>2882</v>
      </c>
      <c r="C8" s="216" t="s">
        <v>2800</v>
      </c>
      <c r="D8" s="216"/>
      <c r="E8" t="e">
        <f>VLOOKUP(C8,'Country Totals'!$AD$64:$AG$93,MATCH(B8,'Country Totals'!$AD$63:$AG$63,0),FALSE)</f>
        <v>#N/A</v>
      </c>
      <c r="F8">
        <f>VLOOKUP(B8,'Country Totals'!$AB$54:$AD$56,3,FALSE)</f>
        <v>70</v>
      </c>
      <c r="J8" s="281" t="str">
        <f t="shared" si="1"/>
        <v>CH_hydro-ROR_lumped_Head</v>
      </c>
      <c r="K8" s="278" t="s">
        <v>3048</v>
      </c>
      <c r="L8" t="e">
        <f>VLOOKUP(C8,'Country Totals'!$AH$64:$AK$93,MATCH(B8,'Country Totals'!$AH$63:$AK$63,0),FALSE)</f>
        <v>#N/A</v>
      </c>
    </row>
    <row r="9" spans="1:16" hidden="1" x14ac:dyDescent="0.35">
      <c r="A9" s="281" t="str">
        <f t="shared" si="0"/>
        <v>CY_hydro-ROR_lumped</v>
      </c>
      <c r="B9" s="278" t="s">
        <v>2882</v>
      </c>
      <c r="C9" s="216" t="s">
        <v>2801</v>
      </c>
      <c r="D9" s="216"/>
      <c r="E9" t="e">
        <f>VLOOKUP(C9,'Country Totals'!$AD$64:$AG$93,MATCH(B9,'Country Totals'!$AD$63:$AG$63,0),FALSE)</f>
        <v>#N/A</v>
      </c>
      <c r="F9">
        <f>VLOOKUP(B9,'Country Totals'!$AB$54:$AD$56,3,FALSE)</f>
        <v>70</v>
      </c>
      <c r="J9" s="281" t="str">
        <f t="shared" si="1"/>
        <v>CY_hydro-ROR_lumped_Head</v>
      </c>
      <c r="K9" s="278" t="s">
        <v>3048</v>
      </c>
      <c r="L9" t="e">
        <f>VLOOKUP(C9,'Country Totals'!$AH$64:$AK$93,MATCH(B9,'Country Totals'!$AH$63:$AK$63,0),FALSE)</f>
        <v>#N/A</v>
      </c>
    </row>
    <row r="10" spans="1:16" hidden="1" x14ac:dyDescent="0.35">
      <c r="A10" s="281" t="str">
        <f t="shared" si="0"/>
        <v>CZ_hydro-ROR_lumped</v>
      </c>
      <c r="B10" s="278" t="s">
        <v>2882</v>
      </c>
      <c r="C10" s="216" t="s">
        <v>2802</v>
      </c>
      <c r="D10" s="216"/>
      <c r="E10" t="e">
        <f>VLOOKUP(C10,'Country Totals'!$AD$64:$AG$93,MATCH(B10,'Country Totals'!$AD$63:$AG$63,0),FALSE)</f>
        <v>#N/A</v>
      </c>
      <c r="F10">
        <f>VLOOKUP(B10,'Country Totals'!$AB$54:$AD$56,3,FALSE)</f>
        <v>70</v>
      </c>
      <c r="J10" s="281" t="str">
        <f t="shared" si="1"/>
        <v>CZ_hydro-ROR_lumped_Head</v>
      </c>
      <c r="K10" s="278" t="s">
        <v>3048</v>
      </c>
      <c r="L10" t="e">
        <f>VLOOKUP(C10,'Country Totals'!$AH$64:$AK$93,MATCH(B10,'Country Totals'!$AH$63:$AK$63,0),FALSE)</f>
        <v>#N/A</v>
      </c>
    </row>
    <row r="11" spans="1:16" x14ac:dyDescent="0.35">
      <c r="A11" s="281" t="str">
        <f t="shared" si="0"/>
        <v>DE_hydro-ROR_lumped</v>
      </c>
      <c r="B11" s="278" t="s">
        <v>2882</v>
      </c>
      <c r="C11" s="216" t="s">
        <v>2803</v>
      </c>
      <c r="D11" s="327" t="e">
        <f>E11*F11</f>
        <v>#N/A</v>
      </c>
      <c r="E11" t="e">
        <f>VLOOKUP(C11,'Country Totals'!$AD$64:$AG$93,MATCH(B11,'Country Totals'!$AD$63:$AG$63,0),FALSE)</f>
        <v>#N/A</v>
      </c>
      <c r="F11">
        <f>VLOOKUP(B11,'Country Totals'!$AB$54:$AD$56,3,FALSE)</f>
        <v>70</v>
      </c>
      <c r="J11" s="281" t="str">
        <f t="shared" si="1"/>
        <v>DE_hydro-ROR_lumped_Head</v>
      </c>
      <c r="K11" s="278" t="s">
        <v>3048</v>
      </c>
      <c r="L11" t="e">
        <f>VLOOKUP(C11,'Country Totals'!$AH$64:$AK$93,MATCH(B11,'Country Totals'!$AH$63:$AK$63,0),FALSE)</f>
        <v>#N/A</v>
      </c>
      <c r="N11" t="str">
        <f>C11&amp;"_"&amp;B11&amp;"_lumped_Tail"</f>
        <v>DE_hydro-ROR_lumped_Tail</v>
      </c>
    </row>
    <row r="12" spans="1:16" hidden="1" x14ac:dyDescent="0.35">
      <c r="A12" s="281" t="str">
        <f t="shared" si="0"/>
        <v>DK_hydro-ROR_lumped</v>
      </c>
      <c r="B12" s="278" t="s">
        <v>2882</v>
      </c>
      <c r="C12" s="216" t="s">
        <v>2804</v>
      </c>
      <c r="D12" s="216"/>
      <c r="E12" t="e">
        <f>VLOOKUP(C12,'Country Totals'!$AD$64:$AG$93,MATCH(B12,'Country Totals'!$AD$63:$AG$63,0),FALSE)</f>
        <v>#N/A</v>
      </c>
      <c r="F12">
        <f>VLOOKUP(B12,'Country Totals'!$AB$54:$AD$56,3,FALSE)</f>
        <v>70</v>
      </c>
      <c r="J12" s="281" t="str">
        <f t="shared" si="1"/>
        <v>DK_hydro-ROR_lumped_Head</v>
      </c>
      <c r="K12" s="278" t="s">
        <v>3048</v>
      </c>
      <c r="L12" t="e">
        <f>VLOOKUP(C12,'Country Totals'!$AH$64:$AK$93,MATCH(B12,'Country Totals'!$AH$63:$AK$63,0),FALSE)</f>
        <v>#N/A</v>
      </c>
    </row>
    <row r="13" spans="1:16" hidden="1" x14ac:dyDescent="0.35">
      <c r="A13" s="281" t="str">
        <f t="shared" si="0"/>
        <v>EE_hydro-ROR_lumped</v>
      </c>
      <c r="B13" s="278" t="s">
        <v>2882</v>
      </c>
      <c r="C13" s="216" t="s">
        <v>2805</v>
      </c>
      <c r="D13" s="216"/>
      <c r="E13" t="e">
        <f>VLOOKUP(C13,'Country Totals'!$AD$64:$AG$93,MATCH(B13,'Country Totals'!$AD$63:$AG$63,0),FALSE)</f>
        <v>#N/A</v>
      </c>
      <c r="F13">
        <f>VLOOKUP(B13,'Country Totals'!$AB$54:$AD$56,3,FALSE)</f>
        <v>70</v>
      </c>
      <c r="J13" s="281" t="str">
        <f t="shared" si="1"/>
        <v>EE_hydro-ROR_lumped_Head</v>
      </c>
      <c r="K13" s="278" t="s">
        <v>3048</v>
      </c>
      <c r="L13" t="e">
        <f>VLOOKUP(C13,'Country Totals'!$AH$64:$AK$93,MATCH(B13,'Country Totals'!$AH$63:$AK$63,0),FALSE)</f>
        <v>#N/A</v>
      </c>
    </row>
    <row r="14" spans="1:16" hidden="1" x14ac:dyDescent="0.35">
      <c r="A14" s="281" t="str">
        <f t="shared" si="0"/>
        <v>ES_hydro-ROR_lumped</v>
      </c>
      <c r="B14" s="278" t="s">
        <v>2882</v>
      </c>
      <c r="C14" s="216" t="s">
        <v>2807</v>
      </c>
      <c r="D14" s="216"/>
      <c r="E14" t="e">
        <f>VLOOKUP(C14,'Country Totals'!$AD$64:$AG$93,MATCH(B14,'Country Totals'!$AD$63:$AG$63,0),FALSE)</f>
        <v>#N/A</v>
      </c>
      <c r="F14">
        <f>VLOOKUP(B14,'Country Totals'!$AB$54:$AD$56,3,FALSE)</f>
        <v>70</v>
      </c>
      <c r="J14" s="281" t="str">
        <f t="shared" si="1"/>
        <v>ES_hydro-ROR_lumped_Head</v>
      </c>
      <c r="K14" s="278" t="s">
        <v>3048</v>
      </c>
      <c r="L14" t="e">
        <f>VLOOKUP(C14,'Country Totals'!$AH$64:$AK$93,MATCH(B14,'Country Totals'!$AH$63:$AK$63,0),FALSE)</f>
        <v>#N/A</v>
      </c>
    </row>
    <row r="15" spans="1:16" x14ac:dyDescent="0.35">
      <c r="A15" s="281" t="str">
        <f t="shared" si="0"/>
        <v>FI_hydro-ROR_lumped</v>
      </c>
      <c r="B15" s="278" t="s">
        <v>2882</v>
      </c>
      <c r="C15" s="216" t="s">
        <v>2808</v>
      </c>
      <c r="D15" s="327" t="e">
        <f t="shared" ref="D15:D17" si="2">E15*F15</f>
        <v>#N/A</v>
      </c>
      <c r="E15" t="e">
        <f>VLOOKUP(C15,'Country Totals'!$AD$64:$AG$93,MATCH(B15,'Country Totals'!$AD$63:$AG$63,0),FALSE)</f>
        <v>#N/A</v>
      </c>
      <c r="F15">
        <f>VLOOKUP(B15,'Country Totals'!$AB$54:$AD$56,3,FALSE)</f>
        <v>70</v>
      </c>
      <c r="J15" s="281" t="str">
        <f t="shared" si="1"/>
        <v>FI_hydro-ROR_lumped_Head</v>
      </c>
      <c r="K15" s="278" t="s">
        <v>3048</v>
      </c>
      <c r="L15" t="e">
        <f>VLOOKUP(C15,'Country Totals'!$AH$64:$AK$93,MATCH(B15,'Country Totals'!$AH$63:$AK$63,0),FALSE)</f>
        <v>#N/A</v>
      </c>
      <c r="N15" t="str">
        <f t="shared" ref="N15:N17" si="3">C15&amp;"_"&amp;B15&amp;"_lumped_Tail"</f>
        <v>FI_hydro-ROR_lumped_Tail</v>
      </c>
    </row>
    <row r="16" spans="1:16" x14ac:dyDescent="0.35">
      <c r="A16" s="281" t="str">
        <f t="shared" si="0"/>
        <v>FR_hydro-ROR_lumped</v>
      </c>
      <c r="B16" s="278" t="s">
        <v>2882</v>
      </c>
      <c r="C16" s="216" t="s">
        <v>2809</v>
      </c>
      <c r="D16" s="327" t="e">
        <f t="shared" si="2"/>
        <v>#N/A</v>
      </c>
      <c r="E16" t="e">
        <f>VLOOKUP(C16,'Country Totals'!$AD$64:$AG$93,MATCH(B16,'Country Totals'!$AD$63:$AG$63,0),FALSE)</f>
        <v>#N/A</v>
      </c>
      <c r="F16">
        <f>VLOOKUP(B16,'Country Totals'!$AB$54:$AD$56,3,FALSE)</f>
        <v>70</v>
      </c>
      <c r="J16" s="281" t="str">
        <f t="shared" si="1"/>
        <v>FR_hydro-ROR_lumped_Head</v>
      </c>
      <c r="K16" s="278" t="s">
        <v>3048</v>
      </c>
      <c r="L16" t="e">
        <f>VLOOKUP(C16,'Country Totals'!$AH$64:$AK$93,MATCH(B16,'Country Totals'!$AH$63:$AK$63,0),FALSE)</f>
        <v>#N/A</v>
      </c>
      <c r="N16" t="str">
        <f t="shared" si="3"/>
        <v>FR_hydro-ROR_lumped_Tail</v>
      </c>
    </row>
    <row r="17" spans="1:14" x14ac:dyDescent="0.35">
      <c r="A17" s="281" t="str">
        <f t="shared" si="0"/>
        <v>GB_hydro-ROR_lumped</v>
      </c>
      <c r="B17" s="278" t="s">
        <v>2882</v>
      </c>
      <c r="C17" s="216" t="s">
        <v>2832</v>
      </c>
      <c r="D17" s="327" t="e">
        <f t="shared" si="2"/>
        <v>#N/A</v>
      </c>
      <c r="E17" t="e">
        <f>VLOOKUP(C17,'Country Totals'!$AD$64:$AG$93,MATCH(B17,'Country Totals'!$AD$63:$AG$63,0),FALSE)</f>
        <v>#N/A</v>
      </c>
      <c r="F17">
        <f>VLOOKUP(B17,'Country Totals'!$AB$54:$AD$56,3,FALSE)</f>
        <v>70</v>
      </c>
      <c r="J17" s="281" t="str">
        <f t="shared" si="1"/>
        <v>GB_hydro-ROR_lumped_Head</v>
      </c>
      <c r="K17" s="278" t="s">
        <v>3048</v>
      </c>
      <c r="L17" t="e">
        <f>VLOOKUP(C17,'Country Totals'!$AH$64:$AK$93,MATCH(B17,'Country Totals'!$AH$63:$AK$63,0),FALSE)</f>
        <v>#N/A</v>
      </c>
      <c r="N17" t="str">
        <f t="shared" si="3"/>
        <v>GB_hydro-ROR_lumped_Tail</v>
      </c>
    </row>
    <row r="18" spans="1:14" hidden="1" x14ac:dyDescent="0.35">
      <c r="A18" s="281" t="str">
        <f t="shared" si="0"/>
        <v>EL_hydro-ROR_lumped</v>
      </c>
      <c r="B18" s="278" t="s">
        <v>2882</v>
      </c>
      <c r="C18" s="216" t="s">
        <v>2806</v>
      </c>
      <c r="D18" s="216"/>
      <c r="E18" t="e">
        <f>VLOOKUP(C18,'Country Totals'!$AD$64:$AG$93,MATCH(B18,'Country Totals'!$AD$63:$AG$63,0),FALSE)</f>
        <v>#N/A</v>
      </c>
      <c r="F18">
        <f>VLOOKUP(B18,'Country Totals'!$AB$54:$AD$56,3,FALSE)</f>
        <v>70</v>
      </c>
      <c r="J18" s="281" t="str">
        <f t="shared" si="1"/>
        <v>EL_hydro-ROR_lumped_Head</v>
      </c>
      <c r="K18" s="278" t="s">
        <v>3048</v>
      </c>
      <c r="L18" t="e">
        <f>VLOOKUP(C18,'Country Totals'!$AH$64:$AK$93,MATCH(B18,'Country Totals'!$AH$63:$AK$63,0),FALSE)</f>
        <v>#N/A</v>
      </c>
    </row>
    <row r="19" spans="1:14" x14ac:dyDescent="0.35">
      <c r="A19" s="281" t="str">
        <f t="shared" si="0"/>
        <v>HR_hydro-ROR_lumped</v>
      </c>
      <c r="B19" s="278" t="s">
        <v>2882</v>
      </c>
      <c r="C19" s="216" t="s">
        <v>2810</v>
      </c>
      <c r="D19" s="327" t="e">
        <f>E19*F19</f>
        <v>#N/A</v>
      </c>
      <c r="E19" t="e">
        <f>VLOOKUP(C19,'Country Totals'!$AD$64:$AG$93,MATCH(B19,'Country Totals'!$AD$63:$AG$63,0),FALSE)</f>
        <v>#N/A</v>
      </c>
      <c r="F19">
        <f>VLOOKUP(B19,'Country Totals'!$AB$54:$AD$56,3,FALSE)</f>
        <v>70</v>
      </c>
      <c r="J19" s="281" t="str">
        <f t="shared" si="1"/>
        <v>HR_hydro-ROR_lumped_Head</v>
      </c>
      <c r="K19" s="278" t="s">
        <v>3048</v>
      </c>
      <c r="L19" t="e">
        <f>VLOOKUP(C19,'Country Totals'!$AH$64:$AK$93,MATCH(B19,'Country Totals'!$AH$63:$AK$63,0),FALSE)</f>
        <v>#N/A</v>
      </c>
      <c r="N19" t="str">
        <f>C19&amp;"_"&amp;B19&amp;"_lumped_Tail"</f>
        <v>HR_hydro-ROR_lumped_Tail</v>
      </c>
    </row>
    <row r="20" spans="1:14" hidden="1" x14ac:dyDescent="0.35">
      <c r="A20" s="281" t="str">
        <f t="shared" si="0"/>
        <v>HU_hydro-ROR_lumped</v>
      </c>
      <c r="B20" s="278" t="s">
        <v>2882</v>
      </c>
      <c r="C20" s="216" t="s">
        <v>2811</v>
      </c>
      <c r="D20" s="216"/>
      <c r="E20" t="e">
        <f>VLOOKUP(C20,'Country Totals'!$AD$64:$AG$93,MATCH(B20,'Country Totals'!$AD$63:$AG$63,0),FALSE)</f>
        <v>#N/A</v>
      </c>
      <c r="F20">
        <f>VLOOKUP(B20,'Country Totals'!$AB$54:$AD$56,3,FALSE)</f>
        <v>70</v>
      </c>
      <c r="J20" s="281" t="str">
        <f t="shared" si="1"/>
        <v>HU_hydro-ROR_lumped_Head</v>
      </c>
      <c r="K20" s="278" t="s">
        <v>3048</v>
      </c>
      <c r="L20" t="e">
        <f>VLOOKUP(C20,'Country Totals'!$AH$64:$AK$93,MATCH(B20,'Country Totals'!$AH$63:$AK$63,0),FALSE)</f>
        <v>#N/A</v>
      </c>
    </row>
    <row r="21" spans="1:14" x14ac:dyDescent="0.35">
      <c r="A21" s="281" t="str">
        <f t="shared" si="0"/>
        <v>IE_hydro-ROR_lumped</v>
      </c>
      <c r="B21" s="278" t="s">
        <v>2882</v>
      </c>
      <c r="C21" s="216" t="s">
        <v>2812</v>
      </c>
      <c r="D21" s="327" t="e">
        <f t="shared" ref="D21:D22" si="4">E21*F21</f>
        <v>#N/A</v>
      </c>
      <c r="E21" t="e">
        <f>VLOOKUP(C21,'Country Totals'!$AD$64:$AG$93,MATCH(B21,'Country Totals'!$AD$63:$AG$63,0),FALSE)</f>
        <v>#N/A</v>
      </c>
      <c r="F21">
        <f>VLOOKUP(B21,'Country Totals'!$AB$54:$AD$56,3,FALSE)</f>
        <v>70</v>
      </c>
      <c r="J21" s="281" t="str">
        <f t="shared" si="1"/>
        <v>IE_hydro-ROR_lumped_Head</v>
      </c>
      <c r="K21" s="278" t="s">
        <v>3048</v>
      </c>
      <c r="L21" t="e">
        <f>VLOOKUP(C21,'Country Totals'!$AH$64:$AK$93,MATCH(B21,'Country Totals'!$AH$63:$AK$63,0),FALSE)</f>
        <v>#N/A</v>
      </c>
      <c r="N21" t="str">
        <f t="shared" ref="N21:N22" si="5">C21&amp;"_"&amp;B21&amp;"_lumped_Tail"</f>
        <v>IE_hydro-ROR_lumped_Tail</v>
      </c>
    </row>
    <row r="22" spans="1:14" x14ac:dyDescent="0.35">
      <c r="A22" s="281" t="str">
        <f t="shared" si="0"/>
        <v>IT_hydro-ROR_lumped</v>
      </c>
      <c r="B22" s="278" t="s">
        <v>2882</v>
      </c>
      <c r="C22" s="216" t="s">
        <v>2813</v>
      </c>
      <c r="D22" s="327" t="e">
        <f t="shared" si="4"/>
        <v>#N/A</v>
      </c>
      <c r="E22" t="e">
        <f>VLOOKUP(C22,'Country Totals'!$AD$64:$AG$93,MATCH(B22,'Country Totals'!$AD$63:$AG$63,0),FALSE)</f>
        <v>#N/A</v>
      </c>
      <c r="F22">
        <f>VLOOKUP(B22,'Country Totals'!$AB$54:$AD$56,3,FALSE)</f>
        <v>70</v>
      </c>
      <c r="J22" s="281" t="str">
        <f t="shared" si="1"/>
        <v>IT_hydro-ROR_lumped_Head</v>
      </c>
      <c r="K22" s="278" t="s">
        <v>3048</v>
      </c>
      <c r="L22" t="e">
        <f>VLOOKUP(C22,'Country Totals'!$AH$64:$AK$93,MATCH(B22,'Country Totals'!$AH$63:$AK$63,0),FALSE)</f>
        <v>#N/A</v>
      </c>
      <c r="N22" t="str">
        <f t="shared" si="5"/>
        <v>IT_hydro-ROR_lumped_Tail</v>
      </c>
    </row>
    <row r="23" spans="1:14" hidden="1" x14ac:dyDescent="0.35">
      <c r="A23" s="281" t="str">
        <f t="shared" si="0"/>
        <v>LT_hydro-ROR_lumped</v>
      </c>
      <c r="B23" s="278" t="s">
        <v>2882</v>
      </c>
      <c r="C23" s="216" t="s">
        <v>2814</v>
      </c>
      <c r="D23" s="216"/>
      <c r="E23" t="e">
        <f>VLOOKUP(C23,'Country Totals'!$AD$64:$AG$93,MATCH(B23,'Country Totals'!$AD$63:$AG$63,0),FALSE)</f>
        <v>#N/A</v>
      </c>
      <c r="F23">
        <f>VLOOKUP(B23,'Country Totals'!$AB$54:$AD$56,3,FALSE)</f>
        <v>70</v>
      </c>
      <c r="J23" s="281" t="str">
        <f t="shared" si="1"/>
        <v>LT_hydro-ROR_lumped_Head</v>
      </c>
      <c r="K23" s="278" t="s">
        <v>3048</v>
      </c>
      <c r="L23" t="e">
        <f>VLOOKUP(C23,'Country Totals'!$AH$64:$AK$93,MATCH(B23,'Country Totals'!$AH$63:$AK$63,0),FALSE)</f>
        <v>#N/A</v>
      </c>
    </row>
    <row r="24" spans="1:14" hidden="1" x14ac:dyDescent="0.35">
      <c r="A24" s="281" t="str">
        <f t="shared" si="0"/>
        <v>LU_hydro-ROR_lumped</v>
      </c>
      <c r="B24" s="278" t="s">
        <v>2882</v>
      </c>
      <c r="C24" s="216" t="s">
        <v>2815</v>
      </c>
      <c r="D24" s="216"/>
      <c r="E24" t="e">
        <f>VLOOKUP(C24,'Country Totals'!$AD$64:$AG$93,MATCH(B24,'Country Totals'!$AD$63:$AG$63,0),FALSE)</f>
        <v>#N/A</v>
      </c>
      <c r="F24">
        <f>VLOOKUP(B24,'Country Totals'!$AB$54:$AD$56,3,FALSE)</f>
        <v>70</v>
      </c>
      <c r="J24" s="281" t="str">
        <f t="shared" si="1"/>
        <v>LU_hydro-ROR_lumped_Head</v>
      </c>
      <c r="K24" s="278" t="s">
        <v>3048</v>
      </c>
      <c r="L24" t="e">
        <f>VLOOKUP(C24,'Country Totals'!$AH$64:$AK$93,MATCH(B24,'Country Totals'!$AH$63:$AK$63,0),FALSE)</f>
        <v>#N/A</v>
      </c>
    </row>
    <row r="25" spans="1:14" hidden="1" x14ac:dyDescent="0.35">
      <c r="A25" s="281" t="str">
        <f t="shared" si="0"/>
        <v>LV_hydro-ROR_lumped</v>
      </c>
      <c r="B25" s="278" t="s">
        <v>2882</v>
      </c>
      <c r="C25" s="216" t="s">
        <v>2816</v>
      </c>
      <c r="D25" s="216"/>
      <c r="E25" t="e">
        <f>VLOOKUP(C25,'Country Totals'!$AD$64:$AG$93,MATCH(B25,'Country Totals'!$AD$63:$AG$63,0),FALSE)</f>
        <v>#N/A</v>
      </c>
      <c r="F25">
        <f>VLOOKUP(B25,'Country Totals'!$AB$54:$AD$56,3,FALSE)</f>
        <v>70</v>
      </c>
      <c r="J25" s="281" t="str">
        <f t="shared" si="1"/>
        <v>LV_hydro-ROR_lumped_Head</v>
      </c>
      <c r="K25" s="278" t="s">
        <v>3048</v>
      </c>
      <c r="L25" t="e">
        <f>VLOOKUP(C25,'Country Totals'!$AH$64:$AK$93,MATCH(B25,'Country Totals'!$AH$63:$AK$63,0),FALSE)</f>
        <v>#N/A</v>
      </c>
    </row>
    <row r="26" spans="1:14" hidden="1" x14ac:dyDescent="0.35">
      <c r="A26" s="281" t="str">
        <f t="shared" si="0"/>
        <v>NI_hydro-ROR_lumped</v>
      </c>
      <c r="B26" s="278" t="s">
        <v>2882</v>
      </c>
      <c r="C26" s="216" t="s">
        <v>2833</v>
      </c>
      <c r="D26" s="216"/>
      <c r="E26" t="e">
        <f>VLOOKUP(C26,'Country Totals'!$AD$64:$AG$93,MATCH(B26,'Country Totals'!$AD$63:$AG$63,0),FALSE)</f>
        <v>#N/A</v>
      </c>
      <c r="F26">
        <f>VLOOKUP(B26,'Country Totals'!$AB$54:$AD$56,3,FALSE)</f>
        <v>70</v>
      </c>
      <c r="J26" s="281" t="str">
        <f t="shared" si="1"/>
        <v>NI_hydro-ROR_lumped_Head</v>
      </c>
      <c r="K26" s="278" t="s">
        <v>3048</v>
      </c>
      <c r="L26" t="e">
        <f>VLOOKUP(C26,'Country Totals'!$AH$64:$AK$93,MATCH(B26,'Country Totals'!$AH$63:$AK$63,0),FALSE)</f>
        <v>#N/A</v>
      </c>
    </row>
    <row r="27" spans="1:14" hidden="1" x14ac:dyDescent="0.35">
      <c r="A27" s="281" t="str">
        <f t="shared" si="0"/>
        <v>NL_hydro-ROR_lumped</v>
      </c>
      <c r="B27" s="278" t="s">
        <v>2882</v>
      </c>
      <c r="C27" s="216" t="s">
        <v>2818</v>
      </c>
      <c r="D27" s="216"/>
      <c r="E27" t="e">
        <f>VLOOKUP(C27,'Country Totals'!$AD$64:$AG$93,MATCH(B27,'Country Totals'!$AD$63:$AG$63,0),FALSE)</f>
        <v>#N/A</v>
      </c>
      <c r="F27">
        <f>VLOOKUP(B27,'Country Totals'!$AB$54:$AD$56,3,FALSE)</f>
        <v>70</v>
      </c>
      <c r="J27" s="281" t="str">
        <f t="shared" si="1"/>
        <v>NL_hydro-ROR_lumped_Head</v>
      </c>
      <c r="K27" s="278" t="s">
        <v>3048</v>
      </c>
      <c r="L27" t="e">
        <f>VLOOKUP(C27,'Country Totals'!$AH$64:$AK$93,MATCH(B27,'Country Totals'!$AH$63:$AK$63,0),FALSE)</f>
        <v>#N/A</v>
      </c>
    </row>
    <row r="28" spans="1:14" x14ac:dyDescent="0.35">
      <c r="A28" s="281" t="str">
        <f t="shared" si="0"/>
        <v>NO_hydro-ROR_lumped</v>
      </c>
      <c r="B28" s="278" t="s">
        <v>2882</v>
      </c>
      <c r="C28" s="216" t="s">
        <v>2819</v>
      </c>
      <c r="D28" s="327" t="e">
        <f t="shared" ref="D28:D30" si="6">E28*F28</f>
        <v>#N/A</v>
      </c>
      <c r="E28" t="e">
        <f>VLOOKUP(C28,'Country Totals'!$AD$64:$AG$93,MATCH(B28,'Country Totals'!$AD$63:$AG$63,0),FALSE)</f>
        <v>#N/A</v>
      </c>
      <c r="F28">
        <f>VLOOKUP(B28,'Country Totals'!$AB$54:$AD$56,3,FALSE)</f>
        <v>70</v>
      </c>
      <c r="J28" s="281" t="str">
        <f t="shared" si="1"/>
        <v>NO_hydro-ROR_lumped_Head</v>
      </c>
      <c r="K28" s="278" t="s">
        <v>3048</v>
      </c>
      <c r="L28" t="e">
        <f>VLOOKUP(C28,'Country Totals'!$AH$64:$AK$93,MATCH(B28,'Country Totals'!$AH$63:$AK$63,0),FALSE)</f>
        <v>#N/A</v>
      </c>
      <c r="N28" t="str">
        <f t="shared" ref="N28:N30" si="7">C28&amp;"_"&amp;B28&amp;"_lumped_Tail"</f>
        <v>NO_hydro-ROR_lumped_Tail</v>
      </c>
    </row>
    <row r="29" spans="1:14" x14ac:dyDescent="0.35">
      <c r="A29" s="281" t="str">
        <f t="shared" si="0"/>
        <v>PL_hydro-ROR_lumped</v>
      </c>
      <c r="B29" s="278" t="s">
        <v>2882</v>
      </c>
      <c r="C29" s="216" t="s">
        <v>2820</v>
      </c>
      <c r="D29" s="327" t="e">
        <f t="shared" si="6"/>
        <v>#N/A</v>
      </c>
      <c r="E29" t="e">
        <f>VLOOKUP(C29,'Country Totals'!$AD$64:$AG$93,MATCH(B29,'Country Totals'!$AD$63:$AG$63,0),FALSE)</f>
        <v>#N/A</v>
      </c>
      <c r="F29">
        <f>VLOOKUP(B29,'Country Totals'!$AB$54:$AD$56,3,FALSE)</f>
        <v>70</v>
      </c>
      <c r="J29" s="281" t="str">
        <f t="shared" si="1"/>
        <v>PL_hydro-ROR_lumped_Head</v>
      </c>
      <c r="K29" s="278" t="s">
        <v>3048</v>
      </c>
      <c r="L29" t="e">
        <f>VLOOKUP(C29,'Country Totals'!$AH$64:$AK$93,MATCH(B29,'Country Totals'!$AH$63:$AK$63,0),FALSE)</f>
        <v>#N/A</v>
      </c>
      <c r="N29" t="str">
        <f t="shared" si="7"/>
        <v>PL_hydro-ROR_lumped_Tail</v>
      </c>
    </row>
    <row r="30" spans="1:14" x14ac:dyDescent="0.35">
      <c r="A30" s="281" t="str">
        <f t="shared" si="0"/>
        <v>PT_hydro-ROR_lumped</v>
      </c>
      <c r="B30" s="278" t="s">
        <v>2882</v>
      </c>
      <c r="C30" s="216" t="s">
        <v>2821</v>
      </c>
      <c r="D30" s="327" t="e">
        <f t="shared" si="6"/>
        <v>#N/A</v>
      </c>
      <c r="E30" t="e">
        <f>VLOOKUP(C30,'Country Totals'!$AD$64:$AG$93,MATCH(B30,'Country Totals'!$AD$63:$AG$63,0),FALSE)</f>
        <v>#N/A</v>
      </c>
      <c r="F30">
        <f>VLOOKUP(B30,'Country Totals'!$AB$54:$AD$56,3,FALSE)</f>
        <v>70</v>
      </c>
      <c r="J30" s="281" t="str">
        <f t="shared" si="1"/>
        <v>PT_hydro-ROR_lumped_Head</v>
      </c>
      <c r="K30" s="278" t="s">
        <v>3048</v>
      </c>
      <c r="L30" t="e">
        <f>VLOOKUP(C30,'Country Totals'!$AH$64:$AK$93,MATCH(B30,'Country Totals'!$AH$63:$AK$63,0),FALSE)</f>
        <v>#N/A</v>
      </c>
      <c r="N30" t="str">
        <f t="shared" si="7"/>
        <v>PT_hydro-ROR_lumped_Tail</v>
      </c>
    </row>
    <row r="31" spans="1:14" hidden="1" x14ac:dyDescent="0.35">
      <c r="A31" s="281" t="str">
        <f t="shared" si="0"/>
        <v>RO_hydro-ROR_lumped</v>
      </c>
      <c r="B31" s="278" t="s">
        <v>2882</v>
      </c>
      <c r="C31" s="216" t="s">
        <v>2822</v>
      </c>
      <c r="D31" s="216"/>
      <c r="E31" t="e">
        <f>VLOOKUP(C31,'Country Totals'!$AD$64:$AG$93,MATCH(B31,'Country Totals'!$AD$63:$AG$63,0),FALSE)</f>
        <v>#N/A</v>
      </c>
      <c r="F31">
        <f>VLOOKUP(B31,'Country Totals'!$AB$54:$AD$56,3,FALSE)</f>
        <v>70</v>
      </c>
      <c r="J31" s="281" t="str">
        <f t="shared" si="1"/>
        <v>RO_hydro-ROR_lumped_Head</v>
      </c>
      <c r="K31" s="278" t="s">
        <v>3048</v>
      </c>
      <c r="L31" t="e">
        <f>VLOOKUP(C31,'Country Totals'!$AH$64:$AK$93,MATCH(B31,'Country Totals'!$AH$63:$AK$63,0),FALSE)</f>
        <v>#N/A</v>
      </c>
    </row>
    <row r="32" spans="1:14" x14ac:dyDescent="0.35">
      <c r="A32" s="281" t="str">
        <f t="shared" si="0"/>
        <v>SE_hydro-ROR_lumped</v>
      </c>
      <c r="B32" s="278" t="s">
        <v>2882</v>
      </c>
      <c r="C32" s="216" t="s">
        <v>2823</v>
      </c>
      <c r="D32" s="327" t="e">
        <f t="shared" ref="D32:D33" si="8">E32*F32</f>
        <v>#N/A</v>
      </c>
      <c r="E32" t="e">
        <f>VLOOKUP(C32,'Country Totals'!$AD$64:$AG$93,MATCH(B32,'Country Totals'!$AD$63:$AG$63,0),FALSE)</f>
        <v>#N/A</v>
      </c>
      <c r="F32">
        <f>VLOOKUP(B32,'Country Totals'!$AB$54:$AD$56,3,FALSE)</f>
        <v>70</v>
      </c>
      <c r="J32" s="281" t="str">
        <f t="shared" si="1"/>
        <v>SE_hydro-ROR_lumped_Head</v>
      </c>
      <c r="K32" s="278" t="s">
        <v>3048</v>
      </c>
      <c r="L32" t="e">
        <f>VLOOKUP(C32,'Country Totals'!$AH$64:$AK$93,MATCH(B32,'Country Totals'!$AH$63:$AK$63,0),FALSE)</f>
        <v>#N/A</v>
      </c>
      <c r="N32" t="str">
        <f t="shared" ref="N32:N33" si="9">C32&amp;"_"&amp;B32&amp;"_lumped_Tail"</f>
        <v>SE_hydro-ROR_lumped_Tail</v>
      </c>
    </row>
    <row r="33" spans="1:14" x14ac:dyDescent="0.35">
      <c r="A33" s="281" t="str">
        <f t="shared" si="0"/>
        <v>SI_hydro-ROR_lumped</v>
      </c>
      <c r="B33" s="278" t="s">
        <v>2882</v>
      </c>
      <c r="C33" s="216" t="s">
        <v>2824</v>
      </c>
      <c r="D33" s="327" t="e">
        <f t="shared" si="8"/>
        <v>#N/A</v>
      </c>
      <c r="E33" t="e">
        <f>VLOOKUP(C33,'Country Totals'!$AD$64:$AG$93,MATCH(B33,'Country Totals'!$AD$63:$AG$63,0),FALSE)</f>
        <v>#N/A</v>
      </c>
      <c r="F33">
        <f>VLOOKUP(B33,'Country Totals'!$AB$54:$AD$56,3,FALSE)</f>
        <v>70</v>
      </c>
      <c r="J33" s="281" t="str">
        <f t="shared" si="1"/>
        <v>SI_hydro-ROR_lumped_Head</v>
      </c>
      <c r="K33" s="278" t="s">
        <v>3048</v>
      </c>
      <c r="L33" t="e">
        <f>VLOOKUP(C33,'Country Totals'!$AH$64:$AK$93,MATCH(B33,'Country Totals'!$AH$63:$AK$63,0),FALSE)</f>
        <v>#N/A</v>
      </c>
      <c r="N33" t="str">
        <f t="shared" si="9"/>
        <v>SI_hydro-ROR_lumped_Tail</v>
      </c>
    </row>
    <row r="34" spans="1:14" hidden="1" x14ac:dyDescent="0.35">
      <c r="A34" s="281" t="str">
        <f t="shared" si="0"/>
        <v>SK_hydro-ROR_lumped</v>
      </c>
      <c r="B34" s="278" t="s">
        <v>2882</v>
      </c>
      <c r="C34" s="216" t="s">
        <v>2825</v>
      </c>
      <c r="D34" s="216"/>
      <c r="E34" t="e">
        <f>VLOOKUP(C34,'Country Totals'!$AD$64:$AG$93,MATCH(B34,'Country Totals'!$AD$63:$AG$63,0),FALSE)</f>
        <v>#N/A</v>
      </c>
      <c r="F34">
        <f>VLOOKUP(B34,'Country Totals'!$AB$54:$AD$56,3,FALSE)</f>
        <v>70</v>
      </c>
      <c r="J34" s="281" t="str">
        <f t="shared" si="1"/>
        <v>SK_hydro-ROR_lumped_Head</v>
      </c>
      <c r="K34" s="278" t="s">
        <v>3048</v>
      </c>
      <c r="L34" t="e">
        <f>VLOOKUP(C34,'Country Totals'!$AH$64:$AK$93,MATCH(B34,'Country Totals'!$AH$63:$AK$63,0),FALSE)</f>
        <v>#N/A</v>
      </c>
    </row>
    <row r="35" spans="1:14" x14ac:dyDescent="0.35">
      <c r="A35" s="148" t="str">
        <f t="shared" si="0"/>
        <v>AT_hydro-STO_lumped</v>
      </c>
      <c r="B35" s="278" t="s">
        <v>2883</v>
      </c>
      <c r="C35" s="216" t="s">
        <v>2797</v>
      </c>
      <c r="D35" s="327" t="e">
        <f>E35*F35</f>
        <v>#N/A</v>
      </c>
      <c r="E35" t="e">
        <f>VLOOKUP(C35,'Country Totals'!$AD$64:$AG$93,MATCH(B35,'Country Totals'!$AD$63:$AG$63,0),FALSE)</f>
        <v>#N/A</v>
      </c>
      <c r="F35">
        <f>VLOOKUP(B35,'Country Totals'!$AB$54:$AD$56,3,FALSE)</f>
        <v>100</v>
      </c>
      <c r="J35" s="281" t="str">
        <f t="shared" si="1"/>
        <v>AT_hydro-STO_lumped_Head</v>
      </c>
      <c r="K35" s="278" t="s">
        <v>3019</v>
      </c>
      <c r="L35" t="e">
        <f>VLOOKUP(C35,'Country Totals'!$AH$64:$AK$93,MATCH(B35,'Country Totals'!$AH$63:$AK$63,0),FALSE)</f>
        <v>#N/A</v>
      </c>
      <c r="N35" t="str">
        <f>C35&amp;"_"&amp;B35&amp;"_lumped_Tail"</f>
        <v>AT_hydro-STO_lumped_Tail</v>
      </c>
    </row>
    <row r="36" spans="1:14" hidden="1" x14ac:dyDescent="0.35">
      <c r="A36" s="148" t="str">
        <f t="shared" si="0"/>
        <v>BE_hydro-STO_lumped</v>
      </c>
      <c r="B36" s="278" t="s">
        <v>2883</v>
      </c>
      <c r="C36" s="216" t="s">
        <v>2798</v>
      </c>
      <c r="D36" s="216"/>
      <c r="E36" t="e">
        <f>VLOOKUP(C36,'Country Totals'!$AD$64:$AG$93,MATCH(B36,'Country Totals'!$AD$63:$AG$63,0),FALSE)</f>
        <v>#N/A</v>
      </c>
      <c r="F36">
        <f>VLOOKUP(B36,'Country Totals'!$AB$54:$AD$56,3,FALSE)</f>
        <v>100</v>
      </c>
      <c r="J36" s="281" t="str">
        <f t="shared" si="1"/>
        <v>BE_hydro-STO_lumped_Head</v>
      </c>
      <c r="K36" s="278" t="s">
        <v>3019</v>
      </c>
      <c r="L36" t="e">
        <f>VLOOKUP(C36,'Country Totals'!$AH$64:$AK$93,MATCH(B36,'Country Totals'!$AH$63:$AK$63,0),FALSE)</f>
        <v>#N/A</v>
      </c>
    </row>
    <row r="37" spans="1:14" x14ac:dyDescent="0.35">
      <c r="A37" s="148" t="str">
        <f t="shared" ref="A37:A68" si="10">C37&amp;"_"&amp;B37&amp;"_lumped"</f>
        <v>BG_hydro-STO_lumped</v>
      </c>
      <c r="B37" s="278" t="s">
        <v>2883</v>
      </c>
      <c r="C37" s="216" t="s">
        <v>2799</v>
      </c>
      <c r="D37" s="327" t="e">
        <f t="shared" ref="D37:D38" si="11">E37*F37</f>
        <v>#N/A</v>
      </c>
      <c r="E37" t="e">
        <f>VLOOKUP(C37,'Country Totals'!$AD$64:$AG$93,MATCH(B37,'Country Totals'!$AD$63:$AG$63,0),FALSE)</f>
        <v>#N/A</v>
      </c>
      <c r="F37">
        <f>VLOOKUP(B37,'Country Totals'!$AB$54:$AD$56,3,FALSE)</f>
        <v>100</v>
      </c>
      <c r="J37" s="281" t="str">
        <f t="shared" si="1"/>
        <v>BG_hydro-STO_lumped_Head</v>
      </c>
      <c r="K37" s="278" t="s">
        <v>3019</v>
      </c>
      <c r="L37" t="e">
        <f>VLOOKUP(C37,'Country Totals'!$AH$64:$AK$93,MATCH(B37,'Country Totals'!$AH$63:$AK$63,0),FALSE)</f>
        <v>#N/A</v>
      </c>
      <c r="N37" t="str">
        <f t="shared" ref="N37:N38" si="12">C37&amp;"_"&amp;B37&amp;"_lumped_Tail"</f>
        <v>BG_hydro-STO_lumped_Tail</v>
      </c>
    </row>
    <row r="38" spans="1:14" x14ac:dyDescent="0.35">
      <c r="A38" s="148" t="str">
        <f t="shared" si="10"/>
        <v>CH_hydro-STO_lumped</v>
      </c>
      <c r="B38" s="278" t="s">
        <v>2883</v>
      </c>
      <c r="C38" s="216" t="s">
        <v>2800</v>
      </c>
      <c r="D38" s="327" t="e">
        <f t="shared" si="11"/>
        <v>#N/A</v>
      </c>
      <c r="E38" t="e">
        <f>VLOOKUP(C38,'Country Totals'!$AD$64:$AG$93,MATCH(B38,'Country Totals'!$AD$63:$AG$63,0),FALSE)</f>
        <v>#N/A</v>
      </c>
      <c r="F38">
        <f>VLOOKUP(B38,'Country Totals'!$AB$54:$AD$56,3,FALSE)</f>
        <v>100</v>
      </c>
      <c r="J38" s="281" t="str">
        <f t="shared" si="1"/>
        <v>CH_hydro-STO_lumped_Head</v>
      </c>
      <c r="K38" s="278" t="s">
        <v>3019</v>
      </c>
      <c r="L38" t="e">
        <f>VLOOKUP(C38,'Country Totals'!$AH$64:$AK$93,MATCH(B38,'Country Totals'!$AH$63:$AK$63,0),FALSE)</f>
        <v>#N/A</v>
      </c>
      <c r="N38" t="str">
        <f t="shared" si="12"/>
        <v>CH_hydro-STO_lumped_Tail</v>
      </c>
    </row>
    <row r="39" spans="1:14" hidden="1" x14ac:dyDescent="0.35">
      <c r="A39" s="148" t="str">
        <f t="shared" si="10"/>
        <v>CY_hydro-STO_lumped</v>
      </c>
      <c r="B39" s="278" t="s">
        <v>2883</v>
      </c>
      <c r="C39" s="216" t="s">
        <v>2801</v>
      </c>
      <c r="D39" s="216"/>
      <c r="E39" t="e">
        <f>VLOOKUP(C39,'Country Totals'!$AD$64:$AG$93,MATCH(B39,'Country Totals'!$AD$63:$AG$63,0),FALSE)</f>
        <v>#N/A</v>
      </c>
      <c r="F39">
        <f>VLOOKUP(B39,'Country Totals'!$AB$54:$AD$56,3,FALSE)</f>
        <v>100</v>
      </c>
      <c r="J39" s="281" t="str">
        <f t="shared" si="1"/>
        <v>CY_hydro-STO_lumped_Head</v>
      </c>
      <c r="K39" s="278" t="s">
        <v>3019</v>
      </c>
      <c r="L39" t="e">
        <f>VLOOKUP(C39,'Country Totals'!$AH$64:$AK$93,MATCH(B39,'Country Totals'!$AH$63:$AK$63,0),FALSE)</f>
        <v>#N/A</v>
      </c>
    </row>
    <row r="40" spans="1:14" x14ac:dyDescent="0.35">
      <c r="A40" s="148" t="str">
        <f t="shared" si="10"/>
        <v>CZ_hydro-STO_lumped</v>
      </c>
      <c r="B40" s="278" t="s">
        <v>2883</v>
      </c>
      <c r="C40" s="216" t="s">
        <v>2802</v>
      </c>
      <c r="D40" s="327" t="e">
        <f t="shared" ref="D40:D41" si="13">E40*F40</f>
        <v>#N/A</v>
      </c>
      <c r="E40" t="e">
        <f>VLOOKUP(C40,'Country Totals'!$AD$64:$AG$93,MATCH(B40,'Country Totals'!$AD$63:$AG$63,0),FALSE)</f>
        <v>#N/A</v>
      </c>
      <c r="F40">
        <f>VLOOKUP(B40,'Country Totals'!$AB$54:$AD$56,3,FALSE)</f>
        <v>100</v>
      </c>
      <c r="J40" s="281" t="str">
        <f t="shared" si="1"/>
        <v>CZ_hydro-STO_lumped_Head</v>
      </c>
      <c r="K40" s="278" t="s">
        <v>3019</v>
      </c>
      <c r="L40" t="e">
        <f>VLOOKUP(C40,'Country Totals'!$AH$64:$AK$93,MATCH(B40,'Country Totals'!$AH$63:$AK$63,0),FALSE)</f>
        <v>#N/A</v>
      </c>
      <c r="N40" t="str">
        <f t="shared" ref="N40:N41" si="14">C40&amp;"_"&amp;B40&amp;"_lumped_Tail"</f>
        <v>CZ_hydro-STO_lumped_Tail</v>
      </c>
    </row>
    <row r="41" spans="1:14" x14ac:dyDescent="0.35">
      <c r="A41" s="148" t="str">
        <f t="shared" si="10"/>
        <v>DE_hydro-STO_lumped</v>
      </c>
      <c r="B41" s="278" t="s">
        <v>2883</v>
      </c>
      <c r="C41" s="216" t="s">
        <v>2803</v>
      </c>
      <c r="D41" s="327" t="e">
        <f t="shared" si="13"/>
        <v>#N/A</v>
      </c>
      <c r="E41" t="e">
        <f>VLOOKUP(C41,'Country Totals'!$AD$64:$AG$93,MATCH(B41,'Country Totals'!$AD$63:$AG$63,0),FALSE)</f>
        <v>#N/A</v>
      </c>
      <c r="F41">
        <f>VLOOKUP(B41,'Country Totals'!$AB$54:$AD$56,3,FALSE)</f>
        <v>100</v>
      </c>
      <c r="J41" s="281" t="str">
        <f t="shared" si="1"/>
        <v>DE_hydro-STO_lumped_Head</v>
      </c>
      <c r="K41" s="278" t="s">
        <v>3019</v>
      </c>
      <c r="L41" t="e">
        <f>VLOOKUP(C41,'Country Totals'!$AH$64:$AK$93,MATCH(B41,'Country Totals'!$AH$63:$AK$63,0),FALSE)</f>
        <v>#N/A</v>
      </c>
      <c r="N41" t="str">
        <f t="shared" si="14"/>
        <v>DE_hydro-STO_lumped_Tail</v>
      </c>
    </row>
    <row r="42" spans="1:14" hidden="1" x14ac:dyDescent="0.35">
      <c r="A42" s="148" t="str">
        <f t="shared" si="10"/>
        <v>DK_hydro-STO_lumped</v>
      </c>
      <c r="B42" s="278" t="s">
        <v>2883</v>
      </c>
      <c r="C42" s="216" t="s">
        <v>2804</v>
      </c>
      <c r="D42" s="216"/>
      <c r="E42" t="e">
        <f>VLOOKUP(C42,'Country Totals'!$AD$64:$AG$93,MATCH(B42,'Country Totals'!$AD$63:$AG$63,0),FALSE)</f>
        <v>#N/A</v>
      </c>
      <c r="F42">
        <f>VLOOKUP(B42,'Country Totals'!$AB$54:$AD$56,3,FALSE)</f>
        <v>100</v>
      </c>
      <c r="J42" s="281" t="str">
        <f t="shared" si="1"/>
        <v>DK_hydro-STO_lumped_Head</v>
      </c>
      <c r="K42" s="278" t="s">
        <v>3019</v>
      </c>
      <c r="L42" t="e">
        <f>VLOOKUP(C42,'Country Totals'!$AH$64:$AK$93,MATCH(B42,'Country Totals'!$AH$63:$AK$63,0),FALSE)</f>
        <v>#N/A</v>
      </c>
    </row>
    <row r="43" spans="1:14" hidden="1" x14ac:dyDescent="0.35">
      <c r="A43" s="148" t="str">
        <f t="shared" si="10"/>
        <v>EE_hydro-STO_lumped</v>
      </c>
      <c r="B43" s="278" t="s">
        <v>2883</v>
      </c>
      <c r="C43" s="216" t="s">
        <v>2805</v>
      </c>
      <c r="D43" s="216"/>
      <c r="E43" t="e">
        <f>VLOOKUP(C43,'Country Totals'!$AD$64:$AG$93,MATCH(B43,'Country Totals'!$AD$63:$AG$63,0),FALSE)</f>
        <v>#N/A</v>
      </c>
      <c r="F43">
        <f>VLOOKUP(B43,'Country Totals'!$AB$54:$AD$56,3,FALSE)</f>
        <v>100</v>
      </c>
      <c r="J43" s="281" t="str">
        <f t="shared" si="1"/>
        <v>EE_hydro-STO_lumped_Head</v>
      </c>
      <c r="K43" s="278" t="s">
        <v>3019</v>
      </c>
      <c r="L43" t="e">
        <f>VLOOKUP(C43,'Country Totals'!$AH$64:$AK$93,MATCH(B43,'Country Totals'!$AH$63:$AK$63,0),FALSE)</f>
        <v>#N/A</v>
      </c>
    </row>
    <row r="44" spans="1:14" x14ac:dyDescent="0.35">
      <c r="A44" s="148" t="str">
        <f t="shared" si="10"/>
        <v>EL_hydro-STO_lumped</v>
      </c>
      <c r="B44" s="278" t="s">
        <v>2883</v>
      </c>
      <c r="C44" s="216" t="s">
        <v>2806</v>
      </c>
      <c r="D44" s="327" t="e">
        <f>E44*F44</f>
        <v>#N/A</v>
      </c>
      <c r="E44" t="e">
        <f>VLOOKUP(C44,'Country Totals'!$AD$64:$AG$93,MATCH(B44,'Country Totals'!$AD$63:$AG$63,0),FALSE)</f>
        <v>#N/A</v>
      </c>
      <c r="F44">
        <f>VLOOKUP(B44,'Country Totals'!$AB$54:$AD$56,3,FALSE)</f>
        <v>100</v>
      </c>
      <c r="J44" s="281" t="str">
        <f t="shared" si="1"/>
        <v>EL_hydro-STO_lumped_Head</v>
      </c>
      <c r="K44" s="278" t="s">
        <v>3019</v>
      </c>
      <c r="L44" t="e">
        <f>VLOOKUP(C44,'Country Totals'!$AH$64:$AK$93,MATCH(B44,'Country Totals'!$AH$63:$AK$63,0),FALSE)</f>
        <v>#N/A</v>
      </c>
      <c r="N44" t="str">
        <f>C44&amp;"_"&amp;B44&amp;"_lumped_Tail"</f>
        <v>EL_hydro-STO_lumped_Tail</v>
      </c>
    </row>
    <row r="45" spans="1:14" hidden="1" x14ac:dyDescent="0.35">
      <c r="A45" s="148" t="str">
        <f t="shared" si="10"/>
        <v>FI_hydro-STO_lumped</v>
      </c>
      <c r="B45" s="278" t="s">
        <v>2883</v>
      </c>
      <c r="C45" s="216" t="s">
        <v>2808</v>
      </c>
      <c r="D45" s="216"/>
      <c r="E45" t="e">
        <f>VLOOKUP(C45,'Country Totals'!$AD$64:$AG$93,MATCH(B45,'Country Totals'!$AD$63:$AG$63,0),FALSE)</f>
        <v>#N/A</v>
      </c>
      <c r="F45">
        <f>VLOOKUP(B45,'Country Totals'!$AB$54:$AD$56,3,FALSE)</f>
        <v>100</v>
      </c>
      <c r="J45" s="281" t="str">
        <f t="shared" si="1"/>
        <v>FI_hydro-STO_lumped_Head</v>
      </c>
      <c r="K45" s="278" t="s">
        <v>3019</v>
      </c>
      <c r="L45" t="e">
        <f>VLOOKUP(C45,'Country Totals'!$AH$64:$AK$93,MATCH(B45,'Country Totals'!$AH$63:$AK$63,0),FALSE)</f>
        <v>#N/A</v>
      </c>
    </row>
    <row r="46" spans="1:14" x14ac:dyDescent="0.35">
      <c r="A46" s="148" t="str">
        <f t="shared" si="10"/>
        <v>FR_hydro-STO_lumped</v>
      </c>
      <c r="B46" s="278" t="s">
        <v>2883</v>
      </c>
      <c r="C46" s="216" t="s">
        <v>2809</v>
      </c>
      <c r="D46" s="327" t="e">
        <f>E46*F46</f>
        <v>#N/A</v>
      </c>
      <c r="E46" t="e">
        <f>VLOOKUP(C46,'Country Totals'!$AD$64:$AG$93,MATCH(B46,'Country Totals'!$AD$63:$AG$63,0),FALSE)</f>
        <v>#N/A</v>
      </c>
      <c r="F46">
        <f>VLOOKUP(B46,'Country Totals'!$AB$54:$AD$56,3,FALSE)</f>
        <v>100</v>
      </c>
      <c r="J46" s="281" t="str">
        <f t="shared" si="1"/>
        <v>FR_hydro-STO_lumped_Head</v>
      </c>
      <c r="K46" s="278" t="s">
        <v>3019</v>
      </c>
      <c r="L46" t="e">
        <f>VLOOKUP(C46,'Country Totals'!$AH$64:$AK$93,MATCH(B46,'Country Totals'!$AH$63:$AK$63,0),FALSE)</f>
        <v>#N/A</v>
      </c>
      <c r="N46" t="str">
        <f>C46&amp;"_"&amp;B46&amp;"_lumped_Tail"</f>
        <v>FR_hydro-STO_lumped_Tail</v>
      </c>
    </row>
    <row r="47" spans="1:14" hidden="1" x14ac:dyDescent="0.35">
      <c r="A47" s="148" t="str">
        <f t="shared" si="10"/>
        <v>GB_hydro-STO_lumped</v>
      </c>
      <c r="B47" s="278" t="s">
        <v>2883</v>
      </c>
      <c r="C47" s="216" t="s">
        <v>2832</v>
      </c>
      <c r="D47" s="216"/>
      <c r="E47" t="e">
        <f>VLOOKUP(C47,'Country Totals'!$AD$64:$AG$93,MATCH(B47,'Country Totals'!$AD$63:$AG$63,0),FALSE)</f>
        <v>#N/A</v>
      </c>
      <c r="F47">
        <f>VLOOKUP(B47,'Country Totals'!$AB$54:$AD$56,3,FALSE)</f>
        <v>100</v>
      </c>
      <c r="J47" s="281" t="str">
        <f t="shared" si="1"/>
        <v>GB_hydro-STO_lumped_Head</v>
      </c>
      <c r="K47" s="278" t="s">
        <v>3019</v>
      </c>
      <c r="L47" t="e">
        <f>VLOOKUP(C47,'Country Totals'!$AH$64:$AK$93,MATCH(B47,'Country Totals'!$AH$63:$AK$63,0),FALSE)</f>
        <v>#N/A</v>
      </c>
    </row>
    <row r="48" spans="1:14" x14ac:dyDescent="0.35">
      <c r="A48" s="148" t="str">
        <f t="shared" si="10"/>
        <v>ES_hydro-STO_lumped</v>
      </c>
      <c r="B48" s="278" t="s">
        <v>2883</v>
      </c>
      <c r="C48" s="216" t="s">
        <v>2807</v>
      </c>
      <c r="D48" s="327" t="e">
        <f t="shared" ref="D48:D49" si="15">E48*F48</f>
        <v>#N/A</v>
      </c>
      <c r="E48" t="e">
        <f>VLOOKUP(C48,'Country Totals'!$AD$64:$AG$93,MATCH(B48,'Country Totals'!$AD$63:$AG$63,0),FALSE)</f>
        <v>#N/A</v>
      </c>
      <c r="F48">
        <f>VLOOKUP(B48,'Country Totals'!$AB$54:$AD$56,3,FALSE)</f>
        <v>100</v>
      </c>
      <c r="J48" s="281" t="str">
        <f t="shared" si="1"/>
        <v>ES_hydro-STO_lumped_Head</v>
      </c>
      <c r="K48" s="278" t="s">
        <v>3019</v>
      </c>
      <c r="L48" t="e">
        <f>VLOOKUP(C48,'Country Totals'!$AH$64:$AK$93,MATCH(B48,'Country Totals'!$AH$63:$AK$63,0),FALSE)</f>
        <v>#N/A</v>
      </c>
      <c r="N48" t="str">
        <f t="shared" ref="N48:N49" si="16">C48&amp;"_"&amp;B48&amp;"_lumped_Tail"</f>
        <v>ES_hydro-STO_lumped_Tail</v>
      </c>
    </row>
    <row r="49" spans="1:14" x14ac:dyDescent="0.35">
      <c r="A49" s="148" t="str">
        <f t="shared" si="10"/>
        <v>HR_hydro-STO_lumped</v>
      </c>
      <c r="B49" s="278" t="s">
        <v>2883</v>
      </c>
      <c r="C49" s="216" t="s">
        <v>2810</v>
      </c>
      <c r="D49" s="327" t="e">
        <f t="shared" si="15"/>
        <v>#N/A</v>
      </c>
      <c r="E49" t="e">
        <f>VLOOKUP(C49,'Country Totals'!$AD$64:$AG$93,MATCH(B49,'Country Totals'!$AD$63:$AG$63,0),FALSE)</f>
        <v>#N/A</v>
      </c>
      <c r="F49">
        <f>VLOOKUP(B49,'Country Totals'!$AB$54:$AD$56,3,FALSE)</f>
        <v>100</v>
      </c>
      <c r="J49" s="281" t="str">
        <f t="shared" si="1"/>
        <v>HR_hydro-STO_lumped_Head</v>
      </c>
      <c r="K49" s="278" t="s">
        <v>3019</v>
      </c>
      <c r="L49" t="e">
        <f>VLOOKUP(C49,'Country Totals'!$AH$64:$AK$93,MATCH(B49,'Country Totals'!$AH$63:$AK$63,0),FALSE)</f>
        <v>#N/A</v>
      </c>
      <c r="N49" t="str">
        <f t="shared" si="16"/>
        <v>HR_hydro-STO_lumped_Tail</v>
      </c>
    </row>
    <row r="50" spans="1:14" hidden="1" x14ac:dyDescent="0.35">
      <c r="A50" s="148" t="str">
        <f t="shared" si="10"/>
        <v>HU_hydro-STO_lumped</v>
      </c>
      <c r="B50" s="278" t="s">
        <v>2883</v>
      </c>
      <c r="C50" s="216" t="s">
        <v>2811</v>
      </c>
      <c r="D50" s="216"/>
      <c r="E50" t="e">
        <f>VLOOKUP(C50,'Country Totals'!$AD$64:$AG$93,MATCH(B50,'Country Totals'!$AD$63:$AG$63,0),FALSE)</f>
        <v>#N/A</v>
      </c>
      <c r="F50">
        <f>VLOOKUP(B50,'Country Totals'!$AB$54:$AD$56,3,FALSE)</f>
        <v>100</v>
      </c>
      <c r="J50" s="281" t="str">
        <f t="shared" si="1"/>
        <v>HU_hydro-STO_lumped_Head</v>
      </c>
      <c r="K50" s="278" t="s">
        <v>3019</v>
      </c>
      <c r="L50" t="e">
        <f>VLOOKUP(C50,'Country Totals'!$AH$64:$AK$93,MATCH(B50,'Country Totals'!$AH$63:$AK$63,0),FALSE)</f>
        <v>#N/A</v>
      </c>
    </row>
    <row r="51" spans="1:14" hidden="1" x14ac:dyDescent="0.35">
      <c r="A51" s="148" t="str">
        <f t="shared" si="10"/>
        <v>IE_hydro-STO_lumped</v>
      </c>
      <c r="B51" s="278" t="s">
        <v>2883</v>
      </c>
      <c r="C51" s="216" t="s">
        <v>2812</v>
      </c>
      <c r="D51" s="216"/>
      <c r="E51" t="e">
        <f>VLOOKUP(C51,'Country Totals'!$AD$64:$AG$93,MATCH(B51,'Country Totals'!$AD$63:$AG$63,0),FALSE)</f>
        <v>#N/A</v>
      </c>
      <c r="F51">
        <f>VLOOKUP(B51,'Country Totals'!$AB$54:$AD$56,3,FALSE)</f>
        <v>100</v>
      </c>
      <c r="J51" s="281" t="str">
        <f t="shared" si="1"/>
        <v>IE_hydro-STO_lumped_Head</v>
      </c>
      <c r="K51" s="278" t="s">
        <v>3019</v>
      </c>
      <c r="L51" t="e">
        <f>VLOOKUP(C51,'Country Totals'!$AH$64:$AK$93,MATCH(B51,'Country Totals'!$AH$63:$AK$63,0),FALSE)</f>
        <v>#N/A</v>
      </c>
    </row>
    <row r="52" spans="1:14" x14ac:dyDescent="0.35">
      <c r="A52" s="148" t="str">
        <f t="shared" si="10"/>
        <v>IT_hydro-STO_lumped</v>
      </c>
      <c r="B52" s="278" t="s">
        <v>2883</v>
      </c>
      <c r="C52" s="216" t="s">
        <v>2813</v>
      </c>
      <c r="D52" s="327" t="e">
        <f>E52*F52</f>
        <v>#N/A</v>
      </c>
      <c r="E52" t="e">
        <f>VLOOKUP(C52,'Country Totals'!$AD$64:$AG$93,MATCH(B52,'Country Totals'!$AD$63:$AG$63,0),FALSE)</f>
        <v>#N/A</v>
      </c>
      <c r="F52">
        <f>VLOOKUP(B52,'Country Totals'!$AB$54:$AD$56,3,FALSE)</f>
        <v>100</v>
      </c>
      <c r="J52" s="281" t="str">
        <f t="shared" si="1"/>
        <v>IT_hydro-STO_lumped_Head</v>
      </c>
      <c r="K52" s="278" t="s">
        <v>3019</v>
      </c>
      <c r="L52" t="e">
        <f>VLOOKUP(C52,'Country Totals'!$AH$64:$AK$93,MATCH(B52,'Country Totals'!$AH$63:$AK$63,0),FALSE)</f>
        <v>#N/A</v>
      </c>
      <c r="N52" t="str">
        <f>C52&amp;"_"&amp;B52&amp;"_lumped_Tail"</f>
        <v>IT_hydro-STO_lumped_Tail</v>
      </c>
    </row>
    <row r="53" spans="1:14" hidden="1" x14ac:dyDescent="0.35">
      <c r="A53" s="148" t="str">
        <f t="shared" si="10"/>
        <v>LT_hydro-STO_lumped</v>
      </c>
      <c r="B53" s="278" t="s">
        <v>2883</v>
      </c>
      <c r="C53" s="216" t="s">
        <v>2814</v>
      </c>
      <c r="D53" s="216"/>
      <c r="E53" t="e">
        <f>VLOOKUP(C53,'Country Totals'!$AD$64:$AG$93,MATCH(B53,'Country Totals'!$AD$63:$AG$63,0),FALSE)</f>
        <v>#N/A</v>
      </c>
      <c r="F53">
        <f>VLOOKUP(B53,'Country Totals'!$AB$54:$AD$56,3,FALSE)</f>
        <v>100</v>
      </c>
      <c r="J53" s="281" t="str">
        <f t="shared" si="1"/>
        <v>LT_hydro-STO_lumped_Head</v>
      </c>
      <c r="K53" s="278" t="s">
        <v>3019</v>
      </c>
      <c r="L53" t="e">
        <f>VLOOKUP(C53,'Country Totals'!$AH$64:$AK$93,MATCH(B53,'Country Totals'!$AH$63:$AK$63,0),FALSE)</f>
        <v>#N/A</v>
      </c>
    </row>
    <row r="54" spans="1:14" hidden="1" x14ac:dyDescent="0.35">
      <c r="A54" s="148" t="str">
        <f t="shared" si="10"/>
        <v>LU_hydro-STO_lumped</v>
      </c>
      <c r="B54" s="278" t="s">
        <v>2883</v>
      </c>
      <c r="C54" s="216" t="s">
        <v>2815</v>
      </c>
      <c r="D54" s="216"/>
      <c r="E54" t="e">
        <f>VLOOKUP(C54,'Country Totals'!$AD$64:$AG$93,MATCH(B54,'Country Totals'!$AD$63:$AG$63,0),FALSE)</f>
        <v>#N/A</v>
      </c>
      <c r="F54">
        <f>VLOOKUP(B54,'Country Totals'!$AB$54:$AD$56,3,FALSE)</f>
        <v>100</v>
      </c>
      <c r="J54" s="281" t="str">
        <f t="shared" si="1"/>
        <v>LU_hydro-STO_lumped_Head</v>
      </c>
      <c r="K54" s="278" t="s">
        <v>3019</v>
      </c>
      <c r="L54" t="e">
        <f>VLOOKUP(C54,'Country Totals'!$AH$64:$AK$93,MATCH(B54,'Country Totals'!$AH$63:$AK$63,0),FALSE)</f>
        <v>#N/A</v>
      </c>
    </row>
    <row r="55" spans="1:14" hidden="1" x14ac:dyDescent="0.35">
      <c r="A55" s="148" t="str">
        <f t="shared" si="10"/>
        <v>LV_hydro-STO_lumped</v>
      </c>
      <c r="B55" s="278" t="s">
        <v>2883</v>
      </c>
      <c r="C55" s="216" t="s">
        <v>2816</v>
      </c>
      <c r="D55" s="216"/>
      <c r="E55" t="e">
        <f>VLOOKUP(C55,'Country Totals'!$AD$64:$AG$93,MATCH(B55,'Country Totals'!$AD$63:$AG$63,0),FALSE)</f>
        <v>#N/A</v>
      </c>
      <c r="F55">
        <f>VLOOKUP(B55,'Country Totals'!$AB$54:$AD$56,3,FALSE)</f>
        <v>100</v>
      </c>
      <c r="J55" s="281" t="str">
        <f t="shared" si="1"/>
        <v>LV_hydro-STO_lumped_Head</v>
      </c>
      <c r="K55" s="278" t="s">
        <v>3019</v>
      </c>
      <c r="L55" t="e">
        <f>VLOOKUP(C55,'Country Totals'!$AH$64:$AK$93,MATCH(B55,'Country Totals'!$AH$63:$AK$63,0),FALSE)</f>
        <v>#N/A</v>
      </c>
    </row>
    <row r="56" spans="1:14" hidden="1" x14ac:dyDescent="0.35">
      <c r="A56" s="148" t="str">
        <f t="shared" si="10"/>
        <v>NI_hydro-STO_lumped</v>
      </c>
      <c r="B56" s="278" t="s">
        <v>2883</v>
      </c>
      <c r="C56" s="216" t="s">
        <v>2833</v>
      </c>
      <c r="D56" s="216"/>
      <c r="E56" t="e">
        <f>VLOOKUP(C56,'Country Totals'!$AD$64:$AG$93,MATCH(B56,'Country Totals'!$AD$63:$AG$63,0),FALSE)</f>
        <v>#N/A</v>
      </c>
      <c r="F56">
        <f>VLOOKUP(B56,'Country Totals'!$AB$54:$AD$56,3,FALSE)</f>
        <v>100</v>
      </c>
      <c r="J56" s="281" t="str">
        <f t="shared" si="1"/>
        <v>NI_hydro-STO_lumped_Head</v>
      </c>
      <c r="K56" s="278" t="s">
        <v>3019</v>
      </c>
      <c r="L56" t="e">
        <f>VLOOKUP(C56,'Country Totals'!$AH$64:$AK$93,MATCH(B56,'Country Totals'!$AH$63:$AK$63,0),FALSE)</f>
        <v>#N/A</v>
      </c>
    </row>
    <row r="57" spans="1:14" hidden="1" x14ac:dyDescent="0.35">
      <c r="A57" s="148" t="str">
        <f t="shared" si="10"/>
        <v>NL_hydro-STO_lumped</v>
      </c>
      <c r="B57" s="278" t="s">
        <v>2883</v>
      </c>
      <c r="C57" s="216" t="s">
        <v>2818</v>
      </c>
      <c r="D57" s="216"/>
      <c r="E57" t="e">
        <f>VLOOKUP(C57,'Country Totals'!$AD$64:$AG$93,MATCH(B57,'Country Totals'!$AD$63:$AG$63,0),FALSE)</f>
        <v>#N/A</v>
      </c>
      <c r="F57">
        <f>VLOOKUP(B57,'Country Totals'!$AB$54:$AD$56,3,FALSE)</f>
        <v>100</v>
      </c>
      <c r="J57" s="281" t="str">
        <f t="shared" si="1"/>
        <v>NL_hydro-STO_lumped_Head</v>
      </c>
      <c r="K57" s="278" t="s">
        <v>3019</v>
      </c>
      <c r="L57" t="e">
        <f>VLOOKUP(C57,'Country Totals'!$AH$64:$AK$93,MATCH(B57,'Country Totals'!$AH$63:$AK$63,0),FALSE)</f>
        <v>#N/A</v>
      </c>
    </row>
    <row r="58" spans="1:14" x14ac:dyDescent="0.35">
      <c r="A58" s="148" t="str">
        <f t="shared" si="10"/>
        <v>NO_hydro-STO_lumped</v>
      </c>
      <c r="B58" s="278" t="s">
        <v>2883</v>
      </c>
      <c r="C58" s="216" t="s">
        <v>2819</v>
      </c>
      <c r="D58" s="327" t="e">
        <f>E58*F58</f>
        <v>#N/A</v>
      </c>
      <c r="E58" t="e">
        <f>VLOOKUP(C58,'Country Totals'!$AD$64:$AG$93,MATCH(B58,'Country Totals'!$AD$63:$AG$63,0),FALSE)</f>
        <v>#N/A</v>
      </c>
      <c r="F58">
        <f>VLOOKUP(B58,'Country Totals'!$AB$54:$AD$56,3,FALSE)</f>
        <v>100</v>
      </c>
      <c r="J58" s="281" t="str">
        <f t="shared" si="1"/>
        <v>NO_hydro-STO_lumped_Head</v>
      </c>
      <c r="K58" s="278" t="s">
        <v>3019</v>
      </c>
      <c r="L58" t="e">
        <f>VLOOKUP(C58,'Country Totals'!$AH$64:$AK$93,MATCH(B58,'Country Totals'!$AH$63:$AK$63,0),FALSE)</f>
        <v>#N/A</v>
      </c>
      <c r="N58" t="str">
        <f>C58&amp;"_"&amp;B58&amp;"_lumped_Tail"</f>
        <v>NO_hydro-STO_lumped_Tail</v>
      </c>
    </row>
    <row r="59" spans="1:14" hidden="1" x14ac:dyDescent="0.35">
      <c r="A59" s="148" t="str">
        <f t="shared" si="10"/>
        <v>PL_hydro-STO_lumped</v>
      </c>
      <c r="B59" s="278" t="s">
        <v>2883</v>
      </c>
      <c r="C59" s="216" t="s">
        <v>2820</v>
      </c>
      <c r="D59" s="216"/>
      <c r="E59" t="e">
        <f>VLOOKUP(C59,'Country Totals'!$AD$64:$AG$93,MATCH(B59,'Country Totals'!$AD$63:$AG$63,0),FALSE)</f>
        <v>#N/A</v>
      </c>
      <c r="F59">
        <f>VLOOKUP(B59,'Country Totals'!$AB$54:$AD$56,3,FALSE)</f>
        <v>100</v>
      </c>
      <c r="J59" s="281" t="str">
        <f t="shared" si="1"/>
        <v>PL_hydro-STO_lumped_Head</v>
      </c>
      <c r="K59" s="278" t="s">
        <v>3019</v>
      </c>
      <c r="L59" t="e">
        <f>VLOOKUP(C59,'Country Totals'!$AH$64:$AK$93,MATCH(B59,'Country Totals'!$AH$63:$AK$63,0),FALSE)</f>
        <v>#N/A</v>
      </c>
    </row>
    <row r="60" spans="1:14" x14ac:dyDescent="0.35">
      <c r="A60" s="148" t="str">
        <f t="shared" si="10"/>
        <v>PT_hydro-STO_lumped</v>
      </c>
      <c r="B60" s="278" t="s">
        <v>2883</v>
      </c>
      <c r="C60" s="216" t="s">
        <v>2821</v>
      </c>
      <c r="D60" s="327" t="e">
        <f t="shared" ref="D60:D62" si="17">E60*F60</f>
        <v>#N/A</v>
      </c>
      <c r="E60" t="e">
        <f>VLOOKUP(C60,'Country Totals'!$AD$64:$AG$93,MATCH(B60,'Country Totals'!$AD$63:$AG$63,0),FALSE)</f>
        <v>#N/A</v>
      </c>
      <c r="F60">
        <f>VLOOKUP(B60,'Country Totals'!$AB$54:$AD$56,3,FALSE)</f>
        <v>100</v>
      </c>
      <c r="J60" s="281" t="str">
        <f t="shared" si="1"/>
        <v>PT_hydro-STO_lumped_Head</v>
      </c>
      <c r="K60" s="278" t="s">
        <v>3019</v>
      </c>
      <c r="L60" t="e">
        <f>VLOOKUP(C60,'Country Totals'!$AH$64:$AK$93,MATCH(B60,'Country Totals'!$AH$63:$AK$63,0),FALSE)</f>
        <v>#N/A</v>
      </c>
      <c r="N60" t="str">
        <f t="shared" ref="N60:N62" si="18">C60&amp;"_"&amp;B60&amp;"_lumped_Tail"</f>
        <v>PT_hydro-STO_lumped_Tail</v>
      </c>
    </row>
    <row r="61" spans="1:14" x14ac:dyDescent="0.35">
      <c r="A61" s="148" t="str">
        <f t="shared" si="10"/>
        <v>RO_hydro-STO_lumped</v>
      </c>
      <c r="B61" s="278" t="s">
        <v>2883</v>
      </c>
      <c r="C61" s="216" t="s">
        <v>2822</v>
      </c>
      <c r="D61" s="327" t="e">
        <f t="shared" si="17"/>
        <v>#N/A</v>
      </c>
      <c r="E61" t="e">
        <f>VLOOKUP(C61,'Country Totals'!$AD$64:$AG$93,MATCH(B61,'Country Totals'!$AD$63:$AG$63,0),FALSE)</f>
        <v>#N/A</v>
      </c>
      <c r="F61">
        <f>VLOOKUP(B61,'Country Totals'!$AB$54:$AD$56,3,FALSE)</f>
        <v>100</v>
      </c>
      <c r="J61" s="281" t="str">
        <f t="shared" si="1"/>
        <v>RO_hydro-STO_lumped_Head</v>
      </c>
      <c r="K61" s="278" t="s">
        <v>3019</v>
      </c>
      <c r="L61" t="e">
        <f>VLOOKUP(C61,'Country Totals'!$AH$64:$AK$93,MATCH(B61,'Country Totals'!$AH$63:$AK$63,0),FALSE)</f>
        <v>#N/A</v>
      </c>
      <c r="N61" t="str">
        <f t="shared" si="18"/>
        <v>RO_hydro-STO_lumped_Tail</v>
      </c>
    </row>
    <row r="62" spans="1:14" x14ac:dyDescent="0.35">
      <c r="A62" s="148" t="str">
        <f t="shared" si="10"/>
        <v>SE_hydro-STO_lumped</v>
      </c>
      <c r="B62" s="278" t="s">
        <v>2883</v>
      </c>
      <c r="C62" s="216" t="s">
        <v>2823</v>
      </c>
      <c r="D62" s="327" t="e">
        <f t="shared" si="17"/>
        <v>#N/A</v>
      </c>
      <c r="E62" t="e">
        <f>VLOOKUP(C62,'Country Totals'!$AD$64:$AG$93,MATCH(B62,'Country Totals'!$AD$63:$AG$63,0),FALSE)</f>
        <v>#N/A</v>
      </c>
      <c r="F62">
        <f>VLOOKUP(B62,'Country Totals'!$AB$54:$AD$56,3,FALSE)</f>
        <v>100</v>
      </c>
      <c r="J62" s="281" t="str">
        <f t="shared" si="1"/>
        <v>SE_hydro-STO_lumped_Head</v>
      </c>
      <c r="K62" s="278" t="s">
        <v>3019</v>
      </c>
      <c r="L62" t="e">
        <f>VLOOKUP(C62,'Country Totals'!$AH$64:$AK$93,MATCH(B62,'Country Totals'!$AH$63:$AK$63,0),FALSE)</f>
        <v>#N/A</v>
      </c>
      <c r="N62" t="str">
        <f t="shared" si="18"/>
        <v>SE_hydro-STO_lumped_Tail</v>
      </c>
    </row>
    <row r="63" spans="1:14" hidden="1" x14ac:dyDescent="0.35">
      <c r="A63" s="148" t="str">
        <f t="shared" si="10"/>
        <v>SI_hydro-STO_lumped</v>
      </c>
      <c r="B63" s="278" t="s">
        <v>2883</v>
      </c>
      <c r="C63" s="216" t="s">
        <v>2824</v>
      </c>
      <c r="D63" s="216"/>
      <c r="E63" t="e">
        <f>VLOOKUP(C63,'Country Totals'!$AD$64:$AG$93,MATCH(B63,'Country Totals'!$AD$63:$AG$63,0),FALSE)</f>
        <v>#N/A</v>
      </c>
      <c r="F63">
        <f>VLOOKUP(B63,'Country Totals'!$AB$54:$AD$56,3,FALSE)</f>
        <v>100</v>
      </c>
      <c r="J63" s="281" t="str">
        <f t="shared" si="1"/>
        <v>SI_hydro-STO_lumped_Head</v>
      </c>
      <c r="K63" s="278" t="s">
        <v>3019</v>
      </c>
      <c r="L63" t="e">
        <f>VLOOKUP(C63,'Country Totals'!$AH$64:$AK$93,MATCH(B63,'Country Totals'!$AH$63:$AK$63,0),FALSE)</f>
        <v>#N/A</v>
      </c>
    </row>
    <row r="64" spans="1:14" x14ac:dyDescent="0.35">
      <c r="A64" s="148" t="str">
        <f t="shared" si="10"/>
        <v>SK_hydro-STO_lumped</v>
      </c>
      <c r="B64" s="278" t="s">
        <v>2883</v>
      </c>
      <c r="C64" s="216" t="s">
        <v>2825</v>
      </c>
      <c r="D64" s="327" t="e">
        <f>E64*F64</f>
        <v>#N/A</v>
      </c>
      <c r="E64" t="e">
        <f>VLOOKUP(C64,'Country Totals'!$AD$64:$AG$93,MATCH(B64,'Country Totals'!$AD$63:$AG$63,0),FALSE)</f>
        <v>#N/A</v>
      </c>
      <c r="F64">
        <f>VLOOKUP(B64,'Country Totals'!$AB$54:$AD$56,3,FALSE)</f>
        <v>100</v>
      </c>
      <c r="J64" s="281" t="str">
        <f t="shared" si="1"/>
        <v>SK_hydro-STO_lumped_Head</v>
      </c>
      <c r="K64" s="278" t="s">
        <v>3019</v>
      </c>
      <c r="L64" t="e">
        <f>VLOOKUP(C64,'Country Totals'!$AH$64:$AK$93,MATCH(B64,'Country Totals'!$AH$63:$AK$63,0),FALSE)</f>
        <v>#N/A</v>
      </c>
      <c r="N64" t="str">
        <f>C64&amp;"_"&amp;B64&amp;"_lumped_Tail"</f>
        <v>SK_hydro-STO_lumped_Tail</v>
      </c>
    </row>
    <row r="65" spans="1:14" hidden="1" x14ac:dyDescent="0.35">
      <c r="A65" s="282" t="str">
        <f t="shared" si="10"/>
        <v>AT_hydro-PHS_lumped</v>
      </c>
      <c r="B65" s="278" t="s">
        <v>2884</v>
      </c>
      <c r="C65" s="216" t="s">
        <v>2797</v>
      </c>
      <c r="D65" s="216"/>
      <c r="E65" t="e">
        <f>VLOOKUP(C65,'Country Totals'!$AD$64:$AG$93,MATCH(B65,'Country Totals'!$AD$63:$AG$63,0),FALSE)</f>
        <v>#N/A</v>
      </c>
      <c r="F65">
        <f>VLOOKUP(B65,'Country Totals'!$AB$54:$AD$56,3,FALSE)</f>
        <v>400</v>
      </c>
      <c r="J65" s="281" t="str">
        <f t="shared" si="1"/>
        <v>AT_hydro-PHS_lumped_Head</v>
      </c>
      <c r="K65" s="278" t="s">
        <v>3020</v>
      </c>
      <c r="L65" t="e">
        <f>VLOOKUP(C65,'Country Totals'!$AH$64:$AK$93,MATCH(B65,'Country Totals'!$AH$63:$AK$63,0),FALSE)</f>
        <v>#N/A</v>
      </c>
    </row>
    <row r="66" spans="1:14" x14ac:dyDescent="0.35">
      <c r="A66" s="282" t="str">
        <f t="shared" si="10"/>
        <v>BE_hydro-PHS_lumped</v>
      </c>
      <c r="B66" s="278" t="s">
        <v>2884</v>
      </c>
      <c r="C66" s="216" t="s">
        <v>2798</v>
      </c>
      <c r="D66" s="327" t="e">
        <f t="shared" ref="D66:D68" si="19">E66*F66</f>
        <v>#N/A</v>
      </c>
      <c r="E66" t="e">
        <f>VLOOKUP(C66,'Country Totals'!$AD$64:$AG$93,MATCH(B66,'Country Totals'!$AD$63:$AG$63,0),FALSE)</f>
        <v>#N/A</v>
      </c>
      <c r="F66">
        <f>VLOOKUP(B66,'Country Totals'!$AB$54:$AD$56,3,FALSE)</f>
        <v>400</v>
      </c>
      <c r="J66" s="281" t="str">
        <f t="shared" si="1"/>
        <v>BE_hydro-PHS_lumped_Head</v>
      </c>
      <c r="K66" s="278" t="s">
        <v>3020</v>
      </c>
      <c r="L66" t="e">
        <f>VLOOKUP(C66,'Country Totals'!$AH$64:$AK$93,MATCH(B66,'Country Totals'!$AH$63:$AK$63,0),FALSE)</f>
        <v>#N/A</v>
      </c>
      <c r="N66" t="str">
        <f t="shared" ref="N66:N68" si="20">C66&amp;"_"&amp;B66&amp;"_lumped_Tail"</f>
        <v>BE_hydro-PHS_lumped_Tail</v>
      </c>
    </row>
    <row r="67" spans="1:14" x14ac:dyDescent="0.35">
      <c r="A67" s="282" t="str">
        <f t="shared" si="10"/>
        <v>BG_hydro-PHS_lumped</v>
      </c>
      <c r="B67" s="278" t="s">
        <v>2884</v>
      </c>
      <c r="C67" s="216" t="s">
        <v>2799</v>
      </c>
      <c r="D67" s="327" t="e">
        <f t="shared" si="19"/>
        <v>#N/A</v>
      </c>
      <c r="E67" t="e">
        <f>VLOOKUP(C67,'Country Totals'!$AD$64:$AG$93,MATCH(B67,'Country Totals'!$AD$63:$AG$63,0),FALSE)</f>
        <v>#N/A</v>
      </c>
      <c r="F67">
        <f>VLOOKUP(B67,'Country Totals'!$AB$54:$AD$56,3,FALSE)</f>
        <v>400</v>
      </c>
      <c r="J67" s="281" t="str">
        <f t="shared" si="1"/>
        <v>BG_hydro-PHS_lumped_Head</v>
      </c>
      <c r="K67" s="278" t="s">
        <v>3020</v>
      </c>
      <c r="L67" t="e">
        <f>VLOOKUP(C67,'Country Totals'!$AH$64:$AK$93,MATCH(B67,'Country Totals'!$AH$63:$AK$63,0),FALSE)</f>
        <v>#N/A</v>
      </c>
      <c r="N67" t="str">
        <f t="shared" si="20"/>
        <v>BG_hydro-PHS_lumped_Tail</v>
      </c>
    </row>
    <row r="68" spans="1:14" x14ac:dyDescent="0.35">
      <c r="A68" s="282" t="str">
        <f t="shared" si="10"/>
        <v>CH_hydro-PHS_lumped</v>
      </c>
      <c r="B68" s="278" t="s">
        <v>2884</v>
      </c>
      <c r="C68" s="216" t="s">
        <v>2800</v>
      </c>
      <c r="D68" s="327" t="e">
        <f t="shared" si="19"/>
        <v>#N/A</v>
      </c>
      <c r="E68" t="e">
        <f>VLOOKUP(C68,'Country Totals'!$AD$64:$AG$93,MATCH(B68,'Country Totals'!$AD$63:$AG$63,0),FALSE)</f>
        <v>#N/A</v>
      </c>
      <c r="F68">
        <f>VLOOKUP(B68,'Country Totals'!$AB$54:$AD$56,3,FALSE)</f>
        <v>400</v>
      </c>
      <c r="J68" s="281" t="str">
        <f t="shared" si="1"/>
        <v>CH_hydro-PHS_lumped_Head</v>
      </c>
      <c r="K68" s="278" t="s">
        <v>3020</v>
      </c>
      <c r="L68" t="e">
        <f>VLOOKUP(C68,'Country Totals'!$AH$64:$AK$93,MATCH(B68,'Country Totals'!$AH$63:$AK$63,0),FALSE)</f>
        <v>#N/A</v>
      </c>
      <c r="N68" t="str">
        <f t="shared" si="20"/>
        <v>CH_hydro-PHS_lumped_Tail</v>
      </c>
    </row>
    <row r="69" spans="1:14" hidden="1" x14ac:dyDescent="0.35">
      <c r="A69" s="282" t="str">
        <f t="shared" ref="A69:A94" si="21">C69&amp;"_"&amp;B69&amp;"_lumped"</f>
        <v>CY_hydro-PHS_lumped</v>
      </c>
      <c r="B69" s="278" t="s">
        <v>2884</v>
      </c>
      <c r="C69" s="216" t="s">
        <v>2801</v>
      </c>
      <c r="D69" s="216"/>
      <c r="E69" t="e">
        <f>VLOOKUP(C69,'Country Totals'!$AD$64:$AG$93,MATCH(B69,'Country Totals'!$AD$63:$AG$63,0),FALSE)</f>
        <v>#N/A</v>
      </c>
      <c r="F69">
        <f>VLOOKUP(B69,'Country Totals'!$AB$54:$AD$56,3,FALSE)</f>
        <v>400</v>
      </c>
      <c r="J69" s="281" t="str">
        <f t="shared" si="1"/>
        <v>CY_hydro-PHS_lumped_Head</v>
      </c>
      <c r="K69" s="278" t="s">
        <v>3020</v>
      </c>
      <c r="L69" t="e">
        <f>VLOOKUP(C69,'Country Totals'!$AH$64:$AK$93,MATCH(B69,'Country Totals'!$AH$63:$AK$63,0),FALSE)</f>
        <v>#N/A</v>
      </c>
    </row>
    <row r="70" spans="1:14" hidden="1" x14ac:dyDescent="0.35">
      <c r="A70" s="282" t="str">
        <f t="shared" si="21"/>
        <v>CZ_hydro-PHS_lumped</v>
      </c>
      <c r="B70" s="278" t="s">
        <v>2884</v>
      </c>
      <c r="C70" s="216" t="s">
        <v>2802</v>
      </c>
      <c r="D70" s="216"/>
      <c r="E70" t="e">
        <f>VLOOKUP(C70,'Country Totals'!$AD$64:$AG$93,MATCH(B70,'Country Totals'!$AD$63:$AG$63,0),FALSE)</f>
        <v>#N/A</v>
      </c>
      <c r="F70">
        <f>VLOOKUP(B70,'Country Totals'!$AB$54:$AD$56,3,FALSE)</f>
        <v>400</v>
      </c>
      <c r="J70" s="281" t="str">
        <f t="shared" ref="J70:J94" si="22">C70&amp;"_"&amp;B70&amp;"_lumped_Head"</f>
        <v>CZ_hydro-PHS_lumped_Head</v>
      </c>
      <c r="K70" s="278" t="s">
        <v>3020</v>
      </c>
      <c r="L70" t="e">
        <f>VLOOKUP(C70,'Country Totals'!$AH$64:$AK$93,MATCH(B70,'Country Totals'!$AH$63:$AK$63,0),FALSE)</f>
        <v>#N/A</v>
      </c>
    </row>
    <row r="71" spans="1:14" x14ac:dyDescent="0.35">
      <c r="A71" s="282" t="str">
        <f t="shared" si="21"/>
        <v>DE_hydro-PHS_lumped</v>
      </c>
      <c r="B71" s="278" t="s">
        <v>2884</v>
      </c>
      <c r="C71" s="216" t="s">
        <v>2803</v>
      </c>
      <c r="D71" s="327" t="e">
        <f>E71*F71</f>
        <v>#N/A</v>
      </c>
      <c r="E71" t="e">
        <f>VLOOKUP(C71,'Country Totals'!$AD$64:$AG$93,MATCH(B71,'Country Totals'!$AD$63:$AG$63,0),FALSE)</f>
        <v>#N/A</v>
      </c>
      <c r="F71">
        <f>VLOOKUP(B71,'Country Totals'!$AB$54:$AD$56,3,FALSE)</f>
        <v>400</v>
      </c>
      <c r="J71" s="281" t="str">
        <f t="shared" si="22"/>
        <v>DE_hydro-PHS_lumped_Head</v>
      </c>
      <c r="K71" s="278" t="s">
        <v>3020</v>
      </c>
      <c r="L71" t="e">
        <f>VLOOKUP(C71,'Country Totals'!$AH$64:$AK$93,MATCH(B71,'Country Totals'!$AH$63:$AK$63,0),FALSE)</f>
        <v>#N/A</v>
      </c>
      <c r="N71" t="str">
        <f>C71&amp;"_"&amp;B71&amp;"_lumped_Tail"</f>
        <v>DE_hydro-PHS_lumped_Tail</v>
      </c>
    </row>
    <row r="72" spans="1:14" hidden="1" x14ac:dyDescent="0.35">
      <c r="A72" s="282" t="str">
        <f t="shared" si="21"/>
        <v>DK_hydro-PHS_lumped</v>
      </c>
      <c r="B72" s="278" t="s">
        <v>2884</v>
      </c>
      <c r="C72" s="216" t="s">
        <v>2804</v>
      </c>
      <c r="D72" s="216"/>
      <c r="E72" t="e">
        <f>VLOOKUP(C72,'Country Totals'!$AD$64:$AG$93,MATCH(B72,'Country Totals'!$AD$63:$AG$63,0),FALSE)</f>
        <v>#N/A</v>
      </c>
      <c r="F72">
        <f>VLOOKUP(B72,'Country Totals'!$AB$54:$AD$56,3,FALSE)</f>
        <v>400</v>
      </c>
      <c r="J72" s="281" t="str">
        <f t="shared" si="22"/>
        <v>DK_hydro-PHS_lumped_Head</v>
      </c>
      <c r="K72" s="278" t="s">
        <v>3020</v>
      </c>
      <c r="L72" t="e">
        <f>VLOOKUP(C72,'Country Totals'!$AH$64:$AK$93,MATCH(B72,'Country Totals'!$AH$63:$AK$63,0),FALSE)</f>
        <v>#N/A</v>
      </c>
    </row>
    <row r="73" spans="1:14" hidden="1" x14ac:dyDescent="0.35">
      <c r="A73" s="282" t="str">
        <f t="shared" si="21"/>
        <v>EE_hydro-PHS_lumped</v>
      </c>
      <c r="B73" s="278" t="s">
        <v>2884</v>
      </c>
      <c r="C73" s="216" t="s">
        <v>2805</v>
      </c>
      <c r="D73" s="216"/>
      <c r="E73" t="e">
        <f>VLOOKUP(C73,'Country Totals'!$AD$64:$AG$93,MATCH(B73,'Country Totals'!$AD$63:$AG$63,0),FALSE)</f>
        <v>#N/A</v>
      </c>
      <c r="F73">
        <f>VLOOKUP(B73,'Country Totals'!$AB$54:$AD$56,3,FALSE)</f>
        <v>400</v>
      </c>
      <c r="J73" s="281" t="str">
        <f t="shared" si="22"/>
        <v>EE_hydro-PHS_lumped_Head</v>
      </c>
      <c r="K73" s="278" t="s">
        <v>3020</v>
      </c>
      <c r="L73" t="e">
        <f>VLOOKUP(C73,'Country Totals'!$AH$64:$AK$93,MATCH(B73,'Country Totals'!$AH$63:$AK$63,0),FALSE)</f>
        <v>#N/A</v>
      </c>
    </row>
    <row r="74" spans="1:14" x14ac:dyDescent="0.35">
      <c r="A74" s="282" t="str">
        <f t="shared" si="21"/>
        <v>EL_hydro-PHS_lumped</v>
      </c>
      <c r="B74" s="278" t="s">
        <v>2884</v>
      </c>
      <c r="C74" s="216" t="s">
        <v>2806</v>
      </c>
      <c r="D74" s="327" t="e">
        <f>E74*F74</f>
        <v>#N/A</v>
      </c>
      <c r="E74" t="e">
        <f>VLOOKUP(C74,'Country Totals'!$AD$64:$AG$93,MATCH(B74,'Country Totals'!$AD$63:$AG$63,0),FALSE)</f>
        <v>#N/A</v>
      </c>
      <c r="F74">
        <f>VLOOKUP(B74,'Country Totals'!$AB$54:$AD$56,3,FALSE)</f>
        <v>400</v>
      </c>
      <c r="J74" s="281" t="str">
        <f t="shared" si="22"/>
        <v>EL_hydro-PHS_lumped_Head</v>
      </c>
      <c r="K74" s="278" t="s">
        <v>3020</v>
      </c>
      <c r="L74" t="e">
        <f>VLOOKUP(C74,'Country Totals'!$AH$64:$AK$93,MATCH(B74,'Country Totals'!$AH$63:$AK$63,0),FALSE)</f>
        <v>#N/A</v>
      </c>
      <c r="N74" t="str">
        <f>C74&amp;"_"&amp;B74&amp;"_lumped_Tail"</f>
        <v>EL_hydro-PHS_lumped_Tail</v>
      </c>
    </row>
    <row r="75" spans="1:14" hidden="1" x14ac:dyDescent="0.35">
      <c r="A75" s="282" t="str">
        <f t="shared" si="21"/>
        <v>FI_hydro-PHS_lumped</v>
      </c>
      <c r="B75" s="278" t="s">
        <v>2884</v>
      </c>
      <c r="C75" s="216" t="s">
        <v>2808</v>
      </c>
      <c r="D75" s="216"/>
      <c r="E75" t="e">
        <f>VLOOKUP(C75,'Country Totals'!$AD$64:$AG$93,MATCH(B75,'Country Totals'!$AD$63:$AG$63,0),FALSE)</f>
        <v>#N/A</v>
      </c>
      <c r="F75">
        <f>VLOOKUP(B75,'Country Totals'!$AB$54:$AD$56,3,FALSE)</f>
        <v>400</v>
      </c>
      <c r="J75" s="281" t="str">
        <f t="shared" si="22"/>
        <v>FI_hydro-PHS_lumped_Head</v>
      </c>
      <c r="K75" s="278" t="s">
        <v>3020</v>
      </c>
      <c r="L75" t="e">
        <f>VLOOKUP(C75,'Country Totals'!$AH$64:$AK$93,MATCH(B75,'Country Totals'!$AH$63:$AK$63,0),FALSE)</f>
        <v>#N/A</v>
      </c>
    </row>
    <row r="76" spans="1:14" hidden="1" x14ac:dyDescent="0.35">
      <c r="A76" s="282" t="str">
        <f t="shared" si="21"/>
        <v>FR_hydro-PHS_lumped</v>
      </c>
      <c r="B76" s="278" t="s">
        <v>2884</v>
      </c>
      <c r="C76" s="216" t="s">
        <v>2809</v>
      </c>
      <c r="D76" s="216"/>
      <c r="E76" t="e">
        <f>VLOOKUP(C76,'Country Totals'!$AD$64:$AG$93,MATCH(B76,'Country Totals'!$AD$63:$AG$63,0),FALSE)</f>
        <v>#N/A</v>
      </c>
      <c r="F76">
        <f>VLOOKUP(B76,'Country Totals'!$AB$54:$AD$56,3,FALSE)</f>
        <v>400</v>
      </c>
      <c r="J76" s="281" t="str">
        <f t="shared" si="22"/>
        <v>FR_hydro-PHS_lumped_Head</v>
      </c>
      <c r="K76" s="278" t="s">
        <v>3020</v>
      </c>
      <c r="L76" t="e">
        <f>VLOOKUP(C76,'Country Totals'!$AH$64:$AK$93,MATCH(B76,'Country Totals'!$AH$63:$AK$63,0),FALSE)</f>
        <v>#N/A</v>
      </c>
    </row>
    <row r="77" spans="1:14" hidden="1" x14ac:dyDescent="0.35">
      <c r="A77" s="282" t="str">
        <f t="shared" si="21"/>
        <v>GB_hydro-PHS_lumped</v>
      </c>
      <c r="B77" s="278" t="s">
        <v>2884</v>
      </c>
      <c r="C77" s="216" t="s">
        <v>2832</v>
      </c>
      <c r="D77" s="216"/>
      <c r="E77" t="e">
        <f>VLOOKUP(C77,'Country Totals'!$AD$64:$AG$93,MATCH(B77,'Country Totals'!$AD$63:$AG$63,0),FALSE)</f>
        <v>#N/A</v>
      </c>
      <c r="F77">
        <f>VLOOKUP(B77,'Country Totals'!$AB$54:$AD$56,3,FALSE)</f>
        <v>400</v>
      </c>
      <c r="J77" s="281" t="str">
        <f t="shared" si="22"/>
        <v>GB_hydro-PHS_lumped_Head</v>
      </c>
      <c r="K77" s="278" t="s">
        <v>3020</v>
      </c>
      <c r="L77" t="e">
        <f>VLOOKUP(C77,'Country Totals'!$AH$64:$AK$93,MATCH(B77,'Country Totals'!$AH$63:$AK$63,0),FALSE)</f>
        <v>#N/A</v>
      </c>
    </row>
    <row r="78" spans="1:14" x14ac:dyDescent="0.35">
      <c r="A78" s="282" t="str">
        <f t="shared" si="21"/>
        <v>ES_hydro-PHS_lumped</v>
      </c>
      <c r="B78" s="278" t="s">
        <v>2884</v>
      </c>
      <c r="C78" s="216" t="s">
        <v>2807</v>
      </c>
      <c r="D78" s="327" t="e">
        <f t="shared" ref="D78:D79" si="23">E78*F78</f>
        <v>#N/A</v>
      </c>
      <c r="E78" t="e">
        <f>VLOOKUP(C78,'Country Totals'!$AD$64:$AG$93,MATCH(B78,'Country Totals'!$AD$63:$AG$63,0),FALSE)</f>
        <v>#N/A</v>
      </c>
      <c r="F78">
        <f>VLOOKUP(B78,'Country Totals'!$AB$54:$AD$56,3,FALSE)</f>
        <v>400</v>
      </c>
      <c r="J78" s="281" t="str">
        <f t="shared" si="22"/>
        <v>ES_hydro-PHS_lumped_Head</v>
      </c>
      <c r="K78" s="278" t="s">
        <v>3020</v>
      </c>
      <c r="L78" t="e">
        <f>VLOOKUP(C78,'Country Totals'!$AH$64:$AK$93,MATCH(B78,'Country Totals'!$AH$63:$AK$63,0),FALSE)</f>
        <v>#N/A</v>
      </c>
      <c r="N78" t="str">
        <f t="shared" ref="N78:N79" si="24">C78&amp;"_"&amp;B78&amp;"_lumped_Tail"</f>
        <v>ES_hydro-PHS_lumped_Tail</v>
      </c>
    </row>
    <row r="79" spans="1:14" x14ac:dyDescent="0.35">
      <c r="A79" s="282" t="str">
        <f t="shared" si="21"/>
        <v>HR_hydro-PHS_lumped</v>
      </c>
      <c r="B79" s="278" t="s">
        <v>2884</v>
      </c>
      <c r="C79" s="216" t="s">
        <v>2810</v>
      </c>
      <c r="D79" s="327" t="e">
        <f t="shared" si="23"/>
        <v>#N/A</v>
      </c>
      <c r="E79" t="e">
        <f>VLOOKUP(C79,'Country Totals'!$AD$64:$AG$93,MATCH(B79,'Country Totals'!$AD$63:$AG$63,0),FALSE)</f>
        <v>#N/A</v>
      </c>
      <c r="F79">
        <f>VLOOKUP(B79,'Country Totals'!$AB$54:$AD$56,3,FALSE)</f>
        <v>400</v>
      </c>
      <c r="J79" s="281" t="str">
        <f t="shared" si="22"/>
        <v>HR_hydro-PHS_lumped_Head</v>
      </c>
      <c r="K79" s="278" t="s">
        <v>3020</v>
      </c>
      <c r="L79" t="e">
        <f>VLOOKUP(C79,'Country Totals'!$AH$64:$AK$93,MATCH(B79,'Country Totals'!$AH$63:$AK$63,0),FALSE)</f>
        <v>#N/A</v>
      </c>
      <c r="N79" t="str">
        <f t="shared" si="24"/>
        <v>HR_hydro-PHS_lumped_Tail</v>
      </c>
    </row>
    <row r="80" spans="1:14" hidden="1" x14ac:dyDescent="0.35">
      <c r="A80" s="282" t="str">
        <f t="shared" si="21"/>
        <v>HU_hydro-PHS_lumped</v>
      </c>
      <c r="B80" s="278" t="s">
        <v>2884</v>
      </c>
      <c r="C80" s="216" t="s">
        <v>2811</v>
      </c>
      <c r="D80" s="216"/>
      <c r="E80" t="e">
        <f>VLOOKUP(C80,'Country Totals'!$AD$64:$AG$93,MATCH(B80,'Country Totals'!$AD$63:$AG$63,0),FALSE)</f>
        <v>#N/A</v>
      </c>
      <c r="F80">
        <f>VLOOKUP(B80,'Country Totals'!$AB$54:$AD$56,3,FALSE)</f>
        <v>400</v>
      </c>
      <c r="J80" s="281" t="str">
        <f t="shared" si="22"/>
        <v>HU_hydro-PHS_lumped_Head</v>
      </c>
      <c r="K80" s="278" t="s">
        <v>3020</v>
      </c>
      <c r="L80" t="e">
        <f>VLOOKUP(C80,'Country Totals'!$AH$64:$AK$93,MATCH(B80,'Country Totals'!$AH$63:$AK$63,0),FALSE)</f>
        <v>#N/A</v>
      </c>
    </row>
    <row r="81" spans="1:14" x14ac:dyDescent="0.35">
      <c r="A81" s="282" t="str">
        <f t="shared" si="21"/>
        <v>IE_hydro-PHS_lumped</v>
      </c>
      <c r="B81" s="278" t="s">
        <v>2884</v>
      </c>
      <c r="C81" s="216" t="s">
        <v>2812</v>
      </c>
      <c r="D81" s="327" t="e">
        <f t="shared" ref="D81:D82" si="25">E81*F81</f>
        <v>#N/A</v>
      </c>
      <c r="E81" t="e">
        <f>VLOOKUP(C81,'Country Totals'!$AD$64:$AG$93,MATCH(B81,'Country Totals'!$AD$63:$AG$63,0),FALSE)</f>
        <v>#N/A</v>
      </c>
      <c r="F81">
        <f>VLOOKUP(B81,'Country Totals'!$AB$54:$AD$56,3,FALSE)</f>
        <v>400</v>
      </c>
      <c r="J81" s="281" t="str">
        <f t="shared" si="22"/>
        <v>IE_hydro-PHS_lumped_Head</v>
      </c>
      <c r="K81" s="278" t="s">
        <v>3020</v>
      </c>
      <c r="L81" t="e">
        <f>VLOOKUP(C81,'Country Totals'!$AH$64:$AK$93,MATCH(B81,'Country Totals'!$AH$63:$AK$63,0),FALSE)</f>
        <v>#N/A</v>
      </c>
      <c r="N81" t="str">
        <f t="shared" ref="N81:N82" si="26">C81&amp;"_"&amp;B81&amp;"_lumped_Tail"</f>
        <v>IE_hydro-PHS_lumped_Tail</v>
      </c>
    </row>
    <row r="82" spans="1:14" x14ac:dyDescent="0.35">
      <c r="A82" s="282" t="str">
        <f t="shared" si="21"/>
        <v>IT_hydro-PHS_lumped</v>
      </c>
      <c r="B82" s="278" t="s">
        <v>2884</v>
      </c>
      <c r="C82" s="216" t="s">
        <v>2813</v>
      </c>
      <c r="D82" s="327" t="e">
        <f t="shared" si="25"/>
        <v>#N/A</v>
      </c>
      <c r="E82" t="e">
        <f>VLOOKUP(C82,'Country Totals'!$AD$64:$AG$93,MATCH(B82,'Country Totals'!$AD$63:$AG$63,0),FALSE)</f>
        <v>#N/A</v>
      </c>
      <c r="F82">
        <f>VLOOKUP(B82,'Country Totals'!$AB$54:$AD$56,3,FALSE)</f>
        <v>400</v>
      </c>
      <c r="J82" s="281" t="str">
        <f t="shared" si="22"/>
        <v>IT_hydro-PHS_lumped_Head</v>
      </c>
      <c r="K82" s="278" t="s">
        <v>3020</v>
      </c>
      <c r="L82" t="e">
        <f>VLOOKUP(C82,'Country Totals'!$AH$64:$AK$93,MATCH(B82,'Country Totals'!$AH$63:$AK$63,0),FALSE)</f>
        <v>#N/A</v>
      </c>
      <c r="N82" t="str">
        <f t="shared" si="26"/>
        <v>IT_hydro-PHS_lumped_Tail</v>
      </c>
    </row>
    <row r="83" spans="1:14" hidden="1" x14ac:dyDescent="0.35">
      <c r="A83" s="282" t="str">
        <f t="shared" si="21"/>
        <v>LT_hydro-PHS_lumped</v>
      </c>
      <c r="B83" s="278" t="s">
        <v>2884</v>
      </c>
      <c r="C83" s="216" t="s">
        <v>2814</v>
      </c>
      <c r="D83" s="216"/>
      <c r="E83" t="e">
        <f>VLOOKUP(C83,'Country Totals'!$AD$64:$AG$93,MATCH(B83,'Country Totals'!$AD$63:$AG$63,0),FALSE)</f>
        <v>#N/A</v>
      </c>
      <c r="F83">
        <f>VLOOKUP(B83,'Country Totals'!$AB$54:$AD$56,3,FALSE)</f>
        <v>400</v>
      </c>
      <c r="J83" s="281" t="str">
        <f t="shared" si="22"/>
        <v>LT_hydro-PHS_lumped_Head</v>
      </c>
      <c r="K83" s="278" t="s">
        <v>3020</v>
      </c>
      <c r="L83" t="e">
        <f>VLOOKUP(C83,'Country Totals'!$AH$64:$AK$93,MATCH(B83,'Country Totals'!$AH$63:$AK$63,0),FALSE)</f>
        <v>#N/A</v>
      </c>
    </row>
    <row r="84" spans="1:14" hidden="1" x14ac:dyDescent="0.35">
      <c r="A84" s="282" t="str">
        <f t="shared" si="21"/>
        <v>LU_hydro-PHS_lumped</v>
      </c>
      <c r="B84" s="278" t="s">
        <v>2884</v>
      </c>
      <c r="C84" s="216" t="s">
        <v>2815</v>
      </c>
      <c r="D84" s="216"/>
      <c r="E84" t="e">
        <f>VLOOKUP(C84,'Country Totals'!$AD$64:$AG$93,MATCH(B84,'Country Totals'!$AD$63:$AG$63,0),FALSE)</f>
        <v>#N/A</v>
      </c>
      <c r="F84">
        <f>VLOOKUP(B84,'Country Totals'!$AB$54:$AD$56,3,FALSE)</f>
        <v>400</v>
      </c>
      <c r="J84" s="281" t="str">
        <f t="shared" si="22"/>
        <v>LU_hydro-PHS_lumped_Head</v>
      </c>
      <c r="K84" s="278" t="s">
        <v>3020</v>
      </c>
      <c r="L84" t="e">
        <f>VLOOKUP(C84,'Country Totals'!$AH$64:$AK$93,MATCH(B84,'Country Totals'!$AH$63:$AK$63,0),FALSE)</f>
        <v>#N/A</v>
      </c>
    </row>
    <row r="85" spans="1:14" hidden="1" x14ac:dyDescent="0.35">
      <c r="A85" s="282" t="str">
        <f t="shared" si="21"/>
        <v>LV_hydro-PHS_lumped</v>
      </c>
      <c r="B85" s="278" t="s">
        <v>2884</v>
      </c>
      <c r="C85" s="216" t="s">
        <v>2816</v>
      </c>
      <c r="D85" s="216"/>
      <c r="E85" t="e">
        <f>VLOOKUP(C85,'Country Totals'!$AD$64:$AG$93,MATCH(B85,'Country Totals'!$AD$63:$AG$63,0),FALSE)</f>
        <v>#N/A</v>
      </c>
      <c r="F85">
        <f>VLOOKUP(B85,'Country Totals'!$AB$54:$AD$56,3,FALSE)</f>
        <v>400</v>
      </c>
      <c r="J85" s="281" t="str">
        <f t="shared" si="22"/>
        <v>LV_hydro-PHS_lumped_Head</v>
      </c>
      <c r="K85" s="278" t="s">
        <v>3020</v>
      </c>
      <c r="L85" t="e">
        <f>VLOOKUP(C85,'Country Totals'!$AH$64:$AK$93,MATCH(B85,'Country Totals'!$AH$63:$AK$63,0),FALSE)</f>
        <v>#N/A</v>
      </c>
    </row>
    <row r="86" spans="1:14" hidden="1" x14ac:dyDescent="0.35">
      <c r="A86" s="282" t="str">
        <f t="shared" si="21"/>
        <v>NI_hydro-PHS_lumped</v>
      </c>
      <c r="B86" s="278" t="s">
        <v>2884</v>
      </c>
      <c r="C86" s="216" t="s">
        <v>2833</v>
      </c>
      <c r="D86" s="216"/>
      <c r="E86" t="e">
        <f>VLOOKUP(C86,'Country Totals'!$AD$64:$AG$93,MATCH(B86,'Country Totals'!$AD$63:$AG$63,0),FALSE)</f>
        <v>#N/A</v>
      </c>
      <c r="F86">
        <f>VLOOKUP(B86,'Country Totals'!$AB$54:$AD$56,3,FALSE)</f>
        <v>400</v>
      </c>
      <c r="J86" s="281" t="str">
        <f t="shared" si="22"/>
        <v>NI_hydro-PHS_lumped_Head</v>
      </c>
      <c r="K86" s="278" t="s">
        <v>3020</v>
      </c>
      <c r="L86" t="e">
        <f>VLOOKUP(C86,'Country Totals'!$AH$64:$AK$93,MATCH(B86,'Country Totals'!$AH$63:$AK$63,0),FALSE)</f>
        <v>#N/A</v>
      </c>
    </row>
    <row r="87" spans="1:14" hidden="1" x14ac:dyDescent="0.35">
      <c r="A87" s="282" t="str">
        <f t="shared" si="21"/>
        <v>NL_hydro-PHS_lumped</v>
      </c>
      <c r="B87" s="278" t="s">
        <v>2884</v>
      </c>
      <c r="C87" s="216" t="s">
        <v>2818</v>
      </c>
      <c r="D87" s="216"/>
      <c r="E87" t="e">
        <f>VLOOKUP(C87,'Country Totals'!$AD$64:$AG$93,MATCH(B87,'Country Totals'!$AD$63:$AG$63,0),FALSE)</f>
        <v>#N/A</v>
      </c>
      <c r="F87">
        <f>VLOOKUP(B87,'Country Totals'!$AB$54:$AD$56,3,FALSE)</f>
        <v>400</v>
      </c>
      <c r="J87" s="281" t="str">
        <f t="shared" si="22"/>
        <v>NL_hydro-PHS_lumped_Head</v>
      </c>
      <c r="K87" s="278" t="s">
        <v>3020</v>
      </c>
      <c r="L87" t="e">
        <f>VLOOKUP(C87,'Country Totals'!$AH$64:$AK$93,MATCH(B87,'Country Totals'!$AH$63:$AK$63,0),FALSE)</f>
        <v>#N/A</v>
      </c>
    </row>
    <row r="88" spans="1:14" x14ac:dyDescent="0.35">
      <c r="A88" s="282" t="str">
        <f t="shared" si="21"/>
        <v>NO_hydro-PHS_lumped</v>
      </c>
      <c r="B88" s="278" t="s">
        <v>2884</v>
      </c>
      <c r="C88" s="216" t="s">
        <v>2819</v>
      </c>
      <c r="D88" s="327" t="e">
        <f t="shared" ref="D88:D90" si="27">E88*F88</f>
        <v>#N/A</v>
      </c>
      <c r="E88" t="e">
        <f>VLOOKUP(C88,'Country Totals'!$AD$64:$AG$93,MATCH(B88,'Country Totals'!$AD$63:$AG$63,0),FALSE)</f>
        <v>#N/A</v>
      </c>
      <c r="F88">
        <f>VLOOKUP(B88,'Country Totals'!$AB$54:$AD$56,3,FALSE)</f>
        <v>400</v>
      </c>
      <c r="J88" s="281" t="str">
        <f t="shared" si="22"/>
        <v>NO_hydro-PHS_lumped_Head</v>
      </c>
      <c r="K88" s="278" t="s">
        <v>3020</v>
      </c>
      <c r="L88" t="e">
        <f>VLOOKUP(C88,'Country Totals'!$AH$64:$AK$93,MATCH(B88,'Country Totals'!$AH$63:$AK$63,0),FALSE)</f>
        <v>#N/A</v>
      </c>
      <c r="N88" t="str">
        <f t="shared" ref="N88:N90" si="28">C88&amp;"_"&amp;B88&amp;"_lumped_Tail"</f>
        <v>NO_hydro-PHS_lumped_Tail</v>
      </c>
    </row>
    <row r="89" spans="1:14" x14ac:dyDescent="0.35">
      <c r="A89" s="282" t="str">
        <f t="shared" si="21"/>
        <v>PL_hydro-PHS_lumped</v>
      </c>
      <c r="B89" s="278" t="s">
        <v>2884</v>
      </c>
      <c r="C89" s="216" t="s">
        <v>2820</v>
      </c>
      <c r="D89" s="327" t="e">
        <f t="shared" si="27"/>
        <v>#N/A</v>
      </c>
      <c r="E89" t="e">
        <f>VLOOKUP(C89,'Country Totals'!$AD$64:$AG$93,MATCH(B89,'Country Totals'!$AD$63:$AG$63,0),FALSE)</f>
        <v>#N/A</v>
      </c>
      <c r="F89">
        <f>VLOOKUP(B89,'Country Totals'!$AB$54:$AD$56,3,FALSE)</f>
        <v>400</v>
      </c>
      <c r="J89" s="281" t="str">
        <f t="shared" si="22"/>
        <v>PL_hydro-PHS_lumped_Head</v>
      </c>
      <c r="K89" s="278" t="s">
        <v>3020</v>
      </c>
      <c r="L89" t="e">
        <f>VLOOKUP(C89,'Country Totals'!$AH$64:$AK$93,MATCH(B89,'Country Totals'!$AH$63:$AK$63,0),FALSE)</f>
        <v>#N/A</v>
      </c>
      <c r="N89" t="str">
        <f t="shared" si="28"/>
        <v>PL_hydro-PHS_lumped_Tail</v>
      </c>
    </row>
    <row r="90" spans="1:14" x14ac:dyDescent="0.35">
      <c r="A90" s="282" t="str">
        <f t="shared" si="21"/>
        <v>PT_hydro-PHS_lumped</v>
      </c>
      <c r="B90" s="278" t="s">
        <v>2884</v>
      </c>
      <c r="C90" s="216" t="s">
        <v>2821</v>
      </c>
      <c r="D90" s="327" t="e">
        <f t="shared" si="27"/>
        <v>#N/A</v>
      </c>
      <c r="E90" t="e">
        <f>VLOOKUP(C90,'Country Totals'!$AD$64:$AG$93,MATCH(B90,'Country Totals'!$AD$63:$AG$63,0),FALSE)</f>
        <v>#N/A</v>
      </c>
      <c r="F90">
        <f>VLOOKUP(B90,'Country Totals'!$AB$54:$AD$56,3,FALSE)</f>
        <v>400</v>
      </c>
      <c r="J90" s="281" t="str">
        <f t="shared" si="22"/>
        <v>PT_hydro-PHS_lumped_Head</v>
      </c>
      <c r="K90" s="278" t="s">
        <v>3020</v>
      </c>
      <c r="L90" t="e">
        <f>VLOOKUP(C90,'Country Totals'!$AH$64:$AK$93,MATCH(B90,'Country Totals'!$AH$63:$AK$63,0),FALSE)</f>
        <v>#N/A</v>
      </c>
      <c r="N90" t="str">
        <f t="shared" si="28"/>
        <v>PT_hydro-PHS_lumped_Tail</v>
      </c>
    </row>
    <row r="91" spans="1:14" hidden="1" x14ac:dyDescent="0.35">
      <c r="A91" s="282" t="str">
        <f t="shared" si="21"/>
        <v>RO_hydro-PHS_lumped</v>
      </c>
      <c r="B91" s="278" t="s">
        <v>2884</v>
      </c>
      <c r="C91" s="216" t="s">
        <v>2822</v>
      </c>
      <c r="D91" s="216"/>
      <c r="E91" t="e">
        <f>VLOOKUP(C91,'Country Totals'!$AD$64:$AG$93,MATCH(B91,'Country Totals'!$AD$63:$AG$63,0),FALSE)</f>
        <v>#N/A</v>
      </c>
      <c r="F91">
        <f>VLOOKUP(B91,'Country Totals'!$AB$54:$AD$56,3,FALSE)</f>
        <v>400</v>
      </c>
      <c r="J91" s="281" t="str">
        <f t="shared" si="22"/>
        <v>RO_hydro-PHS_lumped_Head</v>
      </c>
      <c r="K91" s="278" t="s">
        <v>3020</v>
      </c>
      <c r="L91" t="e">
        <f>VLOOKUP(C91,'Country Totals'!$AH$64:$AK$93,MATCH(B91,'Country Totals'!$AH$63:$AK$63,0),FALSE)</f>
        <v>#N/A</v>
      </c>
    </row>
    <row r="92" spans="1:14" hidden="1" x14ac:dyDescent="0.35">
      <c r="A92" s="282" t="str">
        <f t="shared" si="21"/>
        <v>SE_hydro-PHS_lumped</v>
      </c>
      <c r="B92" s="278" t="s">
        <v>2884</v>
      </c>
      <c r="C92" s="216" t="s">
        <v>2823</v>
      </c>
      <c r="D92" s="216"/>
      <c r="E92" t="e">
        <f>VLOOKUP(C92,'Country Totals'!$AD$64:$AG$93,MATCH(B92,'Country Totals'!$AD$63:$AG$63,0),FALSE)</f>
        <v>#N/A</v>
      </c>
      <c r="F92">
        <f>VLOOKUP(B92,'Country Totals'!$AB$54:$AD$56,3,FALSE)</f>
        <v>400</v>
      </c>
      <c r="J92" s="281" t="str">
        <f t="shared" si="22"/>
        <v>SE_hydro-PHS_lumped_Head</v>
      </c>
      <c r="K92" s="278" t="s">
        <v>3020</v>
      </c>
      <c r="L92" t="e">
        <f>VLOOKUP(C92,'Country Totals'!$AH$64:$AK$93,MATCH(B92,'Country Totals'!$AH$63:$AK$63,0),FALSE)</f>
        <v>#N/A</v>
      </c>
    </row>
    <row r="93" spans="1:14" x14ac:dyDescent="0.35">
      <c r="A93" s="282" t="str">
        <f t="shared" si="21"/>
        <v>SI_hydro-PHS_lumped</v>
      </c>
      <c r="B93" s="278" t="s">
        <v>2884</v>
      </c>
      <c r="C93" s="216" t="s">
        <v>2824</v>
      </c>
      <c r="D93" s="327" t="e">
        <f>E93*F93</f>
        <v>#N/A</v>
      </c>
      <c r="E93" t="e">
        <f>VLOOKUP(C93,'Country Totals'!$AD$64:$AG$93,MATCH(B93,'Country Totals'!$AD$63:$AG$63,0),FALSE)</f>
        <v>#N/A</v>
      </c>
      <c r="F93">
        <f>VLOOKUP(B93,'Country Totals'!$AB$54:$AD$56,3,FALSE)</f>
        <v>400</v>
      </c>
      <c r="J93" s="281" t="str">
        <f t="shared" si="22"/>
        <v>SI_hydro-PHS_lumped_Head</v>
      </c>
      <c r="K93" s="278" t="s">
        <v>3020</v>
      </c>
      <c r="L93" t="e">
        <f>VLOOKUP(C93,'Country Totals'!$AH$64:$AK$93,MATCH(B93,'Country Totals'!$AH$63:$AK$63,0),FALSE)</f>
        <v>#N/A</v>
      </c>
      <c r="N93" t="str">
        <f>C93&amp;"_"&amp;B93&amp;"_lumped_Tail"</f>
        <v>SI_hydro-PHS_lumped_Tail</v>
      </c>
    </row>
    <row r="94" spans="1:14" hidden="1" x14ac:dyDescent="0.35">
      <c r="A94" s="282" t="str">
        <f t="shared" si="21"/>
        <v>SK_hydro-PHS_lumped</v>
      </c>
      <c r="B94" s="278" t="s">
        <v>2884</v>
      </c>
      <c r="C94" s="216" t="s">
        <v>2825</v>
      </c>
      <c r="D94" s="216"/>
      <c r="E94" t="e">
        <f>VLOOKUP(C94,'Country Totals'!$AD$64:$AG$93,MATCH(B94,'Country Totals'!$AD$63:$AG$63,0),FALSE)</f>
        <v>#N/A</v>
      </c>
      <c r="F94">
        <f>VLOOKUP(B94,'Country Totals'!$AB$54:$AD$56,3,FALSE)</f>
        <v>400</v>
      </c>
      <c r="J94" s="281" t="str">
        <f t="shared" si="22"/>
        <v>SK_hydro-PHS_lumped_Head</v>
      </c>
      <c r="K94" s="278" t="s">
        <v>3020</v>
      </c>
      <c r="L94" t="e">
        <f>VLOOKUP(C94,'Country Totals'!$AH$64:$AK$93,MATCH(B94,'Country Totals'!$AH$63:$AK$63,0),FALSE)</f>
        <v>#N/A</v>
      </c>
    </row>
  </sheetData>
  <autoFilter ref="A4:L94" xr:uid="{00000000-0009-0000-0000-00000E000000}">
    <filterColumn colId="4">
      <customFilters>
        <customFilter operator="greaterThan" val="0"/>
      </customFilters>
    </filterColumn>
  </autoFilter>
  <pageMargins left="0.7" right="0.7" top="0.75" bottom="0.75" header="0.3" footer="0.3"/>
  <pageSetup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filterMode="1">
    <tabColor rgb="FF002060"/>
  </sheetPr>
  <dimension ref="A1:P94"/>
  <sheetViews>
    <sheetView topLeftCell="A4" workbookViewId="0">
      <selection activeCell="D94" sqref="D94"/>
    </sheetView>
  </sheetViews>
  <sheetFormatPr defaultColWidth="8.81640625" defaultRowHeight="14.5" x14ac:dyDescent="0.35"/>
  <cols>
    <col min="1" max="1" width="22.36328125" bestFit="1" customWidth="1"/>
    <col min="2" max="2" width="12" customWidth="1"/>
    <col min="4" max="4" width="8.81640625" style="159"/>
    <col min="6" max="6" width="15" bestFit="1" customWidth="1"/>
    <col min="10" max="10" width="32.81640625" customWidth="1"/>
    <col min="11" max="11" width="11.36328125" bestFit="1" customWidth="1"/>
    <col min="12" max="12" width="12.36328125" customWidth="1"/>
  </cols>
  <sheetData>
    <row r="1" spans="1:16" x14ac:dyDescent="0.35">
      <c r="A1" s="214" t="s">
        <v>3192</v>
      </c>
    </row>
    <row r="3" spans="1:16" x14ac:dyDescent="0.35">
      <c r="A3" s="328" t="s">
        <v>3191</v>
      </c>
      <c r="B3" s="329"/>
      <c r="C3" s="329"/>
      <c r="D3" s="330"/>
      <c r="E3" s="329"/>
      <c r="F3" s="329"/>
      <c r="J3" s="328" t="s">
        <v>3077</v>
      </c>
      <c r="K3" s="329"/>
      <c r="L3" s="329"/>
      <c r="N3" s="328" t="s">
        <v>3078</v>
      </c>
      <c r="O3" s="329"/>
      <c r="P3" s="329"/>
    </row>
    <row r="4" spans="1:16" x14ac:dyDescent="0.35">
      <c r="A4" s="94" t="s">
        <v>2960</v>
      </c>
      <c r="B4" s="94" t="s">
        <v>2886</v>
      </c>
      <c r="C4" s="94" t="s">
        <v>41</v>
      </c>
      <c r="D4" s="326" t="s">
        <v>3079</v>
      </c>
      <c r="E4" s="304" t="s">
        <v>2962</v>
      </c>
      <c r="F4" s="94" t="s">
        <v>2961</v>
      </c>
      <c r="J4" s="94" t="s">
        <v>2960</v>
      </c>
      <c r="K4" s="94" t="s">
        <v>2886</v>
      </c>
      <c r="L4" s="94" t="s">
        <v>3061</v>
      </c>
      <c r="N4" s="94" t="s">
        <v>2960</v>
      </c>
      <c r="O4" s="94" t="s">
        <v>2886</v>
      </c>
      <c r="P4" s="94" t="s">
        <v>3061</v>
      </c>
    </row>
    <row r="5" spans="1:16" hidden="1" x14ac:dyDescent="0.35">
      <c r="A5" s="281" t="str">
        <f>C5&amp;"_"&amp;B5&amp;"_DetLumped"</f>
        <v>AT_hydro-ROR_DetLumped</v>
      </c>
      <c r="B5" s="278" t="s">
        <v>2882</v>
      </c>
      <c r="C5" s="216" t="s">
        <v>2797</v>
      </c>
      <c r="D5" s="327" t="e">
        <f>E5*F5</f>
        <v>#N/A</v>
      </c>
      <c r="E5" t="e">
        <f>ROUND(VLOOKUP(C5,'Country Totals'!$B$64:$E$93,MATCH(B5,'Country Totals'!$B$63:$E$63,0),FALSE)/F5,0)</f>
        <v>#N/A</v>
      </c>
      <c r="F5">
        <f>VLOOKUP(B5,'Country Totals'!$AB$54:$AD$56,3,FALSE)</f>
        <v>70</v>
      </c>
      <c r="J5" s="281" t="str">
        <f>C5&amp;"_"&amp;B5&amp;"_Detlumped_Head"</f>
        <v>AT_hydro-ROR_Detlumped_Head</v>
      </c>
      <c r="K5" s="278" t="s">
        <v>3048</v>
      </c>
      <c r="L5" t="e">
        <f>ROUND(IF('Country Totals'!$AJ$56="Specific",'Lumped Detailed Generators'!D5*VLOOKUP('Lumped Detailed Generators'!$B5,'Country Totals'!$AB$46:$AD$48,3,FALSE)/1000),2)</f>
        <v>#N/A</v>
      </c>
      <c r="N5" t="str">
        <f>C5&amp;"_"&amp;B5&amp;"_Detlumped_Tail"</f>
        <v>AT_hydro-ROR_Detlumped_Tail</v>
      </c>
    </row>
    <row r="6" spans="1:16" hidden="1" x14ac:dyDescent="0.35">
      <c r="A6" s="281" t="str">
        <f t="shared" ref="A6:A69" si="0">C6&amp;"_"&amp;B6&amp;"_DetLumped"</f>
        <v>BE_hydro-ROR_DetLumped</v>
      </c>
      <c r="B6" s="278" t="s">
        <v>2882</v>
      </c>
      <c r="C6" s="216" t="s">
        <v>2798</v>
      </c>
      <c r="D6" s="327" t="e">
        <f t="shared" ref="D6:D69" si="1">E6*F6</f>
        <v>#N/A</v>
      </c>
      <c r="E6" t="e">
        <f>ROUND(VLOOKUP(C6,'Country Totals'!$B$64:$E$93,MATCH(B6,'Country Totals'!$B$63:$E$63,0),FALSE)/F6,0)</f>
        <v>#N/A</v>
      </c>
      <c r="F6">
        <f>VLOOKUP(B6,'Country Totals'!$AB$54:$AD$56,3,FALSE)</f>
        <v>70</v>
      </c>
      <c r="J6" s="281" t="str">
        <f t="shared" ref="J6:J69" si="2">C6&amp;"_"&amp;B6&amp;"_Detlumped_Head"</f>
        <v>BE_hydro-ROR_Detlumped_Head</v>
      </c>
      <c r="K6" s="278" t="s">
        <v>3048</v>
      </c>
      <c r="L6" t="e">
        <f>ROUND(IF('Country Totals'!$AJ$56="Specific",'Lumped Detailed Generators'!D6*VLOOKUP('Lumped Detailed Generators'!$B6,'Country Totals'!$AB$46:$AD$48,3,FALSE)/1000),2)</f>
        <v>#N/A</v>
      </c>
      <c r="N6" t="str">
        <f t="shared" ref="N6:N69" si="3">C6&amp;"_"&amp;B6&amp;"_Detlumped_Tail"</f>
        <v>BE_hydro-ROR_Detlumped_Tail</v>
      </c>
    </row>
    <row r="7" spans="1:16" hidden="1" x14ac:dyDescent="0.35">
      <c r="A7" s="281" t="str">
        <f t="shared" si="0"/>
        <v>BG_hydro-ROR_DetLumped</v>
      </c>
      <c r="B7" s="278" t="s">
        <v>2882</v>
      </c>
      <c r="C7" s="216" t="s">
        <v>2799</v>
      </c>
      <c r="D7" s="327" t="e">
        <f t="shared" si="1"/>
        <v>#N/A</v>
      </c>
      <c r="E7" t="e">
        <f>ROUND(VLOOKUP(C7,'Country Totals'!$B$64:$E$93,MATCH(B7,'Country Totals'!$B$63:$E$63,0),FALSE)/F7,0)</f>
        <v>#N/A</v>
      </c>
      <c r="F7">
        <f>VLOOKUP(B7,'Country Totals'!$AB$54:$AD$56,3,FALSE)</f>
        <v>70</v>
      </c>
      <c r="J7" s="281" t="str">
        <f t="shared" si="2"/>
        <v>BG_hydro-ROR_Detlumped_Head</v>
      </c>
      <c r="K7" s="278" t="s">
        <v>3048</v>
      </c>
      <c r="L7" t="e">
        <f>ROUND(IF('Country Totals'!$AJ$56="Specific",'Lumped Detailed Generators'!D7*VLOOKUP('Lumped Detailed Generators'!$B7,'Country Totals'!$AB$46:$AD$48,3,FALSE)/1000),2)</f>
        <v>#N/A</v>
      </c>
      <c r="N7" t="str">
        <f t="shared" si="3"/>
        <v>BG_hydro-ROR_Detlumped_Tail</v>
      </c>
    </row>
    <row r="8" spans="1:16" x14ac:dyDescent="0.35">
      <c r="A8" s="281" t="str">
        <f t="shared" si="0"/>
        <v>CH_hydro-ROR_DetLumped</v>
      </c>
      <c r="B8" s="278" t="s">
        <v>2882</v>
      </c>
      <c r="C8" s="216" t="s">
        <v>2800</v>
      </c>
      <c r="D8" s="327" t="e">
        <f t="shared" si="1"/>
        <v>#N/A</v>
      </c>
      <c r="E8" t="e">
        <f>ROUND(VLOOKUP(C8,'Country Totals'!$B$64:$E$93,MATCH(B8,'Country Totals'!$B$63:$E$63,0),FALSE)/F8,0)</f>
        <v>#N/A</v>
      </c>
      <c r="F8">
        <f>VLOOKUP(B8,'Country Totals'!$AB$54:$AD$56,3,FALSE)</f>
        <v>70</v>
      </c>
      <c r="J8" s="281" t="str">
        <f t="shared" si="2"/>
        <v>CH_hydro-ROR_Detlumped_Head</v>
      </c>
      <c r="K8" s="278" t="s">
        <v>3048</v>
      </c>
      <c r="L8" t="e">
        <f>ROUND(IF('Country Totals'!$AJ$56="Specific",'Lumped Detailed Generators'!D8*VLOOKUP('Lumped Detailed Generators'!$B8,'Country Totals'!$AB$46:$AD$48,3,FALSE)/1000),2)</f>
        <v>#N/A</v>
      </c>
      <c r="N8" t="str">
        <f t="shared" si="3"/>
        <v>CH_hydro-ROR_Detlumped_Tail</v>
      </c>
    </row>
    <row r="9" spans="1:16" hidden="1" x14ac:dyDescent="0.35">
      <c r="A9" s="281" t="str">
        <f t="shared" si="0"/>
        <v>CY_hydro-ROR_DetLumped</v>
      </c>
      <c r="B9" s="278" t="s">
        <v>2882</v>
      </c>
      <c r="C9" s="216" t="s">
        <v>2801</v>
      </c>
      <c r="D9" s="327" t="e">
        <f t="shared" si="1"/>
        <v>#N/A</v>
      </c>
      <c r="E9" t="e">
        <f>ROUND(VLOOKUP(C9,'Country Totals'!$B$64:$E$93,MATCH(B9,'Country Totals'!$B$63:$E$63,0),FALSE)/F9,0)</f>
        <v>#N/A</v>
      </c>
      <c r="F9">
        <f>VLOOKUP(B9,'Country Totals'!$AB$54:$AD$56,3,FALSE)</f>
        <v>70</v>
      </c>
      <c r="J9" s="281" t="str">
        <f t="shared" si="2"/>
        <v>CY_hydro-ROR_Detlumped_Head</v>
      </c>
      <c r="K9" s="278" t="s">
        <v>3048</v>
      </c>
      <c r="L9" t="e">
        <f>ROUND(IF('Country Totals'!$AJ$56="Specific",'Lumped Detailed Generators'!D9*VLOOKUP('Lumped Detailed Generators'!$B9,'Country Totals'!$AB$46:$AD$48,3,FALSE)/1000),2)</f>
        <v>#N/A</v>
      </c>
      <c r="N9" t="str">
        <f t="shared" si="3"/>
        <v>CY_hydro-ROR_Detlumped_Tail</v>
      </c>
    </row>
    <row r="10" spans="1:16" x14ac:dyDescent="0.35">
      <c r="A10" s="281" t="str">
        <f t="shared" si="0"/>
        <v>CZ_hydro-ROR_DetLumped</v>
      </c>
      <c r="B10" s="278" t="s">
        <v>2882</v>
      </c>
      <c r="C10" s="216" t="s">
        <v>2802</v>
      </c>
      <c r="D10" s="327" t="e">
        <f t="shared" si="1"/>
        <v>#N/A</v>
      </c>
      <c r="E10" t="e">
        <f>ROUND(VLOOKUP(C10,'Country Totals'!$B$64:$E$93,MATCH(B10,'Country Totals'!$B$63:$E$63,0),FALSE)/F10,0)</f>
        <v>#N/A</v>
      </c>
      <c r="F10">
        <f>VLOOKUP(B10,'Country Totals'!$AB$54:$AD$56,3,FALSE)</f>
        <v>70</v>
      </c>
      <c r="J10" s="281" t="str">
        <f t="shared" si="2"/>
        <v>CZ_hydro-ROR_Detlumped_Head</v>
      </c>
      <c r="K10" s="278" t="s">
        <v>3048</v>
      </c>
      <c r="L10" t="e">
        <f>ROUND(IF('Country Totals'!$AJ$56="Specific",'Lumped Detailed Generators'!D10*VLOOKUP('Lumped Detailed Generators'!$B10,'Country Totals'!$AB$46:$AD$48,3,FALSE)/1000),2)</f>
        <v>#N/A</v>
      </c>
      <c r="N10" t="str">
        <f t="shared" si="3"/>
        <v>CZ_hydro-ROR_Detlumped_Tail</v>
      </c>
    </row>
    <row r="11" spans="1:16" hidden="1" x14ac:dyDescent="0.35">
      <c r="A11" s="281" t="str">
        <f t="shared" si="0"/>
        <v>DE_hydro-ROR_DetLumped</v>
      </c>
      <c r="B11" s="278" t="s">
        <v>2882</v>
      </c>
      <c r="C11" s="216" t="s">
        <v>2803</v>
      </c>
      <c r="D11" s="327" t="e">
        <f t="shared" si="1"/>
        <v>#N/A</v>
      </c>
      <c r="E11" t="e">
        <f>ROUND(VLOOKUP(C11,'Country Totals'!$B$64:$E$93,MATCH(B11,'Country Totals'!$B$63:$E$63,0),FALSE)/F11,0)</f>
        <v>#N/A</v>
      </c>
      <c r="F11">
        <f>VLOOKUP(B11,'Country Totals'!$AB$54:$AD$56,3,FALSE)</f>
        <v>70</v>
      </c>
      <c r="J11" s="281" t="str">
        <f t="shared" si="2"/>
        <v>DE_hydro-ROR_Detlumped_Head</v>
      </c>
      <c r="K11" s="278" t="s">
        <v>3048</v>
      </c>
      <c r="L11" t="e">
        <f>ROUND(IF('Country Totals'!$AJ$56="Specific",'Lumped Detailed Generators'!D11*VLOOKUP('Lumped Detailed Generators'!$B11,'Country Totals'!$AB$46:$AD$48,3,FALSE)/1000),2)</f>
        <v>#N/A</v>
      </c>
      <c r="N11" t="str">
        <f t="shared" si="3"/>
        <v>DE_hydro-ROR_Detlumped_Tail</v>
      </c>
    </row>
    <row r="12" spans="1:16" hidden="1" x14ac:dyDescent="0.35">
      <c r="A12" s="281" t="str">
        <f t="shared" si="0"/>
        <v>DK_hydro-ROR_DetLumped</v>
      </c>
      <c r="B12" s="278" t="s">
        <v>2882</v>
      </c>
      <c r="C12" s="216" t="s">
        <v>2804</v>
      </c>
      <c r="D12" s="327" t="e">
        <f t="shared" si="1"/>
        <v>#N/A</v>
      </c>
      <c r="E12" t="e">
        <f>ROUND(VLOOKUP(C12,'Country Totals'!$B$64:$E$93,MATCH(B12,'Country Totals'!$B$63:$E$63,0),FALSE)/F12,0)</f>
        <v>#N/A</v>
      </c>
      <c r="F12">
        <f>VLOOKUP(B12,'Country Totals'!$AB$54:$AD$56,3,FALSE)</f>
        <v>70</v>
      </c>
      <c r="J12" s="281" t="str">
        <f t="shared" si="2"/>
        <v>DK_hydro-ROR_Detlumped_Head</v>
      </c>
      <c r="K12" s="278" t="s">
        <v>3048</v>
      </c>
      <c r="L12" t="e">
        <f>ROUND(IF('Country Totals'!$AJ$56="Specific",'Lumped Detailed Generators'!D12*VLOOKUP('Lumped Detailed Generators'!$B12,'Country Totals'!$AB$46:$AD$48,3,FALSE)/1000),2)</f>
        <v>#N/A</v>
      </c>
      <c r="N12" t="str">
        <f t="shared" si="3"/>
        <v>DK_hydro-ROR_Detlumped_Tail</v>
      </c>
    </row>
    <row r="13" spans="1:16" hidden="1" x14ac:dyDescent="0.35">
      <c r="A13" s="281" t="str">
        <f t="shared" si="0"/>
        <v>EE_hydro-ROR_DetLumped</v>
      </c>
      <c r="B13" s="278" t="s">
        <v>2882</v>
      </c>
      <c r="C13" s="216" t="s">
        <v>2805</v>
      </c>
      <c r="D13" s="327" t="e">
        <f t="shared" si="1"/>
        <v>#N/A</v>
      </c>
      <c r="E13" t="e">
        <f>ROUND(VLOOKUP(C13,'Country Totals'!$B$64:$E$93,MATCH(B13,'Country Totals'!$B$63:$E$63,0),FALSE)/F13,0)</f>
        <v>#N/A</v>
      </c>
      <c r="F13">
        <f>VLOOKUP(B13,'Country Totals'!$AB$54:$AD$56,3,FALSE)</f>
        <v>70</v>
      </c>
      <c r="J13" s="281" t="str">
        <f t="shared" si="2"/>
        <v>EE_hydro-ROR_Detlumped_Head</v>
      </c>
      <c r="K13" s="278" t="s">
        <v>3048</v>
      </c>
      <c r="L13" t="e">
        <f>ROUND(IF('Country Totals'!$AJ$56="Specific",'Lumped Detailed Generators'!D13*VLOOKUP('Lumped Detailed Generators'!$B13,'Country Totals'!$AB$46:$AD$48,3,FALSE)/1000),2)</f>
        <v>#N/A</v>
      </c>
      <c r="N13" t="str">
        <f t="shared" si="3"/>
        <v>EE_hydro-ROR_Detlumped_Tail</v>
      </c>
    </row>
    <row r="14" spans="1:16" x14ac:dyDescent="0.35">
      <c r="A14" s="281" t="str">
        <f t="shared" si="0"/>
        <v>ES_hydro-ROR_DetLumped</v>
      </c>
      <c r="B14" s="278" t="s">
        <v>2882</v>
      </c>
      <c r="C14" s="216" t="s">
        <v>2807</v>
      </c>
      <c r="D14" s="327" t="e">
        <f t="shared" si="1"/>
        <v>#N/A</v>
      </c>
      <c r="E14" t="e">
        <f>ROUND(VLOOKUP(C14,'Country Totals'!$B$64:$E$93,MATCH(B14,'Country Totals'!$B$63:$E$63,0),FALSE)/F14,0)</f>
        <v>#N/A</v>
      </c>
      <c r="F14">
        <f>VLOOKUP(B14,'Country Totals'!$AB$54:$AD$56,3,FALSE)</f>
        <v>70</v>
      </c>
      <c r="J14" s="281" t="str">
        <f t="shared" si="2"/>
        <v>ES_hydro-ROR_Detlumped_Head</v>
      </c>
      <c r="K14" s="278" t="s">
        <v>3048</v>
      </c>
      <c r="L14" t="e">
        <f>ROUND(IF('Country Totals'!$AJ$56="Specific",'Lumped Detailed Generators'!D14*VLOOKUP('Lumped Detailed Generators'!$B14,'Country Totals'!$AB$46:$AD$48,3,FALSE)/1000),2)</f>
        <v>#N/A</v>
      </c>
      <c r="N14" t="str">
        <f t="shared" si="3"/>
        <v>ES_hydro-ROR_Detlumped_Tail</v>
      </c>
    </row>
    <row r="15" spans="1:16" hidden="1" x14ac:dyDescent="0.35">
      <c r="A15" s="281" t="str">
        <f t="shared" si="0"/>
        <v>FI_hydro-ROR_DetLumped</v>
      </c>
      <c r="B15" s="278" t="s">
        <v>2882</v>
      </c>
      <c r="C15" s="216" t="s">
        <v>2808</v>
      </c>
      <c r="D15" s="327" t="e">
        <f t="shared" si="1"/>
        <v>#N/A</v>
      </c>
      <c r="E15" t="e">
        <f>ROUND(VLOOKUP(C15,'Country Totals'!$B$64:$E$93,MATCH(B15,'Country Totals'!$B$63:$E$63,0),FALSE)/F15,0)</f>
        <v>#N/A</v>
      </c>
      <c r="F15">
        <f>VLOOKUP(B15,'Country Totals'!$AB$54:$AD$56,3,FALSE)</f>
        <v>70</v>
      </c>
      <c r="J15" s="281" t="str">
        <f t="shared" si="2"/>
        <v>FI_hydro-ROR_Detlumped_Head</v>
      </c>
      <c r="K15" s="278" t="s">
        <v>3048</v>
      </c>
      <c r="L15" t="e">
        <f>ROUND(IF('Country Totals'!$AJ$56="Specific",'Lumped Detailed Generators'!D15*VLOOKUP('Lumped Detailed Generators'!$B15,'Country Totals'!$AB$46:$AD$48,3,FALSE)/1000),2)</f>
        <v>#N/A</v>
      </c>
      <c r="N15" t="str">
        <f t="shared" si="3"/>
        <v>FI_hydro-ROR_Detlumped_Tail</v>
      </c>
    </row>
    <row r="16" spans="1:16" x14ac:dyDescent="0.35">
      <c r="A16" s="281" t="str">
        <f t="shared" si="0"/>
        <v>FR_hydro-ROR_DetLumped</v>
      </c>
      <c r="B16" s="278" t="s">
        <v>2882</v>
      </c>
      <c r="C16" s="216" t="s">
        <v>2809</v>
      </c>
      <c r="D16" s="327" t="e">
        <f t="shared" si="1"/>
        <v>#N/A</v>
      </c>
      <c r="E16" t="e">
        <f>ROUND(VLOOKUP(C16,'Country Totals'!$B$64:$E$93,MATCH(B16,'Country Totals'!$B$63:$E$63,0),FALSE)/F16,0)</f>
        <v>#N/A</v>
      </c>
      <c r="F16">
        <f>VLOOKUP(B16,'Country Totals'!$AB$54:$AD$56,3,FALSE)</f>
        <v>70</v>
      </c>
      <c r="J16" s="281" t="str">
        <f t="shared" si="2"/>
        <v>FR_hydro-ROR_Detlumped_Head</v>
      </c>
      <c r="K16" s="278" t="s">
        <v>3048</v>
      </c>
      <c r="L16" t="e">
        <f>ROUND(IF('Country Totals'!$AJ$56="Specific",'Lumped Detailed Generators'!D16*VLOOKUP('Lumped Detailed Generators'!$B16,'Country Totals'!$AB$46:$AD$48,3,FALSE)/1000),2)</f>
        <v>#N/A</v>
      </c>
      <c r="N16" t="str">
        <f t="shared" si="3"/>
        <v>FR_hydro-ROR_Detlumped_Tail</v>
      </c>
    </row>
    <row r="17" spans="1:14" hidden="1" x14ac:dyDescent="0.35">
      <c r="A17" s="281" t="str">
        <f t="shared" si="0"/>
        <v>GB_hydro-ROR_DetLumped</v>
      </c>
      <c r="B17" s="278" t="s">
        <v>2882</v>
      </c>
      <c r="C17" s="216" t="s">
        <v>2832</v>
      </c>
      <c r="D17" s="327" t="e">
        <f t="shared" si="1"/>
        <v>#N/A</v>
      </c>
      <c r="E17" t="e">
        <f>ROUND(VLOOKUP(C17,'Country Totals'!$B$64:$E$93,MATCH(B17,'Country Totals'!$B$63:$E$63,0),FALSE)/F17,0)</f>
        <v>#N/A</v>
      </c>
      <c r="F17">
        <f>VLOOKUP(B17,'Country Totals'!$AB$54:$AD$56,3,FALSE)</f>
        <v>70</v>
      </c>
      <c r="J17" s="281" t="str">
        <f t="shared" si="2"/>
        <v>GB_hydro-ROR_Detlumped_Head</v>
      </c>
      <c r="K17" s="278" t="s">
        <v>3048</v>
      </c>
      <c r="L17" t="e">
        <f>ROUND(IF('Country Totals'!$AJ$56="Specific",'Lumped Detailed Generators'!D17*VLOOKUP('Lumped Detailed Generators'!$B17,'Country Totals'!$AB$46:$AD$48,3,FALSE)/1000),2)</f>
        <v>#N/A</v>
      </c>
      <c r="N17" t="str">
        <f t="shared" si="3"/>
        <v>GB_hydro-ROR_Detlumped_Tail</v>
      </c>
    </row>
    <row r="18" spans="1:14" hidden="1" x14ac:dyDescent="0.35">
      <c r="A18" s="281" t="str">
        <f t="shared" si="0"/>
        <v>EL_hydro-ROR_DetLumped</v>
      </c>
      <c r="B18" s="278" t="s">
        <v>2882</v>
      </c>
      <c r="C18" s="216" t="s">
        <v>2806</v>
      </c>
      <c r="D18" s="327" t="e">
        <f t="shared" si="1"/>
        <v>#N/A</v>
      </c>
      <c r="E18" t="e">
        <f>ROUND(VLOOKUP(C18,'Country Totals'!$B$64:$E$93,MATCH(B18,'Country Totals'!$B$63:$E$63,0),FALSE)/F18,0)</f>
        <v>#N/A</v>
      </c>
      <c r="F18">
        <f>VLOOKUP(B18,'Country Totals'!$AB$54:$AD$56,3,FALSE)</f>
        <v>70</v>
      </c>
      <c r="J18" s="281" t="str">
        <f t="shared" si="2"/>
        <v>EL_hydro-ROR_Detlumped_Head</v>
      </c>
      <c r="K18" s="278" t="s">
        <v>3048</v>
      </c>
      <c r="L18" t="e">
        <f>ROUND(IF('Country Totals'!$AJ$56="Specific",'Lumped Detailed Generators'!D18*VLOOKUP('Lumped Detailed Generators'!$B18,'Country Totals'!$AB$46:$AD$48,3,FALSE)/1000),2)</f>
        <v>#N/A</v>
      </c>
      <c r="N18" t="str">
        <f t="shared" si="3"/>
        <v>EL_hydro-ROR_Detlumped_Tail</v>
      </c>
    </row>
    <row r="19" spans="1:14" x14ac:dyDescent="0.35">
      <c r="A19" s="281" t="str">
        <f t="shared" si="0"/>
        <v>HR_hydro-ROR_DetLumped</v>
      </c>
      <c r="B19" s="278" t="s">
        <v>2882</v>
      </c>
      <c r="C19" s="216" t="s">
        <v>2810</v>
      </c>
      <c r="D19" s="327" t="e">
        <f t="shared" si="1"/>
        <v>#N/A</v>
      </c>
      <c r="E19" t="e">
        <f>ROUND(VLOOKUP(C19,'Country Totals'!$B$64:$E$93,MATCH(B19,'Country Totals'!$B$63:$E$63,0),FALSE)/F19,0)</f>
        <v>#N/A</v>
      </c>
      <c r="F19">
        <f>VLOOKUP(B19,'Country Totals'!$AB$54:$AD$56,3,FALSE)</f>
        <v>70</v>
      </c>
      <c r="J19" s="281" t="str">
        <f t="shared" si="2"/>
        <v>HR_hydro-ROR_Detlumped_Head</v>
      </c>
      <c r="K19" s="278" t="s">
        <v>3048</v>
      </c>
      <c r="L19" t="e">
        <f>ROUND(IF('Country Totals'!$AJ$56="Specific",'Lumped Detailed Generators'!D19*VLOOKUP('Lumped Detailed Generators'!$B19,'Country Totals'!$AB$46:$AD$48,3,FALSE)/1000),2)</f>
        <v>#N/A</v>
      </c>
      <c r="N19" t="str">
        <f t="shared" si="3"/>
        <v>HR_hydro-ROR_Detlumped_Tail</v>
      </c>
    </row>
    <row r="20" spans="1:14" hidden="1" x14ac:dyDescent="0.35">
      <c r="A20" s="281" t="str">
        <f t="shared" si="0"/>
        <v>HU_hydro-ROR_DetLumped</v>
      </c>
      <c r="B20" s="278" t="s">
        <v>2882</v>
      </c>
      <c r="C20" s="216" t="s">
        <v>2811</v>
      </c>
      <c r="D20" s="327" t="e">
        <f t="shared" si="1"/>
        <v>#N/A</v>
      </c>
      <c r="E20" t="e">
        <f>ROUND(VLOOKUP(C20,'Country Totals'!$B$64:$E$93,MATCH(B20,'Country Totals'!$B$63:$E$63,0),FALSE)/F20,0)</f>
        <v>#N/A</v>
      </c>
      <c r="F20">
        <f>VLOOKUP(B20,'Country Totals'!$AB$54:$AD$56,3,FALSE)</f>
        <v>70</v>
      </c>
      <c r="J20" s="281" t="str">
        <f t="shared" si="2"/>
        <v>HU_hydro-ROR_Detlumped_Head</v>
      </c>
      <c r="K20" s="278" t="s">
        <v>3048</v>
      </c>
      <c r="L20" t="e">
        <f>ROUND(IF('Country Totals'!$AJ$56="Specific",'Lumped Detailed Generators'!D20*VLOOKUP('Lumped Detailed Generators'!$B20,'Country Totals'!$AB$46:$AD$48,3,FALSE)/1000),2)</f>
        <v>#N/A</v>
      </c>
      <c r="N20" t="str">
        <f t="shared" si="3"/>
        <v>HU_hydro-ROR_Detlumped_Tail</v>
      </c>
    </row>
    <row r="21" spans="1:14" hidden="1" x14ac:dyDescent="0.35">
      <c r="A21" s="281" t="str">
        <f t="shared" si="0"/>
        <v>IE_hydro-ROR_DetLumped</v>
      </c>
      <c r="B21" s="278" t="s">
        <v>2882</v>
      </c>
      <c r="C21" s="216" t="s">
        <v>2812</v>
      </c>
      <c r="D21" s="327" t="e">
        <f t="shared" si="1"/>
        <v>#N/A</v>
      </c>
      <c r="E21" t="e">
        <f>ROUND(VLOOKUP(C21,'Country Totals'!$B$64:$E$93,MATCH(B21,'Country Totals'!$B$63:$E$63,0),FALSE)/F21,0)</f>
        <v>#N/A</v>
      </c>
      <c r="F21">
        <f>VLOOKUP(B21,'Country Totals'!$AB$54:$AD$56,3,FALSE)</f>
        <v>70</v>
      </c>
      <c r="J21" s="281" t="str">
        <f t="shared" si="2"/>
        <v>IE_hydro-ROR_Detlumped_Head</v>
      </c>
      <c r="K21" s="278" t="s">
        <v>3048</v>
      </c>
      <c r="L21" t="e">
        <f>ROUND(IF('Country Totals'!$AJ$56="Specific",'Lumped Detailed Generators'!D21*VLOOKUP('Lumped Detailed Generators'!$B21,'Country Totals'!$AB$46:$AD$48,3,FALSE)/1000),2)</f>
        <v>#N/A</v>
      </c>
      <c r="N21" t="str">
        <f t="shared" si="3"/>
        <v>IE_hydro-ROR_Detlumped_Tail</v>
      </c>
    </row>
    <row r="22" spans="1:14" x14ac:dyDescent="0.35">
      <c r="A22" s="281" t="str">
        <f t="shared" si="0"/>
        <v>IT_hydro-ROR_DetLumped</v>
      </c>
      <c r="B22" s="278" t="s">
        <v>2882</v>
      </c>
      <c r="C22" s="216" t="s">
        <v>2813</v>
      </c>
      <c r="D22" s="327" t="e">
        <f t="shared" si="1"/>
        <v>#N/A</v>
      </c>
      <c r="E22" t="e">
        <f>ROUND(VLOOKUP(C22,'Country Totals'!$B$64:$E$93,MATCH(B22,'Country Totals'!$B$63:$E$63,0),FALSE)/F22,0)</f>
        <v>#N/A</v>
      </c>
      <c r="F22">
        <f>VLOOKUP(B22,'Country Totals'!$AB$54:$AD$56,3,FALSE)</f>
        <v>70</v>
      </c>
      <c r="J22" s="281" t="str">
        <f t="shared" si="2"/>
        <v>IT_hydro-ROR_Detlumped_Head</v>
      </c>
      <c r="K22" s="278" t="s">
        <v>3048</v>
      </c>
      <c r="L22" t="e">
        <f>ROUND(IF('Country Totals'!$AJ$56="Specific",'Lumped Detailed Generators'!D22*VLOOKUP('Lumped Detailed Generators'!$B22,'Country Totals'!$AB$46:$AD$48,3,FALSE)/1000),2)</f>
        <v>#N/A</v>
      </c>
      <c r="N22" t="str">
        <f t="shared" si="3"/>
        <v>IT_hydro-ROR_Detlumped_Tail</v>
      </c>
    </row>
    <row r="23" spans="1:14" hidden="1" x14ac:dyDescent="0.35">
      <c r="A23" s="281" t="str">
        <f t="shared" si="0"/>
        <v>LT_hydro-ROR_DetLumped</v>
      </c>
      <c r="B23" s="278" t="s">
        <v>2882</v>
      </c>
      <c r="C23" s="216" t="s">
        <v>2814</v>
      </c>
      <c r="D23" s="327" t="e">
        <f t="shared" si="1"/>
        <v>#N/A</v>
      </c>
      <c r="E23" t="e">
        <f>ROUND(VLOOKUP(C23,'Country Totals'!$B$64:$E$93,MATCH(B23,'Country Totals'!$B$63:$E$63,0),FALSE)/F23,0)</f>
        <v>#N/A</v>
      </c>
      <c r="F23">
        <f>VLOOKUP(B23,'Country Totals'!$AB$54:$AD$56,3,FALSE)</f>
        <v>70</v>
      </c>
      <c r="J23" s="281" t="str">
        <f t="shared" si="2"/>
        <v>LT_hydro-ROR_Detlumped_Head</v>
      </c>
      <c r="K23" s="278" t="s">
        <v>3048</v>
      </c>
      <c r="L23" t="e">
        <f>ROUND(IF('Country Totals'!$AJ$56="Specific",'Lumped Detailed Generators'!D23*VLOOKUP('Lumped Detailed Generators'!$B23,'Country Totals'!$AB$46:$AD$48,3,FALSE)/1000),2)</f>
        <v>#N/A</v>
      </c>
      <c r="N23" t="str">
        <f t="shared" si="3"/>
        <v>LT_hydro-ROR_Detlumped_Tail</v>
      </c>
    </row>
    <row r="24" spans="1:14" hidden="1" x14ac:dyDescent="0.35">
      <c r="A24" s="281" t="str">
        <f t="shared" si="0"/>
        <v>LU_hydro-ROR_DetLumped</v>
      </c>
      <c r="B24" s="278" t="s">
        <v>2882</v>
      </c>
      <c r="C24" s="216" t="s">
        <v>2815</v>
      </c>
      <c r="D24" s="327" t="e">
        <f t="shared" si="1"/>
        <v>#N/A</v>
      </c>
      <c r="E24" t="e">
        <f>ROUND(VLOOKUP(C24,'Country Totals'!$B$64:$E$93,MATCH(B24,'Country Totals'!$B$63:$E$63,0),FALSE)/F24,0)</f>
        <v>#N/A</v>
      </c>
      <c r="F24">
        <f>VLOOKUP(B24,'Country Totals'!$AB$54:$AD$56,3,FALSE)</f>
        <v>70</v>
      </c>
      <c r="J24" s="281" t="str">
        <f t="shared" si="2"/>
        <v>LU_hydro-ROR_Detlumped_Head</v>
      </c>
      <c r="K24" s="278" t="s">
        <v>3048</v>
      </c>
      <c r="L24" t="e">
        <f>ROUND(IF('Country Totals'!$AJ$56="Specific",'Lumped Detailed Generators'!D24*VLOOKUP('Lumped Detailed Generators'!$B24,'Country Totals'!$AB$46:$AD$48,3,FALSE)/1000),2)</f>
        <v>#N/A</v>
      </c>
      <c r="N24" t="str">
        <f t="shared" si="3"/>
        <v>LU_hydro-ROR_Detlumped_Tail</v>
      </c>
    </row>
    <row r="25" spans="1:14" x14ac:dyDescent="0.35">
      <c r="A25" s="281" t="str">
        <f t="shared" si="0"/>
        <v>LV_hydro-ROR_DetLumped</v>
      </c>
      <c r="B25" s="278" t="s">
        <v>2882</v>
      </c>
      <c r="C25" s="216" t="s">
        <v>2816</v>
      </c>
      <c r="D25" s="327" t="e">
        <f t="shared" si="1"/>
        <v>#N/A</v>
      </c>
      <c r="E25" t="e">
        <f>ROUND(VLOOKUP(C25,'Country Totals'!$B$64:$E$93,MATCH(B25,'Country Totals'!$B$63:$E$63,0),FALSE)/F25,0)</f>
        <v>#N/A</v>
      </c>
      <c r="F25">
        <f>VLOOKUP(B25,'Country Totals'!$AB$54:$AD$56,3,FALSE)</f>
        <v>70</v>
      </c>
      <c r="J25" s="281" t="str">
        <f t="shared" si="2"/>
        <v>LV_hydro-ROR_Detlumped_Head</v>
      </c>
      <c r="K25" s="278" t="s">
        <v>3048</v>
      </c>
      <c r="L25" t="e">
        <f>ROUND(IF('Country Totals'!$AJ$56="Specific",'Lumped Detailed Generators'!D25*VLOOKUP('Lumped Detailed Generators'!$B25,'Country Totals'!$AB$46:$AD$48,3,FALSE)/1000),2)</f>
        <v>#N/A</v>
      </c>
      <c r="N25" t="str">
        <f t="shared" si="3"/>
        <v>LV_hydro-ROR_Detlumped_Tail</v>
      </c>
    </row>
    <row r="26" spans="1:14" hidden="1" x14ac:dyDescent="0.35">
      <c r="A26" s="281" t="str">
        <f t="shared" si="0"/>
        <v>NI_hydro-ROR_DetLumped</v>
      </c>
      <c r="B26" s="278" t="s">
        <v>2882</v>
      </c>
      <c r="C26" s="216" t="s">
        <v>2833</v>
      </c>
      <c r="D26" s="327" t="e">
        <f t="shared" si="1"/>
        <v>#N/A</v>
      </c>
      <c r="E26" t="e">
        <f>ROUND(VLOOKUP(C26,'Country Totals'!$B$64:$E$93,MATCH(B26,'Country Totals'!$B$63:$E$63,0),FALSE)/F26,0)</f>
        <v>#N/A</v>
      </c>
      <c r="F26">
        <f>VLOOKUP(B26,'Country Totals'!$AB$54:$AD$56,3,FALSE)</f>
        <v>70</v>
      </c>
      <c r="J26" s="281" t="str">
        <f t="shared" si="2"/>
        <v>NI_hydro-ROR_Detlumped_Head</v>
      </c>
      <c r="K26" s="278" t="s">
        <v>3048</v>
      </c>
      <c r="L26" t="e">
        <f>ROUND(IF('Country Totals'!$AJ$56="Specific",'Lumped Detailed Generators'!D26*VLOOKUP('Lumped Detailed Generators'!$B26,'Country Totals'!$AB$46:$AD$48,3,FALSE)/1000),2)</f>
        <v>#N/A</v>
      </c>
      <c r="N26" t="str">
        <f t="shared" si="3"/>
        <v>NI_hydro-ROR_Detlumped_Tail</v>
      </c>
    </row>
    <row r="27" spans="1:14" hidden="1" x14ac:dyDescent="0.35">
      <c r="A27" s="281" t="str">
        <f t="shared" si="0"/>
        <v>NL_hydro-ROR_DetLumped</v>
      </c>
      <c r="B27" s="278" t="s">
        <v>2882</v>
      </c>
      <c r="C27" s="216" t="s">
        <v>2818</v>
      </c>
      <c r="D27" s="327" t="e">
        <f t="shared" si="1"/>
        <v>#N/A</v>
      </c>
      <c r="E27" t="e">
        <f>ROUND(VLOOKUP(C27,'Country Totals'!$B$64:$E$93,MATCH(B27,'Country Totals'!$B$63:$E$63,0),FALSE)/F27,0)</f>
        <v>#N/A</v>
      </c>
      <c r="F27">
        <f>VLOOKUP(B27,'Country Totals'!$AB$54:$AD$56,3,FALSE)</f>
        <v>70</v>
      </c>
      <c r="J27" s="281" t="str">
        <f t="shared" si="2"/>
        <v>NL_hydro-ROR_Detlumped_Head</v>
      </c>
      <c r="K27" s="278" t="s">
        <v>3048</v>
      </c>
      <c r="L27" t="e">
        <f>ROUND(IF('Country Totals'!$AJ$56="Specific",'Lumped Detailed Generators'!D27*VLOOKUP('Lumped Detailed Generators'!$B27,'Country Totals'!$AB$46:$AD$48,3,FALSE)/1000),2)</f>
        <v>#N/A</v>
      </c>
      <c r="N27" t="str">
        <f t="shared" si="3"/>
        <v>NL_hydro-ROR_Detlumped_Tail</v>
      </c>
    </row>
    <row r="28" spans="1:14" hidden="1" x14ac:dyDescent="0.35">
      <c r="A28" s="281" t="str">
        <f t="shared" si="0"/>
        <v>NO_hydro-ROR_DetLumped</v>
      </c>
      <c r="B28" s="278" t="s">
        <v>2882</v>
      </c>
      <c r="C28" s="216" t="s">
        <v>2819</v>
      </c>
      <c r="D28" s="327" t="e">
        <f t="shared" si="1"/>
        <v>#N/A</v>
      </c>
      <c r="E28" t="e">
        <f>ROUND(VLOOKUP(C28,'Country Totals'!$B$64:$E$93,MATCH(B28,'Country Totals'!$B$63:$E$63,0),FALSE)/F28,0)</f>
        <v>#N/A</v>
      </c>
      <c r="F28">
        <f>VLOOKUP(B28,'Country Totals'!$AB$54:$AD$56,3,FALSE)</f>
        <v>70</v>
      </c>
      <c r="J28" s="281" t="str">
        <f t="shared" si="2"/>
        <v>NO_hydro-ROR_Detlumped_Head</v>
      </c>
      <c r="K28" s="278" t="s">
        <v>3048</v>
      </c>
      <c r="L28" t="e">
        <f>ROUND(IF('Country Totals'!$AJ$56="Specific",'Lumped Detailed Generators'!D28*VLOOKUP('Lumped Detailed Generators'!$B28,'Country Totals'!$AB$46:$AD$48,3,FALSE)/1000),2)</f>
        <v>#N/A</v>
      </c>
      <c r="N28" t="str">
        <f t="shared" si="3"/>
        <v>NO_hydro-ROR_Detlumped_Tail</v>
      </c>
    </row>
    <row r="29" spans="1:14" hidden="1" x14ac:dyDescent="0.35">
      <c r="A29" s="281" t="str">
        <f t="shared" si="0"/>
        <v>PL_hydro-ROR_DetLumped</v>
      </c>
      <c r="B29" s="278" t="s">
        <v>2882</v>
      </c>
      <c r="C29" s="216" t="s">
        <v>2820</v>
      </c>
      <c r="D29" s="327" t="e">
        <f t="shared" si="1"/>
        <v>#N/A</v>
      </c>
      <c r="E29" t="e">
        <f>ROUND(VLOOKUP(C29,'Country Totals'!$B$64:$E$93,MATCH(B29,'Country Totals'!$B$63:$E$63,0),FALSE)/F29,0)</f>
        <v>#N/A</v>
      </c>
      <c r="F29">
        <f>VLOOKUP(B29,'Country Totals'!$AB$54:$AD$56,3,FALSE)</f>
        <v>70</v>
      </c>
      <c r="J29" s="281" t="str">
        <f t="shared" si="2"/>
        <v>PL_hydro-ROR_Detlumped_Head</v>
      </c>
      <c r="K29" s="278" t="s">
        <v>3048</v>
      </c>
      <c r="L29" t="e">
        <f>ROUND(IF('Country Totals'!$AJ$56="Specific",'Lumped Detailed Generators'!D29*VLOOKUP('Lumped Detailed Generators'!$B29,'Country Totals'!$AB$46:$AD$48,3,FALSE)/1000),2)</f>
        <v>#N/A</v>
      </c>
      <c r="N29" t="str">
        <f t="shared" si="3"/>
        <v>PL_hydro-ROR_Detlumped_Tail</v>
      </c>
    </row>
    <row r="30" spans="1:14" x14ac:dyDescent="0.35">
      <c r="A30" s="281" t="str">
        <f t="shared" si="0"/>
        <v>PT_hydro-ROR_DetLumped</v>
      </c>
      <c r="B30" s="278" t="s">
        <v>2882</v>
      </c>
      <c r="C30" s="216" t="s">
        <v>2821</v>
      </c>
      <c r="D30" s="327" t="e">
        <f t="shared" si="1"/>
        <v>#N/A</v>
      </c>
      <c r="E30" t="e">
        <f>ROUND(VLOOKUP(C30,'Country Totals'!$B$64:$E$93,MATCH(B30,'Country Totals'!$B$63:$E$63,0),FALSE)/F30,0)</f>
        <v>#N/A</v>
      </c>
      <c r="F30">
        <f>VLOOKUP(B30,'Country Totals'!$AB$54:$AD$56,3,FALSE)</f>
        <v>70</v>
      </c>
      <c r="J30" s="281" t="str">
        <f t="shared" si="2"/>
        <v>PT_hydro-ROR_Detlumped_Head</v>
      </c>
      <c r="K30" s="278" t="s">
        <v>3048</v>
      </c>
      <c r="L30" t="e">
        <f>ROUND(IF('Country Totals'!$AJ$56="Specific",'Lumped Detailed Generators'!D30*VLOOKUP('Lumped Detailed Generators'!$B30,'Country Totals'!$AB$46:$AD$48,3,FALSE)/1000),2)</f>
        <v>#N/A</v>
      </c>
      <c r="N30" t="str">
        <f t="shared" si="3"/>
        <v>PT_hydro-ROR_Detlumped_Tail</v>
      </c>
    </row>
    <row r="31" spans="1:14" x14ac:dyDescent="0.35">
      <c r="A31" s="281" t="str">
        <f t="shared" si="0"/>
        <v>RO_hydro-ROR_DetLumped</v>
      </c>
      <c r="B31" s="278" t="s">
        <v>2882</v>
      </c>
      <c r="C31" s="216" t="s">
        <v>2822</v>
      </c>
      <c r="D31" s="327" t="e">
        <f t="shared" si="1"/>
        <v>#N/A</v>
      </c>
      <c r="E31" t="e">
        <f>ROUND(VLOOKUP(C31,'Country Totals'!$B$64:$E$93,MATCH(B31,'Country Totals'!$B$63:$E$63,0),FALSE)/F31,0)</f>
        <v>#N/A</v>
      </c>
      <c r="F31">
        <f>VLOOKUP(B31,'Country Totals'!$AB$54:$AD$56,3,FALSE)</f>
        <v>70</v>
      </c>
      <c r="J31" s="281" t="str">
        <f t="shared" si="2"/>
        <v>RO_hydro-ROR_Detlumped_Head</v>
      </c>
      <c r="K31" s="278" t="s">
        <v>3048</v>
      </c>
      <c r="L31" t="e">
        <f>ROUND(IF('Country Totals'!$AJ$56="Specific",'Lumped Detailed Generators'!D31*VLOOKUP('Lumped Detailed Generators'!$B31,'Country Totals'!$AB$46:$AD$48,3,FALSE)/1000),2)</f>
        <v>#N/A</v>
      </c>
      <c r="N31" t="str">
        <f t="shared" si="3"/>
        <v>RO_hydro-ROR_Detlumped_Tail</v>
      </c>
    </row>
    <row r="32" spans="1:14" hidden="1" x14ac:dyDescent="0.35">
      <c r="A32" s="281" t="str">
        <f t="shared" si="0"/>
        <v>SE_hydro-ROR_DetLumped</v>
      </c>
      <c r="B32" s="278" t="s">
        <v>2882</v>
      </c>
      <c r="C32" s="216" t="s">
        <v>2823</v>
      </c>
      <c r="D32" s="327" t="e">
        <f t="shared" si="1"/>
        <v>#N/A</v>
      </c>
      <c r="E32" t="e">
        <f>ROUND(VLOOKUP(C32,'Country Totals'!$B$64:$E$93,MATCH(B32,'Country Totals'!$B$63:$E$63,0),FALSE)/F32,0)</f>
        <v>#N/A</v>
      </c>
      <c r="F32">
        <f>VLOOKUP(B32,'Country Totals'!$AB$54:$AD$56,3,FALSE)</f>
        <v>70</v>
      </c>
      <c r="J32" s="281" t="str">
        <f t="shared" si="2"/>
        <v>SE_hydro-ROR_Detlumped_Head</v>
      </c>
      <c r="K32" s="278" t="s">
        <v>3048</v>
      </c>
      <c r="L32" t="e">
        <f>ROUND(IF('Country Totals'!$AJ$56="Specific",'Lumped Detailed Generators'!D32*VLOOKUP('Lumped Detailed Generators'!$B32,'Country Totals'!$AB$46:$AD$48,3,FALSE)/1000),2)</f>
        <v>#N/A</v>
      </c>
      <c r="N32" t="str">
        <f t="shared" si="3"/>
        <v>SE_hydro-ROR_Detlumped_Tail</v>
      </c>
    </row>
    <row r="33" spans="1:14" hidden="1" x14ac:dyDescent="0.35">
      <c r="A33" s="281" t="str">
        <f t="shared" si="0"/>
        <v>SI_hydro-ROR_DetLumped</v>
      </c>
      <c r="B33" s="278" t="s">
        <v>2882</v>
      </c>
      <c r="C33" s="216" t="s">
        <v>2824</v>
      </c>
      <c r="D33" s="327" t="e">
        <f t="shared" si="1"/>
        <v>#N/A</v>
      </c>
      <c r="E33" t="e">
        <f>ROUND(VLOOKUP(C33,'Country Totals'!$B$64:$E$93,MATCH(B33,'Country Totals'!$B$63:$E$63,0),FALSE)/F33,0)</f>
        <v>#N/A</v>
      </c>
      <c r="F33">
        <f>VLOOKUP(B33,'Country Totals'!$AB$54:$AD$56,3,FALSE)</f>
        <v>70</v>
      </c>
      <c r="J33" s="281" t="str">
        <f t="shared" si="2"/>
        <v>SI_hydro-ROR_Detlumped_Head</v>
      </c>
      <c r="K33" s="278" t="s">
        <v>3048</v>
      </c>
      <c r="L33" t="e">
        <f>ROUND(IF('Country Totals'!$AJ$56="Specific",'Lumped Detailed Generators'!D33*VLOOKUP('Lumped Detailed Generators'!$B33,'Country Totals'!$AB$46:$AD$48,3,FALSE)/1000),2)</f>
        <v>#N/A</v>
      </c>
      <c r="N33" t="str">
        <f t="shared" si="3"/>
        <v>SI_hydro-ROR_Detlumped_Tail</v>
      </c>
    </row>
    <row r="34" spans="1:14" x14ac:dyDescent="0.35">
      <c r="A34" s="281" t="str">
        <f t="shared" si="0"/>
        <v>SK_hydro-ROR_DetLumped</v>
      </c>
      <c r="B34" s="278" t="s">
        <v>2882</v>
      </c>
      <c r="C34" s="216" t="s">
        <v>2825</v>
      </c>
      <c r="D34" s="327" t="e">
        <f t="shared" si="1"/>
        <v>#N/A</v>
      </c>
      <c r="E34" t="e">
        <f>ROUND(VLOOKUP(C34,'Country Totals'!$B$64:$E$93,MATCH(B34,'Country Totals'!$B$63:$E$63,0),FALSE)/F34,0)</f>
        <v>#N/A</v>
      </c>
      <c r="F34">
        <f>VLOOKUP(B34,'Country Totals'!$AB$54:$AD$56,3,FALSE)</f>
        <v>70</v>
      </c>
      <c r="J34" s="281" t="str">
        <f t="shared" si="2"/>
        <v>SK_hydro-ROR_Detlumped_Head</v>
      </c>
      <c r="K34" s="278" t="s">
        <v>3048</v>
      </c>
      <c r="L34" t="e">
        <f>ROUND(IF('Country Totals'!$AJ$56="Specific",'Lumped Detailed Generators'!D34*VLOOKUP('Lumped Detailed Generators'!$B34,'Country Totals'!$AB$46:$AD$48,3,FALSE)/1000),2)</f>
        <v>#N/A</v>
      </c>
      <c r="N34" t="str">
        <f t="shared" si="3"/>
        <v>SK_hydro-ROR_Detlumped_Tail</v>
      </c>
    </row>
    <row r="35" spans="1:14" x14ac:dyDescent="0.35">
      <c r="A35" s="281" t="str">
        <f t="shared" si="0"/>
        <v>AT_hydro-STO_DetLumped</v>
      </c>
      <c r="B35" s="278" t="s">
        <v>2883</v>
      </c>
      <c r="C35" s="216" t="s">
        <v>2797</v>
      </c>
      <c r="D35" s="327" t="e">
        <f t="shared" si="1"/>
        <v>#N/A</v>
      </c>
      <c r="E35" t="e">
        <f>ROUND(VLOOKUP(C35,'Country Totals'!$B$64:$E$93,MATCH(B35,'Country Totals'!$B$63:$E$63,0),FALSE)/F35,0)</f>
        <v>#N/A</v>
      </c>
      <c r="F35">
        <f>VLOOKUP(B35,'Country Totals'!$AB$54:$AD$56,3,FALSE)</f>
        <v>100</v>
      </c>
      <c r="J35" s="281" t="str">
        <f t="shared" si="2"/>
        <v>AT_hydro-STO_Detlumped_Head</v>
      </c>
      <c r="K35" s="278" t="s">
        <v>3019</v>
      </c>
      <c r="L35" t="e">
        <f>ROUND(IF('Country Totals'!$AJ$56="Specific",'Lumped Detailed Generators'!D35*VLOOKUP('Lumped Detailed Generators'!$B35,'Country Totals'!$AB$46:$AD$48,3,FALSE)/1000),2)</f>
        <v>#N/A</v>
      </c>
      <c r="N35" t="str">
        <f t="shared" si="3"/>
        <v>AT_hydro-STO_Detlumped_Tail</v>
      </c>
    </row>
    <row r="36" spans="1:14" hidden="1" x14ac:dyDescent="0.35">
      <c r="A36" s="281" t="str">
        <f t="shared" si="0"/>
        <v>BE_hydro-STO_DetLumped</v>
      </c>
      <c r="B36" s="278" t="s">
        <v>2883</v>
      </c>
      <c r="C36" s="216" t="s">
        <v>2798</v>
      </c>
      <c r="D36" s="327" t="e">
        <f t="shared" si="1"/>
        <v>#N/A</v>
      </c>
      <c r="E36" t="e">
        <f>ROUND(VLOOKUP(C36,'Country Totals'!$B$64:$E$93,MATCH(B36,'Country Totals'!$B$63:$E$63,0),FALSE)/F36,0)</f>
        <v>#N/A</v>
      </c>
      <c r="F36">
        <f>VLOOKUP(B36,'Country Totals'!$AB$54:$AD$56,3,FALSE)</f>
        <v>100</v>
      </c>
      <c r="J36" s="281" t="str">
        <f t="shared" si="2"/>
        <v>BE_hydro-STO_Detlumped_Head</v>
      </c>
      <c r="K36" s="278" t="s">
        <v>3019</v>
      </c>
      <c r="L36" t="e">
        <f>ROUND(IF('Country Totals'!$AJ$56="Specific",'Lumped Detailed Generators'!D36*VLOOKUP('Lumped Detailed Generators'!$B36,'Country Totals'!$AB$46:$AD$48,3,FALSE)/1000),2)</f>
        <v>#N/A</v>
      </c>
      <c r="N36" t="str">
        <f t="shared" si="3"/>
        <v>BE_hydro-STO_Detlumped_Tail</v>
      </c>
    </row>
    <row r="37" spans="1:14" hidden="1" x14ac:dyDescent="0.35">
      <c r="A37" s="281" t="str">
        <f t="shared" si="0"/>
        <v>BG_hydro-STO_DetLumped</v>
      </c>
      <c r="B37" s="278" t="s">
        <v>2883</v>
      </c>
      <c r="C37" s="216" t="s">
        <v>2799</v>
      </c>
      <c r="D37" s="327" t="e">
        <f t="shared" si="1"/>
        <v>#N/A</v>
      </c>
      <c r="E37" t="e">
        <f>ROUND(VLOOKUP(C37,'Country Totals'!$B$64:$E$93,MATCH(B37,'Country Totals'!$B$63:$E$63,0),FALSE)/F37,0)</f>
        <v>#N/A</v>
      </c>
      <c r="F37">
        <f>VLOOKUP(B37,'Country Totals'!$AB$54:$AD$56,3,FALSE)</f>
        <v>100</v>
      </c>
      <c r="J37" s="281" t="str">
        <f t="shared" si="2"/>
        <v>BG_hydro-STO_Detlumped_Head</v>
      </c>
      <c r="K37" s="278" t="s">
        <v>3019</v>
      </c>
      <c r="L37" t="e">
        <f>ROUND(IF('Country Totals'!$AJ$56="Specific",'Lumped Detailed Generators'!D37*VLOOKUP('Lumped Detailed Generators'!$B37,'Country Totals'!$AB$46:$AD$48,3,FALSE)/1000),2)</f>
        <v>#N/A</v>
      </c>
      <c r="N37" t="str">
        <f t="shared" si="3"/>
        <v>BG_hydro-STO_Detlumped_Tail</v>
      </c>
    </row>
    <row r="38" spans="1:14" x14ac:dyDescent="0.35">
      <c r="A38" s="281" t="str">
        <f t="shared" si="0"/>
        <v>CH_hydro-STO_DetLumped</v>
      </c>
      <c r="B38" s="278" t="s">
        <v>2883</v>
      </c>
      <c r="C38" s="216" t="s">
        <v>2800</v>
      </c>
      <c r="D38" s="327" t="e">
        <f t="shared" si="1"/>
        <v>#N/A</v>
      </c>
      <c r="E38" t="e">
        <f>ROUND(VLOOKUP(C38,'Country Totals'!$B$64:$E$93,MATCH(B38,'Country Totals'!$B$63:$E$63,0),FALSE)/F38,0)</f>
        <v>#N/A</v>
      </c>
      <c r="F38">
        <f>VLOOKUP(B38,'Country Totals'!$AB$54:$AD$56,3,FALSE)</f>
        <v>100</v>
      </c>
      <c r="J38" s="281" t="str">
        <f t="shared" si="2"/>
        <v>CH_hydro-STO_Detlumped_Head</v>
      </c>
      <c r="K38" s="278" t="s">
        <v>3019</v>
      </c>
      <c r="L38" t="e">
        <f>ROUND(IF('Country Totals'!$AJ$56="Specific",'Lumped Detailed Generators'!D38*VLOOKUP('Lumped Detailed Generators'!$B38,'Country Totals'!$AB$46:$AD$48,3,FALSE)/1000),2)</f>
        <v>#N/A</v>
      </c>
      <c r="N38" t="str">
        <f t="shared" si="3"/>
        <v>CH_hydro-STO_Detlumped_Tail</v>
      </c>
    </row>
    <row r="39" spans="1:14" hidden="1" x14ac:dyDescent="0.35">
      <c r="A39" s="281" t="str">
        <f t="shared" si="0"/>
        <v>CY_hydro-STO_DetLumped</v>
      </c>
      <c r="B39" s="278" t="s">
        <v>2883</v>
      </c>
      <c r="C39" s="216" t="s">
        <v>2801</v>
      </c>
      <c r="D39" s="327" t="e">
        <f t="shared" si="1"/>
        <v>#N/A</v>
      </c>
      <c r="E39" t="e">
        <f>ROUND(VLOOKUP(C39,'Country Totals'!$B$64:$E$93,MATCH(B39,'Country Totals'!$B$63:$E$63,0),FALSE)/F39,0)</f>
        <v>#N/A</v>
      </c>
      <c r="F39">
        <f>VLOOKUP(B39,'Country Totals'!$AB$54:$AD$56,3,FALSE)</f>
        <v>100</v>
      </c>
      <c r="J39" s="281" t="str">
        <f t="shared" si="2"/>
        <v>CY_hydro-STO_Detlumped_Head</v>
      </c>
      <c r="K39" s="278" t="s">
        <v>3019</v>
      </c>
      <c r="L39" t="e">
        <f>ROUND(IF('Country Totals'!$AJ$56="Specific",'Lumped Detailed Generators'!D39*VLOOKUP('Lumped Detailed Generators'!$B39,'Country Totals'!$AB$46:$AD$48,3,FALSE)/1000),2)</f>
        <v>#N/A</v>
      </c>
      <c r="N39" t="str">
        <f t="shared" si="3"/>
        <v>CY_hydro-STO_Detlumped_Tail</v>
      </c>
    </row>
    <row r="40" spans="1:14" hidden="1" x14ac:dyDescent="0.35">
      <c r="A40" s="281" t="str">
        <f t="shared" si="0"/>
        <v>CZ_hydro-STO_DetLumped</v>
      </c>
      <c r="B40" s="278" t="s">
        <v>2883</v>
      </c>
      <c r="C40" s="216" t="s">
        <v>2802</v>
      </c>
      <c r="D40" s="327" t="e">
        <f t="shared" si="1"/>
        <v>#N/A</v>
      </c>
      <c r="E40" t="e">
        <f>ROUND(VLOOKUP(C40,'Country Totals'!$B$64:$E$93,MATCH(B40,'Country Totals'!$B$63:$E$63,0),FALSE)/F40,0)</f>
        <v>#N/A</v>
      </c>
      <c r="F40">
        <f>VLOOKUP(B40,'Country Totals'!$AB$54:$AD$56,3,FALSE)</f>
        <v>100</v>
      </c>
      <c r="J40" s="281" t="str">
        <f t="shared" si="2"/>
        <v>CZ_hydro-STO_Detlumped_Head</v>
      </c>
      <c r="K40" s="278" t="s">
        <v>3019</v>
      </c>
      <c r="L40" t="e">
        <f>ROUND(IF('Country Totals'!$AJ$56="Specific",'Lumped Detailed Generators'!D40*VLOOKUP('Lumped Detailed Generators'!$B40,'Country Totals'!$AB$46:$AD$48,3,FALSE)/1000),2)</f>
        <v>#N/A</v>
      </c>
      <c r="N40" t="str">
        <f t="shared" si="3"/>
        <v>CZ_hydro-STO_Detlumped_Tail</v>
      </c>
    </row>
    <row r="41" spans="1:14" hidden="1" x14ac:dyDescent="0.35">
      <c r="A41" s="281" t="str">
        <f t="shared" si="0"/>
        <v>DE_hydro-STO_DetLumped</v>
      </c>
      <c r="B41" s="278" t="s">
        <v>2883</v>
      </c>
      <c r="C41" s="216" t="s">
        <v>2803</v>
      </c>
      <c r="D41" s="327" t="e">
        <f t="shared" si="1"/>
        <v>#N/A</v>
      </c>
      <c r="E41" t="e">
        <f>ROUND(VLOOKUP(C41,'Country Totals'!$B$64:$E$93,MATCH(B41,'Country Totals'!$B$63:$E$63,0),FALSE)/F41,0)</f>
        <v>#N/A</v>
      </c>
      <c r="F41">
        <f>VLOOKUP(B41,'Country Totals'!$AB$54:$AD$56,3,FALSE)</f>
        <v>100</v>
      </c>
      <c r="J41" s="281" t="str">
        <f t="shared" si="2"/>
        <v>DE_hydro-STO_Detlumped_Head</v>
      </c>
      <c r="K41" s="278" t="s">
        <v>3019</v>
      </c>
      <c r="L41" t="e">
        <f>ROUND(IF('Country Totals'!$AJ$56="Specific",'Lumped Detailed Generators'!D41*VLOOKUP('Lumped Detailed Generators'!$B41,'Country Totals'!$AB$46:$AD$48,3,FALSE)/1000),2)</f>
        <v>#N/A</v>
      </c>
      <c r="N41" t="str">
        <f t="shared" si="3"/>
        <v>DE_hydro-STO_Detlumped_Tail</v>
      </c>
    </row>
    <row r="42" spans="1:14" hidden="1" x14ac:dyDescent="0.35">
      <c r="A42" s="281" t="str">
        <f t="shared" si="0"/>
        <v>DK_hydro-STO_DetLumped</v>
      </c>
      <c r="B42" s="278" t="s">
        <v>2883</v>
      </c>
      <c r="C42" s="216" t="s">
        <v>2804</v>
      </c>
      <c r="D42" s="327" t="e">
        <f t="shared" si="1"/>
        <v>#N/A</v>
      </c>
      <c r="E42" t="e">
        <f>ROUND(VLOOKUP(C42,'Country Totals'!$B$64:$E$93,MATCH(B42,'Country Totals'!$B$63:$E$63,0),FALSE)/F42,0)</f>
        <v>#N/A</v>
      </c>
      <c r="F42">
        <f>VLOOKUP(B42,'Country Totals'!$AB$54:$AD$56,3,FALSE)</f>
        <v>100</v>
      </c>
      <c r="J42" s="281" t="str">
        <f t="shared" si="2"/>
        <v>DK_hydro-STO_Detlumped_Head</v>
      </c>
      <c r="K42" s="278" t="s">
        <v>3019</v>
      </c>
      <c r="L42" t="e">
        <f>ROUND(IF('Country Totals'!$AJ$56="Specific",'Lumped Detailed Generators'!D42*VLOOKUP('Lumped Detailed Generators'!$B42,'Country Totals'!$AB$46:$AD$48,3,FALSE)/1000),2)</f>
        <v>#N/A</v>
      </c>
      <c r="N42" t="str">
        <f t="shared" si="3"/>
        <v>DK_hydro-STO_Detlumped_Tail</v>
      </c>
    </row>
    <row r="43" spans="1:14" hidden="1" x14ac:dyDescent="0.35">
      <c r="A43" s="281" t="str">
        <f t="shared" si="0"/>
        <v>EE_hydro-STO_DetLumped</v>
      </c>
      <c r="B43" s="278" t="s">
        <v>2883</v>
      </c>
      <c r="C43" s="216" t="s">
        <v>2805</v>
      </c>
      <c r="D43" s="327" t="e">
        <f t="shared" si="1"/>
        <v>#N/A</v>
      </c>
      <c r="E43" t="e">
        <f>ROUND(VLOOKUP(C43,'Country Totals'!$B$64:$E$93,MATCH(B43,'Country Totals'!$B$63:$E$63,0),FALSE)/F43,0)</f>
        <v>#N/A</v>
      </c>
      <c r="F43">
        <f>VLOOKUP(B43,'Country Totals'!$AB$54:$AD$56,3,FALSE)</f>
        <v>100</v>
      </c>
      <c r="J43" s="281" t="str">
        <f t="shared" si="2"/>
        <v>EE_hydro-STO_Detlumped_Head</v>
      </c>
      <c r="K43" s="278" t="s">
        <v>3019</v>
      </c>
      <c r="L43" t="e">
        <f>ROUND(IF('Country Totals'!$AJ$56="Specific",'Lumped Detailed Generators'!D43*VLOOKUP('Lumped Detailed Generators'!$B43,'Country Totals'!$AB$46:$AD$48,3,FALSE)/1000),2)</f>
        <v>#N/A</v>
      </c>
      <c r="N43" t="str">
        <f t="shared" si="3"/>
        <v>EE_hydro-STO_Detlumped_Tail</v>
      </c>
    </row>
    <row r="44" spans="1:14" x14ac:dyDescent="0.35">
      <c r="A44" s="281" t="str">
        <f t="shared" si="0"/>
        <v>EL_hydro-STO_DetLumped</v>
      </c>
      <c r="B44" s="278" t="s">
        <v>2883</v>
      </c>
      <c r="C44" s="216" t="s">
        <v>2806</v>
      </c>
      <c r="D44" s="327" t="e">
        <f t="shared" si="1"/>
        <v>#N/A</v>
      </c>
      <c r="E44" t="e">
        <f>ROUND(VLOOKUP(C44,'Country Totals'!$B$64:$E$93,MATCH(B44,'Country Totals'!$B$63:$E$63,0),FALSE)/F44,0)</f>
        <v>#N/A</v>
      </c>
      <c r="F44">
        <f>VLOOKUP(B44,'Country Totals'!$AB$54:$AD$56,3,FALSE)</f>
        <v>100</v>
      </c>
      <c r="J44" s="281" t="str">
        <f t="shared" si="2"/>
        <v>EL_hydro-STO_Detlumped_Head</v>
      </c>
      <c r="K44" s="278" t="s">
        <v>3019</v>
      </c>
      <c r="L44" t="e">
        <f>ROUND(IF('Country Totals'!$AJ$56="Specific",'Lumped Detailed Generators'!D44*VLOOKUP('Lumped Detailed Generators'!$B44,'Country Totals'!$AB$46:$AD$48,3,FALSE)/1000),2)</f>
        <v>#N/A</v>
      </c>
      <c r="N44" t="str">
        <f t="shared" si="3"/>
        <v>EL_hydro-STO_Detlumped_Tail</v>
      </c>
    </row>
    <row r="45" spans="1:14" hidden="1" x14ac:dyDescent="0.35">
      <c r="A45" s="281" t="str">
        <f t="shared" si="0"/>
        <v>FI_hydro-STO_DetLumped</v>
      </c>
      <c r="B45" s="278" t="s">
        <v>2883</v>
      </c>
      <c r="C45" s="216" t="s">
        <v>2808</v>
      </c>
      <c r="D45" s="327" t="e">
        <f t="shared" si="1"/>
        <v>#N/A</v>
      </c>
      <c r="E45" t="e">
        <f>ROUND(VLOOKUP(C45,'Country Totals'!$B$64:$E$93,MATCH(B45,'Country Totals'!$B$63:$E$63,0),FALSE)/F45,0)</f>
        <v>#N/A</v>
      </c>
      <c r="F45">
        <f>VLOOKUP(B45,'Country Totals'!$AB$54:$AD$56,3,FALSE)</f>
        <v>100</v>
      </c>
      <c r="J45" s="281" t="str">
        <f t="shared" si="2"/>
        <v>FI_hydro-STO_Detlumped_Head</v>
      </c>
      <c r="K45" s="278" t="s">
        <v>3019</v>
      </c>
      <c r="L45" t="e">
        <f>ROUND(IF('Country Totals'!$AJ$56="Specific",'Lumped Detailed Generators'!D45*VLOOKUP('Lumped Detailed Generators'!$B45,'Country Totals'!$AB$46:$AD$48,3,FALSE)/1000),2)</f>
        <v>#N/A</v>
      </c>
      <c r="N45" t="str">
        <f t="shared" si="3"/>
        <v>FI_hydro-STO_Detlumped_Tail</v>
      </c>
    </row>
    <row r="46" spans="1:14" x14ac:dyDescent="0.35">
      <c r="A46" s="281" t="str">
        <f t="shared" si="0"/>
        <v>FR_hydro-STO_DetLumped</v>
      </c>
      <c r="B46" s="278" t="s">
        <v>2883</v>
      </c>
      <c r="C46" s="216" t="s">
        <v>2809</v>
      </c>
      <c r="D46" s="327" t="e">
        <f t="shared" si="1"/>
        <v>#N/A</v>
      </c>
      <c r="E46" t="e">
        <f>ROUND(VLOOKUP(C46,'Country Totals'!$B$64:$E$93,MATCH(B46,'Country Totals'!$B$63:$E$63,0),FALSE)/F46,0)</f>
        <v>#N/A</v>
      </c>
      <c r="F46">
        <f>VLOOKUP(B46,'Country Totals'!$AB$54:$AD$56,3,FALSE)</f>
        <v>100</v>
      </c>
      <c r="J46" s="281" t="str">
        <f t="shared" si="2"/>
        <v>FR_hydro-STO_Detlumped_Head</v>
      </c>
      <c r="K46" s="278" t="s">
        <v>3019</v>
      </c>
      <c r="L46" t="e">
        <f>ROUND(IF('Country Totals'!$AJ$56="Specific",'Lumped Detailed Generators'!D46*VLOOKUP('Lumped Detailed Generators'!$B46,'Country Totals'!$AB$46:$AD$48,3,FALSE)/1000),2)</f>
        <v>#N/A</v>
      </c>
      <c r="N46" t="str">
        <f t="shared" si="3"/>
        <v>FR_hydro-STO_Detlumped_Tail</v>
      </c>
    </row>
    <row r="47" spans="1:14" hidden="1" x14ac:dyDescent="0.35">
      <c r="A47" s="281" t="str">
        <f t="shared" si="0"/>
        <v>GB_hydro-STO_DetLumped</v>
      </c>
      <c r="B47" s="278" t="s">
        <v>2883</v>
      </c>
      <c r="C47" s="216" t="s">
        <v>2832</v>
      </c>
      <c r="D47" s="327" t="e">
        <f t="shared" si="1"/>
        <v>#N/A</v>
      </c>
      <c r="E47" t="e">
        <f>ROUND(VLOOKUP(C47,'Country Totals'!$B$64:$E$93,MATCH(B47,'Country Totals'!$B$63:$E$63,0),FALSE)/F47,0)</f>
        <v>#N/A</v>
      </c>
      <c r="F47">
        <f>VLOOKUP(B47,'Country Totals'!$AB$54:$AD$56,3,FALSE)</f>
        <v>100</v>
      </c>
      <c r="J47" s="281" t="str">
        <f t="shared" si="2"/>
        <v>GB_hydro-STO_Detlumped_Head</v>
      </c>
      <c r="K47" s="278" t="s">
        <v>3019</v>
      </c>
      <c r="L47" t="e">
        <f>ROUND(IF('Country Totals'!$AJ$56="Specific",'Lumped Detailed Generators'!D47*VLOOKUP('Lumped Detailed Generators'!$B47,'Country Totals'!$AB$46:$AD$48,3,FALSE)/1000),2)</f>
        <v>#N/A</v>
      </c>
      <c r="N47" t="str">
        <f t="shared" si="3"/>
        <v>GB_hydro-STO_Detlumped_Tail</v>
      </c>
    </row>
    <row r="48" spans="1:14" x14ac:dyDescent="0.35">
      <c r="A48" s="281" t="str">
        <f t="shared" si="0"/>
        <v>ES_hydro-STO_DetLumped</v>
      </c>
      <c r="B48" s="278" t="s">
        <v>2883</v>
      </c>
      <c r="C48" s="216" t="s">
        <v>2807</v>
      </c>
      <c r="D48" s="327" t="e">
        <f t="shared" si="1"/>
        <v>#N/A</v>
      </c>
      <c r="E48" t="e">
        <f>ROUND(VLOOKUP(C48,'Country Totals'!$B$64:$E$93,MATCH(B48,'Country Totals'!$B$63:$E$63,0),FALSE)/F48,0)</f>
        <v>#N/A</v>
      </c>
      <c r="F48">
        <f>VLOOKUP(B48,'Country Totals'!$AB$54:$AD$56,3,FALSE)</f>
        <v>100</v>
      </c>
      <c r="J48" s="281" t="str">
        <f t="shared" si="2"/>
        <v>ES_hydro-STO_Detlumped_Head</v>
      </c>
      <c r="K48" s="278" t="s">
        <v>3019</v>
      </c>
      <c r="L48" t="e">
        <f>ROUND(IF('Country Totals'!$AJ$56="Specific",'Lumped Detailed Generators'!D48*VLOOKUP('Lumped Detailed Generators'!$B48,'Country Totals'!$AB$46:$AD$48,3,FALSE)/1000),2)</f>
        <v>#N/A</v>
      </c>
      <c r="N48" t="str">
        <f t="shared" si="3"/>
        <v>ES_hydro-STO_Detlumped_Tail</v>
      </c>
    </row>
    <row r="49" spans="1:14" hidden="1" x14ac:dyDescent="0.35">
      <c r="A49" s="281" t="str">
        <f t="shared" si="0"/>
        <v>HR_hydro-STO_DetLumped</v>
      </c>
      <c r="B49" s="278" t="s">
        <v>2883</v>
      </c>
      <c r="C49" s="216" t="s">
        <v>2810</v>
      </c>
      <c r="D49" s="327" t="e">
        <f t="shared" si="1"/>
        <v>#N/A</v>
      </c>
      <c r="E49" t="e">
        <f>ROUND(VLOOKUP(C49,'Country Totals'!$B$64:$E$93,MATCH(B49,'Country Totals'!$B$63:$E$63,0),FALSE)/F49,0)</f>
        <v>#N/A</v>
      </c>
      <c r="F49">
        <f>VLOOKUP(B49,'Country Totals'!$AB$54:$AD$56,3,FALSE)</f>
        <v>100</v>
      </c>
      <c r="J49" s="281" t="str">
        <f t="shared" si="2"/>
        <v>HR_hydro-STO_Detlumped_Head</v>
      </c>
      <c r="K49" s="278" t="s">
        <v>3019</v>
      </c>
      <c r="L49" t="e">
        <f>ROUND(IF('Country Totals'!$AJ$56="Specific",'Lumped Detailed Generators'!D49*VLOOKUP('Lumped Detailed Generators'!$B49,'Country Totals'!$AB$46:$AD$48,3,FALSE)/1000),2)</f>
        <v>#N/A</v>
      </c>
      <c r="N49" t="str">
        <f t="shared" si="3"/>
        <v>HR_hydro-STO_Detlumped_Tail</v>
      </c>
    </row>
    <row r="50" spans="1:14" hidden="1" x14ac:dyDescent="0.35">
      <c r="A50" s="281" t="str">
        <f t="shared" si="0"/>
        <v>HU_hydro-STO_DetLumped</v>
      </c>
      <c r="B50" s="278" t="s">
        <v>2883</v>
      </c>
      <c r="C50" s="216" t="s">
        <v>2811</v>
      </c>
      <c r="D50" s="327" t="e">
        <f t="shared" si="1"/>
        <v>#N/A</v>
      </c>
      <c r="E50" t="e">
        <f>ROUND(VLOOKUP(C50,'Country Totals'!$B$64:$E$93,MATCH(B50,'Country Totals'!$B$63:$E$63,0),FALSE)/F50,0)</f>
        <v>#N/A</v>
      </c>
      <c r="F50">
        <f>VLOOKUP(B50,'Country Totals'!$AB$54:$AD$56,3,FALSE)</f>
        <v>100</v>
      </c>
      <c r="J50" s="281" t="str">
        <f t="shared" si="2"/>
        <v>HU_hydro-STO_Detlumped_Head</v>
      </c>
      <c r="K50" s="278" t="s">
        <v>3019</v>
      </c>
      <c r="L50" t="e">
        <f>ROUND(IF('Country Totals'!$AJ$56="Specific",'Lumped Detailed Generators'!D50*VLOOKUP('Lumped Detailed Generators'!$B50,'Country Totals'!$AB$46:$AD$48,3,FALSE)/1000),2)</f>
        <v>#N/A</v>
      </c>
      <c r="N50" t="str">
        <f t="shared" si="3"/>
        <v>HU_hydro-STO_Detlumped_Tail</v>
      </c>
    </row>
    <row r="51" spans="1:14" hidden="1" x14ac:dyDescent="0.35">
      <c r="A51" s="281" t="str">
        <f t="shared" si="0"/>
        <v>IE_hydro-STO_DetLumped</v>
      </c>
      <c r="B51" s="278" t="s">
        <v>2883</v>
      </c>
      <c r="C51" s="216" t="s">
        <v>2812</v>
      </c>
      <c r="D51" s="327" t="e">
        <f t="shared" si="1"/>
        <v>#N/A</v>
      </c>
      <c r="E51" t="e">
        <f>ROUND(VLOOKUP(C51,'Country Totals'!$B$64:$E$93,MATCH(B51,'Country Totals'!$B$63:$E$63,0),FALSE)/F51,0)</f>
        <v>#N/A</v>
      </c>
      <c r="F51">
        <f>VLOOKUP(B51,'Country Totals'!$AB$54:$AD$56,3,FALSE)</f>
        <v>100</v>
      </c>
      <c r="J51" s="281" t="str">
        <f t="shared" si="2"/>
        <v>IE_hydro-STO_Detlumped_Head</v>
      </c>
      <c r="K51" s="278" t="s">
        <v>3019</v>
      </c>
      <c r="L51" t="e">
        <f>ROUND(IF('Country Totals'!$AJ$56="Specific",'Lumped Detailed Generators'!D51*VLOOKUP('Lumped Detailed Generators'!$B51,'Country Totals'!$AB$46:$AD$48,3,FALSE)/1000),2)</f>
        <v>#N/A</v>
      </c>
      <c r="N51" t="str">
        <f t="shared" si="3"/>
        <v>IE_hydro-STO_Detlumped_Tail</v>
      </c>
    </row>
    <row r="52" spans="1:14" x14ac:dyDescent="0.35">
      <c r="A52" s="281" t="str">
        <f t="shared" si="0"/>
        <v>IT_hydro-STO_DetLumped</v>
      </c>
      <c r="B52" s="278" t="s">
        <v>2883</v>
      </c>
      <c r="C52" s="216" t="s">
        <v>2813</v>
      </c>
      <c r="D52" s="327" t="e">
        <f t="shared" si="1"/>
        <v>#N/A</v>
      </c>
      <c r="E52" t="e">
        <f>ROUND(VLOOKUP(C52,'Country Totals'!$B$64:$E$93,MATCH(B52,'Country Totals'!$B$63:$E$63,0),FALSE)/F52,0)</f>
        <v>#N/A</v>
      </c>
      <c r="F52">
        <f>VLOOKUP(B52,'Country Totals'!$AB$54:$AD$56,3,FALSE)</f>
        <v>100</v>
      </c>
      <c r="J52" s="281" t="str">
        <f t="shared" si="2"/>
        <v>IT_hydro-STO_Detlumped_Head</v>
      </c>
      <c r="K52" s="278" t="s">
        <v>3019</v>
      </c>
      <c r="L52" t="e">
        <f>ROUND(IF('Country Totals'!$AJ$56="Specific",'Lumped Detailed Generators'!D52*VLOOKUP('Lumped Detailed Generators'!$B52,'Country Totals'!$AB$46:$AD$48,3,FALSE)/1000),2)</f>
        <v>#N/A</v>
      </c>
      <c r="N52" t="str">
        <f t="shared" si="3"/>
        <v>IT_hydro-STO_Detlumped_Tail</v>
      </c>
    </row>
    <row r="53" spans="1:14" hidden="1" x14ac:dyDescent="0.35">
      <c r="A53" s="281" t="str">
        <f t="shared" si="0"/>
        <v>LT_hydro-STO_DetLumped</v>
      </c>
      <c r="B53" s="278" t="s">
        <v>2883</v>
      </c>
      <c r="C53" s="216" t="s">
        <v>2814</v>
      </c>
      <c r="D53" s="327" t="e">
        <f t="shared" si="1"/>
        <v>#N/A</v>
      </c>
      <c r="E53" t="e">
        <f>ROUND(VLOOKUP(C53,'Country Totals'!$B$64:$E$93,MATCH(B53,'Country Totals'!$B$63:$E$63,0),FALSE)/F53,0)</f>
        <v>#N/A</v>
      </c>
      <c r="F53">
        <f>VLOOKUP(B53,'Country Totals'!$AB$54:$AD$56,3,FALSE)</f>
        <v>100</v>
      </c>
      <c r="J53" s="281" t="str">
        <f t="shared" si="2"/>
        <v>LT_hydro-STO_Detlumped_Head</v>
      </c>
      <c r="K53" s="278" t="s">
        <v>3019</v>
      </c>
      <c r="L53" t="e">
        <f>ROUND(IF('Country Totals'!$AJ$56="Specific",'Lumped Detailed Generators'!D53*VLOOKUP('Lumped Detailed Generators'!$B53,'Country Totals'!$AB$46:$AD$48,3,FALSE)/1000),2)</f>
        <v>#N/A</v>
      </c>
      <c r="N53" t="str">
        <f t="shared" si="3"/>
        <v>LT_hydro-STO_Detlumped_Tail</v>
      </c>
    </row>
    <row r="54" spans="1:14" hidden="1" x14ac:dyDescent="0.35">
      <c r="A54" s="281" t="str">
        <f t="shared" si="0"/>
        <v>LU_hydro-STO_DetLumped</v>
      </c>
      <c r="B54" s="278" t="s">
        <v>2883</v>
      </c>
      <c r="C54" s="216" t="s">
        <v>2815</v>
      </c>
      <c r="D54" s="327" t="e">
        <f t="shared" si="1"/>
        <v>#N/A</v>
      </c>
      <c r="E54" t="e">
        <f>ROUND(VLOOKUP(C54,'Country Totals'!$B$64:$E$93,MATCH(B54,'Country Totals'!$B$63:$E$63,0),FALSE)/F54,0)</f>
        <v>#N/A</v>
      </c>
      <c r="F54">
        <f>VLOOKUP(B54,'Country Totals'!$AB$54:$AD$56,3,FALSE)</f>
        <v>100</v>
      </c>
      <c r="J54" s="281" t="str">
        <f t="shared" si="2"/>
        <v>LU_hydro-STO_Detlumped_Head</v>
      </c>
      <c r="K54" s="278" t="s">
        <v>3019</v>
      </c>
      <c r="L54" t="e">
        <f>ROUND(IF('Country Totals'!$AJ$56="Specific",'Lumped Detailed Generators'!D54*VLOOKUP('Lumped Detailed Generators'!$B54,'Country Totals'!$AB$46:$AD$48,3,FALSE)/1000),2)</f>
        <v>#N/A</v>
      </c>
      <c r="N54" t="str">
        <f t="shared" si="3"/>
        <v>LU_hydro-STO_Detlumped_Tail</v>
      </c>
    </row>
    <row r="55" spans="1:14" hidden="1" x14ac:dyDescent="0.35">
      <c r="A55" s="281" t="str">
        <f t="shared" si="0"/>
        <v>LV_hydro-STO_DetLumped</v>
      </c>
      <c r="B55" s="278" t="s">
        <v>2883</v>
      </c>
      <c r="C55" s="216" t="s">
        <v>2816</v>
      </c>
      <c r="D55" s="327" t="e">
        <f t="shared" si="1"/>
        <v>#N/A</v>
      </c>
      <c r="E55" t="e">
        <f>ROUND(VLOOKUP(C55,'Country Totals'!$B$64:$E$93,MATCH(B55,'Country Totals'!$B$63:$E$63,0),FALSE)/F55,0)</f>
        <v>#N/A</v>
      </c>
      <c r="F55">
        <f>VLOOKUP(B55,'Country Totals'!$AB$54:$AD$56,3,FALSE)</f>
        <v>100</v>
      </c>
      <c r="J55" s="281" t="str">
        <f t="shared" si="2"/>
        <v>LV_hydro-STO_Detlumped_Head</v>
      </c>
      <c r="K55" s="278" t="s">
        <v>3019</v>
      </c>
      <c r="L55" t="e">
        <f>ROUND(IF('Country Totals'!$AJ$56="Specific",'Lumped Detailed Generators'!D55*VLOOKUP('Lumped Detailed Generators'!$B55,'Country Totals'!$AB$46:$AD$48,3,FALSE)/1000),2)</f>
        <v>#N/A</v>
      </c>
      <c r="N55" t="str">
        <f t="shared" si="3"/>
        <v>LV_hydro-STO_Detlumped_Tail</v>
      </c>
    </row>
    <row r="56" spans="1:14" hidden="1" x14ac:dyDescent="0.35">
      <c r="A56" s="281" t="str">
        <f t="shared" si="0"/>
        <v>NI_hydro-STO_DetLumped</v>
      </c>
      <c r="B56" s="278" t="s">
        <v>2883</v>
      </c>
      <c r="C56" s="216" t="s">
        <v>2833</v>
      </c>
      <c r="D56" s="327" t="e">
        <f t="shared" si="1"/>
        <v>#N/A</v>
      </c>
      <c r="E56" t="e">
        <f>ROUND(VLOOKUP(C56,'Country Totals'!$B$64:$E$93,MATCH(B56,'Country Totals'!$B$63:$E$63,0),FALSE)/F56,0)</f>
        <v>#N/A</v>
      </c>
      <c r="F56">
        <f>VLOOKUP(B56,'Country Totals'!$AB$54:$AD$56,3,FALSE)</f>
        <v>100</v>
      </c>
      <c r="J56" s="281" t="str">
        <f t="shared" si="2"/>
        <v>NI_hydro-STO_Detlumped_Head</v>
      </c>
      <c r="K56" s="278" t="s">
        <v>3019</v>
      </c>
      <c r="L56" t="e">
        <f>ROUND(IF('Country Totals'!$AJ$56="Specific",'Lumped Detailed Generators'!D56*VLOOKUP('Lumped Detailed Generators'!$B56,'Country Totals'!$AB$46:$AD$48,3,FALSE)/1000),2)</f>
        <v>#N/A</v>
      </c>
      <c r="N56" t="str">
        <f t="shared" si="3"/>
        <v>NI_hydro-STO_Detlumped_Tail</v>
      </c>
    </row>
    <row r="57" spans="1:14" hidden="1" x14ac:dyDescent="0.35">
      <c r="A57" s="281" t="str">
        <f t="shared" si="0"/>
        <v>NL_hydro-STO_DetLumped</v>
      </c>
      <c r="B57" s="278" t="s">
        <v>2883</v>
      </c>
      <c r="C57" s="216" t="s">
        <v>2818</v>
      </c>
      <c r="D57" s="327" t="e">
        <f t="shared" si="1"/>
        <v>#N/A</v>
      </c>
      <c r="E57" t="e">
        <f>ROUND(VLOOKUP(C57,'Country Totals'!$B$64:$E$93,MATCH(B57,'Country Totals'!$B$63:$E$63,0),FALSE)/F57,0)</f>
        <v>#N/A</v>
      </c>
      <c r="F57">
        <f>VLOOKUP(B57,'Country Totals'!$AB$54:$AD$56,3,FALSE)</f>
        <v>100</v>
      </c>
      <c r="J57" s="281" t="str">
        <f t="shared" si="2"/>
        <v>NL_hydro-STO_Detlumped_Head</v>
      </c>
      <c r="K57" s="278" t="s">
        <v>3019</v>
      </c>
      <c r="L57" t="e">
        <f>ROUND(IF('Country Totals'!$AJ$56="Specific",'Lumped Detailed Generators'!D57*VLOOKUP('Lumped Detailed Generators'!$B57,'Country Totals'!$AB$46:$AD$48,3,FALSE)/1000),2)</f>
        <v>#N/A</v>
      </c>
      <c r="N57" t="str">
        <f t="shared" si="3"/>
        <v>NL_hydro-STO_Detlumped_Tail</v>
      </c>
    </row>
    <row r="58" spans="1:14" x14ac:dyDescent="0.35">
      <c r="A58" s="281" t="str">
        <f t="shared" si="0"/>
        <v>NO_hydro-STO_DetLumped</v>
      </c>
      <c r="B58" s="278" t="s">
        <v>2883</v>
      </c>
      <c r="C58" s="216" t="s">
        <v>2819</v>
      </c>
      <c r="D58" s="327" t="e">
        <f t="shared" si="1"/>
        <v>#N/A</v>
      </c>
      <c r="E58" t="e">
        <f>ROUND(VLOOKUP(C58,'Country Totals'!$B$64:$E$93,MATCH(B58,'Country Totals'!$B$63:$E$63,0),FALSE)/F58,0)</f>
        <v>#N/A</v>
      </c>
      <c r="F58">
        <f>VLOOKUP(B58,'Country Totals'!$AB$54:$AD$56,3,FALSE)</f>
        <v>100</v>
      </c>
      <c r="J58" s="281" t="str">
        <f t="shared" si="2"/>
        <v>NO_hydro-STO_Detlumped_Head</v>
      </c>
      <c r="K58" s="278" t="s">
        <v>3019</v>
      </c>
      <c r="L58" t="e">
        <f>ROUND(IF('Country Totals'!$AJ$56="Specific",'Lumped Detailed Generators'!D58*VLOOKUP('Lumped Detailed Generators'!$B58,'Country Totals'!$AB$46:$AD$48,3,FALSE)/1000),2)</f>
        <v>#N/A</v>
      </c>
      <c r="N58" t="str">
        <f t="shared" si="3"/>
        <v>NO_hydro-STO_Detlumped_Tail</v>
      </c>
    </row>
    <row r="59" spans="1:14" hidden="1" x14ac:dyDescent="0.35">
      <c r="A59" s="281" t="str">
        <f t="shared" si="0"/>
        <v>PL_hydro-STO_DetLumped</v>
      </c>
      <c r="B59" s="278" t="s">
        <v>2883</v>
      </c>
      <c r="C59" s="216" t="s">
        <v>2820</v>
      </c>
      <c r="D59" s="327" t="e">
        <f t="shared" si="1"/>
        <v>#N/A</v>
      </c>
      <c r="E59" t="e">
        <f>ROUND(VLOOKUP(C59,'Country Totals'!$B$64:$E$93,MATCH(B59,'Country Totals'!$B$63:$E$63,0),FALSE)/F59,0)</f>
        <v>#N/A</v>
      </c>
      <c r="F59">
        <f>VLOOKUP(B59,'Country Totals'!$AB$54:$AD$56,3,FALSE)</f>
        <v>100</v>
      </c>
      <c r="J59" s="281" t="str">
        <f t="shared" si="2"/>
        <v>PL_hydro-STO_Detlumped_Head</v>
      </c>
      <c r="K59" s="278" t="s">
        <v>3019</v>
      </c>
      <c r="L59" t="e">
        <f>ROUND(IF('Country Totals'!$AJ$56="Specific",'Lumped Detailed Generators'!D59*VLOOKUP('Lumped Detailed Generators'!$B59,'Country Totals'!$AB$46:$AD$48,3,FALSE)/1000),2)</f>
        <v>#N/A</v>
      </c>
      <c r="N59" t="str">
        <f t="shared" si="3"/>
        <v>PL_hydro-STO_Detlumped_Tail</v>
      </c>
    </row>
    <row r="60" spans="1:14" hidden="1" x14ac:dyDescent="0.35">
      <c r="A60" s="281" t="str">
        <f t="shared" si="0"/>
        <v>PT_hydro-STO_DetLumped</v>
      </c>
      <c r="B60" s="278" t="s">
        <v>2883</v>
      </c>
      <c r="C60" s="216" t="s">
        <v>2821</v>
      </c>
      <c r="D60" s="327" t="e">
        <f t="shared" si="1"/>
        <v>#N/A</v>
      </c>
      <c r="E60" t="e">
        <f>ROUND(VLOOKUP(C60,'Country Totals'!$B$64:$E$93,MATCH(B60,'Country Totals'!$B$63:$E$63,0),FALSE)/F60,0)</f>
        <v>#N/A</v>
      </c>
      <c r="F60">
        <f>VLOOKUP(B60,'Country Totals'!$AB$54:$AD$56,3,FALSE)</f>
        <v>100</v>
      </c>
      <c r="J60" s="281" t="str">
        <f t="shared" si="2"/>
        <v>PT_hydro-STO_Detlumped_Head</v>
      </c>
      <c r="K60" s="278" t="s">
        <v>3019</v>
      </c>
      <c r="L60" t="e">
        <f>ROUND(IF('Country Totals'!$AJ$56="Specific",'Lumped Detailed Generators'!D60*VLOOKUP('Lumped Detailed Generators'!$B60,'Country Totals'!$AB$46:$AD$48,3,FALSE)/1000),2)</f>
        <v>#N/A</v>
      </c>
      <c r="N60" t="str">
        <f t="shared" si="3"/>
        <v>PT_hydro-STO_Detlumped_Tail</v>
      </c>
    </row>
    <row r="61" spans="1:14" x14ac:dyDescent="0.35">
      <c r="A61" s="281" t="str">
        <f t="shared" si="0"/>
        <v>RO_hydro-STO_DetLumped</v>
      </c>
      <c r="B61" s="278" t="s">
        <v>2883</v>
      </c>
      <c r="C61" s="216" t="s">
        <v>2822</v>
      </c>
      <c r="D61" s="327" t="e">
        <f t="shared" si="1"/>
        <v>#N/A</v>
      </c>
      <c r="E61" t="e">
        <f>ROUND(VLOOKUP(C61,'Country Totals'!$B$64:$E$93,MATCH(B61,'Country Totals'!$B$63:$E$63,0),FALSE)/F61,0)</f>
        <v>#N/A</v>
      </c>
      <c r="F61">
        <f>VLOOKUP(B61,'Country Totals'!$AB$54:$AD$56,3,FALSE)</f>
        <v>100</v>
      </c>
      <c r="J61" s="281" t="str">
        <f t="shared" si="2"/>
        <v>RO_hydro-STO_Detlumped_Head</v>
      </c>
      <c r="K61" s="278" t="s">
        <v>3019</v>
      </c>
      <c r="L61" t="e">
        <f>ROUND(IF('Country Totals'!$AJ$56="Specific",'Lumped Detailed Generators'!D61*VLOOKUP('Lumped Detailed Generators'!$B61,'Country Totals'!$AB$46:$AD$48,3,FALSE)/1000),2)</f>
        <v>#N/A</v>
      </c>
      <c r="N61" t="str">
        <f t="shared" si="3"/>
        <v>RO_hydro-STO_Detlumped_Tail</v>
      </c>
    </row>
    <row r="62" spans="1:14" x14ac:dyDescent="0.35">
      <c r="A62" s="281" t="str">
        <f t="shared" si="0"/>
        <v>SE_hydro-STO_DetLumped</v>
      </c>
      <c r="B62" s="278" t="s">
        <v>2883</v>
      </c>
      <c r="C62" s="216" t="s">
        <v>2823</v>
      </c>
      <c r="D62" s="327" t="e">
        <f t="shared" si="1"/>
        <v>#N/A</v>
      </c>
      <c r="E62" t="e">
        <f>ROUND(VLOOKUP(C62,'Country Totals'!$B$64:$E$93,MATCH(B62,'Country Totals'!$B$63:$E$63,0),FALSE)/F62,0)</f>
        <v>#N/A</v>
      </c>
      <c r="F62">
        <f>VLOOKUP(B62,'Country Totals'!$AB$54:$AD$56,3,FALSE)</f>
        <v>100</v>
      </c>
      <c r="J62" s="281" t="str">
        <f t="shared" si="2"/>
        <v>SE_hydro-STO_Detlumped_Head</v>
      </c>
      <c r="K62" s="278" t="s">
        <v>3019</v>
      </c>
      <c r="L62" t="e">
        <f>ROUND(IF('Country Totals'!$AJ$56="Specific",'Lumped Detailed Generators'!D62*VLOOKUP('Lumped Detailed Generators'!$B62,'Country Totals'!$AB$46:$AD$48,3,FALSE)/1000),2)</f>
        <v>#N/A</v>
      </c>
      <c r="N62" t="str">
        <f t="shared" si="3"/>
        <v>SE_hydro-STO_Detlumped_Tail</v>
      </c>
    </row>
    <row r="63" spans="1:14" hidden="1" x14ac:dyDescent="0.35">
      <c r="A63" s="281" t="str">
        <f t="shared" si="0"/>
        <v>SI_hydro-STO_DetLumped</v>
      </c>
      <c r="B63" s="278" t="s">
        <v>2883</v>
      </c>
      <c r="C63" s="216" t="s">
        <v>2824</v>
      </c>
      <c r="D63" s="327" t="e">
        <f t="shared" si="1"/>
        <v>#N/A</v>
      </c>
      <c r="E63" t="e">
        <f>ROUND(VLOOKUP(C63,'Country Totals'!$B$64:$E$93,MATCH(B63,'Country Totals'!$B$63:$E$63,0),FALSE)/F63,0)</f>
        <v>#N/A</v>
      </c>
      <c r="F63">
        <f>VLOOKUP(B63,'Country Totals'!$AB$54:$AD$56,3,FALSE)</f>
        <v>100</v>
      </c>
      <c r="J63" s="281" t="str">
        <f t="shared" si="2"/>
        <v>SI_hydro-STO_Detlumped_Head</v>
      </c>
      <c r="K63" s="278" t="s">
        <v>3019</v>
      </c>
      <c r="L63" t="e">
        <f>ROUND(IF('Country Totals'!$AJ$56="Specific",'Lumped Detailed Generators'!D63*VLOOKUP('Lumped Detailed Generators'!$B63,'Country Totals'!$AB$46:$AD$48,3,FALSE)/1000),2)</f>
        <v>#N/A</v>
      </c>
      <c r="N63" t="str">
        <f t="shared" si="3"/>
        <v>SI_hydro-STO_Detlumped_Tail</v>
      </c>
    </row>
    <row r="64" spans="1:14" hidden="1" x14ac:dyDescent="0.35">
      <c r="A64" s="281" t="str">
        <f t="shared" si="0"/>
        <v>SK_hydro-STO_DetLumped</v>
      </c>
      <c r="B64" s="278" t="s">
        <v>2883</v>
      </c>
      <c r="C64" s="216" t="s">
        <v>2825</v>
      </c>
      <c r="D64" s="327" t="e">
        <f t="shared" si="1"/>
        <v>#N/A</v>
      </c>
      <c r="E64" t="e">
        <f>ROUND(VLOOKUP(C64,'Country Totals'!$B$64:$E$93,MATCH(B64,'Country Totals'!$B$63:$E$63,0),FALSE)/F64,0)</f>
        <v>#N/A</v>
      </c>
      <c r="F64">
        <f>VLOOKUP(B64,'Country Totals'!$AB$54:$AD$56,3,FALSE)</f>
        <v>100</v>
      </c>
      <c r="J64" s="281" t="str">
        <f t="shared" si="2"/>
        <v>SK_hydro-STO_Detlumped_Head</v>
      </c>
      <c r="K64" s="278" t="s">
        <v>3019</v>
      </c>
      <c r="L64" t="e">
        <f>ROUND(IF('Country Totals'!$AJ$56="Specific",'Lumped Detailed Generators'!D64*VLOOKUP('Lumped Detailed Generators'!$B64,'Country Totals'!$AB$46:$AD$48,3,FALSE)/1000),2)</f>
        <v>#N/A</v>
      </c>
      <c r="N64" t="str">
        <f t="shared" si="3"/>
        <v>SK_hydro-STO_Detlumped_Tail</v>
      </c>
    </row>
    <row r="65" spans="1:14" x14ac:dyDescent="0.35">
      <c r="A65" s="281" t="str">
        <f t="shared" si="0"/>
        <v>AT_hydro-PHS_DetLumped</v>
      </c>
      <c r="B65" s="278" t="s">
        <v>2884</v>
      </c>
      <c r="C65" s="216" t="s">
        <v>2797</v>
      </c>
      <c r="D65" s="327" t="e">
        <f t="shared" si="1"/>
        <v>#N/A</v>
      </c>
      <c r="E65" t="e">
        <f>ROUND(VLOOKUP(C65,'Country Totals'!$B$64:$E$93,MATCH(B65,'Country Totals'!$B$63:$E$63,0),FALSE)/F65,0)</f>
        <v>#N/A</v>
      </c>
      <c r="F65">
        <f>VLOOKUP(B65,'Country Totals'!$AB$54:$AD$56,3,FALSE)</f>
        <v>400</v>
      </c>
      <c r="J65" s="281" t="str">
        <f t="shared" si="2"/>
        <v>AT_hydro-PHS_Detlumped_Head</v>
      </c>
      <c r="K65" s="278" t="s">
        <v>3020</v>
      </c>
      <c r="L65" t="e">
        <f>ROUND(IF('Country Totals'!$AJ$56="Specific",'Lumped Detailed Generators'!D65*VLOOKUP('Lumped Detailed Generators'!$B65,'Country Totals'!$AB$46:$AD$48,3,FALSE)/1000),2)</f>
        <v>#N/A</v>
      </c>
      <c r="N65" t="str">
        <f t="shared" si="3"/>
        <v>AT_hydro-PHS_Detlumped_Tail</v>
      </c>
    </row>
    <row r="66" spans="1:14" x14ac:dyDescent="0.35">
      <c r="A66" s="281" t="str">
        <f t="shared" si="0"/>
        <v>BE_hydro-PHS_DetLumped</v>
      </c>
      <c r="B66" s="278" t="s">
        <v>2884</v>
      </c>
      <c r="C66" s="216" t="s">
        <v>2798</v>
      </c>
      <c r="D66" s="327" t="e">
        <f t="shared" si="1"/>
        <v>#N/A</v>
      </c>
      <c r="E66" t="e">
        <f>ROUND(VLOOKUP(C66,'Country Totals'!$B$64:$E$93,MATCH(B66,'Country Totals'!$B$63:$E$63,0),FALSE)/F66,0)</f>
        <v>#N/A</v>
      </c>
      <c r="F66">
        <f>VLOOKUP(B66,'Country Totals'!$AB$54:$AD$56,3,FALSE)</f>
        <v>400</v>
      </c>
      <c r="J66" s="281" t="str">
        <f t="shared" si="2"/>
        <v>BE_hydro-PHS_Detlumped_Head</v>
      </c>
      <c r="K66" s="278" t="s">
        <v>3020</v>
      </c>
      <c r="L66" t="e">
        <f>ROUND(IF('Country Totals'!$AJ$56="Specific",'Lumped Detailed Generators'!D66*VLOOKUP('Lumped Detailed Generators'!$B66,'Country Totals'!$AB$46:$AD$48,3,FALSE)/1000),2)</f>
        <v>#N/A</v>
      </c>
      <c r="N66" t="str">
        <f t="shared" si="3"/>
        <v>BE_hydro-PHS_Detlumped_Tail</v>
      </c>
    </row>
    <row r="67" spans="1:14" x14ac:dyDescent="0.35">
      <c r="A67" s="281" t="str">
        <f t="shared" si="0"/>
        <v>BG_hydro-PHS_DetLumped</v>
      </c>
      <c r="B67" s="278" t="s">
        <v>2884</v>
      </c>
      <c r="C67" s="216" t="s">
        <v>2799</v>
      </c>
      <c r="D67" s="327" t="e">
        <f t="shared" si="1"/>
        <v>#N/A</v>
      </c>
      <c r="E67" t="e">
        <f>ROUND(VLOOKUP(C67,'Country Totals'!$B$64:$E$93,MATCH(B67,'Country Totals'!$B$63:$E$63,0),FALSE)/F67,0)</f>
        <v>#N/A</v>
      </c>
      <c r="F67">
        <f>VLOOKUP(B67,'Country Totals'!$AB$54:$AD$56,3,FALSE)</f>
        <v>400</v>
      </c>
      <c r="J67" s="281" t="str">
        <f t="shared" si="2"/>
        <v>BG_hydro-PHS_Detlumped_Head</v>
      </c>
      <c r="K67" s="278" t="s">
        <v>3020</v>
      </c>
      <c r="L67" t="e">
        <f>ROUND(IF('Country Totals'!$AJ$56="Specific",'Lumped Detailed Generators'!D67*VLOOKUP('Lumped Detailed Generators'!$B67,'Country Totals'!$AB$46:$AD$48,3,FALSE)/1000),2)</f>
        <v>#N/A</v>
      </c>
      <c r="N67" t="str">
        <f t="shared" si="3"/>
        <v>BG_hydro-PHS_Detlumped_Tail</v>
      </c>
    </row>
    <row r="68" spans="1:14" x14ac:dyDescent="0.35">
      <c r="A68" s="281" t="str">
        <f t="shared" si="0"/>
        <v>CH_hydro-PHS_DetLumped</v>
      </c>
      <c r="B68" s="278" t="s">
        <v>2884</v>
      </c>
      <c r="C68" s="216" t="s">
        <v>2800</v>
      </c>
      <c r="D68" s="327" t="e">
        <f t="shared" si="1"/>
        <v>#N/A</v>
      </c>
      <c r="E68" t="e">
        <f>ROUND(VLOOKUP(C68,'Country Totals'!$B$64:$E$93,MATCH(B68,'Country Totals'!$B$63:$E$63,0),FALSE)/F68,0)</f>
        <v>#N/A</v>
      </c>
      <c r="F68">
        <f>VLOOKUP(B68,'Country Totals'!$AB$54:$AD$56,3,FALSE)</f>
        <v>400</v>
      </c>
      <c r="J68" s="281" t="str">
        <f t="shared" si="2"/>
        <v>CH_hydro-PHS_Detlumped_Head</v>
      </c>
      <c r="K68" s="278" t="s">
        <v>3020</v>
      </c>
      <c r="L68" t="e">
        <f>ROUND(IF('Country Totals'!$AJ$56="Specific",'Lumped Detailed Generators'!D68*VLOOKUP('Lumped Detailed Generators'!$B68,'Country Totals'!$AB$46:$AD$48,3,FALSE)/1000),2)</f>
        <v>#N/A</v>
      </c>
      <c r="N68" t="str">
        <f t="shared" si="3"/>
        <v>CH_hydro-PHS_Detlumped_Tail</v>
      </c>
    </row>
    <row r="69" spans="1:14" hidden="1" x14ac:dyDescent="0.35">
      <c r="A69" s="281" t="str">
        <f t="shared" si="0"/>
        <v>CY_hydro-PHS_DetLumped</v>
      </c>
      <c r="B69" s="278" t="s">
        <v>2884</v>
      </c>
      <c r="C69" s="216" t="s">
        <v>2801</v>
      </c>
      <c r="D69" s="327" t="e">
        <f t="shared" si="1"/>
        <v>#N/A</v>
      </c>
      <c r="E69" t="e">
        <f>ROUND(VLOOKUP(C69,'Country Totals'!$B$64:$E$93,MATCH(B69,'Country Totals'!$B$63:$E$63,0),FALSE)/F69,0)</f>
        <v>#N/A</v>
      </c>
      <c r="F69">
        <f>VLOOKUP(B69,'Country Totals'!$AB$54:$AD$56,3,FALSE)</f>
        <v>400</v>
      </c>
      <c r="J69" s="281" t="str">
        <f t="shared" si="2"/>
        <v>CY_hydro-PHS_Detlumped_Head</v>
      </c>
      <c r="K69" s="278" t="s">
        <v>3020</v>
      </c>
      <c r="L69" t="e">
        <f>ROUND(IF('Country Totals'!$AJ$56="Specific",'Lumped Detailed Generators'!D69*VLOOKUP('Lumped Detailed Generators'!$B69,'Country Totals'!$AB$46:$AD$48,3,FALSE)/1000),2)</f>
        <v>#N/A</v>
      </c>
      <c r="N69" t="str">
        <f t="shared" si="3"/>
        <v>CY_hydro-PHS_Detlumped_Tail</v>
      </c>
    </row>
    <row r="70" spans="1:14" x14ac:dyDescent="0.35">
      <c r="A70" s="281" t="str">
        <f t="shared" ref="A70:A94" si="4">C70&amp;"_"&amp;B70&amp;"_DetLumped"</f>
        <v>CZ_hydro-PHS_DetLumped</v>
      </c>
      <c r="B70" s="278" t="s">
        <v>2884</v>
      </c>
      <c r="C70" s="216" t="s">
        <v>2802</v>
      </c>
      <c r="D70" s="327" t="e">
        <f t="shared" ref="D70:D94" si="5">E70*F70</f>
        <v>#N/A</v>
      </c>
      <c r="E70" t="e">
        <f>ROUND(VLOOKUP(C70,'Country Totals'!$B$64:$E$93,MATCH(B70,'Country Totals'!$B$63:$E$63,0),FALSE)/F70,0)</f>
        <v>#N/A</v>
      </c>
      <c r="F70">
        <f>VLOOKUP(B70,'Country Totals'!$AB$54:$AD$56,3,FALSE)</f>
        <v>400</v>
      </c>
      <c r="J70" s="281" t="str">
        <f t="shared" ref="J70:J94" si="6">C70&amp;"_"&amp;B70&amp;"_Detlumped_Head"</f>
        <v>CZ_hydro-PHS_Detlumped_Head</v>
      </c>
      <c r="K70" s="278" t="s">
        <v>3020</v>
      </c>
      <c r="L70" t="e">
        <f>ROUND(IF('Country Totals'!$AJ$56="Specific",'Lumped Detailed Generators'!D70*VLOOKUP('Lumped Detailed Generators'!$B70,'Country Totals'!$AB$46:$AD$48,3,FALSE)/1000),2)</f>
        <v>#N/A</v>
      </c>
      <c r="N70" t="str">
        <f t="shared" ref="N70:N94" si="7">C70&amp;"_"&amp;B70&amp;"_Detlumped_Tail"</f>
        <v>CZ_hydro-PHS_Detlumped_Tail</v>
      </c>
    </row>
    <row r="71" spans="1:14" x14ac:dyDescent="0.35">
      <c r="A71" s="281" t="str">
        <f t="shared" si="4"/>
        <v>DE_hydro-PHS_DetLumped</v>
      </c>
      <c r="B71" s="278" t="s">
        <v>2884</v>
      </c>
      <c r="C71" s="216" t="s">
        <v>2803</v>
      </c>
      <c r="D71" s="327" t="e">
        <f t="shared" si="5"/>
        <v>#N/A</v>
      </c>
      <c r="E71" t="e">
        <f>ROUND(VLOOKUP(C71,'Country Totals'!$B$64:$E$93,MATCH(B71,'Country Totals'!$B$63:$E$63,0),FALSE)/F71,0)</f>
        <v>#N/A</v>
      </c>
      <c r="F71">
        <f>VLOOKUP(B71,'Country Totals'!$AB$54:$AD$56,3,FALSE)</f>
        <v>400</v>
      </c>
      <c r="J71" s="281" t="str">
        <f t="shared" si="6"/>
        <v>DE_hydro-PHS_Detlumped_Head</v>
      </c>
      <c r="K71" s="278" t="s">
        <v>3020</v>
      </c>
      <c r="L71" t="e">
        <f>ROUND(IF('Country Totals'!$AJ$56="Specific",'Lumped Detailed Generators'!D71*VLOOKUP('Lumped Detailed Generators'!$B71,'Country Totals'!$AB$46:$AD$48,3,FALSE)/1000),2)</f>
        <v>#N/A</v>
      </c>
      <c r="N71" t="str">
        <f t="shared" si="7"/>
        <v>DE_hydro-PHS_Detlumped_Tail</v>
      </c>
    </row>
    <row r="72" spans="1:14" hidden="1" x14ac:dyDescent="0.35">
      <c r="A72" s="281" t="str">
        <f t="shared" si="4"/>
        <v>DK_hydro-PHS_DetLumped</v>
      </c>
      <c r="B72" s="278" t="s">
        <v>2884</v>
      </c>
      <c r="C72" s="216" t="s">
        <v>2804</v>
      </c>
      <c r="D72" s="327" t="e">
        <f t="shared" si="5"/>
        <v>#N/A</v>
      </c>
      <c r="E72" t="e">
        <f>ROUND(VLOOKUP(C72,'Country Totals'!$B$64:$E$93,MATCH(B72,'Country Totals'!$B$63:$E$63,0),FALSE)/F72,0)</f>
        <v>#N/A</v>
      </c>
      <c r="F72">
        <f>VLOOKUP(B72,'Country Totals'!$AB$54:$AD$56,3,FALSE)</f>
        <v>400</v>
      </c>
      <c r="J72" s="281" t="str">
        <f t="shared" si="6"/>
        <v>DK_hydro-PHS_Detlumped_Head</v>
      </c>
      <c r="K72" s="278" t="s">
        <v>3020</v>
      </c>
      <c r="L72" t="e">
        <f>ROUND(IF('Country Totals'!$AJ$56="Specific",'Lumped Detailed Generators'!D72*VLOOKUP('Lumped Detailed Generators'!$B72,'Country Totals'!$AB$46:$AD$48,3,FALSE)/1000),2)</f>
        <v>#N/A</v>
      </c>
      <c r="N72" t="str">
        <f t="shared" si="7"/>
        <v>DK_hydro-PHS_Detlumped_Tail</v>
      </c>
    </row>
    <row r="73" spans="1:14" hidden="1" x14ac:dyDescent="0.35">
      <c r="A73" s="281" t="str">
        <f t="shared" si="4"/>
        <v>EE_hydro-PHS_DetLumped</v>
      </c>
      <c r="B73" s="278" t="s">
        <v>2884</v>
      </c>
      <c r="C73" s="216" t="s">
        <v>2805</v>
      </c>
      <c r="D73" s="327" t="e">
        <f t="shared" si="5"/>
        <v>#N/A</v>
      </c>
      <c r="E73" t="e">
        <f>ROUND(VLOOKUP(C73,'Country Totals'!$B$64:$E$93,MATCH(B73,'Country Totals'!$B$63:$E$63,0),FALSE)/F73,0)</f>
        <v>#N/A</v>
      </c>
      <c r="F73">
        <f>VLOOKUP(B73,'Country Totals'!$AB$54:$AD$56,3,FALSE)</f>
        <v>400</v>
      </c>
      <c r="J73" s="281" t="str">
        <f t="shared" si="6"/>
        <v>EE_hydro-PHS_Detlumped_Head</v>
      </c>
      <c r="K73" s="278" t="s">
        <v>3020</v>
      </c>
      <c r="L73" t="e">
        <f>ROUND(IF('Country Totals'!$AJ$56="Specific",'Lumped Detailed Generators'!D73*VLOOKUP('Lumped Detailed Generators'!$B73,'Country Totals'!$AB$46:$AD$48,3,FALSE)/1000),2)</f>
        <v>#N/A</v>
      </c>
      <c r="N73" t="str">
        <f t="shared" si="7"/>
        <v>EE_hydro-PHS_Detlumped_Tail</v>
      </c>
    </row>
    <row r="74" spans="1:14" x14ac:dyDescent="0.35">
      <c r="A74" s="281" t="str">
        <f t="shared" si="4"/>
        <v>EL_hydro-PHS_DetLumped</v>
      </c>
      <c r="B74" s="278" t="s">
        <v>2884</v>
      </c>
      <c r="C74" s="216" t="s">
        <v>2806</v>
      </c>
      <c r="D74" s="327" t="e">
        <f t="shared" si="5"/>
        <v>#N/A</v>
      </c>
      <c r="E74" t="e">
        <f>ROUND(VLOOKUP(C74,'Country Totals'!$B$64:$E$93,MATCH(B74,'Country Totals'!$B$63:$E$63,0),FALSE)/F74,0)</f>
        <v>#N/A</v>
      </c>
      <c r="F74">
        <f>VLOOKUP(B74,'Country Totals'!$AB$54:$AD$56,3,FALSE)</f>
        <v>400</v>
      </c>
      <c r="J74" s="281" t="str">
        <f t="shared" si="6"/>
        <v>EL_hydro-PHS_Detlumped_Head</v>
      </c>
      <c r="K74" s="278" t="s">
        <v>3020</v>
      </c>
      <c r="L74" t="e">
        <f>ROUND(IF('Country Totals'!$AJ$56="Specific",'Lumped Detailed Generators'!D74*VLOOKUP('Lumped Detailed Generators'!$B74,'Country Totals'!$AB$46:$AD$48,3,FALSE)/1000),2)</f>
        <v>#N/A</v>
      </c>
      <c r="N74" t="str">
        <f t="shared" si="7"/>
        <v>EL_hydro-PHS_Detlumped_Tail</v>
      </c>
    </row>
    <row r="75" spans="1:14" hidden="1" x14ac:dyDescent="0.35">
      <c r="A75" s="281" t="str">
        <f t="shared" si="4"/>
        <v>FI_hydro-PHS_DetLumped</v>
      </c>
      <c r="B75" s="278" t="s">
        <v>2884</v>
      </c>
      <c r="C75" s="216" t="s">
        <v>2808</v>
      </c>
      <c r="D75" s="327" t="e">
        <f t="shared" si="5"/>
        <v>#N/A</v>
      </c>
      <c r="E75" t="e">
        <f>ROUND(VLOOKUP(C75,'Country Totals'!$B$64:$E$93,MATCH(B75,'Country Totals'!$B$63:$E$63,0),FALSE)/F75,0)</f>
        <v>#N/A</v>
      </c>
      <c r="F75">
        <f>VLOOKUP(B75,'Country Totals'!$AB$54:$AD$56,3,FALSE)</f>
        <v>400</v>
      </c>
      <c r="J75" s="281" t="str">
        <f t="shared" si="6"/>
        <v>FI_hydro-PHS_Detlumped_Head</v>
      </c>
      <c r="K75" s="278" t="s">
        <v>3020</v>
      </c>
      <c r="L75" t="e">
        <f>ROUND(IF('Country Totals'!$AJ$56="Specific",'Lumped Detailed Generators'!D75*VLOOKUP('Lumped Detailed Generators'!$B75,'Country Totals'!$AB$46:$AD$48,3,FALSE)/1000),2)</f>
        <v>#N/A</v>
      </c>
      <c r="N75" t="str">
        <f t="shared" si="7"/>
        <v>FI_hydro-PHS_Detlumped_Tail</v>
      </c>
    </row>
    <row r="76" spans="1:14" x14ac:dyDescent="0.35">
      <c r="A76" s="281" t="str">
        <f t="shared" si="4"/>
        <v>FR_hydro-PHS_DetLumped</v>
      </c>
      <c r="B76" s="278" t="s">
        <v>2884</v>
      </c>
      <c r="C76" s="216" t="s">
        <v>2809</v>
      </c>
      <c r="D76" s="327" t="e">
        <f t="shared" si="5"/>
        <v>#N/A</v>
      </c>
      <c r="E76" t="e">
        <f>ROUND(VLOOKUP(C76,'Country Totals'!$B$64:$E$93,MATCH(B76,'Country Totals'!$B$63:$E$63,0),FALSE)/F76,0)</f>
        <v>#N/A</v>
      </c>
      <c r="F76">
        <f>VLOOKUP(B76,'Country Totals'!$AB$54:$AD$56,3,FALSE)</f>
        <v>400</v>
      </c>
      <c r="J76" s="281" t="str">
        <f t="shared" si="6"/>
        <v>FR_hydro-PHS_Detlumped_Head</v>
      </c>
      <c r="K76" s="278" t="s">
        <v>3020</v>
      </c>
      <c r="L76" t="e">
        <f>ROUND(IF('Country Totals'!$AJ$56="Specific",'Lumped Detailed Generators'!D76*VLOOKUP('Lumped Detailed Generators'!$B76,'Country Totals'!$AB$46:$AD$48,3,FALSE)/1000),2)</f>
        <v>#N/A</v>
      </c>
      <c r="N76" t="str">
        <f t="shared" si="7"/>
        <v>FR_hydro-PHS_Detlumped_Tail</v>
      </c>
    </row>
    <row r="77" spans="1:14" x14ac:dyDescent="0.35">
      <c r="A77" s="281" t="str">
        <f t="shared" si="4"/>
        <v>GB_hydro-PHS_DetLumped</v>
      </c>
      <c r="B77" s="278" t="s">
        <v>2884</v>
      </c>
      <c r="C77" s="216" t="s">
        <v>2832</v>
      </c>
      <c r="D77" s="327" t="e">
        <f t="shared" si="5"/>
        <v>#N/A</v>
      </c>
      <c r="E77" t="e">
        <f>ROUND(VLOOKUP(C77,'Country Totals'!$B$64:$E$93,MATCH(B77,'Country Totals'!$B$63:$E$63,0),FALSE)/F77,0)</f>
        <v>#N/A</v>
      </c>
      <c r="F77">
        <f>VLOOKUP(B77,'Country Totals'!$AB$54:$AD$56,3,FALSE)</f>
        <v>400</v>
      </c>
      <c r="J77" s="281" t="str">
        <f t="shared" si="6"/>
        <v>GB_hydro-PHS_Detlumped_Head</v>
      </c>
      <c r="K77" s="278" t="s">
        <v>3020</v>
      </c>
      <c r="L77" t="e">
        <f>ROUND(IF('Country Totals'!$AJ$56="Specific",'Lumped Detailed Generators'!D77*VLOOKUP('Lumped Detailed Generators'!$B77,'Country Totals'!$AB$46:$AD$48,3,FALSE)/1000),2)</f>
        <v>#N/A</v>
      </c>
      <c r="N77" t="str">
        <f t="shared" si="7"/>
        <v>GB_hydro-PHS_Detlumped_Tail</v>
      </c>
    </row>
    <row r="78" spans="1:14" x14ac:dyDescent="0.35">
      <c r="A78" s="281" t="str">
        <f t="shared" si="4"/>
        <v>ES_hydro-PHS_DetLumped</v>
      </c>
      <c r="B78" s="278" t="s">
        <v>2884</v>
      </c>
      <c r="C78" s="216" t="s">
        <v>2807</v>
      </c>
      <c r="D78" s="327" t="e">
        <f t="shared" si="5"/>
        <v>#N/A</v>
      </c>
      <c r="E78" t="e">
        <f>ROUND(VLOOKUP(C78,'Country Totals'!$B$64:$E$93,MATCH(B78,'Country Totals'!$B$63:$E$63,0),FALSE)/F78,0)</f>
        <v>#N/A</v>
      </c>
      <c r="F78">
        <f>VLOOKUP(B78,'Country Totals'!$AB$54:$AD$56,3,FALSE)</f>
        <v>400</v>
      </c>
      <c r="J78" s="281" t="str">
        <f t="shared" si="6"/>
        <v>ES_hydro-PHS_Detlumped_Head</v>
      </c>
      <c r="K78" s="278" t="s">
        <v>3020</v>
      </c>
      <c r="L78" t="e">
        <f>ROUND(IF('Country Totals'!$AJ$56="Specific",'Lumped Detailed Generators'!D78*VLOOKUP('Lumped Detailed Generators'!$B78,'Country Totals'!$AB$46:$AD$48,3,FALSE)/1000),2)</f>
        <v>#N/A</v>
      </c>
      <c r="N78" t="str">
        <f t="shared" si="7"/>
        <v>ES_hydro-PHS_Detlumped_Tail</v>
      </c>
    </row>
    <row r="79" spans="1:14" hidden="1" x14ac:dyDescent="0.35">
      <c r="A79" s="281" t="str">
        <f t="shared" si="4"/>
        <v>HR_hydro-PHS_DetLumped</v>
      </c>
      <c r="B79" s="278" t="s">
        <v>2884</v>
      </c>
      <c r="C79" s="216" t="s">
        <v>2810</v>
      </c>
      <c r="D79" s="327" t="e">
        <f t="shared" si="5"/>
        <v>#N/A</v>
      </c>
      <c r="E79" t="e">
        <f>ROUND(VLOOKUP(C79,'Country Totals'!$B$64:$E$93,MATCH(B79,'Country Totals'!$B$63:$E$63,0),FALSE)/F79,0)</f>
        <v>#N/A</v>
      </c>
      <c r="F79">
        <f>VLOOKUP(B79,'Country Totals'!$AB$54:$AD$56,3,FALSE)</f>
        <v>400</v>
      </c>
      <c r="J79" s="281" t="str">
        <f t="shared" si="6"/>
        <v>HR_hydro-PHS_Detlumped_Head</v>
      </c>
      <c r="K79" s="278" t="s">
        <v>3020</v>
      </c>
      <c r="L79" t="e">
        <f>ROUND(IF('Country Totals'!$AJ$56="Specific",'Lumped Detailed Generators'!D79*VLOOKUP('Lumped Detailed Generators'!$B79,'Country Totals'!$AB$46:$AD$48,3,FALSE)/1000),2)</f>
        <v>#N/A</v>
      </c>
      <c r="N79" t="str">
        <f t="shared" si="7"/>
        <v>HR_hydro-PHS_Detlumped_Tail</v>
      </c>
    </row>
    <row r="80" spans="1:14" hidden="1" x14ac:dyDescent="0.35">
      <c r="A80" s="281" t="str">
        <f t="shared" si="4"/>
        <v>HU_hydro-PHS_DetLumped</v>
      </c>
      <c r="B80" s="278" t="s">
        <v>2884</v>
      </c>
      <c r="C80" s="216" t="s">
        <v>2811</v>
      </c>
      <c r="D80" s="327" t="e">
        <f t="shared" si="5"/>
        <v>#N/A</v>
      </c>
      <c r="E80" t="e">
        <f>ROUND(VLOOKUP(C80,'Country Totals'!$B$64:$E$93,MATCH(B80,'Country Totals'!$B$63:$E$63,0),FALSE)/F80,0)</f>
        <v>#N/A</v>
      </c>
      <c r="F80">
        <f>VLOOKUP(B80,'Country Totals'!$AB$54:$AD$56,3,FALSE)</f>
        <v>400</v>
      </c>
      <c r="J80" s="281" t="str">
        <f t="shared" si="6"/>
        <v>HU_hydro-PHS_Detlumped_Head</v>
      </c>
      <c r="K80" s="278" t="s">
        <v>3020</v>
      </c>
      <c r="L80" t="e">
        <f>ROUND(IF('Country Totals'!$AJ$56="Specific",'Lumped Detailed Generators'!D80*VLOOKUP('Lumped Detailed Generators'!$B80,'Country Totals'!$AB$46:$AD$48,3,FALSE)/1000),2)</f>
        <v>#N/A</v>
      </c>
      <c r="N80" t="str">
        <f t="shared" si="7"/>
        <v>HU_hydro-PHS_Detlumped_Tail</v>
      </c>
    </row>
    <row r="81" spans="1:14" hidden="1" x14ac:dyDescent="0.35">
      <c r="A81" s="281" t="str">
        <f t="shared" si="4"/>
        <v>IE_hydro-PHS_DetLumped</v>
      </c>
      <c r="B81" s="278" t="s">
        <v>2884</v>
      </c>
      <c r="C81" s="216" t="s">
        <v>2812</v>
      </c>
      <c r="D81" s="327" t="e">
        <f t="shared" si="5"/>
        <v>#N/A</v>
      </c>
      <c r="E81" t="e">
        <f>ROUND(VLOOKUP(C81,'Country Totals'!$B$64:$E$93,MATCH(B81,'Country Totals'!$B$63:$E$63,0),FALSE)/F81,0)</f>
        <v>#N/A</v>
      </c>
      <c r="F81">
        <f>VLOOKUP(B81,'Country Totals'!$AB$54:$AD$56,3,FALSE)</f>
        <v>400</v>
      </c>
      <c r="J81" s="281" t="str">
        <f t="shared" si="6"/>
        <v>IE_hydro-PHS_Detlumped_Head</v>
      </c>
      <c r="K81" s="278" t="s">
        <v>3020</v>
      </c>
      <c r="L81" t="e">
        <f>ROUND(IF('Country Totals'!$AJ$56="Specific",'Lumped Detailed Generators'!D81*VLOOKUP('Lumped Detailed Generators'!$B81,'Country Totals'!$AB$46:$AD$48,3,FALSE)/1000),2)</f>
        <v>#N/A</v>
      </c>
      <c r="N81" t="str">
        <f t="shared" si="7"/>
        <v>IE_hydro-PHS_Detlumped_Tail</v>
      </c>
    </row>
    <row r="82" spans="1:14" x14ac:dyDescent="0.35">
      <c r="A82" s="281" t="str">
        <f t="shared" si="4"/>
        <v>IT_hydro-PHS_DetLumped</v>
      </c>
      <c r="B82" s="278" t="s">
        <v>2884</v>
      </c>
      <c r="C82" s="216" t="s">
        <v>2813</v>
      </c>
      <c r="D82" s="327" t="e">
        <f t="shared" si="5"/>
        <v>#N/A</v>
      </c>
      <c r="E82" t="e">
        <f>ROUND(VLOOKUP(C82,'Country Totals'!$B$64:$E$93,MATCH(B82,'Country Totals'!$B$63:$E$63,0),FALSE)/F82,0)</f>
        <v>#N/A</v>
      </c>
      <c r="F82">
        <f>VLOOKUP(B82,'Country Totals'!$AB$54:$AD$56,3,FALSE)</f>
        <v>400</v>
      </c>
      <c r="J82" s="281" t="str">
        <f t="shared" si="6"/>
        <v>IT_hydro-PHS_Detlumped_Head</v>
      </c>
      <c r="K82" s="278" t="s">
        <v>3020</v>
      </c>
      <c r="L82" t="e">
        <f>ROUND(IF('Country Totals'!$AJ$56="Specific",'Lumped Detailed Generators'!D82*VLOOKUP('Lumped Detailed Generators'!$B82,'Country Totals'!$AB$46:$AD$48,3,FALSE)/1000),2)</f>
        <v>#N/A</v>
      </c>
      <c r="N82" t="str">
        <f t="shared" si="7"/>
        <v>IT_hydro-PHS_Detlumped_Tail</v>
      </c>
    </row>
    <row r="83" spans="1:14" x14ac:dyDescent="0.35">
      <c r="A83" s="281" t="str">
        <f t="shared" si="4"/>
        <v>LT_hydro-PHS_DetLumped</v>
      </c>
      <c r="B83" s="278" t="s">
        <v>2884</v>
      </c>
      <c r="C83" s="216" t="s">
        <v>2814</v>
      </c>
      <c r="D83" s="327" t="e">
        <f t="shared" si="5"/>
        <v>#N/A</v>
      </c>
      <c r="E83" t="e">
        <f>ROUND(VLOOKUP(C83,'Country Totals'!$B$64:$E$93,MATCH(B83,'Country Totals'!$B$63:$E$63,0),FALSE)/F83,0)</f>
        <v>#N/A</v>
      </c>
      <c r="F83">
        <f>VLOOKUP(B83,'Country Totals'!$AB$54:$AD$56,3,FALSE)</f>
        <v>400</v>
      </c>
      <c r="J83" s="281" t="str">
        <f t="shared" si="6"/>
        <v>LT_hydro-PHS_Detlumped_Head</v>
      </c>
      <c r="K83" s="278" t="s">
        <v>3020</v>
      </c>
      <c r="L83" t="e">
        <f>ROUND(IF('Country Totals'!$AJ$56="Specific",'Lumped Detailed Generators'!D83*VLOOKUP('Lumped Detailed Generators'!$B83,'Country Totals'!$AB$46:$AD$48,3,FALSE)/1000),2)</f>
        <v>#N/A</v>
      </c>
      <c r="N83" t="str">
        <f t="shared" si="7"/>
        <v>LT_hydro-PHS_Detlumped_Tail</v>
      </c>
    </row>
    <row r="84" spans="1:14" x14ac:dyDescent="0.35">
      <c r="A84" s="281" t="str">
        <f t="shared" si="4"/>
        <v>LU_hydro-PHS_DetLumped</v>
      </c>
      <c r="B84" s="278" t="s">
        <v>2884</v>
      </c>
      <c r="C84" s="216" t="s">
        <v>2815</v>
      </c>
      <c r="D84" s="327" t="e">
        <f t="shared" si="5"/>
        <v>#N/A</v>
      </c>
      <c r="E84" t="e">
        <f>ROUND(VLOOKUP(C84,'Country Totals'!$B$64:$E$93,MATCH(B84,'Country Totals'!$B$63:$E$63,0),FALSE)/F84,0)</f>
        <v>#N/A</v>
      </c>
      <c r="F84">
        <f>VLOOKUP(B84,'Country Totals'!$AB$54:$AD$56,3,FALSE)</f>
        <v>400</v>
      </c>
      <c r="J84" s="281" t="str">
        <f t="shared" si="6"/>
        <v>LU_hydro-PHS_Detlumped_Head</v>
      </c>
      <c r="K84" s="278" t="s">
        <v>3020</v>
      </c>
      <c r="L84" t="e">
        <f>ROUND(IF('Country Totals'!$AJ$56="Specific",'Lumped Detailed Generators'!D84*VLOOKUP('Lumped Detailed Generators'!$B84,'Country Totals'!$AB$46:$AD$48,3,FALSE)/1000),2)</f>
        <v>#N/A</v>
      </c>
      <c r="N84" t="str">
        <f t="shared" si="7"/>
        <v>LU_hydro-PHS_Detlumped_Tail</v>
      </c>
    </row>
    <row r="85" spans="1:14" hidden="1" x14ac:dyDescent="0.35">
      <c r="A85" s="281" t="str">
        <f t="shared" si="4"/>
        <v>LV_hydro-PHS_DetLumped</v>
      </c>
      <c r="B85" s="278" t="s">
        <v>2884</v>
      </c>
      <c r="C85" s="216" t="s">
        <v>2816</v>
      </c>
      <c r="D85" s="327" t="e">
        <f t="shared" si="5"/>
        <v>#N/A</v>
      </c>
      <c r="E85" t="e">
        <f>ROUND(VLOOKUP(C85,'Country Totals'!$B$64:$E$93,MATCH(B85,'Country Totals'!$B$63:$E$63,0),FALSE)/F85,0)</f>
        <v>#N/A</v>
      </c>
      <c r="F85">
        <f>VLOOKUP(B85,'Country Totals'!$AB$54:$AD$56,3,FALSE)</f>
        <v>400</v>
      </c>
      <c r="J85" s="281" t="str">
        <f t="shared" si="6"/>
        <v>LV_hydro-PHS_Detlumped_Head</v>
      </c>
      <c r="K85" s="278" t="s">
        <v>3020</v>
      </c>
      <c r="L85" t="e">
        <f>ROUND(IF('Country Totals'!$AJ$56="Specific",'Lumped Detailed Generators'!D85*VLOOKUP('Lumped Detailed Generators'!$B85,'Country Totals'!$AB$46:$AD$48,3,FALSE)/1000),2)</f>
        <v>#N/A</v>
      </c>
      <c r="N85" t="str">
        <f t="shared" si="7"/>
        <v>LV_hydro-PHS_Detlumped_Tail</v>
      </c>
    </row>
    <row r="86" spans="1:14" hidden="1" x14ac:dyDescent="0.35">
      <c r="A86" s="281" t="str">
        <f t="shared" si="4"/>
        <v>NI_hydro-PHS_DetLumped</v>
      </c>
      <c r="B86" s="278" t="s">
        <v>2884</v>
      </c>
      <c r="C86" s="216" t="s">
        <v>2833</v>
      </c>
      <c r="D86" s="327" t="e">
        <f t="shared" si="5"/>
        <v>#N/A</v>
      </c>
      <c r="E86" t="e">
        <f>ROUND(VLOOKUP(C86,'Country Totals'!$B$64:$E$93,MATCH(B86,'Country Totals'!$B$63:$E$63,0),FALSE)/F86,0)</f>
        <v>#N/A</v>
      </c>
      <c r="F86">
        <f>VLOOKUP(B86,'Country Totals'!$AB$54:$AD$56,3,FALSE)</f>
        <v>400</v>
      </c>
      <c r="J86" s="281" t="str">
        <f t="shared" si="6"/>
        <v>NI_hydro-PHS_Detlumped_Head</v>
      </c>
      <c r="K86" s="278" t="s">
        <v>3020</v>
      </c>
      <c r="L86" t="e">
        <f>ROUND(IF('Country Totals'!$AJ$56="Specific",'Lumped Detailed Generators'!D86*VLOOKUP('Lumped Detailed Generators'!$B86,'Country Totals'!$AB$46:$AD$48,3,FALSE)/1000),2)</f>
        <v>#N/A</v>
      </c>
      <c r="N86" t="str">
        <f t="shared" si="7"/>
        <v>NI_hydro-PHS_Detlumped_Tail</v>
      </c>
    </row>
    <row r="87" spans="1:14" hidden="1" x14ac:dyDescent="0.35">
      <c r="A87" s="281" t="str">
        <f t="shared" si="4"/>
        <v>NL_hydro-PHS_DetLumped</v>
      </c>
      <c r="B87" s="278" t="s">
        <v>2884</v>
      </c>
      <c r="C87" s="216" t="s">
        <v>2818</v>
      </c>
      <c r="D87" s="327" t="e">
        <f t="shared" si="5"/>
        <v>#N/A</v>
      </c>
      <c r="E87" t="e">
        <f>ROUND(VLOOKUP(C87,'Country Totals'!$B$64:$E$93,MATCH(B87,'Country Totals'!$B$63:$E$63,0),FALSE)/F87,0)</f>
        <v>#N/A</v>
      </c>
      <c r="F87">
        <f>VLOOKUP(B87,'Country Totals'!$AB$54:$AD$56,3,FALSE)</f>
        <v>400</v>
      </c>
      <c r="J87" s="281" t="str">
        <f t="shared" si="6"/>
        <v>NL_hydro-PHS_Detlumped_Head</v>
      </c>
      <c r="K87" s="278" t="s">
        <v>3020</v>
      </c>
      <c r="L87" t="e">
        <f>ROUND(IF('Country Totals'!$AJ$56="Specific",'Lumped Detailed Generators'!D87*VLOOKUP('Lumped Detailed Generators'!$B87,'Country Totals'!$AB$46:$AD$48,3,FALSE)/1000),2)</f>
        <v>#N/A</v>
      </c>
      <c r="N87" t="str">
        <f t="shared" si="7"/>
        <v>NL_hydro-PHS_Detlumped_Tail</v>
      </c>
    </row>
    <row r="88" spans="1:14" x14ac:dyDescent="0.35">
      <c r="A88" s="281" t="str">
        <f t="shared" si="4"/>
        <v>NO_hydro-PHS_DetLumped</v>
      </c>
      <c r="B88" s="278" t="s">
        <v>2884</v>
      </c>
      <c r="C88" s="216" t="s">
        <v>2819</v>
      </c>
      <c r="D88" s="327" t="e">
        <f t="shared" si="5"/>
        <v>#N/A</v>
      </c>
      <c r="E88" t="e">
        <f>ROUND(VLOOKUP(C88,'Country Totals'!$B$64:$E$93,MATCH(B88,'Country Totals'!$B$63:$E$63,0),FALSE)/F88,0)</f>
        <v>#N/A</v>
      </c>
      <c r="F88">
        <f>VLOOKUP(B88,'Country Totals'!$AB$54:$AD$56,3,FALSE)</f>
        <v>400</v>
      </c>
      <c r="J88" s="281" t="str">
        <f t="shared" si="6"/>
        <v>NO_hydro-PHS_Detlumped_Head</v>
      </c>
      <c r="K88" s="278" t="s">
        <v>3020</v>
      </c>
      <c r="L88" t="e">
        <f>ROUND(IF('Country Totals'!$AJ$56="Specific",'Lumped Detailed Generators'!D88*VLOOKUP('Lumped Detailed Generators'!$B88,'Country Totals'!$AB$46:$AD$48,3,FALSE)/1000),2)</f>
        <v>#N/A</v>
      </c>
      <c r="N88" t="str">
        <f t="shared" si="7"/>
        <v>NO_hydro-PHS_Detlumped_Tail</v>
      </c>
    </row>
    <row r="89" spans="1:14" x14ac:dyDescent="0.35">
      <c r="A89" s="281" t="str">
        <f t="shared" si="4"/>
        <v>PL_hydro-PHS_DetLumped</v>
      </c>
      <c r="B89" s="278" t="s">
        <v>2884</v>
      </c>
      <c r="C89" s="216" t="s">
        <v>2820</v>
      </c>
      <c r="D89" s="327" t="e">
        <f t="shared" si="5"/>
        <v>#N/A</v>
      </c>
      <c r="E89" t="e">
        <f>ROUND(VLOOKUP(C89,'Country Totals'!$B$64:$E$93,MATCH(B89,'Country Totals'!$B$63:$E$63,0),FALSE)/F89,0)</f>
        <v>#N/A</v>
      </c>
      <c r="F89">
        <f>VLOOKUP(B89,'Country Totals'!$AB$54:$AD$56,3,FALSE)</f>
        <v>400</v>
      </c>
      <c r="J89" s="281" t="str">
        <f t="shared" si="6"/>
        <v>PL_hydro-PHS_Detlumped_Head</v>
      </c>
      <c r="K89" s="278" t="s">
        <v>3020</v>
      </c>
      <c r="L89" t="e">
        <f>ROUND(IF('Country Totals'!$AJ$56="Specific",'Lumped Detailed Generators'!D89*VLOOKUP('Lumped Detailed Generators'!$B89,'Country Totals'!$AB$46:$AD$48,3,FALSE)/1000),2)</f>
        <v>#N/A</v>
      </c>
      <c r="N89" t="str">
        <f t="shared" si="7"/>
        <v>PL_hydro-PHS_Detlumped_Tail</v>
      </c>
    </row>
    <row r="90" spans="1:14" x14ac:dyDescent="0.35">
      <c r="A90" s="281" t="str">
        <f t="shared" si="4"/>
        <v>PT_hydro-PHS_DetLumped</v>
      </c>
      <c r="B90" s="278" t="s">
        <v>2884</v>
      </c>
      <c r="C90" s="216" t="s">
        <v>2821</v>
      </c>
      <c r="D90" s="327" t="e">
        <f t="shared" si="5"/>
        <v>#N/A</v>
      </c>
      <c r="E90" t="e">
        <f>ROUND(VLOOKUP(C90,'Country Totals'!$B$64:$E$93,MATCH(B90,'Country Totals'!$B$63:$E$63,0),FALSE)/F90,0)</f>
        <v>#N/A</v>
      </c>
      <c r="F90">
        <f>VLOOKUP(B90,'Country Totals'!$AB$54:$AD$56,3,FALSE)</f>
        <v>400</v>
      </c>
      <c r="J90" s="281" t="str">
        <f t="shared" si="6"/>
        <v>PT_hydro-PHS_Detlumped_Head</v>
      </c>
      <c r="K90" s="278" t="s">
        <v>3020</v>
      </c>
      <c r="L90" t="e">
        <f>ROUND(IF('Country Totals'!$AJ$56="Specific",'Lumped Detailed Generators'!D90*VLOOKUP('Lumped Detailed Generators'!$B90,'Country Totals'!$AB$46:$AD$48,3,FALSE)/1000),2)</f>
        <v>#N/A</v>
      </c>
      <c r="N90" t="str">
        <f t="shared" si="7"/>
        <v>PT_hydro-PHS_Detlumped_Tail</v>
      </c>
    </row>
    <row r="91" spans="1:14" hidden="1" x14ac:dyDescent="0.35">
      <c r="A91" s="281" t="str">
        <f t="shared" si="4"/>
        <v>RO_hydro-PHS_DetLumped</v>
      </c>
      <c r="B91" s="278" t="s">
        <v>2884</v>
      </c>
      <c r="C91" s="216" t="s">
        <v>2822</v>
      </c>
      <c r="D91" s="327" t="e">
        <f t="shared" si="5"/>
        <v>#N/A</v>
      </c>
      <c r="E91" t="e">
        <f>ROUND(VLOOKUP(C91,'Country Totals'!$B$64:$E$93,MATCH(B91,'Country Totals'!$B$63:$E$63,0),FALSE)/F91,0)</f>
        <v>#N/A</v>
      </c>
      <c r="F91">
        <f>VLOOKUP(B91,'Country Totals'!$AB$54:$AD$56,3,FALSE)</f>
        <v>400</v>
      </c>
      <c r="J91" s="281" t="str">
        <f t="shared" si="6"/>
        <v>RO_hydro-PHS_Detlumped_Head</v>
      </c>
      <c r="K91" s="278" t="s">
        <v>3020</v>
      </c>
      <c r="L91" t="e">
        <f>ROUND(IF('Country Totals'!$AJ$56="Specific",'Lumped Detailed Generators'!D91*VLOOKUP('Lumped Detailed Generators'!$B91,'Country Totals'!$AB$46:$AD$48,3,FALSE)/1000),2)</f>
        <v>#N/A</v>
      </c>
      <c r="N91" t="str">
        <f t="shared" si="7"/>
        <v>RO_hydro-PHS_Detlumped_Tail</v>
      </c>
    </row>
    <row r="92" spans="1:14" hidden="1" x14ac:dyDescent="0.35">
      <c r="A92" s="281" t="str">
        <f t="shared" si="4"/>
        <v>SE_hydro-PHS_DetLumped</v>
      </c>
      <c r="B92" s="278" t="s">
        <v>2884</v>
      </c>
      <c r="C92" s="216" t="s">
        <v>2823</v>
      </c>
      <c r="D92" s="327" t="e">
        <f t="shared" si="5"/>
        <v>#N/A</v>
      </c>
      <c r="E92" t="e">
        <f>ROUND(VLOOKUP(C92,'Country Totals'!$B$64:$E$93,MATCH(B92,'Country Totals'!$B$63:$E$63,0),FALSE)/F92,0)</f>
        <v>#N/A</v>
      </c>
      <c r="F92">
        <f>VLOOKUP(B92,'Country Totals'!$AB$54:$AD$56,3,FALSE)</f>
        <v>400</v>
      </c>
      <c r="J92" s="281" t="str">
        <f t="shared" si="6"/>
        <v>SE_hydro-PHS_Detlumped_Head</v>
      </c>
      <c r="K92" s="278" t="s">
        <v>3020</v>
      </c>
      <c r="L92" t="e">
        <f>ROUND(IF('Country Totals'!$AJ$56="Specific",'Lumped Detailed Generators'!D92*VLOOKUP('Lumped Detailed Generators'!$B92,'Country Totals'!$AB$46:$AD$48,3,FALSE)/1000),2)</f>
        <v>#N/A</v>
      </c>
      <c r="N92" t="str">
        <f t="shared" si="7"/>
        <v>SE_hydro-PHS_Detlumped_Tail</v>
      </c>
    </row>
    <row r="93" spans="1:14" hidden="1" x14ac:dyDescent="0.35">
      <c r="A93" s="281" t="str">
        <f t="shared" si="4"/>
        <v>SI_hydro-PHS_DetLumped</v>
      </c>
      <c r="B93" s="278" t="s">
        <v>2884</v>
      </c>
      <c r="C93" s="216" t="s">
        <v>2824</v>
      </c>
      <c r="D93" s="327" t="e">
        <f t="shared" si="5"/>
        <v>#N/A</v>
      </c>
      <c r="E93" t="e">
        <f>ROUND(VLOOKUP(C93,'Country Totals'!$B$64:$E$93,MATCH(B93,'Country Totals'!$B$63:$E$63,0),FALSE)/F93,0)</f>
        <v>#N/A</v>
      </c>
      <c r="F93">
        <f>VLOOKUP(B93,'Country Totals'!$AB$54:$AD$56,3,FALSE)</f>
        <v>400</v>
      </c>
      <c r="J93" s="281" t="str">
        <f t="shared" si="6"/>
        <v>SI_hydro-PHS_Detlumped_Head</v>
      </c>
      <c r="K93" s="278" t="s">
        <v>3020</v>
      </c>
      <c r="L93" t="e">
        <f>ROUND(IF('Country Totals'!$AJ$56="Specific",'Lumped Detailed Generators'!D93*VLOOKUP('Lumped Detailed Generators'!$B93,'Country Totals'!$AB$46:$AD$48,3,FALSE)/1000),2)</f>
        <v>#N/A</v>
      </c>
      <c r="N93" t="str">
        <f t="shared" si="7"/>
        <v>SI_hydro-PHS_Detlumped_Tail</v>
      </c>
    </row>
    <row r="94" spans="1:14" x14ac:dyDescent="0.35">
      <c r="A94" s="281" t="str">
        <f t="shared" si="4"/>
        <v>SK_hydro-PHS_DetLumped</v>
      </c>
      <c r="B94" s="278" t="s">
        <v>2884</v>
      </c>
      <c r="C94" s="216" t="s">
        <v>2825</v>
      </c>
      <c r="D94" s="327" t="e">
        <f t="shared" si="5"/>
        <v>#N/A</v>
      </c>
      <c r="E94" t="e">
        <f>ROUND(VLOOKUP(C94,'Country Totals'!$B$64:$E$93,MATCH(B94,'Country Totals'!$B$63:$E$63,0),FALSE)/F94,0)</f>
        <v>#N/A</v>
      </c>
      <c r="F94">
        <f>VLOOKUP(B94,'Country Totals'!$AB$54:$AD$56,3,FALSE)</f>
        <v>400</v>
      </c>
      <c r="J94" s="281" t="str">
        <f t="shared" si="6"/>
        <v>SK_hydro-PHS_Detlumped_Head</v>
      </c>
      <c r="K94" s="278" t="s">
        <v>3020</v>
      </c>
      <c r="L94" t="e">
        <f>ROUND(IF('Country Totals'!$AJ$56="Specific",'Lumped Detailed Generators'!D94*VLOOKUP('Lumped Detailed Generators'!$B94,'Country Totals'!$AB$46:$AD$48,3,FALSE)/1000),2)</f>
        <v>#N/A</v>
      </c>
      <c r="N94" t="str">
        <f t="shared" si="7"/>
        <v>SK_hydro-PHS_Detlumped_Tail</v>
      </c>
    </row>
  </sheetData>
  <autoFilter ref="A4:L94" xr:uid="{00000000-0009-0000-0000-00000F000000}">
    <filterColumn colId="4">
      <customFilters>
        <customFilter operator="greaterThan" val="0"/>
      </customFilters>
    </filterColumn>
  </autoFilter>
  <pageMargins left="0.7" right="0.7" top="0.75" bottom="0.75" header="0.3" footer="0.3"/>
  <pageSetup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9">
    <tabColor rgb="FF7030A0"/>
  </sheetPr>
  <dimension ref="A1:C22"/>
  <sheetViews>
    <sheetView topLeftCell="A11" workbookViewId="0">
      <selection activeCell="C23" sqref="C23"/>
    </sheetView>
  </sheetViews>
  <sheetFormatPr defaultColWidth="8.81640625" defaultRowHeight="14.5" x14ac:dyDescent="0.35"/>
  <cols>
    <col min="1" max="1" width="35.81640625" style="348" customWidth="1"/>
    <col min="2" max="2" width="52" style="348" customWidth="1"/>
    <col min="3" max="3" width="76.81640625" style="348" bestFit="1" customWidth="1"/>
    <col min="4" max="16384" width="8.81640625" style="348"/>
  </cols>
  <sheetData>
    <row r="1" spans="1:3" x14ac:dyDescent="0.35">
      <c r="A1" s="350" t="s">
        <v>3305</v>
      </c>
    </row>
    <row r="4" spans="1:3" x14ac:dyDescent="0.35">
      <c r="A4" s="348" t="s">
        <v>3298</v>
      </c>
      <c r="B4" s="349" t="s">
        <v>3299</v>
      </c>
      <c r="C4" s="348" t="s">
        <v>3300</v>
      </c>
    </row>
    <row r="5" spans="1:3" x14ac:dyDescent="0.35">
      <c r="A5" s="348" t="s">
        <v>2848</v>
      </c>
      <c r="B5" s="349" t="s">
        <v>3303</v>
      </c>
      <c r="C5" s="348" t="s">
        <v>3304</v>
      </c>
    </row>
    <row r="6" spans="1:3" x14ac:dyDescent="0.35">
      <c r="A6" s="348" t="s">
        <v>2844</v>
      </c>
      <c r="B6" s="349" t="s">
        <v>3301</v>
      </c>
      <c r="C6" s="348" t="s">
        <v>3302</v>
      </c>
    </row>
    <row r="7" spans="1:3" x14ac:dyDescent="0.35">
      <c r="A7" s="348" t="s">
        <v>2847</v>
      </c>
      <c r="B7" s="349" t="s">
        <v>2845</v>
      </c>
      <c r="C7" s="348" t="s">
        <v>2846</v>
      </c>
    </row>
    <row r="8" spans="1:3" x14ac:dyDescent="0.35">
      <c r="A8" s="348" t="s">
        <v>2851</v>
      </c>
      <c r="B8" s="349" t="s">
        <v>2850</v>
      </c>
    </row>
    <row r="9" spans="1:3" x14ac:dyDescent="0.35">
      <c r="B9" s="349"/>
    </row>
    <row r="10" spans="1:3" x14ac:dyDescent="0.35">
      <c r="A10" s="348" t="s">
        <v>2857</v>
      </c>
      <c r="B10" s="349" t="s">
        <v>2858</v>
      </c>
      <c r="C10" s="348" t="s">
        <v>2859</v>
      </c>
    </row>
    <row r="11" spans="1:3" x14ac:dyDescent="0.35">
      <c r="A11" s="348" t="s">
        <v>2856</v>
      </c>
      <c r="B11" s="349" t="s">
        <v>2855</v>
      </c>
      <c r="C11" s="348" t="s">
        <v>2860</v>
      </c>
    </row>
    <row r="12" spans="1:3" x14ac:dyDescent="0.35">
      <c r="A12" s="348" t="s">
        <v>2861</v>
      </c>
      <c r="B12" s="349" t="s">
        <v>2862</v>
      </c>
      <c r="C12" s="348" t="s">
        <v>2859</v>
      </c>
    </row>
    <row r="13" spans="1:3" x14ac:dyDescent="0.35">
      <c r="A13" s="348" t="s">
        <v>2864</v>
      </c>
      <c r="B13" s="349" t="s">
        <v>3297</v>
      </c>
      <c r="C13" s="348" t="s">
        <v>2865</v>
      </c>
    </row>
    <row r="14" spans="1:3" x14ac:dyDescent="0.35">
      <c r="A14" s="348" t="s">
        <v>3307</v>
      </c>
      <c r="B14" s="139" t="s">
        <v>3306</v>
      </c>
      <c r="C14" s="348" t="s">
        <v>3308</v>
      </c>
    </row>
    <row r="15" spans="1:3" x14ac:dyDescent="0.35">
      <c r="A15" s="348" t="s">
        <v>3309</v>
      </c>
      <c r="B15" s="349" t="s">
        <v>3310</v>
      </c>
      <c r="C15" s="348" t="s">
        <v>3311</v>
      </c>
    </row>
    <row r="16" spans="1:3" x14ac:dyDescent="0.35">
      <c r="A16" s="348" t="s">
        <v>3312</v>
      </c>
      <c r="B16" s="349" t="s">
        <v>3313</v>
      </c>
      <c r="C16" s="348" t="s">
        <v>3314</v>
      </c>
    </row>
    <row r="17" spans="2:3" x14ac:dyDescent="0.35">
      <c r="B17" s="139" t="s">
        <v>3385</v>
      </c>
      <c r="C17" s="348" t="s">
        <v>3311</v>
      </c>
    </row>
    <row r="18" spans="2:3" x14ac:dyDescent="0.35">
      <c r="B18" s="349" t="s">
        <v>3315</v>
      </c>
      <c r="C18" s="348" t="s">
        <v>17</v>
      </c>
    </row>
    <row r="19" spans="2:3" x14ac:dyDescent="0.35">
      <c r="B19" s="348" t="s">
        <v>3418</v>
      </c>
      <c r="C19" s="348" t="s">
        <v>2865</v>
      </c>
    </row>
    <row r="20" spans="2:3" x14ac:dyDescent="0.35">
      <c r="B20" s="349" t="s">
        <v>3484</v>
      </c>
      <c r="C20" s="348" t="s">
        <v>3485</v>
      </c>
    </row>
    <row r="21" spans="2:3" x14ac:dyDescent="0.35">
      <c r="B21" s="348" t="s">
        <v>3419</v>
      </c>
      <c r="C21" s="348" t="s">
        <v>17</v>
      </c>
    </row>
    <row r="22" spans="2:3" x14ac:dyDescent="0.35">
      <c r="B22" s="139" t="s">
        <v>3630</v>
      </c>
      <c r="C22" s="348" t="s">
        <v>3631</v>
      </c>
    </row>
  </sheetData>
  <hyperlinks>
    <hyperlink ref="B7" r:id="rId1" xr:uid="{00000000-0004-0000-1000-000000000000}"/>
    <hyperlink ref="B8" r:id="rId2" xr:uid="{00000000-0004-0000-1000-000001000000}"/>
    <hyperlink ref="B11" r:id="rId3" location="/view=list/sort=name" xr:uid="{00000000-0004-0000-1000-000002000000}"/>
    <hyperlink ref="B10" r:id="rId4" xr:uid="{00000000-0004-0000-1000-000003000000}"/>
    <hyperlink ref="B12" r:id="rId5" xr:uid="{00000000-0004-0000-1000-000004000000}"/>
    <hyperlink ref="B13" r:id="rId6" xr:uid="{00000000-0004-0000-1000-000005000000}"/>
    <hyperlink ref="B4" r:id="rId7" xr:uid="{00000000-0004-0000-1000-000006000000}"/>
    <hyperlink ref="B6" r:id="rId8" xr:uid="{00000000-0004-0000-1000-000007000000}"/>
    <hyperlink ref="B5" r:id="rId9" xr:uid="{00000000-0004-0000-1000-000008000000}"/>
    <hyperlink ref="B14" r:id="rId10" xr:uid="{00000000-0004-0000-1000-000009000000}"/>
    <hyperlink ref="B15" r:id="rId11" xr:uid="{00000000-0004-0000-1000-00000A000000}"/>
    <hyperlink ref="B16" r:id="rId12" xr:uid="{00000000-0004-0000-1000-00000B000000}"/>
    <hyperlink ref="B17" r:id="rId13" xr:uid="{B4F1285D-F92D-4967-8AF8-6C266ABEBACD}"/>
    <hyperlink ref="B20" r:id="rId14" xr:uid="{61C206D3-FA20-4CCB-B6A1-A0566C3B126F}"/>
    <hyperlink ref="B18" r:id="rId15" xr:uid="{471CC5DE-99A7-4E46-B910-7BF57B123A2E}"/>
    <hyperlink ref="B22" r:id="rId16" xr:uid="{7802E37D-7661-497F-9D2C-3485A0121A21}"/>
  </hyperlinks>
  <pageMargins left="0.7" right="0.7" top="0.75" bottom="0.75" header="0.3" footer="0.3"/>
  <pageSetup orientation="portrait" r:id="rId17"/>
  <legacyDrawing r:id="rId18"/>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tabColor theme="8" tint="0.39997558519241921"/>
  </sheetPr>
  <dimension ref="B3:AN165"/>
  <sheetViews>
    <sheetView topLeftCell="A29" zoomScale="80" zoomScaleNormal="80" zoomScalePageLayoutView="80" workbookViewId="0">
      <selection activeCell="D80" sqref="D80"/>
    </sheetView>
  </sheetViews>
  <sheetFormatPr defaultColWidth="8.81640625" defaultRowHeight="14.5" x14ac:dyDescent="0.35"/>
  <cols>
    <col min="1" max="1" width="8.81640625" style="127"/>
    <col min="2" max="2" width="11.81640625" style="127" bestFit="1" customWidth="1"/>
    <col min="3" max="3" width="14.453125" style="127" customWidth="1"/>
    <col min="4" max="4" width="13.81640625" style="127" bestFit="1" customWidth="1"/>
    <col min="5" max="5" width="12.453125" style="127" customWidth="1"/>
    <col min="6" max="7" width="8.81640625" style="127"/>
    <col min="8" max="8" width="11.1796875" style="129" bestFit="1" customWidth="1"/>
    <col min="9" max="9" width="13.81640625" style="127" bestFit="1" customWidth="1"/>
    <col min="10" max="10" width="19.1796875" style="127" customWidth="1"/>
    <col min="11" max="11" width="15.6328125" style="127" bestFit="1" customWidth="1"/>
    <col min="12" max="12" width="15.6328125" style="127" customWidth="1"/>
    <col min="13" max="13" width="14.81640625" style="127" customWidth="1"/>
    <col min="14" max="14" width="15.36328125" style="127" customWidth="1"/>
    <col min="15" max="17" width="15.1796875" style="127" customWidth="1"/>
    <col min="18" max="18" width="8.81640625" style="127"/>
    <col min="19" max="19" width="17.81640625" style="127" customWidth="1"/>
    <col min="20" max="20" width="15" style="127" customWidth="1"/>
    <col min="21" max="22" width="22.453125" style="127" customWidth="1"/>
    <col min="23" max="24" width="8.81640625" style="127"/>
    <col min="25" max="25" width="15.6328125" style="127" customWidth="1"/>
    <col min="26" max="26" width="11.453125" style="127" customWidth="1"/>
    <col min="27" max="27" width="19" style="127" customWidth="1"/>
    <col min="28" max="28" width="18.453125" style="127" customWidth="1"/>
    <col min="29" max="29" width="26.1796875" style="129" customWidth="1"/>
    <col min="30" max="30" width="25.453125" style="127" customWidth="1"/>
    <col min="31" max="31" width="21" style="127" customWidth="1"/>
    <col min="32" max="32" width="11.1796875" style="127" bestFit="1" customWidth="1"/>
    <col min="33" max="34" width="10.81640625" style="127" bestFit="1" customWidth="1"/>
    <col min="35" max="35" width="12.1796875" style="127" customWidth="1"/>
    <col min="36" max="36" width="10.81640625" style="127" customWidth="1"/>
    <col min="37" max="37" width="12" style="127" customWidth="1"/>
    <col min="38" max="16384" width="8.81640625" style="127"/>
  </cols>
  <sheetData>
    <row r="3" spans="2:20" x14ac:dyDescent="0.35">
      <c r="C3" s="200" t="s">
        <v>2868</v>
      </c>
      <c r="D3" s="198"/>
      <c r="E3" s="198"/>
      <c r="F3" s="198"/>
      <c r="G3" s="198"/>
      <c r="H3" s="199"/>
      <c r="I3" s="198"/>
      <c r="K3" s="201" t="s">
        <v>2869</v>
      </c>
      <c r="L3" s="201"/>
      <c r="M3" s="202"/>
      <c r="N3" s="202"/>
      <c r="O3" s="202"/>
      <c r="P3" s="202"/>
      <c r="Q3" s="202"/>
      <c r="R3" s="202"/>
      <c r="S3" s="203"/>
      <c r="T3" s="202"/>
    </row>
    <row r="4" spans="2:20" x14ac:dyDescent="0.35">
      <c r="C4" s="402" t="s">
        <v>2837</v>
      </c>
      <c r="D4" s="402"/>
      <c r="E4" s="402"/>
      <c r="F4" s="149" t="s">
        <v>3080</v>
      </c>
    </row>
    <row r="5" spans="2:20" ht="96" customHeight="1" x14ac:dyDescent="0.35">
      <c r="B5" s="125"/>
      <c r="C5" s="130" t="s">
        <v>2838</v>
      </c>
      <c r="D5" s="131" t="s">
        <v>2835</v>
      </c>
      <c r="E5" s="131" t="s">
        <v>2836</v>
      </c>
      <c r="F5" s="130" t="s">
        <v>2838</v>
      </c>
      <c r="H5" s="126" t="s">
        <v>2842</v>
      </c>
      <c r="I5" s="126" t="s">
        <v>2843</v>
      </c>
      <c r="K5" s="126" t="s">
        <v>2981</v>
      </c>
      <c r="L5" s="126"/>
    </row>
    <row r="6" spans="2:20" x14ac:dyDescent="0.35">
      <c r="B6" s="125" t="s">
        <v>2797</v>
      </c>
      <c r="C6" s="125">
        <v>13569</v>
      </c>
      <c r="D6" s="125">
        <v>13569</v>
      </c>
      <c r="E6" s="125"/>
      <c r="F6" s="127">
        <f>VLOOKUP(B6,$B$137:$C$165,2,FALSE)</f>
        <v>13351</v>
      </c>
      <c r="H6" s="129" t="e">
        <f t="array" ref="H6">SUM((B6=Generators!$H$2:$H$9790)*("Y"=Generators!C2:C9790)*Generators!$U$2:$U$9790)</f>
        <v>#N/A</v>
      </c>
      <c r="I6" s="138" t="e">
        <f>H6/C6</f>
        <v>#N/A</v>
      </c>
      <c r="K6" s="127" t="e">
        <f t="array" ref="K6">SUM((B6=Generators!$H$2:$H$9790)*("Y"=Generators!C2:C9790)*Generators!$U$2:$U$9790)</f>
        <v>#N/A</v>
      </c>
      <c r="N6" s="197" t="s">
        <v>2980</v>
      </c>
    </row>
    <row r="7" spans="2:20" x14ac:dyDescent="0.35">
      <c r="B7" s="125" t="s">
        <v>2798</v>
      </c>
      <c r="C7" s="125">
        <v>1424</v>
      </c>
      <c r="D7" s="125">
        <v>116</v>
      </c>
      <c r="E7" s="125">
        <v>1308</v>
      </c>
      <c r="F7" s="127">
        <f t="shared" ref="F7:F17" si="0">VLOOKUP(B7,$B$137:$C$165,2,FALSE)</f>
        <v>1422</v>
      </c>
      <c r="H7" s="135" t="e">
        <f t="array" ref="H7">SUM((B7=Generators!$H$2:$H$9790)*("Y"=Generators!C3:C9791)*Generators!$U$2:$U$9790)</f>
        <v>#N/A</v>
      </c>
      <c r="I7" s="138" t="e">
        <f>H7/C7</f>
        <v>#N/A</v>
      </c>
    </row>
    <row r="8" spans="2:20" x14ac:dyDescent="0.35">
      <c r="B8" s="125" t="s">
        <v>2799</v>
      </c>
      <c r="C8" s="125">
        <v>3198</v>
      </c>
      <c r="D8" s="125">
        <v>2334</v>
      </c>
      <c r="E8" s="125">
        <v>864</v>
      </c>
      <c r="F8" s="127">
        <f t="shared" si="0"/>
        <v>3219</v>
      </c>
      <c r="H8" s="135" t="e">
        <f t="array" ref="H8">SUM((B8=Generators!$H$2:$H$9790)*("Y"=Generators!C4:C9792)*Generators!$U$2:$U$9790)</f>
        <v>#N/A</v>
      </c>
      <c r="I8" s="138" t="e">
        <f>H8/C8</f>
        <v>#N/A</v>
      </c>
    </row>
    <row r="9" spans="2:20" x14ac:dyDescent="0.35">
      <c r="B9" s="125" t="s">
        <v>2800</v>
      </c>
      <c r="C9" s="125">
        <v>13828</v>
      </c>
      <c r="D9" s="125">
        <v>12445</v>
      </c>
      <c r="E9" s="125">
        <v>1383</v>
      </c>
      <c r="F9" s="127">
        <f t="shared" si="0"/>
        <v>13760</v>
      </c>
      <c r="H9" s="135" t="e">
        <f t="array" ref="H9">SUM((B9=Generators!$H$2:$H$9790)*("Y"=Generators!C5:C9793)*Generators!$U$2:$U$9790)</f>
        <v>#N/A</v>
      </c>
      <c r="I9" s="138" t="e">
        <f>H9/C9</f>
        <v>#N/A</v>
      </c>
    </row>
    <row r="10" spans="2:20" x14ac:dyDescent="0.35">
      <c r="B10" s="125" t="s">
        <v>2801</v>
      </c>
      <c r="C10" s="125">
        <v>0</v>
      </c>
      <c r="D10" s="125"/>
      <c r="E10" s="125"/>
      <c r="F10" s="127">
        <f t="shared" si="0"/>
        <v>0</v>
      </c>
      <c r="H10" s="135"/>
      <c r="I10" s="138"/>
    </row>
    <row r="11" spans="2:20" x14ac:dyDescent="0.35">
      <c r="B11" s="125" t="s">
        <v>2802</v>
      </c>
      <c r="C11" s="125">
        <v>2253</v>
      </c>
      <c r="D11" s="125">
        <v>1081</v>
      </c>
      <c r="E11" s="125">
        <v>1172</v>
      </c>
      <c r="F11" s="127">
        <f t="shared" si="0"/>
        <v>2260</v>
      </c>
      <c r="H11" s="135" t="e">
        <f t="array" ref="H11">SUM((B11=Generators!$H$2:$H$9790)*("Y"=Generators!C7:C9795)*Generators!$U$2:$U$9790)</f>
        <v>#N/A</v>
      </c>
      <c r="I11" s="138" t="e">
        <f>H11/C11</f>
        <v>#N/A</v>
      </c>
    </row>
    <row r="12" spans="2:20" x14ac:dyDescent="0.35">
      <c r="B12" s="125" t="s">
        <v>2803</v>
      </c>
      <c r="C12" s="125">
        <v>9610</v>
      </c>
      <c r="D12" s="125">
        <v>3270</v>
      </c>
      <c r="E12" s="125">
        <v>6340</v>
      </c>
      <c r="F12" s="127">
        <f t="shared" si="0"/>
        <v>11399</v>
      </c>
      <c r="H12" s="135" t="e">
        <f t="array" ref="H12">SUM((B12=Generators!$H$2:$H$9790)*("Y"=Generators!C8:C9796)*Generators!$U$2:$U$9790)</f>
        <v>#N/A</v>
      </c>
      <c r="I12" s="138" t="e">
        <f>H12/C12</f>
        <v>#N/A</v>
      </c>
    </row>
    <row r="13" spans="2:20" x14ac:dyDescent="0.35">
      <c r="B13" s="125" t="s">
        <v>2804</v>
      </c>
      <c r="C13" s="125">
        <v>7</v>
      </c>
      <c r="D13" s="125">
        <v>7</v>
      </c>
      <c r="E13" s="125"/>
      <c r="F13" s="127">
        <f t="shared" si="0"/>
        <v>7</v>
      </c>
      <c r="H13" s="135" t="e">
        <f t="array" ref="H13">SUM((B13=Generators!$H$2:$H$9790)*("Y"=Generators!C9:C9797)*Generators!$U$2:$U$9790)</f>
        <v>#N/A</v>
      </c>
      <c r="I13" s="138" t="e">
        <f>H13/C13</f>
        <v>#N/A</v>
      </c>
    </row>
    <row r="14" spans="2:20" x14ac:dyDescent="0.35">
      <c r="B14" s="125" t="s">
        <v>2805</v>
      </c>
      <c r="C14" s="125">
        <v>8</v>
      </c>
      <c r="D14" s="125">
        <v>8</v>
      </c>
      <c r="E14" s="125"/>
      <c r="F14" s="127">
        <f t="shared" si="0"/>
        <v>6</v>
      </c>
      <c r="H14" s="135" t="e">
        <f t="array" ref="H14">SUM((B14=Generators!$H$2:$H$9790)*("Y"=Generators!C10:C9798)*Generators!$U$2:$U$9790)</f>
        <v>#N/A</v>
      </c>
      <c r="I14" s="138" t="e">
        <f>H14/C14</f>
        <v>#N/A</v>
      </c>
    </row>
    <row r="15" spans="2:20" x14ac:dyDescent="0.35">
      <c r="B15" s="125" t="s">
        <v>2807</v>
      </c>
      <c r="C15" s="125">
        <v>20336</v>
      </c>
      <c r="D15" s="125">
        <v>17036</v>
      </c>
      <c r="E15" s="125">
        <v>3300</v>
      </c>
      <c r="F15" s="127">
        <f t="shared" si="0"/>
        <v>20053</v>
      </c>
      <c r="H15" s="135" t="e">
        <f t="array" ref="H15">SUM((B15=Generators!$H$2:$H$9790)*("Y"=Generators!C11:C9799)*Generators!$U$2:$U$9790)</f>
        <v>#N/A</v>
      </c>
      <c r="I15" s="138" t="e">
        <f>H15/C15</f>
        <v>#N/A</v>
      </c>
    </row>
    <row r="16" spans="2:20" x14ac:dyDescent="0.35">
      <c r="B16" s="125" t="s">
        <v>2808</v>
      </c>
      <c r="C16" s="125">
        <v>3263</v>
      </c>
      <c r="D16" s="125">
        <v>3263</v>
      </c>
      <c r="E16" s="125"/>
      <c r="F16" s="127">
        <f t="shared" si="0"/>
        <v>3249</v>
      </c>
      <c r="H16" s="135" t="e">
        <f t="array" ref="H16">SUM((B16=Generators!$H$2:$H$9790)*("Y"=Generators!C12:C9800)*Generators!$U$2:$U$9790)</f>
        <v>#N/A</v>
      </c>
      <c r="I16" s="138" t="e">
        <f t="shared" ref="I16:I35" si="1">H16/C16</f>
        <v>#N/A</v>
      </c>
    </row>
    <row r="17" spans="2:32" x14ac:dyDescent="0.35">
      <c r="B17" s="125" t="s">
        <v>2809</v>
      </c>
      <c r="C17" s="125">
        <v>25421</v>
      </c>
      <c r="D17" s="125">
        <v>23442</v>
      </c>
      <c r="E17" s="125">
        <v>1979</v>
      </c>
      <c r="F17" s="127">
        <f t="shared" si="0"/>
        <v>25278</v>
      </c>
      <c r="H17" s="135" t="e">
        <f t="array" ref="H17">SUM((B17=Generators!$H$2:$H$9790)*("Y"=Generators!C13:C9801)*Generators!$U$2:$U$9790)</f>
        <v>#N/A</v>
      </c>
      <c r="I17" s="138" t="e">
        <f t="shared" si="1"/>
        <v>#N/A</v>
      </c>
    </row>
    <row r="18" spans="2:32" x14ac:dyDescent="0.35">
      <c r="B18" s="125" t="s">
        <v>2832</v>
      </c>
      <c r="C18" s="125">
        <v>3866</v>
      </c>
      <c r="D18" s="125">
        <v>1122</v>
      </c>
      <c r="E18" s="125">
        <v>2744</v>
      </c>
      <c r="F18" s="197">
        <f>VLOOKUP("UK",$B$137:$C$165,2,FALSE)</f>
        <v>4503</v>
      </c>
      <c r="H18" s="135" t="e">
        <f t="array" ref="H18">SUM((B18=Generators!$H$2:$H$9790)*("Y"=Generators!C14:C9802)*Generators!$U$2:$U$9790)</f>
        <v>#N/A</v>
      </c>
      <c r="I18" s="138" t="e">
        <f t="shared" si="1"/>
        <v>#N/A</v>
      </c>
    </row>
    <row r="19" spans="2:32" x14ac:dyDescent="0.35">
      <c r="B19" s="125" t="s">
        <v>2806</v>
      </c>
      <c r="C19" s="125">
        <v>3242</v>
      </c>
      <c r="D19" s="125">
        <v>224</v>
      </c>
      <c r="E19" s="125">
        <v>3018</v>
      </c>
      <c r="F19" s="127">
        <f t="shared" ref="F19:F35" si="2">VLOOKUP(B19,$B$137:$C$165,2,FALSE)</f>
        <v>3392</v>
      </c>
      <c r="H19" s="135" t="e">
        <f t="array" ref="H19">SUM((B19=Generators!$H$2:$H$9790)*("Y"=Generators!C15:C9803)*Generators!$U$2:$U$9790)</f>
        <v>#N/A</v>
      </c>
      <c r="I19" s="138" t="e">
        <f t="shared" si="1"/>
        <v>#N/A</v>
      </c>
    </row>
    <row r="20" spans="2:32" x14ac:dyDescent="0.35">
      <c r="B20" s="125" t="s">
        <v>2810</v>
      </c>
      <c r="C20" s="125">
        <v>2112</v>
      </c>
      <c r="D20" s="125">
        <v>2112</v>
      </c>
      <c r="E20" s="125"/>
      <c r="F20" s="127">
        <f t="shared" si="2"/>
        <v>2208</v>
      </c>
      <c r="H20" s="135" t="e">
        <f t="array" ref="H20">SUM((B20=Generators!$H$2:$H$9790)*("Y"=Generators!C16:C9804)*Generators!$U$2:$U$9790)</f>
        <v>#N/A</v>
      </c>
      <c r="I20" s="138" t="e">
        <f t="shared" si="1"/>
        <v>#N/A</v>
      </c>
    </row>
    <row r="21" spans="2:32" x14ac:dyDescent="0.35">
      <c r="B21" s="125" t="s">
        <v>2811</v>
      </c>
      <c r="C21" s="125">
        <v>57</v>
      </c>
      <c r="D21" s="125">
        <v>57</v>
      </c>
      <c r="E21" s="125">
        <v>292</v>
      </c>
      <c r="F21" s="127">
        <f t="shared" si="2"/>
        <v>57</v>
      </c>
      <c r="H21" s="135" t="e">
        <f t="array" ref="H21">SUM((B21=Generators!$H$2:$H$9790)*("Y"=Generators!C17:C9805)*Generators!$U$2:$U$9790)</f>
        <v>#N/A</v>
      </c>
      <c r="I21" s="138" t="e">
        <f t="shared" si="1"/>
        <v>#N/A</v>
      </c>
    </row>
    <row r="22" spans="2:32" x14ac:dyDescent="0.35">
      <c r="B22" s="125" t="s">
        <v>2812</v>
      </c>
      <c r="C22" s="125">
        <v>534</v>
      </c>
      <c r="D22" s="125">
        <v>242</v>
      </c>
      <c r="E22" s="125"/>
      <c r="F22" s="127">
        <f t="shared" si="2"/>
        <v>529</v>
      </c>
      <c r="H22" s="135" t="e">
        <f t="array" ref="H22">SUM((B22=Generators!$H$2:$H$9790)*("Y"=Generators!C18:C9806)*Generators!$U$2:$U$9790)</f>
        <v>#N/A</v>
      </c>
      <c r="I22" s="138" t="e">
        <f t="shared" si="1"/>
        <v>#N/A</v>
      </c>
    </row>
    <row r="23" spans="2:32" x14ac:dyDescent="0.35">
      <c r="B23" s="125" t="s">
        <v>2813</v>
      </c>
      <c r="C23" s="125">
        <v>22150</v>
      </c>
      <c r="D23" s="125"/>
      <c r="E23" s="125">
        <v>22150</v>
      </c>
      <c r="F23" s="127">
        <f t="shared" si="2"/>
        <v>22220</v>
      </c>
      <c r="H23" s="135" t="e">
        <f t="array" ref="H23">SUM((B23=Generators!$H$2:$H$9790)*("Y"=Generators!C19:C9807)*Generators!$U$2:$U$9790)</f>
        <v>#N/A</v>
      </c>
      <c r="I23" s="138" t="e">
        <f t="shared" si="1"/>
        <v>#N/A</v>
      </c>
    </row>
    <row r="24" spans="2:32" x14ac:dyDescent="0.35">
      <c r="B24" s="125" t="s">
        <v>2814</v>
      </c>
      <c r="C24" s="125">
        <v>126</v>
      </c>
      <c r="D24" s="125">
        <v>126</v>
      </c>
      <c r="E24" s="125"/>
      <c r="F24" s="127">
        <f t="shared" si="2"/>
        <v>877</v>
      </c>
      <c r="H24" s="135" t="e">
        <f t="array" ref="H24">SUM((B24=Generators!$H$2:$H$9790)*("Y"=Generators!C20:C9808)*Generators!$U$2:$U$9790)</f>
        <v>#N/A</v>
      </c>
      <c r="I24" s="138" t="e">
        <f t="shared" si="1"/>
        <v>#N/A</v>
      </c>
    </row>
    <row r="25" spans="2:32" x14ac:dyDescent="0.35">
      <c r="B25" s="125" t="s">
        <v>2815</v>
      </c>
      <c r="C25" s="125">
        <v>1334</v>
      </c>
      <c r="D25" s="125">
        <v>44</v>
      </c>
      <c r="E25" s="125">
        <v>1290</v>
      </c>
      <c r="F25" s="127">
        <f t="shared" si="2"/>
        <v>1330</v>
      </c>
      <c r="H25" s="135" t="e">
        <f t="array" ref="H25">SUM((B25=Generators!$H$2:$H$9790)*("Y"=Generators!C21:C9809)*Generators!$U$2:$U$9790)</f>
        <v>#N/A</v>
      </c>
      <c r="I25" s="138" t="e">
        <f t="shared" si="1"/>
        <v>#N/A</v>
      </c>
    </row>
    <row r="26" spans="2:32" x14ac:dyDescent="0.35">
      <c r="B26" s="125" t="s">
        <v>2816</v>
      </c>
      <c r="C26" s="125">
        <v>1556</v>
      </c>
      <c r="D26" s="125">
        <v>1556</v>
      </c>
      <c r="E26" s="125"/>
      <c r="F26" s="127">
        <f t="shared" si="2"/>
        <v>1589</v>
      </c>
      <c r="H26" s="135" t="e">
        <f t="array" ref="H26">SUM((B26=Generators!$H$2:$H$9790)*("Y"=Generators!C22:C9810)*Generators!$U$2:$U$9790)</f>
        <v>#N/A</v>
      </c>
      <c r="I26" s="138" t="e">
        <f t="shared" si="1"/>
        <v>#N/A</v>
      </c>
    </row>
    <row r="27" spans="2:32" x14ac:dyDescent="0.35">
      <c r="B27" s="125" t="s">
        <v>2833</v>
      </c>
      <c r="C27" s="125">
        <v>12</v>
      </c>
      <c r="D27" s="125">
        <v>12</v>
      </c>
      <c r="E27" s="125"/>
      <c r="F27" s="127" t="e">
        <f t="shared" si="2"/>
        <v>#N/A</v>
      </c>
      <c r="H27" s="135" t="e">
        <f t="array" ref="H27">SUM((B27=Generators!$H$2:$H$9790)*("Y"=Generators!C23:C9811)*Generators!$U$2:$U$9790)</f>
        <v>#N/A</v>
      </c>
      <c r="I27" s="138" t="e">
        <f t="shared" si="1"/>
        <v>#N/A</v>
      </c>
    </row>
    <row r="28" spans="2:32" x14ac:dyDescent="0.35">
      <c r="B28" s="125" t="s">
        <v>2818</v>
      </c>
      <c r="C28" s="125">
        <v>38</v>
      </c>
      <c r="D28" s="125">
        <v>38</v>
      </c>
      <c r="E28" s="125"/>
      <c r="F28" s="127">
        <f t="shared" si="2"/>
        <v>37</v>
      </c>
      <c r="H28" s="135" t="e">
        <f t="array" ref="H28">SUM((B28=Generators!$H$2:$H$9790)*("Y"=Generators!C24:C9812)*Generators!$U$2:$U$9790)</f>
        <v>#N/A</v>
      </c>
      <c r="I28" s="138" t="e">
        <f t="shared" si="1"/>
        <v>#N/A</v>
      </c>
      <c r="W28" s="127" t="s">
        <v>2986</v>
      </c>
    </row>
    <row r="29" spans="2:32" x14ac:dyDescent="0.35">
      <c r="B29" s="125" t="s">
        <v>2819</v>
      </c>
      <c r="C29" s="125">
        <v>31200</v>
      </c>
      <c r="D29" s="125">
        <v>31200</v>
      </c>
      <c r="E29" s="125"/>
      <c r="F29" s="127">
        <f t="shared" si="2"/>
        <v>31372</v>
      </c>
      <c r="H29" s="135" t="e">
        <f t="array" ref="H29">SUM((B29=Generators!$H$2:$H$9790)*("Y"=Generators!C25:C9813)*Generators!$U$2:$U$9790)</f>
        <v>#N/A</v>
      </c>
      <c r="I29" s="138" t="e">
        <f t="shared" si="1"/>
        <v>#N/A</v>
      </c>
      <c r="W29" s="207" t="s">
        <v>2985</v>
      </c>
      <c r="X29" s="207"/>
      <c r="Y29" s="207"/>
      <c r="Z29" s="207"/>
      <c r="AA29" s="207"/>
      <c r="AB29" s="207"/>
      <c r="AC29" s="261"/>
      <c r="AD29" s="207"/>
      <c r="AE29" s="207"/>
      <c r="AF29" s="207"/>
    </row>
    <row r="30" spans="2:32" x14ac:dyDescent="0.35">
      <c r="B30" s="125" t="s">
        <v>2820</v>
      </c>
      <c r="C30" s="125">
        <v>2355</v>
      </c>
      <c r="D30" s="125">
        <v>942</v>
      </c>
      <c r="E30" s="125">
        <v>1413</v>
      </c>
      <c r="F30" s="127">
        <f t="shared" si="2"/>
        <v>2370</v>
      </c>
      <c r="H30" s="135" t="e">
        <f t="array" ref="H30">SUM((B30=Generators!$H$2:$H$9790)*("Y"=Generators!C26:C9814)*Generators!$U$2:$U$9790)</f>
        <v>#N/A</v>
      </c>
      <c r="I30" s="138" t="e">
        <f t="shared" si="1"/>
        <v>#N/A</v>
      </c>
    </row>
    <row r="31" spans="2:32" x14ac:dyDescent="0.35">
      <c r="B31" s="125" t="s">
        <v>2821</v>
      </c>
      <c r="C31" s="125">
        <v>6146</v>
      </c>
      <c r="D31" s="125">
        <v>6146</v>
      </c>
      <c r="E31" s="125"/>
      <c r="F31" s="127">
        <f t="shared" si="2"/>
        <v>6168</v>
      </c>
      <c r="H31" s="135" t="e">
        <f t="array" ref="H31">SUM((B31=Generators!$H$2:$H$9790)*("Y"=Generators!C27:C9815)*Generators!$U$2:$U$9790)</f>
        <v>#N/A</v>
      </c>
      <c r="I31" s="138" t="e">
        <f t="shared" si="1"/>
        <v>#N/A</v>
      </c>
    </row>
    <row r="32" spans="2:32" x14ac:dyDescent="0.35">
      <c r="B32" s="125" t="s">
        <v>2822</v>
      </c>
      <c r="C32" s="125">
        <v>6339</v>
      </c>
      <c r="D32" s="125">
        <v>6339</v>
      </c>
      <c r="E32" s="125"/>
      <c r="F32" s="127">
        <f t="shared" si="2"/>
        <v>6730</v>
      </c>
      <c r="H32" s="135" t="e">
        <f t="array" ref="H32">SUM((B32=Generators!$H$2:$H$9790)*("Y"=Generators!C28:C9816)*Generators!$U$2:$U$9790)</f>
        <v>#N/A</v>
      </c>
      <c r="I32" s="138" t="e">
        <f t="shared" si="1"/>
        <v>#N/A</v>
      </c>
    </row>
    <row r="33" spans="2:37" x14ac:dyDescent="0.35">
      <c r="B33" s="125" t="s">
        <v>2823</v>
      </c>
      <c r="C33" s="125">
        <v>16184</v>
      </c>
      <c r="D33" s="125">
        <v>16184</v>
      </c>
      <c r="E33" s="125"/>
      <c r="F33" s="127">
        <f t="shared" si="2"/>
        <v>16329</v>
      </c>
      <c r="H33" s="135" t="e">
        <f t="array" ref="H33">SUM((B33=Generators!$H$2:$H$9790)*("Y"=Generators!C29:C9817)*Generators!$U$2:$U$9790)</f>
        <v>#N/A</v>
      </c>
      <c r="I33" s="138" t="e">
        <f t="shared" si="1"/>
        <v>#N/A</v>
      </c>
    </row>
    <row r="34" spans="2:37" x14ac:dyDescent="0.35">
      <c r="B34" s="125" t="s">
        <v>2824</v>
      </c>
      <c r="C34" s="125">
        <v>1233</v>
      </c>
      <c r="D34" s="125">
        <v>1053</v>
      </c>
      <c r="E34" s="125">
        <v>180</v>
      </c>
      <c r="F34" s="127">
        <f t="shared" si="2"/>
        <v>1295</v>
      </c>
      <c r="H34" s="135" t="e">
        <f t="array" ref="H34">SUM((B34=Generators!$H$2:$H$9790)*("Y"=Generators!C30:C9818)*Generators!$U$2:$U$9790)</f>
        <v>#N/A</v>
      </c>
      <c r="I34" s="138" t="e">
        <f t="shared" si="1"/>
        <v>#N/A</v>
      </c>
    </row>
    <row r="35" spans="2:37" x14ac:dyDescent="0.35">
      <c r="B35" s="125" t="s">
        <v>2825</v>
      </c>
      <c r="C35" s="125">
        <v>2533</v>
      </c>
      <c r="D35" s="125">
        <v>1617</v>
      </c>
      <c r="E35" s="125">
        <v>916</v>
      </c>
      <c r="F35" s="127">
        <f t="shared" si="2"/>
        <v>2522</v>
      </c>
      <c r="H35" s="135" t="e">
        <f t="array" ref="H35">SUM((B35=Generators!$H$2:$H$9790)*("Y"=Generators!C31:C9819)*Generators!$U$2:$U$9790)</f>
        <v>#N/A</v>
      </c>
      <c r="I35" s="138" t="e">
        <f t="shared" si="1"/>
        <v>#N/A</v>
      </c>
    </row>
    <row r="36" spans="2:37" ht="15" thickBot="1" x14ac:dyDescent="0.4">
      <c r="B36" s="128" t="s">
        <v>2834</v>
      </c>
      <c r="C36" s="128">
        <v>193934</v>
      </c>
      <c r="D36" s="128">
        <v>145585</v>
      </c>
      <c r="E36" s="128">
        <v>48349</v>
      </c>
      <c r="F36" s="136"/>
      <c r="G36" s="136"/>
      <c r="H36" s="137" t="e">
        <f>SUM(H6:H35)</f>
        <v>#N/A</v>
      </c>
      <c r="I36" s="138" t="e">
        <f>H36/C36</f>
        <v>#N/A</v>
      </c>
      <c r="U36" s="127" t="s">
        <v>2978</v>
      </c>
    </row>
    <row r="38" spans="2:37" ht="15.5" x14ac:dyDescent="0.35">
      <c r="B38" s="195" t="s">
        <v>2868</v>
      </c>
      <c r="U38" s="142" t="s">
        <v>2869</v>
      </c>
      <c r="V38" s="142"/>
    </row>
    <row r="41" spans="2:37" ht="15" thickBot="1" x14ac:dyDescent="0.4"/>
    <row r="42" spans="2:37" x14ac:dyDescent="0.35">
      <c r="AC42" s="283"/>
      <c r="AD42" s="284"/>
      <c r="AE42" s="284"/>
      <c r="AF42" s="284"/>
      <c r="AG42" s="284"/>
      <c r="AH42" s="284"/>
      <c r="AI42" s="284"/>
      <c r="AJ42" s="284"/>
      <c r="AK42" s="285"/>
    </row>
    <row r="43" spans="2:37" x14ac:dyDescent="0.35">
      <c r="AC43" s="286"/>
      <c r="AD43" s="229"/>
      <c r="AE43" s="229"/>
      <c r="AF43" s="229"/>
      <c r="AG43" s="229"/>
      <c r="AH43" s="229"/>
      <c r="AI43" s="229"/>
      <c r="AJ43" s="229"/>
      <c r="AK43" s="287"/>
    </row>
    <row r="44" spans="2:37" x14ac:dyDescent="0.35">
      <c r="AC44" s="321" t="s">
        <v>3076</v>
      </c>
      <c r="AD44" s="322"/>
      <c r="AE44" s="322"/>
      <c r="AF44" s="229"/>
      <c r="AG44" s="229"/>
      <c r="AH44" s="229"/>
      <c r="AI44" s="229"/>
      <c r="AJ44" s="229"/>
      <c r="AK44" s="287"/>
    </row>
    <row r="45" spans="2:37" ht="26" x14ac:dyDescent="0.35">
      <c r="AC45" s="320"/>
      <c r="AD45" s="133" t="s">
        <v>3050</v>
      </c>
      <c r="AE45" s="133" t="s">
        <v>3049</v>
      </c>
      <c r="AF45" s="229"/>
      <c r="AG45" s="229"/>
      <c r="AH45" s="229"/>
      <c r="AI45" s="229"/>
      <c r="AJ45" s="229"/>
      <c r="AK45" s="287"/>
    </row>
    <row r="46" spans="2:37" x14ac:dyDescent="0.35">
      <c r="AC46" s="290" t="s">
        <v>2882</v>
      </c>
      <c r="AD46" s="134">
        <f>AVERAGEIF(Generators!$F$2:$F$1016,AC46,Generators!$BB$2:$BB$1016)</f>
        <v>30.18610519174775</v>
      </c>
      <c r="AE46" s="134">
        <f>AVERAGEIF(Generators!$F$2:$F$1016,AC46,Generators!$BJ$2:$BJ$1016)</f>
        <v>59.776761636285968</v>
      </c>
      <c r="AF46" s="229"/>
      <c r="AG46" s="229"/>
      <c r="AH46" s="229"/>
      <c r="AI46" s="229"/>
      <c r="AJ46" s="229"/>
      <c r="AK46" s="287"/>
    </row>
    <row r="47" spans="2:37" x14ac:dyDescent="0.35">
      <c r="AC47" s="290" t="s">
        <v>2883</v>
      </c>
      <c r="AD47" s="134">
        <f>AVERAGEIF(Generators!$F$2:$F$1016,AC47,Generators!$BB$2:$BB$1016)</f>
        <v>545.73505730922955</v>
      </c>
      <c r="AE47" s="134">
        <f>AVERAGEIF(Generators!$F$2:$F$1016,AC47,Generators!$BJ$2:$BJ$1016)</f>
        <v>1608.4897668254005</v>
      </c>
      <c r="AF47" s="229"/>
      <c r="AG47" s="56"/>
      <c r="AH47" s="56"/>
      <c r="AI47" s="56"/>
      <c r="AJ47" s="229"/>
      <c r="AK47" s="287"/>
    </row>
    <row r="48" spans="2:37" x14ac:dyDescent="0.35">
      <c r="AC48" s="290" t="s">
        <v>2884</v>
      </c>
      <c r="AD48" s="134">
        <f>AVERAGEIF(Generators!$F$2:$F$1016,AC48,Generators!$BB$2:$BB$1016)</f>
        <v>66.311753358050026</v>
      </c>
      <c r="AE48" s="134">
        <f>AVERAGEIF(Generators!$F$2:$F$1016,AC48,Generators!$BJ$2:$BJ$1016)</f>
        <v>112.53000944848284</v>
      </c>
      <c r="AF48" s="229"/>
      <c r="AG48" s="229"/>
      <c r="AH48" s="229"/>
      <c r="AI48" s="229"/>
      <c r="AJ48" s="229"/>
      <c r="AK48" s="287"/>
    </row>
    <row r="49" spans="2:38" x14ac:dyDescent="0.35">
      <c r="AC49" s="286"/>
      <c r="AD49" s="229"/>
      <c r="AE49" s="229"/>
      <c r="AF49" s="229"/>
      <c r="AG49" s="229"/>
      <c r="AH49" s="229"/>
      <c r="AI49" s="229"/>
      <c r="AJ49" s="229"/>
      <c r="AK49" s="287"/>
    </row>
    <row r="50" spans="2:38" x14ac:dyDescent="0.35">
      <c r="AC50" s="286"/>
      <c r="AD50" s="229"/>
      <c r="AE50" s="229"/>
      <c r="AF50" s="229"/>
      <c r="AG50" s="229"/>
      <c r="AH50" s="229"/>
      <c r="AI50" s="229"/>
      <c r="AJ50" s="229"/>
      <c r="AK50" s="287"/>
    </row>
    <row r="51" spans="2:38" x14ac:dyDescent="0.35">
      <c r="AC51" s="286"/>
      <c r="AD51" s="229"/>
      <c r="AE51" s="229"/>
      <c r="AF51" s="229"/>
      <c r="AG51" s="229"/>
      <c r="AH51" s="229"/>
      <c r="AI51" s="229"/>
      <c r="AJ51" s="229"/>
      <c r="AK51" s="287"/>
    </row>
    <row r="52" spans="2:38" x14ac:dyDescent="0.35">
      <c r="AC52" s="299" t="s">
        <v>3060</v>
      </c>
      <c r="AD52" s="300"/>
      <c r="AE52" s="300"/>
      <c r="AF52" s="229"/>
      <c r="AG52" s="229"/>
      <c r="AH52" s="229"/>
      <c r="AI52" s="229"/>
      <c r="AJ52" s="229"/>
      <c r="AK52" s="287"/>
    </row>
    <row r="53" spans="2:38" x14ac:dyDescent="0.35">
      <c r="AC53" s="288" t="s">
        <v>2886</v>
      </c>
      <c r="AD53" s="289" t="s">
        <v>3057</v>
      </c>
      <c r="AE53" s="289" t="s">
        <v>3056</v>
      </c>
      <c r="AF53" s="229" t="s">
        <v>3295</v>
      </c>
      <c r="AG53" s="229"/>
      <c r="AH53" s="229"/>
      <c r="AI53" s="229"/>
      <c r="AJ53" s="229"/>
      <c r="AK53" s="287"/>
    </row>
    <row r="54" spans="2:38" x14ac:dyDescent="0.35">
      <c r="AC54" s="290" t="s">
        <v>2882</v>
      </c>
      <c r="AD54" s="291">
        <v>67.56903765690376</v>
      </c>
      <c r="AE54" s="292">
        <v>70</v>
      </c>
      <c r="AF54" s="229"/>
      <c r="AG54" s="229"/>
      <c r="AH54" s="293"/>
      <c r="AI54" s="229"/>
      <c r="AJ54" s="229"/>
      <c r="AK54" s="287"/>
    </row>
    <row r="55" spans="2:38" x14ac:dyDescent="0.35">
      <c r="AC55" s="290" t="s">
        <v>2883</v>
      </c>
      <c r="AD55" s="291">
        <v>112.51232876712329</v>
      </c>
      <c r="AE55" s="292">
        <v>100</v>
      </c>
      <c r="AF55" s="229"/>
      <c r="AG55" s="229"/>
      <c r="AH55" s="229"/>
      <c r="AI55" s="229"/>
      <c r="AJ55" s="229"/>
      <c r="AK55" s="287"/>
    </row>
    <row r="56" spans="2:38" x14ac:dyDescent="0.35">
      <c r="AC56" s="290" t="s">
        <v>2884</v>
      </c>
      <c r="AD56" s="291">
        <v>426.57547169811323</v>
      </c>
      <c r="AE56" s="292">
        <v>400</v>
      </c>
      <c r="AF56" s="229">
        <f>AE56*AE48/1000</f>
        <v>45.01200377939314</v>
      </c>
      <c r="AG56" s="229"/>
      <c r="AH56" s="229"/>
      <c r="AI56" s="294" t="s">
        <v>3052</v>
      </c>
      <c r="AJ56" s="229"/>
      <c r="AK56" s="295" t="s">
        <v>3051</v>
      </c>
    </row>
    <row r="57" spans="2:38" x14ac:dyDescent="0.35">
      <c r="AC57" s="286"/>
      <c r="AD57" s="229"/>
      <c r="AE57" s="229"/>
      <c r="AF57" s="229"/>
      <c r="AG57" s="229"/>
      <c r="AH57" s="229"/>
      <c r="AI57" s="229"/>
      <c r="AJ57" s="229"/>
      <c r="AK57" s="287"/>
    </row>
    <row r="58" spans="2:38" x14ac:dyDescent="0.35">
      <c r="AC58" s="286"/>
      <c r="AD58" s="229"/>
      <c r="AE58" s="229"/>
      <c r="AF58" s="229"/>
      <c r="AG58" s="229"/>
      <c r="AH58" s="229"/>
      <c r="AI58" s="296" t="s">
        <v>3051</v>
      </c>
      <c r="AJ58" s="229" t="s">
        <v>3053</v>
      </c>
      <c r="AK58" s="287"/>
    </row>
    <row r="59" spans="2:38" x14ac:dyDescent="0.35">
      <c r="AC59" s="286"/>
      <c r="AD59" s="229"/>
      <c r="AE59" s="229"/>
      <c r="AF59" s="229"/>
      <c r="AG59" s="229"/>
      <c r="AH59" s="229"/>
      <c r="AI59" s="296" t="s">
        <v>3054</v>
      </c>
      <c r="AJ59" s="229" t="s">
        <v>3055</v>
      </c>
      <c r="AK59" s="287"/>
    </row>
    <row r="60" spans="2:38" ht="15" thickBot="1" x14ac:dyDescent="0.4">
      <c r="AC60" s="297"/>
      <c r="AD60" s="252"/>
      <c r="AE60" s="252"/>
      <c r="AF60" s="252"/>
      <c r="AG60" s="252"/>
      <c r="AH60" s="252"/>
      <c r="AI60" s="252"/>
      <c r="AJ60" s="252"/>
      <c r="AK60" s="298"/>
    </row>
    <row r="61" spans="2:38" ht="15" thickBot="1" x14ac:dyDescent="0.4">
      <c r="H61" s="242" t="s">
        <v>3044</v>
      </c>
    </row>
    <row r="62" spans="2:38" s="219" customFormat="1" ht="60" customHeight="1" thickBot="1" x14ac:dyDescent="0.4">
      <c r="B62" s="403" t="s">
        <v>3025</v>
      </c>
      <c r="C62" s="403"/>
      <c r="D62" s="403"/>
      <c r="E62" s="403"/>
      <c r="H62" s="404" t="s">
        <v>3024</v>
      </c>
      <c r="I62" s="404"/>
      <c r="J62" s="404"/>
      <c r="M62" s="262" t="s">
        <v>3028</v>
      </c>
      <c r="N62" s="263"/>
      <c r="P62" s="262" t="s">
        <v>3030</v>
      </c>
      <c r="S62" s="406" t="s">
        <v>3029</v>
      </c>
      <c r="T62" s="406"/>
      <c r="U62" s="406"/>
      <c r="V62" s="127"/>
      <c r="X62" s="405" t="s">
        <v>3034</v>
      </c>
      <c r="Y62" s="405"/>
      <c r="Z62" s="405"/>
      <c r="AA62" s="405"/>
      <c r="AC62" s="272" t="s">
        <v>3046</v>
      </c>
      <c r="AD62" s="273" t="s">
        <v>3041</v>
      </c>
      <c r="AF62" s="399" t="s">
        <v>3059</v>
      </c>
      <c r="AG62" s="400"/>
      <c r="AH62" s="401"/>
      <c r="AI62" s="302"/>
      <c r="AJ62" s="399" t="s">
        <v>3063</v>
      </c>
      <c r="AK62" s="400"/>
      <c r="AL62" s="401"/>
    </row>
    <row r="63" spans="2:38" x14ac:dyDescent="0.35">
      <c r="C63" s="196" t="s">
        <v>2882</v>
      </c>
      <c r="D63" s="196" t="s">
        <v>2883</v>
      </c>
      <c r="E63" s="196" t="s">
        <v>2884</v>
      </c>
      <c r="H63" s="196" t="s">
        <v>2882</v>
      </c>
      <c r="I63" s="196" t="s">
        <v>2883</v>
      </c>
      <c r="J63" s="196" t="s">
        <v>2884</v>
      </c>
      <c r="M63" s="196" t="s">
        <v>3026</v>
      </c>
      <c r="N63" s="196" t="s">
        <v>3022</v>
      </c>
      <c r="O63" s="196" t="s">
        <v>3027</v>
      </c>
      <c r="P63" s="196"/>
      <c r="Q63" s="196"/>
      <c r="S63" s="196" t="s">
        <v>2882</v>
      </c>
      <c r="T63" s="196" t="s">
        <v>2883</v>
      </c>
      <c r="U63" s="196" t="s">
        <v>2884</v>
      </c>
      <c r="V63" s="196" t="s">
        <v>3267</v>
      </c>
      <c r="X63" s="275" t="s">
        <v>2995</v>
      </c>
      <c r="Y63" s="278" t="s">
        <v>2882</v>
      </c>
      <c r="Z63" s="278" t="s">
        <v>2883</v>
      </c>
      <c r="AA63" s="278" t="s">
        <v>2884</v>
      </c>
      <c r="AC63" s="246" t="s">
        <v>2995</v>
      </c>
      <c r="AD63" s="196" t="s">
        <v>3042</v>
      </c>
      <c r="AF63" s="278" t="s">
        <v>2882</v>
      </c>
      <c r="AG63" s="278" t="s">
        <v>2883</v>
      </c>
      <c r="AH63" s="278" t="s">
        <v>2884</v>
      </c>
      <c r="AI63" s="303"/>
      <c r="AJ63" s="278" t="s">
        <v>2882</v>
      </c>
      <c r="AK63" s="278" t="s">
        <v>2883</v>
      </c>
      <c r="AL63" s="278" t="s">
        <v>2884</v>
      </c>
    </row>
    <row r="64" spans="2:38" x14ac:dyDescent="0.35">
      <c r="B64" s="216" t="s">
        <v>2797</v>
      </c>
      <c r="C64" s="335">
        <v>0</v>
      </c>
      <c r="D64" s="335">
        <v>0</v>
      </c>
      <c r="E64" s="335">
        <v>0</v>
      </c>
      <c r="G64" s="216" t="s">
        <v>2797</v>
      </c>
      <c r="H64" s="129">
        <f>VLOOKUP($B64,$B$107:$E$132,2,FALSE)</f>
        <v>2061</v>
      </c>
      <c r="I64" s="129">
        <f>VLOOKUP($B64,$B$107:$E$132,3,FALSE)</f>
        <v>1005</v>
      </c>
      <c r="J64" s="129">
        <f>VLOOKUP($B64,$B$107:$E$132,4,FALSE)</f>
        <v>1808</v>
      </c>
      <c r="M64" s="127">
        <v>13177</v>
      </c>
      <c r="N64" s="127">
        <v>5200</v>
      </c>
      <c r="P64" s="127">
        <f>VLOOKUP(B64,$B$137:$C$165,2,FALSE)</f>
        <v>13351</v>
      </c>
      <c r="R64" s="216" t="s">
        <v>2797</v>
      </c>
      <c r="S64" s="129">
        <f>H64-C64</f>
        <v>2061</v>
      </c>
      <c r="T64" s="129">
        <f>I64-D64</f>
        <v>1005</v>
      </c>
      <c r="U64" s="129">
        <f>J64-E64</f>
        <v>1808</v>
      </c>
      <c r="V64" s="138" t="e">
        <f>U64/$U$94</f>
        <v>#N/A</v>
      </c>
      <c r="X64" s="276">
        <f t="shared" ref="X64:X93" si="3">P64-SUM(C64:E64)</f>
        <v>13351</v>
      </c>
      <c r="Y64" s="277">
        <f t="shared" ref="Y64:Y93" si="4">IF(AND($S64=0,$S64=0,$U64=0, $X64&gt;0),$X64*$K$100,$X64*IF(S64&gt;0,S64/SUMIF($S64:$U64,"&gt;0",$S64:$U64),0))</f>
        <v>5645.5500615510873</v>
      </c>
      <c r="Z64" s="277">
        <f t="shared" ref="Z64:Z93" si="5">IF(AND($S64=0,$S64=0,$U64=0, $X64&gt;0),$X64*$K$101,$X64*IF(T64&gt;0,T64/SUMIF($S64:$U64,"&gt;0",$S64:$U64),0))</f>
        <v>2752.9247025030777</v>
      </c>
      <c r="AA64" s="277">
        <f t="shared" ref="AA64:AA93" si="6">IF(AND($S64=0,$S64=0,$U64=0, $X64&gt;0),$X64*$K$102,$X64*IF(U64&gt;0,U64/SUMIF($S64:$U64,"&gt;0",$S64:$U64),0))</f>
        <v>4952.5252359458345</v>
      </c>
      <c r="AC64" s="135">
        <f t="shared" ref="AC64:AC93" si="7">SUM(C64:E64)+SUM(Y64:AA64)</f>
        <v>13351</v>
      </c>
      <c r="AD64" s="135">
        <f t="shared" ref="AD64:AD93" si="8">P64-AC64</f>
        <v>0</v>
      </c>
      <c r="AE64" s="129" t="str">
        <f t="shared" ref="AE64:AE93" si="9">B64</f>
        <v>AT</v>
      </c>
      <c r="AF64" s="129">
        <f>ROUND(Y64/VLOOKUP(AF$63,$AC$54:$AE$56,3,FALSE),0)</f>
        <v>81</v>
      </c>
      <c r="AG64" s="129">
        <f t="shared" ref="AG64:AH72" si="10">ROUND(Z64/VLOOKUP(AG$63,$AC$54:$AE$56,3,FALSE),0)</f>
        <v>28</v>
      </c>
      <c r="AH64" s="129">
        <f t="shared" si="10"/>
        <v>12</v>
      </c>
      <c r="AI64" s="129" t="str">
        <f>AE64</f>
        <v>AT</v>
      </c>
      <c r="AJ64" s="127">
        <f>ROUND(IF($AK$56="Specific",AF64*VLOOKUP(AJ$63,$AC$54:$AE$56,3,FALSE)/1000*VLOOKUP(AF$63,'Country Totals (All Aggregated)'!$AC$46:$AE$48,3,FALSE),AF64*VLOOKUP(AF$63,'Country Totals (All Aggregated)'!$AC$46:$AE$48,2,FALSE)),2)</f>
        <v>338.93</v>
      </c>
      <c r="AK64" s="127">
        <f>ROUND(IF($AK$56="Specific",AG64*VLOOKUP(AK$63,$AC$54:$AE$56,3,FALSE)/1000*VLOOKUP(AG$63,'Country Totals (All Aggregated)'!$AC$46:$AE$48,3,FALSE),AG64*VLOOKUP(AG$63,'Country Totals (All Aggregated)'!$AC$46:$AE$48,2,FALSE)),2)</f>
        <v>4503.7700000000004</v>
      </c>
      <c r="AL64" s="127">
        <f>ROUND(IF($AK$56="Specific",AH64*VLOOKUP(AL$63,$AC$54:$AE$56,3,FALSE)/1000*VLOOKUP(AH$63,'Country Totals (All Aggregated)'!$AC$46:$AE$48,3,FALSE),AH64*VLOOKUP(AH$63,'Country Totals (All Aggregated)'!$AC$46:$AE$48,2,FALSE)),2)</f>
        <v>540.14</v>
      </c>
    </row>
    <row r="65" spans="2:38" x14ac:dyDescent="0.35">
      <c r="B65" s="216" t="s">
        <v>2798</v>
      </c>
      <c r="C65" s="335">
        <v>0</v>
      </c>
      <c r="D65" s="335">
        <v>0</v>
      </c>
      <c r="E65" s="335">
        <v>0</v>
      </c>
      <c r="G65" s="216" t="s">
        <v>2798</v>
      </c>
      <c r="H65" s="129">
        <f>VLOOKUP($B65,$B$107:$E$132,2,FALSE)</f>
        <v>0</v>
      </c>
      <c r="I65" s="129">
        <f>VLOOKUP($B65,$B$107:$E$132,3,FALSE)</f>
        <v>0</v>
      </c>
      <c r="J65" s="129">
        <f>VLOOKUP($B65,$B$107:$E$132,4,FALSE)</f>
        <v>1308</v>
      </c>
      <c r="M65" s="127">
        <v>1427</v>
      </c>
      <c r="N65" s="127">
        <v>1307</v>
      </c>
      <c r="P65" s="127">
        <f>VLOOKUP(B65,$B$137:$C$165,2,FALSE)</f>
        <v>1422</v>
      </c>
      <c r="R65" s="216" t="s">
        <v>2798</v>
      </c>
      <c r="S65" s="129">
        <f t="shared" ref="S65:U80" si="11">H65-C65</f>
        <v>0</v>
      </c>
      <c r="T65" s="129">
        <f t="shared" si="11"/>
        <v>0</v>
      </c>
      <c r="U65" s="129">
        <f t="shared" si="11"/>
        <v>1308</v>
      </c>
      <c r="V65" s="138" t="e">
        <f t="shared" ref="V65:V93" si="12">U65/$U$94</f>
        <v>#N/A</v>
      </c>
      <c r="X65" s="276">
        <f t="shared" si="3"/>
        <v>1422</v>
      </c>
      <c r="Y65" s="277">
        <f t="shared" si="4"/>
        <v>0</v>
      </c>
      <c r="Z65" s="277">
        <f t="shared" si="5"/>
        <v>0</v>
      </c>
      <c r="AA65" s="277">
        <f t="shared" si="6"/>
        <v>1422</v>
      </c>
      <c r="AC65" s="129">
        <f t="shared" si="7"/>
        <v>1422</v>
      </c>
      <c r="AD65" s="135">
        <f t="shared" si="8"/>
        <v>0</v>
      </c>
      <c r="AE65" s="129" t="str">
        <f t="shared" si="9"/>
        <v>BE</v>
      </c>
      <c r="AF65" s="129">
        <f t="shared" ref="AF65:AF72" si="13">ROUND(Y65/VLOOKUP(AF$63,$AC$54:$AE$56,3,FALSE),0)</f>
        <v>0</v>
      </c>
      <c r="AG65" s="129">
        <f t="shared" si="10"/>
        <v>0</v>
      </c>
      <c r="AH65" s="129">
        <f>ROUND(AA65/VLOOKUP(AH$63,$AC$54:$AE$56,3,FALSE),0)</f>
        <v>4</v>
      </c>
      <c r="AI65" s="129" t="str">
        <f t="shared" ref="AI65:AI72" si="14">AE65</f>
        <v>BE</v>
      </c>
      <c r="AJ65" s="127">
        <f>ROUND(IF($AK$56="Specific",AF65*VLOOKUP(AJ$63,$AC$54:$AE$56,3,FALSE)/1000*VLOOKUP(AF$63,'Country Totals (All Aggregated)'!$AC$46:$AE$48,3,FALSE),AF65*VLOOKUP(AF$63,'Country Totals (All Aggregated)'!$AC$46:$AE$48,2,FALSE)),2)</f>
        <v>0</v>
      </c>
      <c r="AK65" s="127">
        <f>ROUND(IF($AK$56="Specific",AG65*VLOOKUP(AK$63,$AC$54:$AE$56,3,FALSE)/1000*VLOOKUP(AG$63,'Country Totals (All Aggregated)'!$AC$46:$AE$48,3,FALSE),AG65*VLOOKUP(AG$63,'Country Totals (All Aggregated)'!$AC$46:$AE$48,2,FALSE)),2)</f>
        <v>0</v>
      </c>
      <c r="AL65" s="127">
        <f>ROUND(IF($AK$56="Specific",AH65*VLOOKUP(AL$63,$AC$54:$AE$56,3,FALSE)/1000*VLOOKUP(AH$63,'Country Totals (All Aggregated)'!$AC$46:$AE$48,3,FALSE),AH65*VLOOKUP(AH$63,'Country Totals (All Aggregated)'!$AC$46:$AE$48,2,FALSE)),2)</f>
        <v>180.05</v>
      </c>
    </row>
    <row r="66" spans="2:38" x14ac:dyDescent="0.35">
      <c r="B66" s="216" t="s">
        <v>2799</v>
      </c>
      <c r="C66" s="335">
        <v>0</v>
      </c>
      <c r="D66" s="335">
        <v>0</v>
      </c>
      <c r="E66" s="335">
        <v>0</v>
      </c>
      <c r="G66" s="216" t="s">
        <v>2799</v>
      </c>
      <c r="H66" s="129">
        <f>VLOOKUP($B66,$B$107:$E$132,2,FALSE)</f>
        <v>0</v>
      </c>
      <c r="I66" s="129">
        <f>VLOOKUP($B66,$B$107:$E$132,3,FALSE)</f>
        <v>719</v>
      </c>
      <c r="J66" s="129">
        <f>VLOOKUP($B66,$B$107:$E$132,4,FALSE)</f>
        <v>1399</v>
      </c>
      <c r="M66" s="127">
        <v>3129</v>
      </c>
      <c r="N66" s="127">
        <v>864</v>
      </c>
      <c r="P66" s="127">
        <f>VLOOKUP(B66,$B$137:$C$165,2,FALSE)</f>
        <v>3219</v>
      </c>
      <c r="R66" s="216" t="s">
        <v>2799</v>
      </c>
      <c r="S66" s="129">
        <f t="shared" si="11"/>
        <v>0</v>
      </c>
      <c r="T66" s="129">
        <f t="shared" si="11"/>
        <v>719</v>
      </c>
      <c r="U66" s="129">
        <f t="shared" si="11"/>
        <v>1399</v>
      </c>
      <c r="V66" s="138" t="e">
        <f t="shared" si="12"/>
        <v>#N/A</v>
      </c>
      <c r="X66" s="276">
        <f t="shared" si="3"/>
        <v>3219</v>
      </c>
      <c r="Y66" s="277">
        <f t="shared" si="4"/>
        <v>0</v>
      </c>
      <c r="Z66" s="277">
        <f t="shared" si="5"/>
        <v>1092.757790368272</v>
      </c>
      <c r="AA66" s="277">
        <f t="shared" si="6"/>
        <v>2126.2422096317282</v>
      </c>
      <c r="AC66" s="129">
        <f t="shared" si="7"/>
        <v>3219</v>
      </c>
      <c r="AD66" s="135">
        <f t="shared" si="8"/>
        <v>0</v>
      </c>
      <c r="AE66" s="129" t="str">
        <f t="shared" si="9"/>
        <v>BG</v>
      </c>
      <c r="AF66" s="129">
        <f t="shared" si="13"/>
        <v>0</v>
      </c>
      <c r="AG66" s="129">
        <f t="shared" si="10"/>
        <v>11</v>
      </c>
      <c r="AH66" s="129">
        <f t="shared" si="10"/>
        <v>5</v>
      </c>
      <c r="AI66" s="129" t="str">
        <f t="shared" si="14"/>
        <v>BG</v>
      </c>
      <c r="AJ66" s="127">
        <f>ROUND(IF($AK$56="Specific",AF66*VLOOKUP(AJ$63,$AC$54:$AE$56,3,FALSE)/1000*VLOOKUP(AF$63,'Country Totals (All Aggregated)'!$AC$46:$AE$48,3,FALSE),AF66*VLOOKUP(AF$63,'Country Totals (All Aggregated)'!$AC$46:$AE$48,2,FALSE)),2)</f>
        <v>0</v>
      </c>
      <c r="AK66" s="127">
        <f>ROUND(IF($AK$56="Specific",AG66*VLOOKUP(AK$63,$AC$54:$AE$56,3,FALSE)/1000*VLOOKUP(AG$63,'Country Totals (All Aggregated)'!$AC$46:$AE$48,3,FALSE),AG66*VLOOKUP(AG$63,'Country Totals (All Aggregated)'!$AC$46:$AE$48,2,FALSE)),2)</f>
        <v>1769.34</v>
      </c>
      <c r="AL66" s="127">
        <f>ROUND(IF($AK$56="Specific",AH66*VLOOKUP(AL$63,$AC$54:$AE$56,3,FALSE)/1000*VLOOKUP(AH$63,'Country Totals (All Aggregated)'!$AC$46:$AE$48,3,FALSE),AH66*VLOOKUP(AH$63,'Country Totals (All Aggregated)'!$AC$46:$AE$48,2,FALSE)),2)</f>
        <v>225.06</v>
      </c>
    </row>
    <row r="67" spans="2:38" x14ac:dyDescent="0.35">
      <c r="B67" s="216" t="s">
        <v>2800</v>
      </c>
      <c r="C67" s="335">
        <v>0</v>
      </c>
      <c r="D67" s="335">
        <v>0</v>
      </c>
      <c r="E67" s="335">
        <v>0</v>
      </c>
      <c r="G67" s="216" t="s">
        <v>2800</v>
      </c>
      <c r="H67" s="129">
        <f>VLOOKUP($B67,$B$107:$E$132,2,FALSE)</f>
        <v>100</v>
      </c>
      <c r="I67" s="129">
        <f>VLOOKUP($B67,$B$107:$E$132,3,FALSE)</f>
        <v>4779</v>
      </c>
      <c r="J67" s="129">
        <f>VLOOKUP($B67,$B$107:$E$132,4,FALSE)</f>
        <v>4002</v>
      </c>
      <c r="M67" s="127">
        <v>15635</v>
      </c>
      <c r="N67" s="127">
        <v>1817</v>
      </c>
      <c r="P67" s="127">
        <f>VLOOKUP(B67,$B$137:$C$165,2,FALSE)</f>
        <v>13760</v>
      </c>
      <c r="R67" s="216" t="s">
        <v>2800</v>
      </c>
      <c r="S67" s="129">
        <f t="shared" si="11"/>
        <v>100</v>
      </c>
      <c r="T67" s="129">
        <f t="shared" si="11"/>
        <v>4779</v>
      </c>
      <c r="U67" s="129">
        <f t="shared" si="11"/>
        <v>4002</v>
      </c>
      <c r="V67" s="138" t="e">
        <f t="shared" si="12"/>
        <v>#N/A</v>
      </c>
      <c r="X67" s="276">
        <f t="shared" si="3"/>
        <v>13760</v>
      </c>
      <c r="Y67" s="277">
        <f t="shared" si="4"/>
        <v>154.93750703749578</v>
      </c>
      <c r="Z67" s="277">
        <f t="shared" si="5"/>
        <v>7404.4634613219232</v>
      </c>
      <c r="AA67" s="277">
        <f t="shared" si="6"/>
        <v>6200.5990316405814</v>
      </c>
      <c r="AC67" s="129">
        <f t="shared" si="7"/>
        <v>13760</v>
      </c>
      <c r="AD67" s="135">
        <f t="shared" si="8"/>
        <v>0</v>
      </c>
      <c r="AE67" s="129" t="str">
        <f t="shared" si="9"/>
        <v>CH</v>
      </c>
      <c r="AF67" s="129">
        <f t="shared" si="13"/>
        <v>2</v>
      </c>
      <c r="AG67" s="129">
        <f t="shared" si="10"/>
        <v>74</v>
      </c>
      <c r="AH67" s="129">
        <f t="shared" si="10"/>
        <v>16</v>
      </c>
      <c r="AI67" s="129" t="str">
        <f t="shared" si="14"/>
        <v>CH</v>
      </c>
      <c r="AJ67" s="127">
        <f>ROUND(IF($AK$56="Specific",AF67*VLOOKUP(AJ$63,$AC$54:$AE$56,3,FALSE)/1000*VLOOKUP(AF$63,'Country Totals (All Aggregated)'!$AC$46:$AE$48,3,FALSE),AF67*VLOOKUP(AF$63,'Country Totals (All Aggregated)'!$AC$46:$AE$48,2,FALSE)),2)</f>
        <v>8.3699999999999992</v>
      </c>
      <c r="AK67" s="127">
        <f>ROUND(IF($AK$56="Specific",AG67*VLOOKUP(AK$63,$AC$54:$AE$56,3,FALSE)/1000*VLOOKUP(AG$63,'Country Totals (All Aggregated)'!$AC$46:$AE$48,3,FALSE),AG67*VLOOKUP(AG$63,'Country Totals (All Aggregated)'!$AC$46:$AE$48,2,FALSE)),2)</f>
        <v>11902.82</v>
      </c>
      <c r="AL67" s="127">
        <f>ROUND(IF($AK$56="Specific",AH67*VLOOKUP(AL$63,$AC$54:$AE$56,3,FALSE)/1000*VLOOKUP(AH$63,'Country Totals (All Aggregated)'!$AC$46:$AE$48,3,FALSE),AH67*VLOOKUP(AH$63,'Country Totals (All Aggregated)'!$AC$46:$AE$48,2,FALSE)),2)</f>
        <v>720.19</v>
      </c>
    </row>
    <row r="68" spans="2:38" x14ac:dyDescent="0.35">
      <c r="B68" s="216" t="s">
        <v>2801</v>
      </c>
      <c r="C68" s="335">
        <v>0</v>
      </c>
      <c r="D68" s="335">
        <v>0</v>
      </c>
      <c r="E68" s="335">
        <v>0</v>
      </c>
      <c r="G68" s="216" t="s">
        <v>2801</v>
      </c>
      <c r="H68" s="240">
        <v>0</v>
      </c>
      <c r="I68" s="240">
        <v>0</v>
      </c>
      <c r="J68" s="240">
        <v>0</v>
      </c>
      <c r="M68" s="127">
        <v>0</v>
      </c>
      <c r="N68" s="127">
        <v>0</v>
      </c>
      <c r="P68" s="247">
        <v>0</v>
      </c>
      <c r="R68" s="216" t="s">
        <v>2801</v>
      </c>
      <c r="S68" s="129">
        <f t="shared" si="11"/>
        <v>0</v>
      </c>
      <c r="T68" s="129">
        <f t="shared" si="11"/>
        <v>0</v>
      </c>
      <c r="U68" s="129">
        <f t="shared" si="11"/>
        <v>0</v>
      </c>
      <c r="V68" s="138" t="e">
        <f t="shared" si="12"/>
        <v>#N/A</v>
      </c>
      <c r="X68" s="276">
        <f t="shared" si="3"/>
        <v>0</v>
      </c>
      <c r="Y68" s="277">
        <f t="shared" si="4"/>
        <v>0</v>
      </c>
      <c r="Z68" s="277">
        <f t="shared" si="5"/>
        <v>0</v>
      </c>
      <c r="AA68" s="277">
        <f t="shared" si="6"/>
        <v>0</v>
      </c>
      <c r="AC68" s="129">
        <f t="shared" si="7"/>
        <v>0</v>
      </c>
      <c r="AD68" s="135">
        <f t="shared" si="8"/>
        <v>0</v>
      </c>
      <c r="AE68" s="129" t="str">
        <f t="shared" si="9"/>
        <v>CY</v>
      </c>
      <c r="AF68" s="129">
        <f t="shared" si="13"/>
        <v>0</v>
      </c>
      <c r="AG68" s="129">
        <f t="shared" si="10"/>
        <v>0</v>
      </c>
      <c r="AH68" s="129">
        <f t="shared" si="10"/>
        <v>0</v>
      </c>
      <c r="AI68" s="129" t="str">
        <f t="shared" si="14"/>
        <v>CY</v>
      </c>
      <c r="AJ68" s="127">
        <f>ROUND(IF($AK$56="Specific",AF68*VLOOKUP(AJ$63,$AC$54:$AE$56,3,FALSE)/1000*VLOOKUP(AF$63,'Country Totals (All Aggregated)'!$AC$46:$AE$48,3,FALSE),AF68*VLOOKUP(AF$63,'Country Totals (All Aggregated)'!$AC$46:$AE$48,2,FALSE)),2)</f>
        <v>0</v>
      </c>
      <c r="AK68" s="127">
        <f>ROUND(IF($AK$56="Specific",AG68*VLOOKUP(AK$63,$AC$54:$AE$56,3,FALSE)/1000*VLOOKUP(AG$63,'Country Totals (All Aggregated)'!$AC$46:$AE$48,3,FALSE),AG68*VLOOKUP(AG$63,'Country Totals (All Aggregated)'!$AC$46:$AE$48,2,FALSE)),2)</f>
        <v>0</v>
      </c>
      <c r="AL68" s="127">
        <f>ROUND(IF($AK$56="Specific",AH68*VLOOKUP(AL$63,$AC$54:$AE$56,3,FALSE)/1000*VLOOKUP(AH$63,'Country Totals (All Aggregated)'!$AC$46:$AE$48,3,FALSE),AH68*VLOOKUP(AH$63,'Country Totals (All Aggregated)'!$AC$46:$AE$48,2,FALSE)),2)</f>
        <v>0</v>
      </c>
    </row>
    <row r="69" spans="2:38" x14ac:dyDescent="0.35">
      <c r="B69" s="216" t="s">
        <v>2802</v>
      </c>
      <c r="C69" s="335">
        <v>0</v>
      </c>
      <c r="D69" s="335">
        <v>0</v>
      </c>
      <c r="E69" s="335">
        <v>0</v>
      </c>
      <c r="G69" s="216" t="s">
        <v>2802</v>
      </c>
      <c r="H69" s="129">
        <f>VLOOKUP($B69,$B$107:$E$132,2,FALSE)</f>
        <v>0</v>
      </c>
      <c r="I69" s="129">
        <f>VLOOKUP($B69,$B$107:$E$132,3,FALSE)</f>
        <v>612</v>
      </c>
      <c r="J69" s="129">
        <f>VLOOKUP($B69,$B$107:$E$132,4,FALSE)</f>
        <v>1110</v>
      </c>
      <c r="M69" s="127">
        <v>2259</v>
      </c>
      <c r="N69" s="127">
        <v>1172</v>
      </c>
      <c r="P69" s="127">
        <f>VLOOKUP(B69,$B$137:$C$165,2,FALSE)</f>
        <v>2260</v>
      </c>
      <c r="R69" s="216" t="s">
        <v>2802</v>
      </c>
      <c r="S69" s="129">
        <f t="shared" si="11"/>
        <v>0</v>
      </c>
      <c r="T69" s="129">
        <f t="shared" si="11"/>
        <v>612</v>
      </c>
      <c r="U69" s="129">
        <f t="shared" si="11"/>
        <v>1110</v>
      </c>
      <c r="V69" s="138" t="e">
        <f t="shared" si="12"/>
        <v>#N/A</v>
      </c>
      <c r="X69" s="276">
        <f t="shared" si="3"/>
        <v>2260</v>
      </c>
      <c r="Y69" s="277">
        <f t="shared" si="4"/>
        <v>0</v>
      </c>
      <c r="Z69" s="277">
        <f t="shared" si="5"/>
        <v>803.20557491289208</v>
      </c>
      <c r="AA69" s="277">
        <f t="shared" si="6"/>
        <v>1456.794425087108</v>
      </c>
      <c r="AC69" s="129">
        <f t="shared" si="7"/>
        <v>2260</v>
      </c>
      <c r="AD69" s="135">
        <f t="shared" si="8"/>
        <v>0</v>
      </c>
      <c r="AE69" s="129" t="str">
        <f t="shared" si="9"/>
        <v>CZ</v>
      </c>
      <c r="AF69" s="129">
        <f t="shared" si="13"/>
        <v>0</v>
      </c>
      <c r="AG69" s="129">
        <f t="shared" si="10"/>
        <v>8</v>
      </c>
      <c r="AH69" s="129">
        <f t="shared" si="10"/>
        <v>4</v>
      </c>
      <c r="AI69" s="129" t="str">
        <f t="shared" si="14"/>
        <v>CZ</v>
      </c>
      <c r="AJ69" s="127">
        <f>ROUND(IF($AK$56="Specific",AF69*VLOOKUP(AJ$63,$AC$54:$AE$56,3,FALSE)/1000*VLOOKUP(AF$63,'Country Totals (All Aggregated)'!$AC$46:$AE$48,3,FALSE),AF69*VLOOKUP(AF$63,'Country Totals (All Aggregated)'!$AC$46:$AE$48,2,FALSE)),2)</f>
        <v>0</v>
      </c>
      <c r="AK69" s="127">
        <f>ROUND(IF($AK$56="Specific",AG69*VLOOKUP(AK$63,$AC$54:$AE$56,3,FALSE)/1000*VLOOKUP(AG$63,'Country Totals (All Aggregated)'!$AC$46:$AE$48,3,FALSE),AG69*VLOOKUP(AG$63,'Country Totals (All Aggregated)'!$AC$46:$AE$48,2,FALSE)),2)</f>
        <v>1286.79</v>
      </c>
      <c r="AL69" s="127">
        <f>ROUND(IF($AK$56="Specific",AH69*VLOOKUP(AL$63,$AC$54:$AE$56,3,FALSE)/1000*VLOOKUP(AH$63,'Country Totals (All Aggregated)'!$AC$46:$AE$48,3,FALSE),AH69*VLOOKUP(AH$63,'Country Totals (All Aggregated)'!$AC$46:$AE$48,2,FALSE)),2)</f>
        <v>180.05</v>
      </c>
    </row>
    <row r="70" spans="2:38" x14ac:dyDescent="0.35">
      <c r="B70" s="216" t="s">
        <v>2803</v>
      </c>
      <c r="C70" s="335">
        <v>0</v>
      </c>
      <c r="D70" s="335">
        <v>0</v>
      </c>
      <c r="E70" s="335">
        <v>0</v>
      </c>
      <c r="G70" s="216" t="s">
        <v>2803</v>
      </c>
      <c r="H70" s="129">
        <f>VLOOKUP($B70,$B$107:$E$132,2,FALSE)</f>
        <v>2413</v>
      </c>
      <c r="I70" s="129">
        <f>VLOOKUP($B70,$B$107:$E$132,3,FALSE)</f>
        <v>1875</v>
      </c>
      <c r="J70" s="129">
        <f>VLOOKUP($B70,$B$107:$E$132,4,FALSE)</f>
        <v>10183</v>
      </c>
      <c r="M70" s="127">
        <v>11258</v>
      </c>
      <c r="N70" s="127">
        <v>6806</v>
      </c>
      <c r="P70" s="127">
        <f>VLOOKUP(B70,$B$137:$C$165,2,FALSE)</f>
        <v>11399</v>
      </c>
      <c r="R70" s="216" t="s">
        <v>2803</v>
      </c>
      <c r="S70" s="129">
        <f t="shared" si="11"/>
        <v>2413</v>
      </c>
      <c r="T70" s="129">
        <f t="shared" si="11"/>
        <v>1875</v>
      </c>
      <c r="U70" s="129">
        <f t="shared" si="11"/>
        <v>10183</v>
      </c>
      <c r="V70" s="138" t="e">
        <f t="shared" si="12"/>
        <v>#N/A</v>
      </c>
      <c r="X70" s="276">
        <f t="shared" si="3"/>
        <v>11399</v>
      </c>
      <c r="Y70" s="277">
        <f t="shared" si="4"/>
        <v>1900.7523322507084</v>
      </c>
      <c r="Z70" s="277">
        <f t="shared" si="5"/>
        <v>1476.9625457812174</v>
      </c>
      <c r="AA70" s="277">
        <f t="shared" si="6"/>
        <v>8021.2851219680733</v>
      </c>
      <c r="AC70" s="129">
        <f t="shared" si="7"/>
        <v>11399</v>
      </c>
      <c r="AD70" s="135">
        <f t="shared" si="8"/>
        <v>0</v>
      </c>
      <c r="AE70" s="129" t="str">
        <f t="shared" si="9"/>
        <v>DE</v>
      </c>
      <c r="AF70" s="129">
        <f t="shared" si="13"/>
        <v>27</v>
      </c>
      <c r="AG70" s="129">
        <f t="shared" si="10"/>
        <v>15</v>
      </c>
      <c r="AH70" s="129">
        <f t="shared" si="10"/>
        <v>20</v>
      </c>
      <c r="AI70" s="129" t="str">
        <f t="shared" si="14"/>
        <v>DE</v>
      </c>
      <c r="AJ70" s="127">
        <f>ROUND(IF($AK$56="Specific",AF70*VLOOKUP(AJ$63,$AC$54:$AE$56,3,FALSE)/1000*VLOOKUP(AF$63,'Country Totals (All Aggregated)'!$AC$46:$AE$48,3,FALSE),AF70*VLOOKUP(AF$63,'Country Totals (All Aggregated)'!$AC$46:$AE$48,2,FALSE)),2)</f>
        <v>112.98</v>
      </c>
      <c r="AK70" s="127">
        <f>ROUND(IF($AK$56="Specific",AG70*VLOOKUP(AK$63,$AC$54:$AE$56,3,FALSE)/1000*VLOOKUP(AG$63,'Country Totals (All Aggregated)'!$AC$46:$AE$48,3,FALSE),AG70*VLOOKUP(AG$63,'Country Totals (All Aggregated)'!$AC$46:$AE$48,2,FALSE)),2)</f>
        <v>2412.73</v>
      </c>
      <c r="AL70" s="127">
        <f>ROUND(IF($AK$56="Specific",AH70*VLOOKUP(AL$63,$AC$54:$AE$56,3,FALSE)/1000*VLOOKUP(AH$63,'Country Totals (All Aggregated)'!$AC$46:$AE$48,3,FALSE),AH70*VLOOKUP(AH$63,'Country Totals (All Aggregated)'!$AC$46:$AE$48,2,FALSE)),2)</f>
        <v>900.24</v>
      </c>
    </row>
    <row r="71" spans="2:38" x14ac:dyDescent="0.35">
      <c r="B71" s="216" t="s">
        <v>2804</v>
      </c>
      <c r="C71" s="335">
        <v>0</v>
      </c>
      <c r="D71" s="335">
        <v>0</v>
      </c>
      <c r="E71" s="335">
        <v>0</v>
      </c>
      <c r="G71" s="216" t="s">
        <v>2804</v>
      </c>
      <c r="H71" s="240">
        <v>0</v>
      </c>
      <c r="I71" s="240">
        <v>0</v>
      </c>
      <c r="J71" s="240">
        <v>0</v>
      </c>
      <c r="M71" s="241">
        <v>0</v>
      </c>
      <c r="N71" s="240">
        <v>0</v>
      </c>
      <c r="P71" s="247">
        <v>0</v>
      </c>
      <c r="R71" s="216" t="s">
        <v>2804</v>
      </c>
      <c r="S71" s="129">
        <f t="shared" si="11"/>
        <v>0</v>
      </c>
      <c r="T71" s="129">
        <f t="shared" si="11"/>
        <v>0</v>
      </c>
      <c r="U71" s="129">
        <f t="shared" si="11"/>
        <v>0</v>
      </c>
      <c r="V71" s="138" t="e">
        <f t="shared" si="12"/>
        <v>#N/A</v>
      </c>
      <c r="X71" s="276">
        <f t="shared" si="3"/>
        <v>0</v>
      </c>
      <c r="Y71" s="277">
        <f t="shared" si="4"/>
        <v>0</v>
      </c>
      <c r="Z71" s="277">
        <f t="shared" si="5"/>
        <v>0</v>
      </c>
      <c r="AA71" s="277">
        <f t="shared" si="6"/>
        <v>0</v>
      </c>
      <c r="AC71" s="129">
        <f t="shared" si="7"/>
        <v>0</v>
      </c>
      <c r="AD71" s="135">
        <f t="shared" si="8"/>
        <v>0</v>
      </c>
      <c r="AE71" s="129" t="str">
        <f t="shared" si="9"/>
        <v>DK</v>
      </c>
      <c r="AF71" s="129">
        <f t="shared" si="13"/>
        <v>0</v>
      </c>
      <c r="AG71" s="129">
        <f t="shared" si="10"/>
        <v>0</v>
      </c>
      <c r="AH71" s="129">
        <f t="shared" si="10"/>
        <v>0</v>
      </c>
      <c r="AI71" s="129" t="str">
        <f t="shared" si="14"/>
        <v>DK</v>
      </c>
      <c r="AJ71" s="127">
        <f>ROUND(IF($AK$56="Specific",AF71*VLOOKUP(AJ$63,$AC$54:$AE$56,3,FALSE)/1000*VLOOKUP(AF$63,'Country Totals (All Aggregated)'!$AC$46:$AE$48,3,FALSE),AF71*VLOOKUP(AF$63,'Country Totals (All Aggregated)'!$AC$46:$AE$48,2,FALSE)),2)</f>
        <v>0</v>
      </c>
      <c r="AK71" s="127">
        <f>ROUND(IF($AK$56="Specific",AG71*VLOOKUP(AK$63,$AC$54:$AE$56,3,FALSE)/1000*VLOOKUP(AG$63,'Country Totals (All Aggregated)'!$AC$46:$AE$48,3,FALSE),AG71*VLOOKUP(AG$63,'Country Totals (All Aggregated)'!$AC$46:$AE$48,2,FALSE)),2)</f>
        <v>0</v>
      </c>
      <c r="AL71" s="127">
        <f>ROUND(IF($AK$56="Specific",AH71*VLOOKUP(AL$63,$AC$54:$AE$56,3,FALSE)/1000*VLOOKUP(AH$63,'Country Totals (All Aggregated)'!$AC$46:$AE$48,3,FALSE),AH71*VLOOKUP(AH$63,'Country Totals (All Aggregated)'!$AC$46:$AE$48,2,FALSE)),2)</f>
        <v>0</v>
      </c>
    </row>
    <row r="72" spans="2:38" x14ac:dyDescent="0.35">
      <c r="B72" s="216" t="s">
        <v>2805</v>
      </c>
      <c r="C72" s="335">
        <v>0</v>
      </c>
      <c r="D72" s="335">
        <v>0</v>
      </c>
      <c r="E72" s="335">
        <v>0</v>
      </c>
      <c r="G72" s="216" t="s">
        <v>2805</v>
      </c>
      <c r="H72" s="239">
        <f t="shared" ref="H72:H77" si="15">VLOOKUP($B72,$B$107:$E$132,2,FALSE)</f>
        <v>0</v>
      </c>
      <c r="I72" s="239">
        <f t="shared" ref="I72:I77" si="16">VLOOKUP($B72,$B$107:$E$132,3,FALSE)</f>
        <v>0</v>
      </c>
      <c r="J72" s="239">
        <f t="shared" ref="J72:J77" si="17">VLOOKUP($B72,$B$107:$E$132,4,FALSE)</f>
        <v>0</v>
      </c>
      <c r="M72" s="241">
        <v>0</v>
      </c>
      <c r="N72" s="240">
        <v>0</v>
      </c>
      <c r="P72" s="247">
        <v>0</v>
      </c>
      <c r="R72" s="216" t="s">
        <v>2805</v>
      </c>
      <c r="S72" s="129">
        <f t="shared" si="11"/>
        <v>0</v>
      </c>
      <c r="T72" s="129">
        <f t="shared" si="11"/>
        <v>0</v>
      </c>
      <c r="U72" s="129">
        <f t="shared" si="11"/>
        <v>0</v>
      </c>
      <c r="V72" s="138" t="e">
        <f t="shared" si="12"/>
        <v>#N/A</v>
      </c>
      <c r="X72" s="276">
        <f t="shared" si="3"/>
        <v>0</v>
      </c>
      <c r="Y72" s="277">
        <f t="shared" si="4"/>
        <v>0</v>
      </c>
      <c r="Z72" s="277">
        <f t="shared" si="5"/>
        <v>0</v>
      </c>
      <c r="AA72" s="277">
        <f t="shared" si="6"/>
        <v>0</v>
      </c>
      <c r="AC72" s="129">
        <f t="shared" si="7"/>
        <v>0</v>
      </c>
      <c r="AD72" s="135">
        <f t="shared" si="8"/>
        <v>0</v>
      </c>
      <c r="AE72" s="129" t="str">
        <f t="shared" si="9"/>
        <v>EE</v>
      </c>
      <c r="AF72" s="129">
        <f t="shared" si="13"/>
        <v>0</v>
      </c>
      <c r="AG72" s="129">
        <f t="shared" si="10"/>
        <v>0</v>
      </c>
      <c r="AH72" s="129">
        <f t="shared" si="10"/>
        <v>0</v>
      </c>
      <c r="AI72" s="129" t="str">
        <f t="shared" si="14"/>
        <v>EE</v>
      </c>
      <c r="AJ72" s="127">
        <f>ROUND(IF($AK$56="Specific",AF72*VLOOKUP(AJ$63,$AC$54:$AE$56,3,FALSE)/1000*VLOOKUP(AF$63,'Country Totals (All Aggregated)'!$AC$46:$AE$48,3,FALSE),AF72*VLOOKUP(AF$63,'Country Totals (All Aggregated)'!$AC$46:$AE$48,2,FALSE)),2)</f>
        <v>0</v>
      </c>
      <c r="AK72" s="127">
        <f>ROUND(IF($AK$56="Specific",AG72*VLOOKUP(AK$63,$AC$54:$AE$56,3,FALSE)/1000*VLOOKUP(AG$63,'Country Totals (All Aggregated)'!$AC$46:$AE$48,3,FALSE),AG72*VLOOKUP(AG$63,'Country Totals (All Aggregated)'!$AC$46:$AE$48,2,FALSE)),2)</f>
        <v>0</v>
      </c>
      <c r="AL72" s="127">
        <f>ROUND(IF($AK$56="Specific",AH72*VLOOKUP(AL$63,$AC$54:$AE$56,3,FALSE)/1000*VLOOKUP(AH$63,'Country Totals (All Aggregated)'!$AC$46:$AE$48,3,FALSE),AH72*VLOOKUP(AH$63,'Country Totals (All Aggregated)'!$AC$46:$AE$48,2,FALSE)),2)</f>
        <v>0</v>
      </c>
    </row>
    <row r="73" spans="2:38" x14ac:dyDescent="0.35">
      <c r="B73" s="216" t="s">
        <v>2806</v>
      </c>
      <c r="C73" s="335">
        <v>0</v>
      </c>
      <c r="D73" s="335">
        <v>0</v>
      </c>
      <c r="E73" s="335">
        <v>0</v>
      </c>
      <c r="G73" s="216" t="s">
        <v>2806</v>
      </c>
      <c r="H73" s="129">
        <f t="shared" si="15"/>
        <v>0</v>
      </c>
      <c r="I73" s="129">
        <f t="shared" si="16"/>
        <v>2166</v>
      </c>
      <c r="J73" s="129">
        <f t="shared" si="17"/>
        <v>693</v>
      </c>
      <c r="M73" s="127">
        <v>3396</v>
      </c>
      <c r="N73" s="127">
        <v>6966</v>
      </c>
      <c r="P73" s="127">
        <f>VLOOKUP(B73,$B$137:$C$165,2,FALSE)</f>
        <v>3392</v>
      </c>
      <c r="R73" s="216" t="s">
        <v>2806</v>
      </c>
      <c r="S73" s="129">
        <f t="shared" si="11"/>
        <v>0</v>
      </c>
      <c r="T73" s="129">
        <f t="shared" si="11"/>
        <v>2166</v>
      </c>
      <c r="U73" s="129">
        <f t="shared" si="11"/>
        <v>693</v>
      </c>
      <c r="V73" s="138" t="e">
        <f t="shared" si="12"/>
        <v>#N/A</v>
      </c>
      <c r="X73" s="276">
        <f t="shared" si="3"/>
        <v>3392</v>
      </c>
      <c r="Y73" s="277">
        <f t="shared" si="4"/>
        <v>0</v>
      </c>
      <c r="Z73" s="277">
        <f t="shared" si="5"/>
        <v>2569.8048268625394</v>
      </c>
      <c r="AA73" s="277">
        <f t="shared" si="6"/>
        <v>822.19517313746064</v>
      </c>
      <c r="AC73" s="129">
        <f t="shared" si="7"/>
        <v>3392</v>
      </c>
      <c r="AD73" s="135">
        <f t="shared" si="8"/>
        <v>0</v>
      </c>
      <c r="AE73" s="129" t="str">
        <f t="shared" si="9"/>
        <v>EL</v>
      </c>
      <c r="AF73" s="129">
        <f>ROUND(Y73/VLOOKUP(AF$63,$AC$54:$AE$56,3,FALSE),0)</f>
        <v>0</v>
      </c>
      <c r="AG73" s="129">
        <f>ROUND(Z73/VLOOKUP(AG$63,$AC$54:$AE$56,3,FALSE),0)</f>
        <v>26</v>
      </c>
      <c r="AH73" s="129">
        <f>ROUND(AA73/VLOOKUP(AH$63,$AC$54:$AE$56,3,FALSE),0)</f>
        <v>2</v>
      </c>
      <c r="AI73" s="129" t="str">
        <f>AE73</f>
        <v>EL</v>
      </c>
      <c r="AJ73" s="127">
        <f>ROUND(IF($AK$56="Specific",AF73*VLOOKUP(AJ$63,$AC$54:$AE$56,3,FALSE)/1000*VLOOKUP(AF$63,'Country Totals (All Aggregated)'!$AC$46:$AE$48,3,FALSE),AF73*VLOOKUP(AF$63,'Country Totals (All Aggregated)'!$AC$46:$AE$48,2,FALSE)),2)</f>
        <v>0</v>
      </c>
      <c r="AK73" s="127">
        <f>ROUND(IF($AK$56="Specific",AG73*VLOOKUP(AK$63,$AC$54:$AE$56,3,FALSE)/1000*VLOOKUP(AG$63,'Country Totals (All Aggregated)'!$AC$46:$AE$48,3,FALSE),AG73*VLOOKUP(AG$63,'Country Totals (All Aggregated)'!$AC$46:$AE$48,2,FALSE)),2)</f>
        <v>4182.07</v>
      </c>
      <c r="AL73" s="127">
        <f>ROUND(IF($AK$56="Specific",AH73*VLOOKUP(AL$63,$AC$54:$AE$56,3,FALSE)/1000*VLOOKUP(AH$63,'Country Totals (All Aggregated)'!$AC$46:$AE$48,3,FALSE),AH73*VLOOKUP(AH$63,'Country Totals (All Aggregated)'!$AC$46:$AE$48,2,FALSE)),2)</f>
        <v>90.02</v>
      </c>
    </row>
    <row r="74" spans="2:38" x14ac:dyDescent="0.35">
      <c r="B74" s="216" t="s">
        <v>2807</v>
      </c>
      <c r="C74" s="335">
        <v>0</v>
      </c>
      <c r="D74" s="335">
        <v>0</v>
      </c>
      <c r="E74" s="335">
        <v>0</v>
      </c>
      <c r="G74" s="216" t="s">
        <v>2807</v>
      </c>
      <c r="H74" s="129">
        <f t="shared" si="15"/>
        <v>0</v>
      </c>
      <c r="I74" s="129">
        <f t="shared" si="16"/>
        <v>18165</v>
      </c>
      <c r="J74" s="129">
        <f t="shared" si="17"/>
        <v>5480</v>
      </c>
      <c r="M74" s="127">
        <v>18561</v>
      </c>
      <c r="N74" s="127">
        <v>5268</v>
      </c>
      <c r="P74" s="127">
        <f>VLOOKUP(B74,$B$137:$C$165,2,FALSE)</f>
        <v>20053</v>
      </c>
      <c r="R74" s="216" t="s">
        <v>2807</v>
      </c>
      <c r="S74" s="129">
        <f t="shared" si="11"/>
        <v>0</v>
      </c>
      <c r="T74" s="129">
        <f t="shared" si="11"/>
        <v>18165</v>
      </c>
      <c r="U74" s="129">
        <f t="shared" si="11"/>
        <v>5480</v>
      </c>
      <c r="V74" s="138" t="e">
        <f t="shared" si="12"/>
        <v>#N/A</v>
      </c>
      <c r="X74" s="276">
        <f t="shared" si="3"/>
        <v>20053</v>
      </c>
      <c r="Y74" s="277">
        <f t="shared" si="4"/>
        <v>0</v>
      </c>
      <c r="Z74" s="277">
        <f t="shared" si="5"/>
        <v>15405.487206597589</v>
      </c>
      <c r="AA74" s="277">
        <f t="shared" si="6"/>
        <v>4647.5127934024113</v>
      </c>
      <c r="AC74" s="129">
        <f t="shared" si="7"/>
        <v>20053</v>
      </c>
      <c r="AD74" s="135">
        <f t="shared" si="8"/>
        <v>0</v>
      </c>
      <c r="AE74" s="129" t="str">
        <f t="shared" si="9"/>
        <v>ES</v>
      </c>
      <c r="AF74" s="129">
        <f t="shared" ref="AF74:AH89" si="18">ROUND(Y74/VLOOKUP(AF$63,$AC$54:$AE$56,3,FALSE),0)</f>
        <v>0</v>
      </c>
      <c r="AG74" s="129">
        <f t="shared" si="18"/>
        <v>154</v>
      </c>
      <c r="AH74" s="129">
        <f t="shared" si="18"/>
        <v>12</v>
      </c>
      <c r="AI74" s="129" t="str">
        <f t="shared" ref="AI74:AI93" si="19">AE74</f>
        <v>ES</v>
      </c>
      <c r="AJ74" s="127">
        <f>ROUND(IF($AK$56="Specific",AF74*VLOOKUP(AJ$63,$AC$54:$AE$56,3,FALSE)/1000*VLOOKUP(AF$63,'Country Totals (All Aggregated)'!$AC$46:$AE$48,3,FALSE),AF74*VLOOKUP(AF$63,'Country Totals (All Aggregated)'!$AC$46:$AE$48,2,FALSE)),2)</f>
        <v>0</v>
      </c>
      <c r="AK74" s="127">
        <f>ROUND(IF($AK$56="Specific",AG74*VLOOKUP(AK$63,$AC$54:$AE$56,3,FALSE)/1000*VLOOKUP(AG$63,'Country Totals (All Aggregated)'!$AC$46:$AE$48,3,FALSE),AG74*VLOOKUP(AG$63,'Country Totals (All Aggregated)'!$AC$46:$AE$48,2,FALSE)),2)</f>
        <v>24770.74</v>
      </c>
      <c r="AL74" s="127">
        <f>ROUND(IF($AK$56="Specific",AH74*VLOOKUP(AL$63,$AC$54:$AE$56,3,FALSE)/1000*VLOOKUP(AH$63,'Country Totals (All Aggregated)'!$AC$46:$AE$48,3,FALSE),AH74*VLOOKUP(AH$63,'Country Totals (All Aggregated)'!$AC$46:$AE$48,2,FALSE)),2)</f>
        <v>540.14</v>
      </c>
    </row>
    <row r="75" spans="2:38" x14ac:dyDescent="0.35">
      <c r="B75" s="216" t="s">
        <v>2808</v>
      </c>
      <c r="C75" s="335">
        <v>0</v>
      </c>
      <c r="D75" s="335">
        <v>0</v>
      </c>
      <c r="E75" s="335">
        <v>0</v>
      </c>
      <c r="G75" s="216" t="s">
        <v>2808</v>
      </c>
      <c r="H75" s="129">
        <f t="shared" si="15"/>
        <v>428</v>
      </c>
      <c r="I75" s="129">
        <f t="shared" si="16"/>
        <v>0</v>
      </c>
      <c r="J75" s="129">
        <f t="shared" si="17"/>
        <v>0</v>
      </c>
      <c r="M75" s="127">
        <v>3198</v>
      </c>
      <c r="N75" s="127">
        <v>0</v>
      </c>
      <c r="P75" s="127">
        <f>VLOOKUP(B75,$B$137:$C$165,2,FALSE)</f>
        <v>3249</v>
      </c>
      <c r="R75" s="216" t="s">
        <v>2808</v>
      </c>
      <c r="S75" s="129">
        <f t="shared" si="11"/>
        <v>428</v>
      </c>
      <c r="T75" s="129">
        <f t="shared" si="11"/>
        <v>0</v>
      </c>
      <c r="U75" s="129">
        <f t="shared" si="11"/>
        <v>0</v>
      </c>
      <c r="V75" s="138" t="e">
        <f t="shared" si="12"/>
        <v>#N/A</v>
      </c>
      <c r="X75" s="276">
        <f t="shared" si="3"/>
        <v>3249</v>
      </c>
      <c r="Y75" s="277">
        <f t="shared" si="4"/>
        <v>3249</v>
      </c>
      <c r="Z75" s="277">
        <f t="shared" si="5"/>
        <v>0</v>
      </c>
      <c r="AA75" s="277">
        <f t="shared" si="6"/>
        <v>0</v>
      </c>
      <c r="AC75" s="129">
        <f t="shared" si="7"/>
        <v>3249</v>
      </c>
      <c r="AD75" s="135">
        <f t="shared" si="8"/>
        <v>0</v>
      </c>
      <c r="AE75" s="129" t="str">
        <f t="shared" si="9"/>
        <v>FI</v>
      </c>
      <c r="AF75" s="129">
        <f t="shared" si="18"/>
        <v>46</v>
      </c>
      <c r="AG75" s="129">
        <f t="shared" si="18"/>
        <v>0</v>
      </c>
      <c r="AH75" s="129">
        <f t="shared" si="18"/>
        <v>0</v>
      </c>
      <c r="AI75" s="129" t="str">
        <f t="shared" si="19"/>
        <v>FI</v>
      </c>
      <c r="AJ75" s="127">
        <f>ROUND(IF($AK$56="Specific",AF75*VLOOKUP(AJ$63,$AC$54:$AE$56,3,FALSE)/1000*VLOOKUP(AF$63,'Country Totals (All Aggregated)'!$AC$46:$AE$48,3,FALSE),AF75*VLOOKUP(AF$63,'Country Totals (All Aggregated)'!$AC$46:$AE$48,2,FALSE)),2)</f>
        <v>192.48</v>
      </c>
      <c r="AK75" s="127">
        <f>ROUND(IF($AK$56="Specific",AG75*VLOOKUP(AK$63,$AC$54:$AE$56,3,FALSE)/1000*VLOOKUP(AG$63,'Country Totals (All Aggregated)'!$AC$46:$AE$48,3,FALSE),AG75*VLOOKUP(AG$63,'Country Totals (All Aggregated)'!$AC$46:$AE$48,2,FALSE)),2)</f>
        <v>0</v>
      </c>
      <c r="AL75" s="127">
        <f>ROUND(IF($AK$56="Specific",AH75*VLOOKUP(AL$63,$AC$54:$AE$56,3,FALSE)/1000*VLOOKUP(AH$63,'Country Totals (All Aggregated)'!$AC$46:$AE$48,3,FALSE),AH75*VLOOKUP(AH$63,'Country Totals (All Aggregated)'!$AC$46:$AE$48,2,FALSE)),2)</f>
        <v>0</v>
      </c>
    </row>
    <row r="76" spans="2:38" x14ac:dyDescent="0.35">
      <c r="B76" s="216" t="s">
        <v>2809</v>
      </c>
      <c r="C76" s="335">
        <v>0</v>
      </c>
      <c r="D76" s="335">
        <v>0</v>
      </c>
      <c r="E76" s="335">
        <v>0</v>
      </c>
      <c r="G76" s="216" t="s">
        <v>2809</v>
      </c>
      <c r="H76" s="129">
        <f t="shared" si="15"/>
        <v>4690</v>
      </c>
      <c r="I76" s="129">
        <f t="shared" si="16"/>
        <v>5614</v>
      </c>
      <c r="J76" s="129">
        <f t="shared" si="17"/>
        <v>4955</v>
      </c>
      <c r="M76" s="127">
        <v>25397</v>
      </c>
      <c r="N76" s="127">
        <v>6985</v>
      </c>
      <c r="P76" s="127">
        <f>VLOOKUP(B76,$B$137:$C$165,2,FALSE)</f>
        <v>25278</v>
      </c>
      <c r="R76" s="216" t="s">
        <v>2809</v>
      </c>
      <c r="S76" s="129">
        <f t="shared" si="11"/>
        <v>4690</v>
      </c>
      <c r="T76" s="129">
        <f t="shared" si="11"/>
        <v>5614</v>
      </c>
      <c r="U76" s="129">
        <f t="shared" si="11"/>
        <v>4955</v>
      </c>
      <c r="V76" s="138" t="e">
        <f t="shared" si="12"/>
        <v>#N/A</v>
      </c>
      <c r="X76" s="276">
        <f t="shared" si="3"/>
        <v>25278</v>
      </c>
      <c r="Y76" s="277">
        <f t="shared" si="4"/>
        <v>7769.4357428402909</v>
      </c>
      <c r="Z76" s="277">
        <f t="shared" si="5"/>
        <v>9300.1305459073337</v>
      </c>
      <c r="AA76" s="277">
        <f t="shared" si="6"/>
        <v>8208.4337112523754</v>
      </c>
      <c r="AC76" s="129">
        <f t="shared" si="7"/>
        <v>25278</v>
      </c>
      <c r="AD76" s="135">
        <f t="shared" si="8"/>
        <v>0</v>
      </c>
      <c r="AE76" s="129" t="str">
        <f t="shared" si="9"/>
        <v>FR</v>
      </c>
      <c r="AF76" s="129">
        <f t="shared" si="18"/>
        <v>111</v>
      </c>
      <c r="AG76" s="129">
        <f t="shared" si="18"/>
        <v>93</v>
      </c>
      <c r="AH76" s="129">
        <f t="shared" si="18"/>
        <v>21</v>
      </c>
      <c r="AI76" s="129" t="str">
        <f t="shared" si="19"/>
        <v>FR</v>
      </c>
      <c r="AJ76" s="127">
        <f>ROUND(IF($AK$56="Specific",AF76*VLOOKUP(AJ$63,$AC$54:$AE$56,3,FALSE)/1000*VLOOKUP(AF$63,'Country Totals (All Aggregated)'!$AC$46:$AE$48,3,FALSE),AF76*VLOOKUP(AF$63,'Country Totals (All Aggregated)'!$AC$46:$AE$48,2,FALSE)),2)</f>
        <v>464.47</v>
      </c>
      <c r="AK76" s="127">
        <f>ROUND(IF($AK$56="Specific",AG76*VLOOKUP(AK$63,$AC$54:$AE$56,3,FALSE)/1000*VLOOKUP(AG$63,'Country Totals (All Aggregated)'!$AC$46:$AE$48,3,FALSE),AG76*VLOOKUP(AG$63,'Country Totals (All Aggregated)'!$AC$46:$AE$48,2,FALSE)),2)</f>
        <v>14958.95</v>
      </c>
      <c r="AL76" s="127">
        <f>ROUND(IF($AK$56="Specific",AH76*VLOOKUP(AL$63,$AC$54:$AE$56,3,FALSE)/1000*VLOOKUP(AH$63,'Country Totals (All Aggregated)'!$AC$46:$AE$48,3,FALSE),AH76*VLOOKUP(AH$63,'Country Totals (All Aggregated)'!$AC$46:$AE$48,2,FALSE)),2)</f>
        <v>945.25</v>
      </c>
    </row>
    <row r="77" spans="2:38" x14ac:dyDescent="0.35">
      <c r="B77" s="216" t="s">
        <v>2832</v>
      </c>
      <c r="C77" s="335">
        <v>0</v>
      </c>
      <c r="D77" s="335">
        <v>0</v>
      </c>
      <c r="E77" s="335">
        <v>0</v>
      </c>
      <c r="G77" s="216" t="s">
        <v>2832</v>
      </c>
      <c r="H77" s="129">
        <f t="shared" si="15"/>
        <v>4146</v>
      </c>
      <c r="I77" s="129">
        <f t="shared" si="16"/>
        <v>0</v>
      </c>
      <c r="J77" s="129">
        <f t="shared" si="17"/>
        <v>791</v>
      </c>
      <c r="M77" s="127">
        <v>4443</v>
      </c>
      <c r="N77" s="127">
        <v>2744</v>
      </c>
      <c r="P77" s="247">
        <f>VLOOKUP("UK",$B$137:$C$165,2,FALSE)</f>
        <v>4503</v>
      </c>
      <c r="R77" s="216" t="s">
        <v>2832</v>
      </c>
      <c r="S77" s="129">
        <f t="shared" si="11"/>
        <v>4146</v>
      </c>
      <c r="T77" s="129">
        <f t="shared" si="11"/>
        <v>0</v>
      </c>
      <c r="U77" s="129">
        <f t="shared" si="11"/>
        <v>791</v>
      </c>
      <c r="V77" s="138" t="e">
        <f t="shared" si="12"/>
        <v>#N/A</v>
      </c>
      <c r="X77" s="276">
        <f t="shared" si="3"/>
        <v>4503</v>
      </c>
      <c r="Y77" s="277">
        <f t="shared" si="4"/>
        <v>3781.5349402471138</v>
      </c>
      <c r="Z77" s="277">
        <f t="shared" si="5"/>
        <v>0</v>
      </c>
      <c r="AA77" s="277">
        <f t="shared" si="6"/>
        <v>721.4650597528863</v>
      </c>
      <c r="AC77" s="129">
        <f t="shared" si="7"/>
        <v>4503</v>
      </c>
      <c r="AD77" s="135">
        <f t="shared" si="8"/>
        <v>0</v>
      </c>
      <c r="AE77" s="129" t="str">
        <f t="shared" si="9"/>
        <v>GB</v>
      </c>
      <c r="AF77" s="129">
        <f>ROUND(Y77/VLOOKUP(AF$63,$AC$54:$AE$56,3,FALSE),0)</f>
        <v>54</v>
      </c>
      <c r="AG77" s="129">
        <f t="shared" si="18"/>
        <v>0</v>
      </c>
      <c r="AH77" s="129">
        <f t="shared" si="18"/>
        <v>2</v>
      </c>
      <c r="AI77" s="129" t="str">
        <f t="shared" si="19"/>
        <v>GB</v>
      </c>
      <c r="AJ77" s="127">
        <f>ROUND(IF($AK$56="Specific",AF77*VLOOKUP(AJ$63,$AC$54:$AE$56,3,FALSE)/1000*VLOOKUP(AF$63,'Country Totals (All Aggregated)'!$AC$46:$AE$48,3,FALSE),AF77*VLOOKUP(AF$63,'Country Totals (All Aggregated)'!$AC$46:$AE$48,2,FALSE)),2)</f>
        <v>225.96</v>
      </c>
      <c r="AK77" s="127">
        <f>ROUND(IF($AK$56="Specific",AG77*VLOOKUP(AK$63,$AC$54:$AE$56,3,FALSE)/1000*VLOOKUP(AG$63,'Country Totals (All Aggregated)'!$AC$46:$AE$48,3,FALSE),AG77*VLOOKUP(AG$63,'Country Totals (All Aggregated)'!$AC$46:$AE$48,2,FALSE)),2)</f>
        <v>0</v>
      </c>
      <c r="AL77" s="127">
        <f>ROUND(IF($AK$56="Specific",AH77*VLOOKUP(AL$63,$AC$54:$AE$56,3,FALSE)/1000*VLOOKUP(AH$63,'Country Totals (All Aggregated)'!$AC$46:$AE$48,3,FALSE),AH77*VLOOKUP(AH$63,'Country Totals (All Aggregated)'!$AC$46:$AE$48,2,FALSE)),2)</f>
        <v>90.02</v>
      </c>
    </row>
    <row r="78" spans="2:38" x14ac:dyDescent="0.35">
      <c r="B78" s="216" t="s">
        <v>2810</v>
      </c>
      <c r="C78" s="335">
        <v>0</v>
      </c>
      <c r="D78" s="335">
        <v>0</v>
      </c>
      <c r="E78" s="335">
        <v>0</v>
      </c>
      <c r="G78" s="216" t="s">
        <v>2810</v>
      </c>
      <c r="H78" s="240" t="e">
        <f t="array" ref="H78">SUM(($B20=Generators!$H$2:$H$9790)*("Y"=Generators!$C$2:$C$9790)*(H$63=Generators!$F$2:$F$9790)*Generators!$U$2:$U$9790)</f>
        <v>#N/A</v>
      </c>
      <c r="I78" s="240" t="e">
        <f t="array" ref="I78">SUM(($B20=Generators!$H$2:$H$9790)*("Y"=Generators!$C$2:$C$9790)*(I$63=Generators!$F$2:$F$9790)*Generators!$U$2:$U$9790)</f>
        <v>#N/A</v>
      </c>
      <c r="J78" s="240" t="e">
        <f t="array" ref="J78">SUM(($B20=Generators!$H$2:$H$9790)*("Y"=Generators!$C$2:$C$9790)*(J$63=Generators!$F$2:$F$9790)*Generators!$U$2:$U$9790)</f>
        <v>#N/A</v>
      </c>
      <c r="M78" s="127">
        <v>2141</v>
      </c>
      <c r="N78" s="127">
        <v>293</v>
      </c>
      <c r="P78" s="127">
        <f>VLOOKUP(B78,$B$137:$C$165,2,FALSE)</f>
        <v>2208</v>
      </c>
      <c r="R78" s="216" t="s">
        <v>2810</v>
      </c>
      <c r="S78" s="129" t="e">
        <f t="shared" si="11"/>
        <v>#N/A</v>
      </c>
      <c r="T78" s="129" t="e">
        <f t="shared" si="11"/>
        <v>#N/A</v>
      </c>
      <c r="U78" s="129" t="e">
        <f t="shared" si="11"/>
        <v>#N/A</v>
      </c>
      <c r="V78" s="138" t="e">
        <f t="shared" si="12"/>
        <v>#N/A</v>
      </c>
      <c r="X78" s="276">
        <f t="shared" si="3"/>
        <v>2208</v>
      </c>
      <c r="Y78" s="277" t="e">
        <f t="shared" si="4"/>
        <v>#N/A</v>
      </c>
      <c r="Z78" s="277" t="e">
        <f t="shared" si="5"/>
        <v>#N/A</v>
      </c>
      <c r="AA78" s="277" t="e">
        <f t="shared" si="6"/>
        <v>#N/A</v>
      </c>
      <c r="AC78" s="135" t="e">
        <f t="shared" si="7"/>
        <v>#N/A</v>
      </c>
      <c r="AD78" s="135" t="e">
        <f t="shared" si="8"/>
        <v>#N/A</v>
      </c>
      <c r="AE78" s="129" t="str">
        <f t="shared" si="9"/>
        <v>HR</v>
      </c>
      <c r="AF78" s="129" t="e">
        <f t="shared" ref="AF78:AF85" si="20">ROUND(Y78/VLOOKUP(AF$63,$AC$54:$AE$56,3,FALSE),0)</f>
        <v>#N/A</v>
      </c>
      <c r="AG78" s="129" t="e">
        <f t="shared" si="18"/>
        <v>#N/A</v>
      </c>
      <c r="AH78" s="129" t="e">
        <f t="shared" si="18"/>
        <v>#N/A</v>
      </c>
      <c r="AI78" s="129" t="str">
        <f t="shared" si="19"/>
        <v>HR</v>
      </c>
      <c r="AJ78" s="127" t="e">
        <f>ROUND(IF($AK$56="Specific",AF78*VLOOKUP(AJ$63,$AC$54:$AE$56,3,FALSE)/1000*VLOOKUP(AF$63,'Country Totals (All Aggregated)'!$AC$46:$AE$48,3,FALSE),AF78*VLOOKUP(AF$63,'Country Totals (All Aggregated)'!$AC$46:$AE$48,2,FALSE)),2)</f>
        <v>#N/A</v>
      </c>
      <c r="AK78" s="127" t="e">
        <f>ROUND(IF($AK$56="Specific",AG78*VLOOKUP(AK$63,$AC$54:$AE$56,3,FALSE)/1000*VLOOKUP(AG$63,'Country Totals (All Aggregated)'!$AC$46:$AE$48,3,FALSE),AG78*VLOOKUP(AG$63,'Country Totals (All Aggregated)'!$AC$46:$AE$48,2,FALSE)),2)</f>
        <v>#N/A</v>
      </c>
      <c r="AL78" s="127" t="e">
        <f>ROUND(IF($AK$56="Specific",AH78*VLOOKUP(AL$63,$AC$54:$AE$56,3,FALSE)/1000*VLOOKUP(AH$63,'Country Totals (All Aggregated)'!$AC$46:$AE$48,3,FALSE),AH78*VLOOKUP(AH$63,'Country Totals (All Aggregated)'!$AC$46:$AE$48,2,FALSE)),2)</f>
        <v>#N/A</v>
      </c>
    </row>
    <row r="79" spans="2:38" x14ac:dyDescent="0.35">
      <c r="B79" s="216" t="s">
        <v>2811</v>
      </c>
      <c r="C79" s="335">
        <v>0</v>
      </c>
      <c r="D79" s="335">
        <v>0</v>
      </c>
      <c r="E79" s="335">
        <v>0</v>
      </c>
      <c r="G79" s="216" t="s">
        <v>2811</v>
      </c>
      <c r="H79" s="129">
        <f>VLOOKUP($B79,$B$107:$E$132,2,FALSE)</f>
        <v>0</v>
      </c>
      <c r="I79" s="129">
        <f>VLOOKUP($B79,$B$107:$E$132,3,FALSE)</f>
        <v>0</v>
      </c>
      <c r="J79" s="129">
        <f>VLOOKUP($B79,$B$107:$E$132,4,FALSE)</f>
        <v>0</v>
      </c>
      <c r="M79" s="241">
        <v>0</v>
      </c>
      <c r="N79" s="127">
        <v>0</v>
      </c>
      <c r="P79" s="247">
        <v>0</v>
      </c>
      <c r="R79" s="216" t="s">
        <v>2811</v>
      </c>
      <c r="S79" s="129">
        <f t="shared" si="11"/>
        <v>0</v>
      </c>
      <c r="T79" s="129">
        <f t="shared" si="11"/>
        <v>0</v>
      </c>
      <c r="U79" s="129">
        <f t="shared" si="11"/>
        <v>0</v>
      </c>
      <c r="V79" s="138" t="e">
        <f t="shared" si="12"/>
        <v>#N/A</v>
      </c>
      <c r="X79" s="276">
        <f t="shared" si="3"/>
        <v>0</v>
      </c>
      <c r="Y79" s="277">
        <f t="shared" si="4"/>
        <v>0</v>
      </c>
      <c r="Z79" s="277">
        <f t="shared" si="5"/>
        <v>0</v>
      </c>
      <c r="AA79" s="277">
        <f t="shared" si="6"/>
        <v>0</v>
      </c>
      <c r="AC79" s="129">
        <f t="shared" si="7"/>
        <v>0</v>
      </c>
      <c r="AD79" s="135">
        <f t="shared" si="8"/>
        <v>0</v>
      </c>
      <c r="AE79" s="129" t="str">
        <f t="shared" si="9"/>
        <v>HU</v>
      </c>
      <c r="AF79" s="129">
        <f t="shared" si="20"/>
        <v>0</v>
      </c>
      <c r="AG79" s="129">
        <f t="shared" si="18"/>
        <v>0</v>
      </c>
      <c r="AH79" s="129">
        <f t="shared" si="18"/>
        <v>0</v>
      </c>
      <c r="AI79" s="129" t="str">
        <f t="shared" si="19"/>
        <v>HU</v>
      </c>
      <c r="AJ79" s="127">
        <f>ROUND(IF($AK$56="Specific",AF79*VLOOKUP(AJ$63,$AC$54:$AE$56,3,FALSE)/1000*VLOOKUP(AF$63,'Country Totals (All Aggregated)'!$AC$46:$AE$48,3,FALSE),AF79*VLOOKUP(AF$63,'Country Totals (All Aggregated)'!$AC$46:$AE$48,2,FALSE)),2)</f>
        <v>0</v>
      </c>
      <c r="AK79" s="127">
        <f>ROUND(IF($AK$56="Specific",AG79*VLOOKUP(AK$63,$AC$54:$AE$56,3,FALSE)/1000*VLOOKUP(AG$63,'Country Totals (All Aggregated)'!$AC$46:$AE$48,3,FALSE),AG79*VLOOKUP(AG$63,'Country Totals (All Aggregated)'!$AC$46:$AE$48,2,FALSE)),2)</f>
        <v>0</v>
      </c>
      <c r="AL79" s="127">
        <f>ROUND(IF($AK$56="Specific",AH79*VLOOKUP(AL$63,$AC$54:$AE$56,3,FALSE)/1000*VLOOKUP(AH$63,'Country Totals (All Aggregated)'!$AC$46:$AE$48,3,FALSE),AH79*VLOOKUP(AH$63,'Country Totals (All Aggregated)'!$AC$46:$AE$48,2,FALSE)),2)</f>
        <v>0</v>
      </c>
    </row>
    <row r="80" spans="2:38" x14ac:dyDescent="0.35">
      <c r="B80" s="216" t="s">
        <v>2812</v>
      </c>
      <c r="C80" s="335">
        <v>0</v>
      </c>
      <c r="D80" s="335">
        <v>0</v>
      </c>
      <c r="E80" s="335">
        <v>0</v>
      </c>
      <c r="G80" s="216" t="s">
        <v>2812</v>
      </c>
      <c r="H80" s="129">
        <f>VLOOKUP($B80,$B$107:$E$132,2,FALSE)</f>
        <v>215</v>
      </c>
      <c r="I80" s="129">
        <f>VLOOKUP($B80,$B$107:$E$132,3,FALSE)</f>
        <v>0</v>
      </c>
      <c r="J80" s="129">
        <f>VLOOKUP($B80,$B$107:$E$132,4,FALSE)</f>
        <v>392</v>
      </c>
      <c r="M80" s="127">
        <v>530</v>
      </c>
      <c r="N80" s="127">
        <v>292</v>
      </c>
      <c r="P80" s="127">
        <f>VLOOKUP(B80,$B$137:$C$165,2,FALSE)</f>
        <v>529</v>
      </c>
      <c r="R80" s="216" t="s">
        <v>2812</v>
      </c>
      <c r="S80" s="129">
        <f t="shared" si="11"/>
        <v>215</v>
      </c>
      <c r="T80" s="129">
        <f t="shared" si="11"/>
        <v>0</v>
      </c>
      <c r="U80" s="129">
        <f t="shared" si="11"/>
        <v>392</v>
      </c>
      <c r="V80" s="138" t="e">
        <f t="shared" si="12"/>
        <v>#N/A</v>
      </c>
      <c r="X80" s="276">
        <f t="shared" si="3"/>
        <v>529</v>
      </c>
      <c r="Y80" s="277">
        <f t="shared" si="4"/>
        <v>187.37232289950578</v>
      </c>
      <c r="Z80" s="277">
        <f t="shared" si="5"/>
        <v>0</v>
      </c>
      <c r="AA80" s="277">
        <f t="shared" si="6"/>
        <v>341.62767710049422</v>
      </c>
      <c r="AC80" s="129">
        <f t="shared" si="7"/>
        <v>529</v>
      </c>
      <c r="AD80" s="135">
        <f t="shared" si="8"/>
        <v>0</v>
      </c>
      <c r="AE80" s="129" t="str">
        <f t="shared" si="9"/>
        <v>IE</v>
      </c>
      <c r="AF80" s="129">
        <f t="shared" si="20"/>
        <v>3</v>
      </c>
      <c r="AG80" s="129">
        <f t="shared" si="18"/>
        <v>0</v>
      </c>
      <c r="AH80" s="129">
        <f t="shared" si="18"/>
        <v>1</v>
      </c>
      <c r="AI80" s="129" t="str">
        <f t="shared" si="19"/>
        <v>IE</v>
      </c>
      <c r="AJ80" s="127">
        <f>ROUND(IF($AK$56="Specific",AF80*VLOOKUP(AJ$63,$AC$54:$AE$56,3,FALSE)/1000*VLOOKUP(AF$63,'Country Totals (All Aggregated)'!$AC$46:$AE$48,3,FALSE),AF80*VLOOKUP(AF$63,'Country Totals (All Aggregated)'!$AC$46:$AE$48,2,FALSE)),2)</f>
        <v>12.55</v>
      </c>
      <c r="AK80" s="127">
        <f>ROUND(IF($AK$56="Specific",AG80*VLOOKUP(AK$63,$AC$54:$AE$56,3,FALSE)/1000*VLOOKUP(AG$63,'Country Totals (All Aggregated)'!$AC$46:$AE$48,3,FALSE),AG80*VLOOKUP(AG$63,'Country Totals (All Aggregated)'!$AC$46:$AE$48,2,FALSE)),2)</f>
        <v>0</v>
      </c>
      <c r="AL80" s="127">
        <f>ROUND(IF($AK$56="Specific",AH80*VLOOKUP(AL$63,$AC$54:$AE$56,3,FALSE)/1000*VLOOKUP(AH$63,'Country Totals (All Aggregated)'!$AC$46:$AE$48,3,FALSE),AH80*VLOOKUP(AH$63,'Country Totals (All Aggregated)'!$AC$46:$AE$48,2,FALSE)),2)</f>
        <v>45.01</v>
      </c>
    </row>
    <row r="81" spans="2:38" x14ac:dyDescent="0.35">
      <c r="B81" s="216" t="s">
        <v>2813</v>
      </c>
      <c r="C81" s="335">
        <v>0</v>
      </c>
      <c r="D81" s="335">
        <v>0</v>
      </c>
      <c r="E81" s="335">
        <v>0</v>
      </c>
      <c r="G81" s="216" t="s">
        <v>2813</v>
      </c>
      <c r="H81" s="129">
        <f>VLOOKUP($B81,$B$107:$E$132,2,FALSE)</f>
        <v>8261</v>
      </c>
      <c r="I81" s="129">
        <f>VLOOKUP($B81,$B$107:$E$132,3,FALSE)</f>
        <v>3547</v>
      </c>
      <c r="J81" s="129">
        <f>VLOOKUP($B81,$B$107:$E$132,4,FALSE)</f>
        <v>6988</v>
      </c>
      <c r="M81" s="127">
        <v>21880</v>
      </c>
      <c r="N81" s="127">
        <v>7555</v>
      </c>
      <c r="P81" s="127">
        <f>VLOOKUP(B81,$B$137:$C$165,2,FALSE)</f>
        <v>22220</v>
      </c>
      <c r="R81" s="216" t="s">
        <v>2813</v>
      </c>
      <c r="S81" s="129">
        <f t="shared" ref="S81:U93" si="21">H81-C81</f>
        <v>8261</v>
      </c>
      <c r="T81" s="129">
        <f t="shared" si="21"/>
        <v>3547</v>
      </c>
      <c r="U81" s="129">
        <f t="shared" si="21"/>
        <v>6988</v>
      </c>
      <c r="V81" s="138" t="e">
        <f t="shared" si="12"/>
        <v>#N/A</v>
      </c>
      <c r="X81" s="276">
        <f t="shared" si="3"/>
        <v>22220</v>
      </c>
      <c r="Y81" s="277">
        <f t="shared" si="4"/>
        <v>9765.8767822941045</v>
      </c>
      <c r="Z81" s="277">
        <f t="shared" si="5"/>
        <v>4193.1442860183015</v>
      </c>
      <c r="AA81" s="277">
        <f t="shared" si="6"/>
        <v>8260.978931687594</v>
      </c>
      <c r="AC81" s="129">
        <f t="shared" si="7"/>
        <v>22220</v>
      </c>
      <c r="AD81" s="135">
        <f t="shared" si="8"/>
        <v>0</v>
      </c>
      <c r="AE81" s="129" t="str">
        <f t="shared" si="9"/>
        <v>IT</v>
      </c>
      <c r="AF81" s="129">
        <f t="shared" si="20"/>
        <v>140</v>
      </c>
      <c r="AG81" s="129">
        <f t="shared" si="18"/>
        <v>42</v>
      </c>
      <c r="AH81" s="129">
        <f t="shared" si="18"/>
        <v>21</v>
      </c>
      <c r="AI81" s="129" t="str">
        <f t="shared" si="19"/>
        <v>IT</v>
      </c>
      <c r="AJ81" s="127">
        <f>ROUND(IF($AK$56="Specific",AF81*VLOOKUP(AJ$63,$AC$54:$AE$56,3,FALSE)/1000*VLOOKUP(AF$63,'Country Totals (All Aggregated)'!$AC$46:$AE$48,3,FALSE),AF81*VLOOKUP(AF$63,'Country Totals (All Aggregated)'!$AC$46:$AE$48,2,FALSE)),2)</f>
        <v>585.80999999999995</v>
      </c>
      <c r="AK81" s="127">
        <f>ROUND(IF($AK$56="Specific",AG81*VLOOKUP(AK$63,$AC$54:$AE$56,3,FALSE)/1000*VLOOKUP(AG$63,'Country Totals (All Aggregated)'!$AC$46:$AE$48,3,FALSE),AG81*VLOOKUP(AG$63,'Country Totals (All Aggregated)'!$AC$46:$AE$48,2,FALSE)),2)</f>
        <v>6755.66</v>
      </c>
      <c r="AL81" s="127">
        <f>ROUND(IF($AK$56="Specific",AH81*VLOOKUP(AL$63,$AC$54:$AE$56,3,FALSE)/1000*VLOOKUP(AH$63,'Country Totals (All Aggregated)'!$AC$46:$AE$48,3,FALSE),AH81*VLOOKUP(AH$63,'Country Totals (All Aggregated)'!$AC$46:$AE$48,2,FALSE)),2)</f>
        <v>945.25</v>
      </c>
    </row>
    <row r="82" spans="2:38" x14ac:dyDescent="0.35">
      <c r="B82" s="216" t="s">
        <v>2814</v>
      </c>
      <c r="C82" s="335">
        <v>0</v>
      </c>
      <c r="D82" s="335">
        <v>0</v>
      </c>
      <c r="E82" s="335">
        <v>0</v>
      </c>
      <c r="G82" s="216" t="s">
        <v>2814</v>
      </c>
      <c r="H82" s="129">
        <f>VLOOKUP($B82,$B$107:$E$132,2,FALSE)</f>
        <v>101</v>
      </c>
      <c r="I82" s="129">
        <f>VLOOKUP($B82,$B$107:$E$132,3,FALSE)</f>
        <v>0</v>
      </c>
      <c r="J82" s="129">
        <f>VLOOKUP($B82,$B$107:$E$132,4,FALSE)</f>
        <v>900</v>
      </c>
      <c r="M82" s="127">
        <v>876</v>
      </c>
      <c r="N82" s="127">
        <v>760</v>
      </c>
      <c r="P82" s="127">
        <f>VLOOKUP(B82,$B$137:$C$165,2,FALSE)</f>
        <v>877</v>
      </c>
      <c r="R82" s="216" t="s">
        <v>2814</v>
      </c>
      <c r="S82" s="129">
        <f t="shared" si="21"/>
        <v>101</v>
      </c>
      <c r="T82" s="129">
        <f t="shared" si="21"/>
        <v>0</v>
      </c>
      <c r="U82" s="129">
        <f t="shared" si="21"/>
        <v>900</v>
      </c>
      <c r="V82" s="138" t="e">
        <f t="shared" si="12"/>
        <v>#N/A</v>
      </c>
      <c r="X82" s="276">
        <f t="shared" si="3"/>
        <v>877</v>
      </c>
      <c r="Y82" s="277">
        <f t="shared" si="4"/>
        <v>88.488511488511492</v>
      </c>
      <c r="Z82" s="277">
        <f t="shared" si="5"/>
        <v>0</v>
      </c>
      <c r="AA82" s="277">
        <f t="shared" si="6"/>
        <v>788.51148851148844</v>
      </c>
      <c r="AC82" s="129">
        <f t="shared" si="7"/>
        <v>876.99999999999989</v>
      </c>
      <c r="AD82" s="135">
        <f t="shared" si="8"/>
        <v>0</v>
      </c>
      <c r="AE82" s="129" t="str">
        <f t="shared" si="9"/>
        <v>LT</v>
      </c>
      <c r="AF82" s="129">
        <f t="shared" si="20"/>
        <v>1</v>
      </c>
      <c r="AG82" s="129">
        <f t="shared" si="18"/>
        <v>0</v>
      </c>
      <c r="AH82" s="129">
        <f t="shared" si="18"/>
        <v>2</v>
      </c>
      <c r="AI82" s="129" t="str">
        <f t="shared" si="19"/>
        <v>LT</v>
      </c>
      <c r="AJ82" s="127">
        <f>ROUND(IF($AK$56="Specific",AF82*VLOOKUP(AJ$63,$AC$54:$AE$56,3,FALSE)/1000*VLOOKUP(AF$63,'Country Totals (All Aggregated)'!$AC$46:$AE$48,3,FALSE),AF82*VLOOKUP(AF$63,'Country Totals (All Aggregated)'!$AC$46:$AE$48,2,FALSE)),2)</f>
        <v>4.18</v>
      </c>
      <c r="AK82" s="127">
        <f>ROUND(IF($AK$56="Specific",AG82*VLOOKUP(AK$63,$AC$54:$AE$56,3,FALSE)/1000*VLOOKUP(AG$63,'Country Totals (All Aggregated)'!$AC$46:$AE$48,3,FALSE),AG82*VLOOKUP(AG$63,'Country Totals (All Aggregated)'!$AC$46:$AE$48,2,FALSE)),2)</f>
        <v>0</v>
      </c>
      <c r="AL82" s="127">
        <f>ROUND(IF($AK$56="Specific",AH82*VLOOKUP(AL$63,$AC$54:$AE$56,3,FALSE)/1000*VLOOKUP(AH$63,'Country Totals (All Aggregated)'!$AC$46:$AE$48,3,FALSE),AH82*VLOOKUP(AH$63,'Country Totals (All Aggregated)'!$AC$46:$AE$48,2,FALSE)),2)</f>
        <v>90.02</v>
      </c>
    </row>
    <row r="83" spans="2:38" x14ac:dyDescent="0.35">
      <c r="B83" s="216" t="s">
        <v>2815</v>
      </c>
      <c r="C83" s="335">
        <v>0</v>
      </c>
      <c r="D83" s="335">
        <v>0</v>
      </c>
      <c r="E83" s="335">
        <v>0</v>
      </c>
      <c r="G83" s="216" t="s">
        <v>2815</v>
      </c>
      <c r="H83" s="240" t="e">
        <f t="array" ref="H83">SUM(($B25=Generators!$H$2:$H$9790)*("Y"=Generators!$C$2:$C$9790)*(H$63=Generators!$F$2:$F$9790)*Generators!$U$2:$U$9790)</f>
        <v>#N/A</v>
      </c>
      <c r="I83" s="240" t="e">
        <f t="array" ref="I83">SUM(($B25=Generators!$H$2:$H$9790)*("Y"=Generators!$C$2:$C$9790)*(I$63=Generators!$F$2:$F$9790)*Generators!$U$2:$U$9790)</f>
        <v>#N/A</v>
      </c>
      <c r="J83" s="240" t="e">
        <f t="array" ref="J83">SUM(($B25=Generators!$H$2:$H$9790)*("Y"=Generators!$C$2:$C$9790)*(J$63=Generators!$F$2:$F$9790)*Generators!$U$2:$U$9790)</f>
        <v>#N/A</v>
      </c>
      <c r="M83" s="127">
        <v>1134</v>
      </c>
      <c r="N83" s="127">
        <v>1100</v>
      </c>
      <c r="P83" s="127">
        <f>VLOOKUP(B83,$B$137:$C$165,2,FALSE)</f>
        <v>1330</v>
      </c>
      <c r="R83" s="216" t="s">
        <v>2815</v>
      </c>
      <c r="S83" s="129" t="e">
        <f t="shared" si="21"/>
        <v>#N/A</v>
      </c>
      <c r="T83" s="129" t="e">
        <f t="shared" si="21"/>
        <v>#N/A</v>
      </c>
      <c r="U83" s="129" t="e">
        <f t="shared" si="21"/>
        <v>#N/A</v>
      </c>
      <c r="V83" s="138" t="e">
        <f t="shared" si="12"/>
        <v>#N/A</v>
      </c>
      <c r="X83" s="276">
        <f t="shared" si="3"/>
        <v>1330</v>
      </c>
      <c r="Y83" s="277" t="e">
        <f t="shared" si="4"/>
        <v>#N/A</v>
      </c>
      <c r="Z83" s="277" t="e">
        <f t="shared" si="5"/>
        <v>#N/A</v>
      </c>
      <c r="AA83" s="277" t="e">
        <f t="shared" si="6"/>
        <v>#N/A</v>
      </c>
      <c r="AC83" s="129" t="e">
        <f t="shared" si="7"/>
        <v>#N/A</v>
      </c>
      <c r="AD83" s="135" t="e">
        <f t="shared" si="8"/>
        <v>#N/A</v>
      </c>
      <c r="AE83" s="129" t="str">
        <f t="shared" si="9"/>
        <v>LU</v>
      </c>
      <c r="AF83" s="129" t="e">
        <f t="shared" si="20"/>
        <v>#N/A</v>
      </c>
      <c r="AG83" s="129" t="e">
        <f t="shared" si="18"/>
        <v>#N/A</v>
      </c>
      <c r="AH83" s="129" t="e">
        <f t="shared" si="18"/>
        <v>#N/A</v>
      </c>
      <c r="AI83" s="129" t="str">
        <f t="shared" si="19"/>
        <v>LU</v>
      </c>
      <c r="AJ83" s="127" t="e">
        <f>ROUND(IF($AK$56="Specific",AF83*VLOOKUP(AJ$63,$AC$54:$AE$56,3,FALSE)/1000*VLOOKUP(AF$63,'Country Totals (All Aggregated)'!$AC$46:$AE$48,3,FALSE),AF83*VLOOKUP(AF$63,'Country Totals (All Aggregated)'!$AC$46:$AE$48,2,FALSE)),2)</f>
        <v>#N/A</v>
      </c>
      <c r="AK83" s="127" t="e">
        <f>ROUND(IF($AK$56="Specific",AG83*VLOOKUP(AK$63,$AC$54:$AE$56,3,FALSE)/1000*VLOOKUP(AG$63,'Country Totals (All Aggregated)'!$AC$46:$AE$48,3,FALSE),AG83*VLOOKUP(AG$63,'Country Totals (All Aggregated)'!$AC$46:$AE$48,2,FALSE)),2)</f>
        <v>#N/A</v>
      </c>
      <c r="AL83" s="127" t="e">
        <f>ROUND(IF($AK$56="Specific",AH83*VLOOKUP(AL$63,$AC$54:$AE$56,3,FALSE)/1000*VLOOKUP(AH$63,'Country Totals (All Aggregated)'!$AC$46:$AE$48,3,FALSE),AH83*VLOOKUP(AH$63,'Country Totals (All Aggregated)'!$AC$46:$AE$48,2,FALSE)),2)</f>
        <v>#N/A</v>
      </c>
    </row>
    <row r="84" spans="2:38" x14ac:dyDescent="0.35">
      <c r="B84" s="216" t="s">
        <v>2816</v>
      </c>
      <c r="C84" s="335">
        <v>0</v>
      </c>
      <c r="D84" s="335">
        <v>0</v>
      </c>
      <c r="E84" s="335">
        <v>0</v>
      </c>
      <c r="G84" s="216" t="s">
        <v>2816</v>
      </c>
      <c r="H84" s="239">
        <f>C84</f>
        <v>0</v>
      </c>
      <c r="I84" s="129">
        <f>VLOOKUP($B84,$B$107:$E$132,3,FALSE)</f>
        <v>0</v>
      </c>
      <c r="J84" s="129">
        <f>VLOOKUP($B84,$B$107:$E$132,4,FALSE)</f>
        <v>0</v>
      </c>
      <c r="M84" s="127">
        <v>1576</v>
      </c>
      <c r="N84" s="127">
        <v>0</v>
      </c>
      <c r="P84" s="127">
        <f>VLOOKUP(B84,$B$137:$C$165,2,FALSE)</f>
        <v>1589</v>
      </c>
      <c r="R84" s="216" t="s">
        <v>2816</v>
      </c>
      <c r="S84" s="129">
        <f t="shared" si="21"/>
        <v>0</v>
      </c>
      <c r="T84" s="129">
        <f t="shared" si="21"/>
        <v>0</v>
      </c>
      <c r="U84" s="129">
        <f t="shared" si="21"/>
        <v>0</v>
      </c>
      <c r="V84" s="138" t="e">
        <f t="shared" si="12"/>
        <v>#N/A</v>
      </c>
      <c r="X84" s="276">
        <f t="shared" si="3"/>
        <v>1589</v>
      </c>
      <c r="Y84" s="277">
        <f t="shared" si="4"/>
        <v>485.52777777777783</v>
      </c>
      <c r="Z84" s="277">
        <f t="shared" si="5"/>
        <v>757.71759259259261</v>
      </c>
      <c r="AA84" s="277">
        <f t="shared" si="6"/>
        <v>345.75462962962962</v>
      </c>
      <c r="AC84" s="129">
        <f t="shared" si="7"/>
        <v>1589</v>
      </c>
      <c r="AD84" s="129">
        <f t="shared" si="8"/>
        <v>0</v>
      </c>
      <c r="AE84" s="129" t="str">
        <f t="shared" si="9"/>
        <v>LV</v>
      </c>
      <c r="AF84" s="129">
        <f t="shared" si="20"/>
        <v>7</v>
      </c>
      <c r="AG84" s="129">
        <f t="shared" si="18"/>
        <v>8</v>
      </c>
      <c r="AH84" s="129">
        <f t="shared" si="18"/>
        <v>1</v>
      </c>
      <c r="AI84" s="129" t="str">
        <f t="shared" si="19"/>
        <v>LV</v>
      </c>
      <c r="AJ84" s="127">
        <f>ROUND(IF($AK$56="Specific",AF84*VLOOKUP(AJ$63,$AC$54:$AE$56,3,FALSE)/1000*VLOOKUP(AF$63,'Country Totals (All Aggregated)'!$AC$46:$AE$48,3,FALSE),AF84*VLOOKUP(AF$63,'Country Totals (All Aggregated)'!$AC$46:$AE$48,2,FALSE)),2)</f>
        <v>29.29</v>
      </c>
      <c r="AK84" s="127">
        <f>ROUND(IF($AK$56="Specific",AG84*VLOOKUP(AK$63,$AC$54:$AE$56,3,FALSE)/1000*VLOOKUP(AG$63,'Country Totals (All Aggregated)'!$AC$46:$AE$48,3,FALSE),AG84*VLOOKUP(AG$63,'Country Totals (All Aggregated)'!$AC$46:$AE$48,2,FALSE)),2)</f>
        <v>1286.79</v>
      </c>
      <c r="AL84" s="127">
        <f>ROUND(IF($AK$56="Specific",AH84*VLOOKUP(AL$63,$AC$54:$AE$56,3,FALSE)/1000*VLOOKUP(AH$63,'Country Totals (All Aggregated)'!$AC$46:$AE$48,3,FALSE),AH84*VLOOKUP(AH$63,'Country Totals (All Aggregated)'!$AC$46:$AE$48,2,FALSE)),2)</f>
        <v>45.01</v>
      </c>
    </row>
    <row r="85" spans="2:38" x14ac:dyDescent="0.35">
      <c r="B85" s="216" t="s">
        <v>2833</v>
      </c>
      <c r="C85" s="335">
        <v>0</v>
      </c>
      <c r="D85" s="335">
        <v>0</v>
      </c>
      <c r="E85" s="335">
        <v>0</v>
      </c>
      <c r="G85" s="216" t="s">
        <v>2833</v>
      </c>
      <c r="H85" s="240">
        <v>0</v>
      </c>
      <c r="I85" s="240">
        <v>0</v>
      </c>
      <c r="J85" s="240">
        <v>0</v>
      </c>
      <c r="M85" s="240">
        <v>0</v>
      </c>
      <c r="N85" s="240">
        <v>0</v>
      </c>
      <c r="P85" s="247">
        <v>0</v>
      </c>
      <c r="R85" s="216" t="s">
        <v>2833</v>
      </c>
      <c r="S85" s="129">
        <f t="shared" si="21"/>
        <v>0</v>
      </c>
      <c r="T85" s="129">
        <f t="shared" si="21"/>
        <v>0</v>
      </c>
      <c r="U85" s="129">
        <f t="shared" si="21"/>
        <v>0</v>
      </c>
      <c r="V85" s="138" t="e">
        <f t="shared" si="12"/>
        <v>#N/A</v>
      </c>
      <c r="X85" s="276">
        <f t="shared" si="3"/>
        <v>0</v>
      </c>
      <c r="Y85" s="277">
        <f t="shared" si="4"/>
        <v>0</v>
      </c>
      <c r="Z85" s="277">
        <f t="shared" si="5"/>
        <v>0</v>
      </c>
      <c r="AA85" s="277">
        <f t="shared" si="6"/>
        <v>0</v>
      </c>
      <c r="AC85" s="129">
        <f t="shared" si="7"/>
        <v>0</v>
      </c>
      <c r="AD85" s="129">
        <f t="shared" si="8"/>
        <v>0</v>
      </c>
      <c r="AE85" s="129" t="str">
        <f t="shared" si="9"/>
        <v>NI</v>
      </c>
      <c r="AF85" s="129">
        <f t="shared" si="20"/>
        <v>0</v>
      </c>
      <c r="AG85" s="129">
        <f t="shared" si="18"/>
        <v>0</v>
      </c>
      <c r="AH85" s="129">
        <f t="shared" si="18"/>
        <v>0</v>
      </c>
      <c r="AI85" s="129" t="str">
        <f t="shared" si="19"/>
        <v>NI</v>
      </c>
      <c r="AJ85" s="127">
        <f>ROUND(IF($AK$56="Specific",AF85*VLOOKUP(AJ$63,$AC$54:$AE$56,3,FALSE)/1000*VLOOKUP(AF$63,'Country Totals (All Aggregated)'!$AC$46:$AE$48,3,FALSE),AF85*VLOOKUP(AF$63,'Country Totals (All Aggregated)'!$AC$46:$AE$48,2,FALSE)),2)</f>
        <v>0</v>
      </c>
      <c r="AK85" s="127">
        <f>ROUND(IF($AK$56="Specific",AG85*VLOOKUP(AK$63,$AC$54:$AE$56,3,FALSE)/1000*VLOOKUP(AG$63,'Country Totals (All Aggregated)'!$AC$46:$AE$48,3,FALSE),AG85*VLOOKUP(AG$63,'Country Totals (All Aggregated)'!$AC$46:$AE$48,2,FALSE)),2)</f>
        <v>0</v>
      </c>
      <c r="AL85" s="127">
        <f>ROUND(IF($AK$56="Specific",AH85*VLOOKUP(AL$63,$AC$54:$AE$56,3,FALSE)/1000*VLOOKUP(AH$63,'Country Totals (All Aggregated)'!$AC$46:$AE$48,3,FALSE),AH85*VLOOKUP(AH$63,'Country Totals (All Aggregated)'!$AC$46:$AE$48,2,FALSE)),2)</f>
        <v>0</v>
      </c>
    </row>
    <row r="86" spans="2:38" x14ac:dyDescent="0.35">
      <c r="B86" s="216" t="s">
        <v>2818</v>
      </c>
      <c r="C86" s="335">
        <v>0</v>
      </c>
      <c r="D86" s="335">
        <v>0</v>
      </c>
      <c r="E86" s="335">
        <v>0</v>
      </c>
      <c r="G86" s="216" t="s">
        <v>2818</v>
      </c>
      <c r="H86" s="239">
        <f t="shared" ref="H86:H93" si="22">VLOOKUP($B86,$B$107:$E$132,2,FALSE)</f>
        <v>0</v>
      </c>
      <c r="I86" s="239">
        <f t="shared" ref="I86:I93" si="23">VLOOKUP($B86,$B$107:$E$132,3,FALSE)</f>
        <v>0</v>
      </c>
      <c r="J86" s="239">
        <f t="shared" ref="J86:J93" si="24">VLOOKUP($B86,$B$107:$E$132,4,FALSE)</f>
        <v>0</v>
      </c>
      <c r="M86" s="241">
        <v>0</v>
      </c>
      <c r="N86" s="240">
        <v>0</v>
      </c>
      <c r="P86" s="247">
        <v>0</v>
      </c>
      <c r="R86" s="216" t="s">
        <v>2818</v>
      </c>
      <c r="S86" s="129">
        <f t="shared" si="21"/>
        <v>0</v>
      </c>
      <c r="T86" s="129">
        <f t="shared" si="21"/>
        <v>0</v>
      </c>
      <c r="U86" s="129">
        <f t="shared" si="21"/>
        <v>0</v>
      </c>
      <c r="V86" s="138" t="e">
        <f t="shared" si="12"/>
        <v>#N/A</v>
      </c>
      <c r="X86" s="276">
        <f t="shared" si="3"/>
        <v>0</v>
      </c>
      <c r="Y86" s="277">
        <f t="shared" si="4"/>
        <v>0</v>
      </c>
      <c r="Z86" s="277">
        <f t="shared" si="5"/>
        <v>0</v>
      </c>
      <c r="AA86" s="277">
        <f t="shared" si="6"/>
        <v>0</v>
      </c>
      <c r="AC86" s="129">
        <f t="shared" si="7"/>
        <v>0</v>
      </c>
      <c r="AD86" s="129">
        <f t="shared" si="8"/>
        <v>0</v>
      </c>
      <c r="AE86" s="129" t="str">
        <f t="shared" si="9"/>
        <v>NL</v>
      </c>
      <c r="AF86" s="129">
        <f>ROUND(Y86/VLOOKUP(AF$63,$AC$54:$AE$56,3,FALSE),0)</f>
        <v>0</v>
      </c>
      <c r="AG86" s="129">
        <f t="shared" si="18"/>
        <v>0</v>
      </c>
      <c r="AH86" s="129">
        <f t="shared" si="18"/>
        <v>0</v>
      </c>
      <c r="AI86" s="129" t="str">
        <f t="shared" si="19"/>
        <v>NL</v>
      </c>
      <c r="AJ86" s="127">
        <f>ROUND(IF($AK$56="Specific",AF86*VLOOKUP(AJ$63,$AC$54:$AE$56,3,FALSE)/1000*VLOOKUP(AF$63,'Country Totals (All Aggregated)'!$AC$46:$AE$48,3,FALSE),AF86*VLOOKUP(AF$63,'Country Totals (All Aggregated)'!$AC$46:$AE$48,2,FALSE)),2)</f>
        <v>0</v>
      </c>
      <c r="AK86" s="127">
        <f>ROUND(IF($AK$56="Specific",AG86*VLOOKUP(AK$63,$AC$54:$AE$56,3,FALSE)/1000*VLOOKUP(AG$63,'Country Totals (All Aggregated)'!$AC$46:$AE$48,3,FALSE),AG86*VLOOKUP(AG$63,'Country Totals (All Aggregated)'!$AC$46:$AE$48,2,FALSE)),2)</f>
        <v>0</v>
      </c>
      <c r="AL86" s="127">
        <f>ROUND(IF($AK$56="Specific",AH86*VLOOKUP(AL$63,$AC$54:$AE$56,3,FALSE)/1000*VLOOKUP(AH$63,'Country Totals (All Aggregated)'!$AC$46:$AE$48,3,FALSE),AH86*VLOOKUP(AH$63,'Country Totals (All Aggregated)'!$AC$46:$AE$48,2,FALSE)),2)</f>
        <v>0</v>
      </c>
    </row>
    <row r="87" spans="2:38" x14ac:dyDescent="0.35">
      <c r="B87" s="216" t="s">
        <v>2819</v>
      </c>
      <c r="C87" s="335">
        <v>0</v>
      </c>
      <c r="D87" s="335">
        <v>0</v>
      </c>
      <c r="E87" s="335">
        <v>0</v>
      </c>
      <c r="G87" s="216" t="s">
        <v>2819</v>
      </c>
      <c r="H87" s="129">
        <f t="shared" si="22"/>
        <v>2592</v>
      </c>
      <c r="I87" s="129">
        <f t="shared" si="23"/>
        <v>32631</v>
      </c>
      <c r="J87" s="129">
        <f t="shared" si="24"/>
        <v>1164</v>
      </c>
      <c r="M87" s="127">
        <v>30566</v>
      </c>
      <c r="N87" s="127">
        <v>1351</v>
      </c>
      <c r="P87" s="127">
        <f t="shared" ref="P87:P93" si="25">VLOOKUP(B87,$B$137:$C$165,2,FALSE)</f>
        <v>31372</v>
      </c>
      <c r="R87" s="216" t="s">
        <v>2819</v>
      </c>
      <c r="S87" s="129">
        <f t="shared" si="21"/>
        <v>2592</v>
      </c>
      <c r="T87" s="129">
        <f t="shared" si="21"/>
        <v>32631</v>
      </c>
      <c r="U87" s="129">
        <f t="shared" si="21"/>
        <v>1164</v>
      </c>
      <c r="V87" s="138" t="e">
        <f t="shared" si="12"/>
        <v>#N/A</v>
      </c>
      <c r="X87" s="276">
        <f t="shared" si="3"/>
        <v>31372</v>
      </c>
      <c r="Y87" s="277">
        <f t="shared" si="4"/>
        <v>2234.76032649023</v>
      </c>
      <c r="Z87" s="277">
        <f t="shared" si="5"/>
        <v>28133.666749113694</v>
      </c>
      <c r="AA87" s="277">
        <f t="shared" si="6"/>
        <v>1003.5729243960755</v>
      </c>
      <c r="AC87" s="135">
        <f t="shared" si="7"/>
        <v>31372</v>
      </c>
      <c r="AD87" s="129">
        <f t="shared" si="8"/>
        <v>0</v>
      </c>
      <c r="AE87" s="129" t="str">
        <f t="shared" si="9"/>
        <v>NO</v>
      </c>
      <c r="AF87" s="129">
        <f t="shared" ref="AF87:AH93" si="26">ROUND(Y87/VLOOKUP(AF$63,$AC$54:$AE$56,3,FALSE),0)</f>
        <v>32</v>
      </c>
      <c r="AG87" s="129">
        <f t="shared" si="18"/>
        <v>281</v>
      </c>
      <c r="AH87" s="129">
        <f t="shared" si="18"/>
        <v>3</v>
      </c>
      <c r="AI87" s="129" t="str">
        <f t="shared" si="19"/>
        <v>NO</v>
      </c>
      <c r="AJ87" s="127">
        <f>ROUND(IF($AK$56="Specific",AF87*VLOOKUP(AJ$63,$AC$54:$AE$56,3,FALSE)/1000*VLOOKUP(AF$63,'Country Totals (All Aggregated)'!$AC$46:$AE$48,3,FALSE),AF87*VLOOKUP(AF$63,'Country Totals (All Aggregated)'!$AC$46:$AE$48,2,FALSE)),2)</f>
        <v>133.9</v>
      </c>
      <c r="AK87" s="127">
        <f>ROUND(IF($AK$56="Specific",AG87*VLOOKUP(AK$63,$AC$54:$AE$56,3,FALSE)/1000*VLOOKUP(AG$63,'Country Totals (All Aggregated)'!$AC$46:$AE$48,3,FALSE),AG87*VLOOKUP(AG$63,'Country Totals (All Aggregated)'!$AC$46:$AE$48,2,FALSE)),2)</f>
        <v>45198.559999999998</v>
      </c>
      <c r="AL87" s="127">
        <f>ROUND(IF($AK$56="Specific",AH87*VLOOKUP(AL$63,$AC$54:$AE$56,3,FALSE)/1000*VLOOKUP(AH$63,'Country Totals (All Aggregated)'!$AC$46:$AE$48,3,FALSE),AH87*VLOOKUP(AH$63,'Country Totals (All Aggregated)'!$AC$46:$AE$48,2,FALSE)),2)</f>
        <v>135.04</v>
      </c>
    </row>
    <row r="88" spans="2:38" x14ac:dyDescent="0.35">
      <c r="B88" s="216" t="s">
        <v>2820</v>
      </c>
      <c r="C88" s="335">
        <v>0</v>
      </c>
      <c r="D88" s="335">
        <v>0</v>
      </c>
      <c r="E88" s="335">
        <v>0</v>
      </c>
      <c r="G88" s="216" t="s">
        <v>2820</v>
      </c>
      <c r="H88" s="129">
        <f t="shared" si="22"/>
        <v>156</v>
      </c>
      <c r="I88" s="129">
        <f t="shared" si="23"/>
        <v>0</v>
      </c>
      <c r="J88" s="129">
        <f t="shared" si="24"/>
        <v>1611</v>
      </c>
      <c r="M88" s="127">
        <v>2351</v>
      </c>
      <c r="N88" s="127">
        <v>1782</v>
      </c>
      <c r="P88" s="127">
        <f t="shared" si="25"/>
        <v>2370</v>
      </c>
      <c r="R88" s="216" t="s">
        <v>2820</v>
      </c>
      <c r="S88" s="129">
        <f t="shared" si="21"/>
        <v>156</v>
      </c>
      <c r="T88" s="129">
        <f t="shared" si="21"/>
        <v>0</v>
      </c>
      <c r="U88" s="129">
        <f t="shared" si="21"/>
        <v>1611</v>
      </c>
      <c r="V88" s="138" t="e">
        <f t="shared" si="12"/>
        <v>#N/A</v>
      </c>
      <c r="X88" s="276">
        <f t="shared" si="3"/>
        <v>2370</v>
      </c>
      <c r="Y88" s="277">
        <f t="shared" si="4"/>
        <v>209.23599320882852</v>
      </c>
      <c r="Z88" s="277">
        <f t="shared" si="5"/>
        <v>0</v>
      </c>
      <c r="AA88" s="277">
        <f t="shared" si="6"/>
        <v>2160.7640067911716</v>
      </c>
      <c r="AC88" s="129">
        <f t="shared" si="7"/>
        <v>2370</v>
      </c>
      <c r="AD88" s="129">
        <f t="shared" si="8"/>
        <v>0</v>
      </c>
      <c r="AE88" s="129" t="str">
        <f t="shared" si="9"/>
        <v>PL</v>
      </c>
      <c r="AF88" s="129">
        <f t="shared" si="26"/>
        <v>3</v>
      </c>
      <c r="AG88" s="129">
        <f t="shared" si="18"/>
        <v>0</v>
      </c>
      <c r="AH88" s="129">
        <f t="shared" si="18"/>
        <v>5</v>
      </c>
      <c r="AI88" s="129" t="str">
        <f t="shared" si="19"/>
        <v>PL</v>
      </c>
      <c r="AJ88" s="127">
        <f>ROUND(IF($AK$56="Specific",AF88*VLOOKUP(AJ$63,$AC$54:$AE$56,3,FALSE)/1000*VLOOKUP(AF$63,'Country Totals (All Aggregated)'!$AC$46:$AE$48,3,FALSE),AF88*VLOOKUP(AF$63,'Country Totals (All Aggregated)'!$AC$46:$AE$48,2,FALSE)),2)</f>
        <v>12.55</v>
      </c>
      <c r="AK88" s="127">
        <f>ROUND(IF($AK$56="Specific",AG88*VLOOKUP(AK$63,$AC$54:$AE$56,3,FALSE)/1000*VLOOKUP(AG$63,'Country Totals (All Aggregated)'!$AC$46:$AE$48,3,FALSE),AG88*VLOOKUP(AG$63,'Country Totals (All Aggregated)'!$AC$46:$AE$48,2,FALSE)),2)</f>
        <v>0</v>
      </c>
      <c r="AL88" s="127">
        <f>ROUND(IF($AK$56="Specific",AH88*VLOOKUP(AL$63,$AC$54:$AE$56,3,FALSE)/1000*VLOOKUP(AH$63,'Country Totals (All Aggregated)'!$AC$46:$AE$48,3,FALSE),AH88*VLOOKUP(AH$63,'Country Totals (All Aggregated)'!$AC$46:$AE$48,2,FALSE)),2)</f>
        <v>225.06</v>
      </c>
    </row>
    <row r="89" spans="2:38" x14ac:dyDescent="0.35">
      <c r="B89" s="216" t="s">
        <v>2821</v>
      </c>
      <c r="C89" s="335">
        <v>0</v>
      </c>
      <c r="D89" s="335">
        <v>0</v>
      </c>
      <c r="E89" s="335">
        <v>0</v>
      </c>
      <c r="G89" s="216" t="s">
        <v>2821</v>
      </c>
      <c r="H89" s="129">
        <f t="shared" si="22"/>
        <v>2436</v>
      </c>
      <c r="I89" s="129">
        <f t="shared" si="23"/>
        <v>897</v>
      </c>
      <c r="J89" s="129">
        <f t="shared" si="24"/>
        <v>1519</v>
      </c>
      <c r="M89" s="127">
        <v>5902</v>
      </c>
      <c r="N89" s="127">
        <v>1343</v>
      </c>
      <c r="P89" s="127">
        <f t="shared" si="25"/>
        <v>6168</v>
      </c>
      <c r="R89" s="216" t="s">
        <v>2821</v>
      </c>
      <c r="S89" s="129">
        <f t="shared" si="21"/>
        <v>2436</v>
      </c>
      <c r="T89" s="129">
        <f t="shared" si="21"/>
        <v>897</v>
      </c>
      <c r="U89" s="129">
        <f t="shared" si="21"/>
        <v>1519</v>
      </c>
      <c r="V89" s="138" t="e">
        <f t="shared" si="12"/>
        <v>#N/A</v>
      </c>
      <c r="X89" s="276">
        <f t="shared" si="3"/>
        <v>6168</v>
      </c>
      <c r="Y89" s="277">
        <f t="shared" si="4"/>
        <v>3096.7122835943937</v>
      </c>
      <c r="Z89" s="277">
        <f t="shared" si="5"/>
        <v>1140.2918384171476</v>
      </c>
      <c r="AA89" s="277">
        <f t="shared" si="6"/>
        <v>1930.9958779884585</v>
      </c>
      <c r="AC89" s="129">
        <f t="shared" si="7"/>
        <v>6168</v>
      </c>
      <c r="AD89" s="129">
        <f t="shared" si="8"/>
        <v>0</v>
      </c>
      <c r="AE89" s="129" t="str">
        <f t="shared" si="9"/>
        <v>PT</v>
      </c>
      <c r="AF89" s="129">
        <f t="shared" si="26"/>
        <v>44</v>
      </c>
      <c r="AG89" s="129">
        <f t="shared" si="18"/>
        <v>11</v>
      </c>
      <c r="AH89" s="129">
        <f t="shared" si="18"/>
        <v>5</v>
      </c>
      <c r="AI89" s="129" t="str">
        <f t="shared" si="19"/>
        <v>PT</v>
      </c>
      <c r="AJ89" s="127">
        <f>ROUND(IF($AK$56="Specific",AF89*VLOOKUP(AJ$63,$AC$54:$AE$56,3,FALSE)/1000*VLOOKUP(AF$63,'Country Totals (All Aggregated)'!$AC$46:$AE$48,3,FALSE),AF89*VLOOKUP(AF$63,'Country Totals (All Aggregated)'!$AC$46:$AE$48,2,FALSE)),2)</f>
        <v>184.11</v>
      </c>
      <c r="AK89" s="127">
        <f>ROUND(IF($AK$56="Specific",AG89*VLOOKUP(AK$63,$AC$54:$AE$56,3,FALSE)/1000*VLOOKUP(AG$63,'Country Totals (All Aggregated)'!$AC$46:$AE$48,3,FALSE),AG89*VLOOKUP(AG$63,'Country Totals (All Aggregated)'!$AC$46:$AE$48,2,FALSE)),2)</f>
        <v>1769.34</v>
      </c>
      <c r="AL89" s="127">
        <f>ROUND(IF($AK$56="Specific",AH89*VLOOKUP(AL$63,$AC$54:$AE$56,3,FALSE)/1000*VLOOKUP(AH$63,'Country Totals (All Aggregated)'!$AC$46:$AE$48,3,FALSE),AH89*VLOOKUP(AH$63,'Country Totals (All Aggregated)'!$AC$46:$AE$48,2,FALSE)),2)</f>
        <v>225.06</v>
      </c>
    </row>
    <row r="90" spans="2:38" x14ac:dyDescent="0.35">
      <c r="B90" s="216" t="s">
        <v>2822</v>
      </c>
      <c r="C90" s="335">
        <v>0</v>
      </c>
      <c r="D90" s="335">
        <v>0</v>
      </c>
      <c r="E90" s="335">
        <v>0</v>
      </c>
      <c r="G90" s="216" t="s">
        <v>2822</v>
      </c>
      <c r="H90" s="129">
        <f t="shared" si="22"/>
        <v>1406</v>
      </c>
      <c r="I90" s="129">
        <f t="shared" si="23"/>
        <v>2146</v>
      </c>
      <c r="J90" s="129">
        <f t="shared" si="24"/>
        <v>0</v>
      </c>
      <c r="M90" s="127">
        <v>6705</v>
      </c>
      <c r="N90" s="127">
        <v>92</v>
      </c>
      <c r="P90" s="127">
        <f t="shared" si="25"/>
        <v>6730</v>
      </c>
      <c r="R90" s="216" t="s">
        <v>2822</v>
      </c>
      <c r="S90" s="129">
        <f t="shared" si="21"/>
        <v>1406</v>
      </c>
      <c r="T90" s="129">
        <f t="shared" si="21"/>
        <v>2146</v>
      </c>
      <c r="U90" s="129">
        <f t="shared" si="21"/>
        <v>0</v>
      </c>
      <c r="V90" s="138" t="e">
        <f t="shared" si="12"/>
        <v>#N/A</v>
      </c>
      <c r="X90" s="276">
        <f t="shared" si="3"/>
        <v>6730</v>
      </c>
      <c r="Y90" s="277">
        <f t="shared" si="4"/>
        <v>2663.958333333333</v>
      </c>
      <c r="Z90" s="277">
        <f t="shared" si="5"/>
        <v>4066.0416666666665</v>
      </c>
      <c r="AA90" s="277">
        <f t="shared" si="6"/>
        <v>0</v>
      </c>
      <c r="AC90" s="129">
        <f t="shared" si="7"/>
        <v>6730</v>
      </c>
      <c r="AD90" s="129">
        <f t="shared" si="8"/>
        <v>0</v>
      </c>
      <c r="AE90" s="129" t="str">
        <f t="shared" si="9"/>
        <v>RO</v>
      </c>
      <c r="AF90" s="129">
        <f t="shared" si="26"/>
        <v>38</v>
      </c>
      <c r="AG90" s="129">
        <f t="shared" si="26"/>
        <v>41</v>
      </c>
      <c r="AH90" s="129">
        <f t="shared" si="26"/>
        <v>0</v>
      </c>
      <c r="AI90" s="129" t="str">
        <f t="shared" si="19"/>
        <v>RO</v>
      </c>
      <c r="AJ90" s="127">
        <f>ROUND(IF($AK$56="Specific",AF90*VLOOKUP(AJ$63,$AC$54:$AE$56,3,FALSE)/1000*VLOOKUP(AF$63,'Country Totals (All Aggregated)'!$AC$46:$AE$48,3,FALSE),AF90*VLOOKUP(AF$63,'Country Totals (All Aggregated)'!$AC$46:$AE$48,2,FALSE)),2)</f>
        <v>159.01</v>
      </c>
      <c r="AK90" s="127">
        <f>ROUND(IF($AK$56="Specific",AG90*VLOOKUP(AK$63,$AC$54:$AE$56,3,FALSE)/1000*VLOOKUP(AG$63,'Country Totals (All Aggregated)'!$AC$46:$AE$48,3,FALSE),AG90*VLOOKUP(AG$63,'Country Totals (All Aggregated)'!$AC$46:$AE$48,2,FALSE)),2)</f>
        <v>6594.81</v>
      </c>
      <c r="AL90" s="127">
        <f>ROUND(IF($AK$56="Specific",AH90*VLOOKUP(AL$63,$AC$54:$AE$56,3,FALSE)/1000*VLOOKUP(AH$63,'Country Totals (All Aggregated)'!$AC$46:$AE$48,3,FALSE),AH90*VLOOKUP(AH$63,'Country Totals (All Aggregated)'!$AC$46:$AE$48,2,FALSE)),2)</f>
        <v>0</v>
      </c>
    </row>
    <row r="91" spans="2:38" x14ac:dyDescent="0.35">
      <c r="B91" s="216" t="s">
        <v>2823</v>
      </c>
      <c r="C91" s="335">
        <v>0</v>
      </c>
      <c r="D91" s="335">
        <v>0</v>
      </c>
      <c r="E91" s="335">
        <v>0</v>
      </c>
      <c r="G91" s="216" t="s">
        <v>2823</v>
      </c>
      <c r="H91" s="129">
        <f t="shared" si="22"/>
        <v>795</v>
      </c>
      <c r="I91" s="129">
        <f t="shared" si="23"/>
        <v>7780</v>
      </c>
      <c r="J91" s="129">
        <f t="shared" si="24"/>
        <v>0</v>
      </c>
      <c r="M91" s="127">
        <v>16184</v>
      </c>
      <c r="N91" s="127">
        <v>99</v>
      </c>
      <c r="P91" s="127">
        <f t="shared" si="25"/>
        <v>16329</v>
      </c>
      <c r="R91" s="216" t="s">
        <v>2823</v>
      </c>
      <c r="S91" s="129">
        <f t="shared" si="21"/>
        <v>795</v>
      </c>
      <c r="T91" s="129">
        <f t="shared" si="21"/>
        <v>7780</v>
      </c>
      <c r="U91" s="129">
        <f t="shared" si="21"/>
        <v>0</v>
      </c>
      <c r="V91" s="138" t="e">
        <f t="shared" si="12"/>
        <v>#N/A</v>
      </c>
      <c r="X91" s="276">
        <f t="shared" si="3"/>
        <v>16329</v>
      </c>
      <c r="Y91" s="277">
        <f t="shared" si="4"/>
        <v>1513.8839650145771</v>
      </c>
      <c r="Z91" s="277">
        <f t="shared" si="5"/>
        <v>14815.116034985424</v>
      </c>
      <c r="AA91" s="277">
        <f t="shared" si="6"/>
        <v>0</v>
      </c>
      <c r="AC91" s="129">
        <f t="shared" si="7"/>
        <v>16329</v>
      </c>
      <c r="AD91" s="129">
        <f t="shared" si="8"/>
        <v>0</v>
      </c>
      <c r="AE91" s="129" t="str">
        <f t="shared" si="9"/>
        <v>SE</v>
      </c>
      <c r="AF91" s="129">
        <f t="shared" si="26"/>
        <v>22</v>
      </c>
      <c r="AG91" s="129">
        <f t="shared" si="26"/>
        <v>148</v>
      </c>
      <c r="AH91" s="129">
        <f t="shared" si="26"/>
        <v>0</v>
      </c>
      <c r="AI91" s="129" t="str">
        <f t="shared" si="19"/>
        <v>SE</v>
      </c>
      <c r="AJ91" s="127">
        <f>ROUND(IF($AK$56="Specific",AF91*VLOOKUP(AJ$63,$AC$54:$AE$56,3,FALSE)/1000*VLOOKUP(AF$63,'Country Totals (All Aggregated)'!$AC$46:$AE$48,3,FALSE),AF91*VLOOKUP(AF$63,'Country Totals (All Aggregated)'!$AC$46:$AE$48,2,FALSE)),2)</f>
        <v>92.06</v>
      </c>
      <c r="AK91" s="127">
        <f>ROUND(IF($AK$56="Specific",AG91*VLOOKUP(AK$63,$AC$54:$AE$56,3,FALSE)/1000*VLOOKUP(AG$63,'Country Totals (All Aggregated)'!$AC$46:$AE$48,3,FALSE),AG91*VLOOKUP(AG$63,'Country Totals (All Aggregated)'!$AC$46:$AE$48,2,FALSE)),2)</f>
        <v>23805.65</v>
      </c>
      <c r="AL91" s="127">
        <f>ROUND(IF($AK$56="Specific",AH91*VLOOKUP(AL$63,$AC$54:$AE$56,3,FALSE)/1000*VLOOKUP(AH$63,'Country Totals (All Aggregated)'!$AC$46:$AE$48,3,FALSE),AH91*VLOOKUP(AH$63,'Country Totals (All Aggregated)'!$AC$46:$AE$48,2,FALSE)),2)</f>
        <v>0</v>
      </c>
    </row>
    <row r="92" spans="2:38" x14ac:dyDescent="0.35">
      <c r="B92" s="216" t="s">
        <v>2824</v>
      </c>
      <c r="C92" s="335">
        <v>0</v>
      </c>
      <c r="D92" s="335">
        <v>0</v>
      </c>
      <c r="E92" s="335">
        <v>0</v>
      </c>
      <c r="G92" s="216" t="s">
        <v>2824</v>
      </c>
      <c r="H92" s="129">
        <f t="shared" si="22"/>
        <v>242</v>
      </c>
      <c r="I92" s="129">
        <f t="shared" si="23"/>
        <v>0</v>
      </c>
      <c r="J92" s="129">
        <f t="shared" si="24"/>
        <v>180</v>
      </c>
      <c r="M92" s="127">
        <v>1479</v>
      </c>
      <c r="N92" s="127">
        <v>180</v>
      </c>
      <c r="P92" s="127">
        <f t="shared" si="25"/>
        <v>1295</v>
      </c>
      <c r="R92" s="216" t="s">
        <v>2824</v>
      </c>
      <c r="S92" s="129">
        <f t="shared" si="21"/>
        <v>242</v>
      </c>
      <c r="T92" s="129">
        <f t="shared" si="21"/>
        <v>0</v>
      </c>
      <c r="U92" s="129">
        <f t="shared" si="21"/>
        <v>180</v>
      </c>
      <c r="V92" s="138" t="e">
        <f t="shared" si="12"/>
        <v>#N/A</v>
      </c>
      <c r="X92" s="276">
        <f t="shared" si="3"/>
        <v>1295</v>
      </c>
      <c r="Y92" s="277">
        <f t="shared" si="4"/>
        <v>742.63033175355451</v>
      </c>
      <c r="Z92" s="277">
        <f t="shared" si="5"/>
        <v>0</v>
      </c>
      <c r="AA92" s="277">
        <f t="shared" si="6"/>
        <v>552.36966824644549</v>
      </c>
      <c r="AC92" s="129">
        <f t="shared" si="7"/>
        <v>1295</v>
      </c>
      <c r="AD92" s="129">
        <f t="shared" si="8"/>
        <v>0</v>
      </c>
      <c r="AE92" s="129" t="str">
        <f t="shared" si="9"/>
        <v>SI</v>
      </c>
      <c r="AF92" s="129">
        <f t="shared" si="26"/>
        <v>11</v>
      </c>
      <c r="AG92" s="129">
        <f t="shared" si="26"/>
        <v>0</v>
      </c>
      <c r="AH92" s="129">
        <f t="shared" si="26"/>
        <v>1</v>
      </c>
      <c r="AI92" s="129" t="str">
        <f t="shared" si="19"/>
        <v>SI</v>
      </c>
      <c r="AJ92" s="127">
        <f>ROUND(IF($AK$56="Specific",AF92*VLOOKUP(AJ$63,$AC$54:$AE$56,3,FALSE)/1000*VLOOKUP(AF$63,'Country Totals (All Aggregated)'!$AC$46:$AE$48,3,FALSE),AF92*VLOOKUP(AF$63,'Country Totals (All Aggregated)'!$AC$46:$AE$48,2,FALSE)),2)</f>
        <v>46.03</v>
      </c>
      <c r="AK92" s="127">
        <f>ROUND(IF($AK$56="Specific",AG92*VLOOKUP(AK$63,$AC$54:$AE$56,3,FALSE)/1000*VLOOKUP(AG$63,'Country Totals (All Aggregated)'!$AC$46:$AE$48,3,FALSE),AG92*VLOOKUP(AG$63,'Country Totals (All Aggregated)'!$AC$46:$AE$48,2,FALSE)),2)</f>
        <v>0</v>
      </c>
      <c r="AL92" s="127">
        <f>ROUND(IF($AK$56="Specific",AH92*VLOOKUP(AL$63,$AC$54:$AE$56,3,FALSE)/1000*VLOOKUP(AH$63,'Country Totals (All Aggregated)'!$AC$46:$AE$48,3,FALSE),AH92*VLOOKUP(AH$63,'Country Totals (All Aggregated)'!$AC$46:$AE$48,2,FALSE)),2)</f>
        <v>45.01</v>
      </c>
    </row>
    <row r="93" spans="2:38" x14ac:dyDescent="0.35">
      <c r="B93" s="216" t="s">
        <v>2825</v>
      </c>
      <c r="C93" s="335">
        <v>0</v>
      </c>
      <c r="D93" s="335">
        <v>0</v>
      </c>
      <c r="E93" s="335">
        <v>0</v>
      </c>
      <c r="G93" s="216" t="s">
        <v>2825</v>
      </c>
      <c r="H93" s="129">
        <f t="shared" si="22"/>
        <v>720</v>
      </c>
      <c r="I93" s="129">
        <f t="shared" si="23"/>
        <v>198</v>
      </c>
      <c r="J93" s="129">
        <f t="shared" si="24"/>
        <v>734</v>
      </c>
      <c r="M93" s="127">
        <v>2522</v>
      </c>
      <c r="N93" s="127">
        <v>916</v>
      </c>
      <c r="P93" s="127">
        <f t="shared" si="25"/>
        <v>2522</v>
      </c>
      <c r="R93" s="216" t="s">
        <v>2825</v>
      </c>
      <c r="S93" s="129">
        <f t="shared" si="21"/>
        <v>720</v>
      </c>
      <c r="T93" s="129">
        <f t="shared" si="21"/>
        <v>198</v>
      </c>
      <c r="U93" s="129">
        <f t="shared" si="21"/>
        <v>734</v>
      </c>
      <c r="V93" s="138" t="e">
        <f t="shared" si="12"/>
        <v>#N/A</v>
      </c>
      <c r="X93" s="276">
        <f t="shared" si="3"/>
        <v>2522</v>
      </c>
      <c r="Y93" s="277">
        <f t="shared" si="4"/>
        <v>1099.1767554479418</v>
      </c>
      <c r="Z93" s="277">
        <f t="shared" si="5"/>
        <v>302.27360774818402</v>
      </c>
      <c r="AA93" s="277">
        <f t="shared" si="6"/>
        <v>1120.5496368038741</v>
      </c>
      <c r="AC93" s="129">
        <f t="shared" si="7"/>
        <v>2522</v>
      </c>
      <c r="AD93" s="129">
        <f t="shared" si="8"/>
        <v>0</v>
      </c>
      <c r="AE93" s="129" t="str">
        <f t="shared" si="9"/>
        <v>SK</v>
      </c>
      <c r="AF93" s="129">
        <f t="shared" si="26"/>
        <v>16</v>
      </c>
      <c r="AG93" s="129">
        <f t="shared" si="26"/>
        <v>3</v>
      </c>
      <c r="AH93" s="129">
        <f t="shared" si="26"/>
        <v>3</v>
      </c>
      <c r="AI93" s="129" t="str">
        <f t="shared" si="19"/>
        <v>SK</v>
      </c>
      <c r="AJ93" s="127">
        <f>ROUND(IF($AK$56="Specific",AF93*VLOOKUP(AJ$63,$AC$54:$AE$56,3,FALSE)/1000*VLOOKUP(AF$63,'Country Totals (All Aggregated)'!$AC$46:$AE$48,3,FALSE),AF93*VLOOKUP(AF$63,'Country Totals (All Aggregated)'!$AC$46:$AE$48,2,FALSE)),2)</f>
        <v>66.95</v>
      </c>
      <c r="AK93" s="127">
        <f>ROUND(IF($AK$56="Specific",AG93*VLOOKUP(AK$63,$AC$54:$AE$56,3,FALSE)/1000*VLOOKUP(AG$63,'Country Totals (All Aggregated)'!$AC$46:$AE$48,3,FALSE),AG93*VLOOKUP(AG$63,'Country Totals (All Aggregated)'!$AC$46:$AE$48,2,FALSE)),2)</f>
        <v>482.55</v>
      </c>
      <c r="AL93" s="127">
        <f>ROUND(IF($AK$56="Specific",AH93*VLOOKUP(AL$63,$AC$54:$AE$56,3,FALSE)/1000*VLOOKUP(AH$63,'Country Totals (All Aggregated)'!$AC$46:$AE$48,3,FALSE),AH93*VLOOKUP(AH$63,'Country Totals (All Aggregated)'!$AC$46:$AE$48,2,FALSE)),2)</f>
        <v>135.04</v>
      </c>
    </row>
    <row r="94" spans="2:38" x14ac:dyDescent="0.35">
      <c r="B94" s="248" t="s">
        <v>2995</v>
      </c>
      <c r="C94" s="249">
        <f>SUM(C64:C93)</f>
        <v>0</v>
      </c>
      <c r="D94" s="249">
        <f>SUM(D64:D93)</f>
        <v>0</v>
      </c>
      <c r="E94" s="249">
        <f>SUM(E64:E93)</f>
        <v>0</v>
      </c>
      <c r="F94" s="249"/>
      <c r="G94" s="248" t="s">
        <v>2995</v>
      </c>
      <c r="H94" s="250" t="e">
        <f>SUM(H64:H93)</f>
        <v>#N/A</v>
      </c>
      <c r="I94" s="250" t="e">
        <f>SUM(I64:I93)</f>
        <v>#N/A</v>
      </c>
      <c r="J94" s="250" t="e">
        <f>SUM(J64:J93)</f>
        <v>#N/A</v>
      </c>
      <c r="K94" s="249"/>
      <c r="L94" s="249"/>
      <c r="M94" s="249">
        <f>SUM(M64:M93)</f>
        <v>195726</v>
      </c>
      <c r="N94" s="249">
        <f>SUM(N64:N93)</f>
        <v>54892</v>
      </c>
      <c r="O94" s="249"/>
      <c r="P94" s="249">
        <f>SUM(P64:P93)</f>
        <v>197425</v>
      </c>
      <c r="Q94" s="249"/>
      <c r="R94" s="249"/>
      <c r="S94" s="250" t="e">
        <f>SUM(S64:S93)</f>
        <v>#N/A</v>
      </c>
      <c r="T94" s="250" t="e">
        <f t="shared" ref="T94:U94" si="27">SUM(T64:T93)</f>
        <v>#N/A</v>
      </c>
      <c r="U94" s="250" t="e">
        <f t="shared" si="27"/>
        <v>#N/A</v>
      </c>
      <c r="V94" s="250"/>
      <c r="W94" s="249"/>
      <c r="X94" s="249"/>
      <c r="Y94" s="249" t="e">
        <f>SUM(Y64:Y93)</f>
        <v>#N/A</v>
      </c>
      <c r="Z94" s="249" t="e">
        <f t="shared" ref="Z94" si="28">SUM(Z64:Z93)</f>
        <v>#N/A</v>
      </c>
      <c r="AA94" s="249" t="e">
        <f t="shared" ref="AA94" si="29">SUM(AA64:AA93)</f>
        <v>#N/A</v>
      </c>
      <c r="AB94" s="249"/>
      <c r="AC94" s="250" t="e">
        <f>SUM(AC64:AC93)</f>
        <v>#N/A</v>
      </c>
      <c r="AD94" s="250"/>
      <c r="AE94" s="250"/>
      <c r="AF94" s="250" t="e">
        <f>SUM(AF64:AF93)</f>
        <v>#N/A</v>
      </c>
      <c r="AG94" s="250" t="e">
        <f>SUM(AG64:AG93)</f>
        <v>#N/A</v>
      </c>
      <c r="AH94" s="250" t="e">
        <f>SUM(AH64:AH93)</f>
        <v>#N/A</v>
      </c>
      <c r="AI94" s="264"/>
      <c r="AJ94" s="250" t="e">
        <f>SUM(AJ64:AJ93)</f>
        <v>#N/A</v>
      </c>
      <c r="AK94" s="250" t="e">
        <f>SUM(AK64:AK93)</f>
        <v>#N/A</v>
      </c>
      <c r="AL94" s="250" t="e">
        <f>SUM(AL64:AL93)</f>
        <v>#N/A</v>
      </c>
    </row>
    <row r="95" spans="2:38" ht="15" thickBot="1" x14ac:dyDescent="0.4">
      <c r="B95" s="251" t="s">
        <v>2996</v>
      </c>
      <c r="C95" s="252"/>
      <c r="D95" s="252"/>
      <c r="E95" s="252"/>
      <c r="F95" s="252"/>
      <c r="G95" s="251" t="s">
        <v>2996</v>
      </c>
      <c r="H95" s="253"/>
      <c r="I95" s="252"/>
      <c r="J95" s="252"/>
      <c r="K95" s="252"/>
      <c r="L95" s="252"/>
      <c r="M95" s="252"/>
      <c r="N95" s="252"/>
      <c r="O95" s="252"/>
      <c r="P95" s="252"/>
      <c r="Q95" s="252"/>
      <c r="R95" s="252"/>
      <c r="S95" s="252"/>
      <c r="T95" s="252"/>
      <c r="U95" s="252"/>
      <c r="V95" s="252"/>
      <c r="W95" s="252"/>
      <c r="X95" s="252"/>
      <c r="Y95" s="252"/>
      <c r="Z95" s="252"/>
      <c r="AA95" s="252"/>
      <c r="AB95" s="252"/>
      <c r="AC95" s="253"/>
      <c r="AD95" s="252"/>
      <c r="AE95" s="252"/>
      <c r="AF95" s="252"/>
      <c r="AG95" s="252"/>
      <c r="AH95" s="252"/>
      <c r="AI95" s="252"/>
      <c r="AJ95" s="252"/>
      <c r="AK95" s="252"/>
      <c r="AL95" s="252"/>
    </row>
    <row r="96" spans="2:38" x14ac:dyDescent="0.35">
      <c r="B96" s="216"/>
      <c r="C96" s="229"/>
      <c r="D96" s="229"/>
      <c r="E96" s="229"/>
      <c r="F96" s="229"/>
      <c r="G96" s="216"/>
      <c r="H96" s="264"/>
      <c r="I96" s="229"/>
      <c r="J96" s="229"/>
      <c r="K96" s="229"/>
      <c r="L96" s="229"/>
      <c r="M96" s="229"/>
      <c r="N96" s="229"/>
      <c r="O96" s="229"/>
      <c r="P96" s="229"/>
      <c r="Q96" s="229"/>
      <c r="R96" s="229"/>
      <c r="S96" s="229"/>
      <c r="T96" s="229"/>
      <c r="U96" s="229"/>
      <c r="V96" s="229"/>
      <c r="W96" s="229"/>
      <c r="X96" s="229"/>
      <c r="Y96" s="229"/>
      <c r="Z96" s="229"/>
      <c r="AA96" s="229"/>
      <c r="AB96" s="229"/>
      <c r="AC96" s="264"/>
      <c r="AD96" s="229"/>
      <c r="AE96" s="229"/>
      <c r="AF96" s="229"/>
    </row>
    <row r="97" spans="2:40" x14ac:dyDescent="0.35">
      <c r="AC97" s="269" t="s">
        <v>3035</v>
      </c>
      <c r="AD97" s="127" t="s">
        <v>3036</v>
      </c>
      <c r="AJ97" s="127">
        <v>2803.5299999999997</v>
      </c>
      <c r="AK97" s="127">
        <v>151680.56999999998</v>
      </c>
      <c r="AL97" s="127">
        <v>6436.7000000000016</v>
      </c>
      <c r="AN97" s="127">
        <f>SUM(AJ97:AL97)/1000</f>
        <v>160.92079999999999</v>
      </c>
    </row>
    <row r="98" spans="2:40" x14ac:dyDescent="0.35">
      <c r="B98" s="259" t="s">
        <v>2999</v>
      </c>
      <c r="C98" s="141"/>
      <c r="D98" s="141"/>
      <c r="E98" s="141"/>
      <c r="F98" s="141"/>
      <c r="I98" s="260" t="s">
        <v>3033</v>
      </c>
      <c r="J98" s="260"/>
      <c r="K98" s="260"/>
      <c r="AB98" s="196" t="s">
        <v>2882</v>
      </c>
      <c r="AC98" s="135" t="e">
        <f>SUM(C64:C93,Y64:Y93)</f>
        <v>#N/A</v>
      </c>
      <c r="AD98" s="265" t="e">
        <f>AC98/AC$94</f>
        <v>#N/A</v>
      </c>
      <c r="AE98" s="265"/>
      <c r="AF98" s="265"/>
    </row>
    <row r="99" spans="2:40" x14ac:dyDescent="0.35">
      <c r="C99" s="254" t="s">
        <v>3088</v>
      </c>
      <c r="D99" s="254" t="s">
        <v>2997</v>
      </c>
      <c r="E99" s="217" t="s">
        <v>3018</v>
      </c>
      <c r="F99" s="217" t="s">
        <v>3032</v>
      </c>
      <c r="G99" s="127" t="s">
        <v>3084</v>
      </c>
      <c r="I99" s="254" t="s">
        <v>2998</v>
      </c>
      <c r="J99" s="254" t="s">
        <v>2997</v>
      </c>
      <c r="K99" s="217" t="s">
        <v>3018</v>
      </c>
      <c r="M99" s="266" t="s">
        <v>3037</v>
      </c>
      <c r="P99" s="127">
        <v>23.7</v>
      </c>
      <c r="Q99" s="127" t="s">
        <v>3038</v>
      </c>
      <c r="U99" s="127" t="s">
        <v>3265</v>
      </c>
      <c r="AB99" s="196" t="s">
        <v>2883</v>
      </c>
      <c r="AC99" s="135" t="e">
        <f>SUM(D64:D93,Z64:Z93)</f>
        <v>#N/A</v>
      </c>
      <c r="AD99" s="265" t="e">
        <f>AC99/AC$94</f>
        <v>#N/A</v>
      </c>
      <c r="AE99" s="265"/>
      <c r="AF99" s="305" t="s">
        <v>3067</v>
      </c>
      <c r="AG99" s="305"/>
      <c r="AH99" s="305"/>
      <c r="AI99" s="305"/>
      <c r="AJ99" s="305"/>
      <c r="AK99" s="305"/>
    </row>
    <row r="100" spans="2:40" x14ac:dyDescent="0.35">
      <c r="B100" s="196" t="s">
        <v>3081</v>
      </c>
      <c r="C100" s="255">
        <f>C94</f>
        <v>0</v>
      </c>
      <c r="D100" s="238">
        <v>35934</v>
      </c>
      <c r="E100" s="247">
        <v>66000</v>
      </c>
      <c r="F100" s="247"/>
      <c r="G100" s="197" t="e">
        <f>AF94*AE54</f>
        <v>#N/A</v>
      </c>
      <c r="I100" s="138" t="e">
        <f>C100/C$103</f>
        <v>#DIV/0!</v>
      </c>
      <c r="J100" s="138">
        <f t="shared" ref="I100:K102" si="30">D100/D$103</f>
        <v>0.22027830564580397</v>
      </c>
      <c r="K100" s="138">
        <f t="shared" si="30"/>
        <v>0.30555555555555558</v>
      </c>
      <c r="P100" s="207" t="s">
        <v>3039</v>
      </c>
      <c r="AB100" s="196" t="s">
        <v>2884</v>
      </c>
      <c r="AC100" s="135" t="e">
        <f>SUM(E64:E93,AA64:AA93)</f>
        <v>#N/A</v>
      </c>
      <c r="AD100" s="265" t="e">
        <f>AC100/AC$94</f>
        <v>#N/A</v>
      </c>
      <c r="AE100" s="265"/>
      <c r="AF100" s="306" t="s">
        <v>3068</v>
      </c>
    </row>
    <row r="101" spans="2:40" x14ac:dyDescent="0.35">
      <c r="B101" s="196" t="s">
        <v>3082</v>
      </c>
      <c r="C101" s="255">
        <f>D94</f>
        <v>0</v>
      </c>
      <c r="D101" s="238">
        <v>81979</v>
      </c>
      <c r="E101" s="247">
        <v>103000</v>
      </c>
      <c r="F101" s="247"/>
      <c r="G101" s="127" t="e">
        <f>AG94*AE55</f>
        <v>#N/A</v>
      </c>
      <c r="I101" s="138" t="e">
        <f t="shared" si="30"/>
        <v>#DIV/0!</v>
      </c>
      <c r="J101" s="138">
        <f t="shared" si="30"/>
        <v>0.50253785324587752</v>
      </c>
      <c r="K101" s="138">
        <f>E101/E$103</f>
        <v>0.47685185185185186</v>
      </c>
      <c r="AC101" s="271" t="e">
        <f>SUM(AC98:AC100)</f>
        <v>#N/A</v>
      </c>
      <c r="AG101" s="127" t="s">
        <v>3065</v>
      </c>
      <c r="AH101" s="127" t="s">
        <v>3066</v>
      </c>
      <c r="AI101" s="308" t="s">
        <v>2995</v>
      </c>
      <c r="AJ101" s="310" t="s">
        <v>3070</v>
      </c>
    </row>
    <row r="102" spans="2:40" x14ac:dyDescent="0.35">
      <c r="B102" s="196" t="s">
        <v>3083</v>
      </c>
      <c r="C102" s="255">
        <f>E94</f>
        <v>0</v>
      </c>
      <c r="D102" s="238">
        <v>45217</v>
      </c>
      <c r="E102" s="247">
        <v>47000</v>
      </c>
      <c r="F102" s="247"/>
      <c r="G102" s="127" t="e">
        <f>AH94*AE56</f>
        <v>#N/A</v>
      </c>
      <c r="I102" s="138" t="e">
        <f t="shared" si="30"/>
        <v>#DIV/0!</v>
      </c>
      <c r="J102" s="138">
        <f t="shared" si="30"/>
        <v>0.27718384110831851</v>
      </c>
      <c r="K102" s="138">
        <f>E102/E$103</f>
        <v>0.21759259259259259</v>
      </c>
      <c r="AF102" s="196" t="s">
        <v>2882</v>
      </c>
      <c r="AG102" s="267">
        <f>C94/1000</f>
        <v>0</v>
      </c>
      <c r="AH102" s="267" t="e">
        <f>AF94*AE54/1000</f>
        <v>#N/A</v>
      </c>
      <c r="AI102" s="309" t="e">
        <f>SUM(AG102:AH102)</f>
        <v>#N/A</v>
      </c>
      <c r="AJ102" s="314" t="e">
        <f>AI102/AI105</f>
        <v>#N/A</v>
      </c>
    </row>
    <row r="103" spans="2:40" ht="15" thickBot="1" x14ac:dyDescent="0.4">
      <c r="B103" s="256" t="s">
        <v>2995</v>
      </c>
      <c r="C103" s="257">
        <f>SUM(C100:C102)</f>
        <v>0</v>
      </c>
      <c r="D103" s="257">
        <f>SUM(D100:D102)</f>
        <v>163130</v>
      </c>
      <c r="E103" s="257">
        <f>SUM(E100:E102)</f>
        <v>216000</v>
      </c>
      <c r="F103" s="258">
        <f>P94</f>
        <v>197425</v>
      </c>
      <c r="G103" s="257" t="e">
        <f>SUM(G100:G102)</f>
        <v>#N/A</v>
      </c>
      <c r="AC103" s="268" t="s">
        <v>3040</v>
      </c>
      <c r="AF103" s="196" t="s">
        <v>2883</v>
      </c>
      <c r="AG103" s="267">
        <f>D94/1000</f>
        <v>0</v>
      </c>
      <c r="AH103" s="267" t="e">
        <f>AG94*AE55/1000</f>
        <v>#N/A</v>
      </c>
      <c r="AI103" s="309" t="e">
        <f>SUM(AG103:AH103)</f>
        <v>#N/A</v>
      </c>
      <c r="AJ103" s="314" t="e">
        <f>AI103/AI105</f>
        <v>#N/A</v>
      </c>
    </row>
    <row r="104" spans="2:40" x14ac:dyDescent="0.35">
      <c r="AB104" s="196" t="s">
        <v>2882</v>
      </c>
      <c r="AC104" s="135">
        <f>$F$103*J100</f>
        <v>43488.44449212285</v>
      </c>
      <c r="AF104" s="311" t="s">
        <v>2884</v>
      </c>
      <c r="AG104" s="312">
        <f>E94/1000</f>
        <v>0</v>
      </c>
      <c r="AH104" s="312" t="e">
        <f>AH94*AE56/1000</f>
        <v>#N/A</v>
      </c>
      <c r="AI104" s="313" t="e">
        <f>SUM(AG104:AH104)</f>
        <v>#N/A</v>
      </c>
      <c r="AJ104" s="315" t="e">
        <f>AI104/AI105</f>
        <v>#N/A</v>
      </c>
    </row>
    <row r="105" spans="2:40" x14ac:dyDescent="0.35">
      <c r="B105" s="217" t="s">
        <v>3023</v>
      </c>
      <c r="U105" s="127" t="s">
        <v>3266</v>
      </c>
      <c r="AB105" s="196" t="s">
        <v>2883</v>
      </c>
      <c r="AC105" s="135">
        <f>$F$103*J101</f>
        <v>99213.535677067368</v>
      </c>
      <c r="AF105" s="307" t="s">
        <v>2995</v>
      </c>
      <c r="AG105" s="267">
        <f>SUM(AG102:AG104)</f>
        <v>0</v>
      </c>
      <c r="AH105" s="267" t="e">
        <f t="shared" ref="AH105:AI105" si="31">SUM(AH102:AH104)</f>
        <v>#N/A</v>
      </c>
      <c r="AI105" s="309" t="e">
        <f t="shared" si="31"/>
        <v>#N/A</v>
      </c>
      <c r="AJ105" s="310"/>
    </row>
    <row r="106" spans="2:40" x14ac:dyDescent="0.35">
      <c r="B106"/>
      <c r="C106" t="s">
        <v>3021</v>
      </c>
      <c r="D106" t="s">
        <v>3019</v>
      </c>
      <c r="E106" t="s">
        <v>3020</v>
      </c>
      <c r="F106" s="127" t="s">
        <v>2995</v>
      </c>
      <c r="AB106" s="196" t="s">
        <v>2884</v>
      </c>
      <c r="AC106" s="135">
        <f>$F$103*J102</f>
        <v>54723.019830809782</v>
      </c>
      <c r="AD106" s="196" t="s">
        <v>3045</v>
      </c>
    </row>
    <row r="107" spans="2:40" ht="15" thickBot="1" x14ac:dyDescent="0.4">
      <c r="B107" s="237" t="s">
        <v>2797</v>
      </c>
      <c r="C107">
        <v>2061</v>
      </c>
      <c r="D107">
        <v>1005</v>
      </c>
      <c r="E107">
        <v>1808</v>
      </c>
      <c r="F107" s="127">
        <f>SUM(C107:E107)</f>
        <v>4874</v>
      </c>
      <c r="I107" s="196" t="s">
        <v>3081</v>
      </c>
      <c r="J107" s="196" t="s">
        <v>3082</v>
      </c>
      <c r="K107" s="196" t="s">
        <v>3083</v>
      </c>
      <c r="L107" s="256" t="s">
        <v>2995</v>
      </c>
      <c r="AC107" s="271">
        <f>SUM(AC104:AC106)</f>
        <v>197425</v>
      </c>
      <c r="AF107" s="306" t="s">
        <v>3069</v>
      </c>
    </row>
    <row r="108" spans="2:40" x14ac:dyDescent="0.35">
      <c r="B108" s="237" t="s">
        <v>2798</v>
      </c>
      <c r="C108">
        <v>0</v>
      </c>
      <c r="D108">
        <v>0</v>
      </c>
      <c r="E108">
        <v>1308</v>
      </c>
      <c r="AG108" s="127" t="s">
        <v>3065</v>
      </c>
      <c r="AH108" s="127" t="s">
        <v>3066</v>
      </c>
      <c r="AI108" s="308" t="s">
        <v>2995</v>
      </c>
      <c r="AJ108" s="310" t="s">
        <v>3070</v>
      </c>
    </row>
    <row r="109" spans="2:40" x14ac:dyDescent="0.35">
      <c r="B109" s="237" t="s">
        <v>2799</v>
      </c>
      <c r="C109">
        <v>0</v>
      </c>
      <c r="D109">
        <v>719</v>
      </c>
      <c r="E109">
        <v>1399</v>
      </c>
      <c r="H109" s="129" t="str">
        <f>D99</f>
        <v>ENTSOE (2016)</v>
      </c>
      <c r="I109" s="127">
        <f>$D$100</f>
        <v>35934</v>
      </c>
      <c r="J109" s="127">
        <f>$D$101</f>
        <v>81979</v>
      </c>
      <c r="K109" s="127">
        <f>$D$102</f>
        <v>45217</v>
      </c>
      <c r="L109" s="127">
        <f>$D$103</f>
        <v>163130</v>
      </c>
      <c r="AC109" s="268" t="s">
        <v>3047</v>
      </c>
      <c r="AF109" s="196" t="s">
        <v>2882</v>
      </c>
      <c r="AG109" s="135">
        <f>SUMIFS(Generators!$BB$2:$BB$1016,Generators!$C$2:$C$1016,"Y",Generators!$F$2:$F$1016,'Country Totals (All Aggregated)'!AF109)</f>
        <v>543.34989345145948</v>
      </c>
      <c r="AH109" s="267" t="e">
        <f>AJ94</f>
        <v>#N/A</v>
      </c>
      <c r="AI109" s="309" t="e">
        <f>SUM(AG109:AH109)</f>
        <v>#N/A</v>
      </c>
      <c r="AJ109" s="314" t="e">
        <f>AI109/AI112</f>
        <v>#N/A</v>
      </c>
    </row>
    <row r="110" spans="2:40" x14ac:dyDescent="0.35">
      <c r="B110" s="237" t="s">
        <v>2800</v>
      </c>
      <c r="C110">
        <v>100</v>
      </c>
      <c r="D110">
        <v>4779</v>
      </c>
      <c r="E110">
        <v>4002</v>
      </c>
      <c r="H110" s="129" t="str">
        <f>E99</f>
        <v>DNV GL</v>
      </c>
      <c r="I110" s="127">
        <f>$E$100</f>
        <v>66000</v>
      </c>
      <c r="J110" s="127">
        <f>$E$101</f>
        <v>103000</v>
      </c>
      <c r="K110" s="127">
        <f>$E$102</f>
        <v>47000</v>
      </c>
      <c r="L110" s="127">
        <f>E103</f>
        <v>216000</v>
      </c>
      <c r="AB110" s="196" t="s">
        <v>2882</v>
      </c>
      <c r="AC110" s="270" t="e">
        <f>AC104-AC98</f>
        <v>#N/A</v>
      </c>
      <c r="AF110" s="196" t="s">
        <v>2883</v>
      </c>
      <c r="AG110" s="135">
        <f>SUMIFS(Generators!$BB$2:$BB$1016,Generators!$C$2:$C$1016,"Y",Generators!$F$2:$F$1016,'Country Totals (All Aggregated)'!AF110)</f>
        <v>25649.547693533787</v>
      </c>
      <c r="AH110" s="267" t="e">
        <f>AK94</f>
        <v>#N/A</v>
      </c>
      <c r="AI110" s="309" t="e">
        <f>SUM(AG110:AH110)</f>
        <v>#N/A</v>
      </c>
      <c r="AJ110" s="314" t="e">
        <f>AI110/AI112</f>
        <v>#N/A</v>
      </c>
    </row>
    <row r="111" spans="2:40" x14ac:dyDescent="0.35">
      <c r="B111" s="237" t="s">
        <v>2802</v>
      </c>
      <c r="C111">
        <v>0</v>
      </c>
      <c r="D111">
        <v>612</v>
      </c>
      <c r="E111">
        <v>1110</v>
      </c>
      <c r="H111" s="129" t="str">
        <f>F99</f>
        <v>Eurostat (2015)</v>
      </c>
      <c r="I111" s="127">
        <f>$F$100</f>
        <v>0</v>
      </c>
      <c r="J111" s="127">
        <f>$F$101</f>
        <v>0</v>
      </c>
      <c r="K111" s="127">
        <f>$F$102</f>
        <v>0</v>
      </c>
      <c r="L111" s="127">
        <f>$F$103</f>
        <v>197425</v>
      </c>
      <c r="AB111" s="196" t="s">
        <v>2883</v>
      </c>
      <c r="AC111" s="270" t="e">
        <f>AC105-AC99</f>
        <v>#N/A</v>
      </c>
      <c r="AF111" s="311" t="s">
        <v>2884</v>
      </c>
      <c r="AG111" s="317">
        <f>SUMIFS(Generators!$BB$2:$BB$1016,Generators!$C$2:$C$1016,"Y",Generators!$F$2:$F$1016,'Country Totals (All Aggregated)'!AF111)</f>
        <v>3647.1464346927514</v>
      </c>
      <c r="AH111" s="312" t="e">
        <f>AL94</f>
        <v>#N/A</v>
      </c>
      <c r="AI111" s="313" t="e">
        <f>SUM(AG111:AH111)</f>
        <v>#N/A</v>
      </c>
      <c r="AJ111" s="315" t="e">
        <f>AI111/AI112</f>
        <v>#N/A</v>
      </c>
    </row>
    <row r="112" spans="2:40" x14ac:dyDescent="0.35">
      <c r="B112" s="237" t="s">
        <v>2803</v>
      </c>
      <c r="C112">
        <v>2413</v>
      </c>
      <c r="D112">
        <v>1875</v>
      </c>
      <c r="E112">
        <v>10183</v>
      </c>
      <c r="H112" s="129" t="s">
        <v>3085</v>
      </c>
      <c r="I112" s="127">
        <v>0</v>
      </c>
      <c r="J112" s="127">
        <v>0</v>
      </c>
      <c r="K112" s="127">
        <v>0</v>
      </c>
      <c r="L112" s="127">
        <v>0</v>
      </c>
      <c r="AB112" s="196" t="s">
        <v>2884</v>
      </c>
      <c r="AC112" s="270" t="e">
        <f>AC106-AC100</f>
        <v>#N/A</v>
      </c>
      <c r="AF112" s="307" t="s">
        <v>2995</v>
      </c>
      <c r="AG112" s="267">
        <f>SUM(AG109:AG111)</f>
        <v>29840.044021677997</v>
      </c>
      <c r="AH112" s="267" t="e">
        <f t="shared" ref="AH112:AI112" si="32">SUM(AH109:AH111)</f>
        <v>#N/A</v>
      </c>
      <c r="AI112" s="318" t="e">
        <f t="shared" si="32"/>
        <v>#N/A</v>
      </c>
      <c r="AJ112" s="310"/>
    </row>
    <row r="113" spans="2:37" x14ac:dyDescent="0.35">
      <c r="B113" s="237" t="s">
        <v>2804</v>
      </c>
      <c r="C113">
        <v>0</v>
      </c>
      <c r="D113">
        <v>0</v>
      </c>
      <c r="E113">
        <v>0</v>
      </c>
      <c r="H113" s="129" t="s">
        <v>3086</v>
      </c>
      <c r="I113" s="127">
        <v>0</v>
      </c>
      <c r="J113" s="127">
        <v>0</v>
      </c>
      <c r="K113" s="127">
        <v>0</v>
      </c>
      <c r="L113" s="127">
        <v>0</v>
      </c>
      <c r="AJ113" s="247">
        <f>220-40</f>
        <v>180</v>
      </c>
      <c r="AK113" s="127" t="s">
        <v>3075</v>
      </c>
    </row>
    <row r="114" spans="2:37" x14ac:dyDescent="0.35">
      <c r="B114" s="237" t="s">
        <v>2805</v>
      </c>
      <c r="C114">
        <v>0</v>
      </c>
      <c r="D114">
        <v>0</v>
      </c>
      <c r="E114">
        <v>0</v>
      </c>
      <c r="H114" s="129" t="s">
        <v>3087</v>
      </c>
      <c r="I114" s="127">
        <v>0</v>
      </c>
      <c r="J114" s="127">
        <v>0</v>
      </c>
      <c r="K114" s="127">
        <v>0</v>
      </c>
      <c r="L114" s="127">
        <v>0</v>
      </c>
      <c r="AC114" s="129" t="s">
        <v>3058</v>
      </c>
      <c r="AH114" s="127" t="s">
        <v>3074</v>
      </c>
      <c r="AI114" s="319" t="e">
        <f>AJ113-AI112/1000</f>
        <v>#N/A</v>
      </c>
      <c r="AJ114" s="127" t="s">
        <v>2979</v>
      </c>
    </row>
    <row r="115" spans="2:37" x14ac:dyDescent="0.35">
      <c r="B115" s="237" t="s">
        <v>2806</v>
      </c>
      <c r="C115">
        <v>0</v>
      </c>
      <c r="D115">
        <v>2166</v>
      </c>
      <c r="E115">
        <v>693</v>
      </c>
      <c r="H115" s="129" t="str">
        <f>C99</f>
        <v>This study: Detailed plants</v>
      </c>
      <c r="I115" s="127">
        <f>$C$100</f>
        <v>0</v>
      </c>
      <c r="J115" s="127">
        <f>$C$101</f>
        <v>0</v>
      </c>
      <c r="K115" s="127">
        <f>$C$102</f>
        <v>0</v>
      </c>
      <c r="L115" s="127">
        <f>C103</f>
        <v>0</v>
      </c>
    </row>
    <row r="116" spans="2:37" x14ac:dyDescent="0.35">
      <c r="B116" s="237" t="s">
        <v>2807</v>
      </c>
      <c r="C116">
        <v>0</v>
      </c>
      <c r="D116">
        <v>18165</v>
      </c>
      <c r="E116">
        <v>5480</v>
      </c>
      <c r="H116" s="129" t="str">
        <f>G99</f>
        <v>This study: Lumped plants</v>
      </c>
      <c r="I116" s="127" t="e">
        <f>$G$100</f>
        <v>#N/A</v>
      </c>
      <c r="J116" s="127" t="e">
        <f>$G$101</f>
        <v>#N/A</v>
      </c>
      <c r="K116" s="127" t="e">
        <f>$G$102</f>
        <v>#N/A</v>
      </c>
      <c r="L116" s="127" t="e">
        <f>$G$103</f>
        <v>#N/A</v>
      </c>
    </row>
    <row r="117" spans="2:37" x14ac:dyDescent="0.35">
      <c r="B117" s="237" t="s">
        <v>2808</v>
      </c>
      <c r="C117">
        <v>428</v>
      </c>
      <c r="D117">
        <v>0</v>
      </c>
      <c r="E117">
        <v>0</v>
      </c>
      <c r="AI117" s="197" t="s">
        <v>3071</v>
      </c>
    </row>
    <row r="118" spans="2:37" x14ac:dyDescent="0.35">
      <c r="B118" s="237" t="s">
        <v>2809</v>
      </c>
      <c r="C118">
        <v>4690</v>
      </c>
      <c r="D118">
        <v>5614</v>
      </c>
      <c r="E118">
        <v>4955</v>
      </c>
      <c r="AI118" s="127" t="s">
        <v>3072</v>
      </c>
    </row>
    <row r="119" spans="2:37" x14ac:dyDescent="0.35">
      <c r="B119" s="237" t="s">
        <v>2811</v>
      </c>
      <c r="C119">
        <v>0</v>
      </c>
      <c r="D119">
        <v>0</v>
      </c>
      <c r="E119">
        <v>0</v>
      </c>
    </row>
    <row r="120" spans="2:37" x14ac:dyDescent="0.35">
      <c r="B120" s="237" t="s">
        <v>2812</v>
      </c>
      <c r="C120">
        <v>215</v>
      </c>
      <c r="D120">
        <v>0</v>
      </c>
      <c r="E120">
        <v>392</v>
      </c>
      <c r="AI120" s="127" t="s">
        <v>3073</v>
      </c>
    </row>
    <row r="121" spans="2:37" x14ac:dyDescent="0.35">
      <c r="B121" s="237" t="s">
        <v>2813</v>
      </c>
      <c r="C121">
        <v>8261</v>
      </c>
      <c r="D121">
        <v>3547</v>
      </c>
      <c r="E121">
        <v>6988</v>
      </c>
    </row>
    <row r="122" spans="2:37" x14ac:dyDescent="0.35">
      <c r="B122" s="237" t="s">
        <v>2814</v>
      </c>
      <c r="C122">
        <v>101</v>
      </c>
      <c r="D122">
        <v>0</v>
      </c>
      <c r="E122">
        <v>900</v>
      </c>
    </row>
    <row r="123" spans="2:37" x14ac:dyDescent="0.35">
      <c r="B123" s="237" t="s">
        <v>2816</v>
      </c>
      <c r="C123">
        <v>1536</v>
      </c>
      <c r="D123">
        <v>0</v>
      </c>
      <c r="E123">
        <v>0</v>
      </c>
    </row>
    <row r="124" spans="2:37" x14ac:dyDescent="0.35">
      <c r="B124" s="237" t="s">
        <v>2818</v>
      </c>
      <c r="C124">
        <v>0</v>
      </c>
      <c r="D124">
        <v>0</v>
      </c>
      <c r="E124">
        <v>0</v>
      </c>
    </row>
    <row r="125" spans="2:37" x14ac:dyDescent="0.35">
      <c r="B125" s="237" t="s">
        <v>2819</v>
      </c>
      <c r="C125">
        <v>2592</v>
      </c>
      <c r="D125">
        <v>32631</v>
      </c>
      <c r="E125">
        <v>1164</v>
      </c>
    </row>
    <row r="126" spans="2:37" x14ac:dyDescent="0.35">
      <c r="B126" s="237" t="s">
        <v>2820</v>
      </c>
      <c r="C126">
        <v>156</v>
      </c>
      <c r="D126">
        <v>0</v>
      </c>
      <c r="E126">
        <v>1611</v>
      </c>
    </row>
    <row r="127" spans="2:37" x14ac:dyDescent="0.35">
      <c r="B127" s="237" t="s">
        <v>2821</v>
      </c>
      <c r="C127">
        <v>2436</v>
      </c>
      <c r="D127">
        <v>897</v>
      </c>
      <c r="E127">
        <v>1519</v>
      </c>
    </row>
    <row r="128" spans="2:37" x14ac:dyDescent="0.35">
      <c r="B128" s="237" t="s">
        <v>2822</v>
      </c>
      <c r="C128">
        <v>1406</v>
      </c>
      <c r="D128">
        <v>2146</v>
      </c>
      <c r="E128">
        <v>0</v>
      </c>
    </row>
    <row r="129" spans="2:5" x14ac:dyDescent="0.35">
      <c r="B129" s="237" t="s">
        <v>2823</v>
      </c>
      <c r="C129">
        <v>795</v>
      </c>
      <c r="D129">
        <v>7780</v>
      </c>
      <c r="E129">
        <v>0</v>
      </c>
    </row>
    <row r="130" spans="2:5" x14ac:dyDescent="0.35">
      <c r="B130" s="237" t="s">
        <v>2824</v>
      </c>
      <c r="C130">
        <v>242</v>
      </c>
      <c r="D130">
        <v>0</v>
      </c>
      <c r="E130">
        <v>180</v>
      </c>
    </row>
    <row r="131" spans="2:5" x14ac:dyDescent="0.35">
      <c r="B131" s="237" t="s">
        <v>2825</v>
      </c>
      <c r="C131">
        <v>720</v>
      </c>
      <c r="D131">
        <v>198</v>
      </c>
      <c r="E131">
        <v>734</v>
      </c>
    </row>
    <row r="132" spans="2:5" x14ac:dyDescent="0.35">
      <c r="B132" s="237" t="s">
        <v>2832</v>
      </c>
      <c r="C132">
        <v>4146</v>
      </c>
      <c r="D132">
        <v>0</v>
      </c>
      <c r="E132">
        <v>791</v>
      </c>
    </row>
    <row r="135" spans="2:5" x14ac:dyDescent="0.35">
      <c r="B135" s="274" t="s">
        <v>3043</v>
      </c>
    </row>
    <row r="136" spans="2:5" x14ac:dyDescent="0.35">
      <c r="C136" s="127" t="s">
        <v>3031</v>
      </c>
    </row>
    <row r="137" spans="2:5" x14ac:dyDescent="0.35">
      <c r="B137" s="216" t="s">
        <v>2797</v>
      </c>
      <c r="C137">
        <v>13351</v>
      </c>
    </row>
    <row r="138" spans="2:5" x14ac:dyDescent="0.35">
      <c r="B138" s="216" t="s">
        <v>2798</v>
      </c>
      <c r="C138">
        <v>1422</v>
      </c>
    </row>
    <row r="139" spans="2:5" x14ac:dyDescent="0.35">
      <c r="B139" s="216" t="s">
        <v>2799</v>
      </c>
      <c r="C139">
        <v>3219</v>
      </c>
    </row>
    <row r="140" spans="2:5" x14ac:dyDescent="0.35">
      <c r="B140" s="216" t="s">
        <v>2800</v>
      </c>
      <c r="C140" s="204">
        <v>13760</v>
      </c>
    </row>
    <row r="141" spans="2:5" x14ac:dyDescent="0.35">
      <c r="B141" s="216" t="s">
        <v>2801</v>
      </c>
      <c r="C141">
        <v>0</v>
      </c>
    </row>
    <row r="142" spans="2:5" x14ac:dyDescent="0.35">
      <c r="B142" s="216" t="s">
        <v>2802</v>
      </c>
      <c r="C142">
        <v>2260</v>
      </c>
    </row>
    <row r="143" spans="2:5" x14ac:dyDescent="0.35">
      <c r="B143" s="216" t="s">
        <v>2803</v>
      </c>
      <c r="C143">
        <v>11399</v>
      </c>
    </row>
    <row r="144" spans="2:5" x14ac:dyDescent="0.35">
      <c r="B144" s="216" t="s">
        <v>2804</v>
      </c>
      <c r="C144">
        <v>7</v>
      </c>
    </row>
    <row r="145" spans="2:3" x14ac:dyDescent="0.35">
      <c r="B145" s="216" t="s">
        <v>2805</v>
      </c>
      <c r="C145">
        <v>6</v>
      </c>
    </row>
    <row r="146" spans="2:3" x14ac:dyDescent="0.35">
      <c r="B146" s="216" t="s">
        <v>2807</v>
      </c>
      <c r="C146">
        <v>20053</v>
      </c>
    </row>
    <row r="147" spans="2:3" x14ac:dyDescent="0.35">
      <c r="B147" s="216" t="s">
        <v>2808</v>
      </c>
      <c r="C147">
        <v>3249</v>
      </c>
    </row>
    <row r="148" spans="2:3" x14ac:dyDescent="0.35">
      <c r="B148" s="216" t="s">
        <v>2809</v>
      </c>
      <c r="C148">
        <v>25278</v>
      </c>
    </row>
    <row r="149" spans="2:3" x14ac:dyDescent="0.35">
      <c r="B149" s="216" t="s">
        <v>1048</v>
      </c>
      <c r="C149">
        <v>4503</v>
      </c>
    </row>
    <row r="150" spans="2:3" x14ac:dyDescent="0.35">
      <c r="B150" s="216" t="s">
        <v>2806</v>
      </c>
      <c r="C150">
        <v>3392</v>
      </c>
    </row>
    <row r="151" spans="2:3" x14ac:dyDescent="0.35">
      <c r="B151" s="216" t="s">
        <v>2810</v>
      </c>
      <c r="C151">
        <v>2208</v>
      </c>
    </row>
    <row r="152" spans="2:3" x14ac:dyDescent="0.35">
      <c r="B152" s="216" t="s">
        <v>2811</v>
      </c>
      <c r="C152">
        <v>57</v>
      </c>
    </row>
    <row r="153" spans="2:3" x14ac:dyDescent="0.35">
      <c r="B153" s="216" t="s">
        <v>2812</v>
      </c>
      <c r="C153">
        <v>529</v>
      </c>
    </row>
    <row r="154" spans="2:3" x14ac:dyDescent="0.35">
      <c r="B154" s="216" t="s">
        <v>2813</v>
      </c>
      <c r="C154">
        <v>22220</v>
      </c>
    </row>
    <row r="155" spans="2:3" x14ac:dyDescent="0.35">
      <c r="B155" s="216" t="s">
        <v>2814</v>
      </c>
      <c r="C155">
        <v>877</v>
      </c>
    </row>
    <row r="156" spans="2:3" x14ac:dyDescent="0.35">
      <c r="B156" s="216" t="s">
        <v>2815</v>
      </c>
      <c r="C156">
        <v>1330</v>
      </c>
    </row>
    <row r="157" spans="2:3" x14ac:dyDescent="0.35">
      <c r="B157" s="216" t="s">
        <v>2816</v>
      </c>
      <c r="C157">
        <v>1589</v>
      </c>
    </row>
    <row r="158" spans="2:3" x14ac:dyDescent="0.35">
      <c r="B158" s="216" t="s">
        <v>2818</v>
      </c>
      <c r="C158">
        <v>37</v>
      </c>
    </row>
    <row r="159" spans="2:3" x14ac:dyDescent="0.35">
      <c r="B159" s="216" t="s">
        <v>2819</v>
      </c>
      <c r="C159">
        <v>31372</v>
      </c>
    </row>
    <row r="160" spans="2:3" x14ac:dyDescent="0.35">
      <c r="B160" s="216" t="s">
        <v>2820</v>
      </c>
      <c r="C160">
        <v>2370</v>
      </c>
    </row>
    <row r="161" spans="2:3" x14ac:dyDescent="0.35">
      <c r="B161" s="216" t="s">
        <v>2821</v>
      </c>
      <c r="C161">
        <v>6168</v>
      </c>
    </row>
    <row r="162" spans="2:3" x14ac:dyDescent="0.35">
      <c r="B162" s="216" t="s">
        <v>2822</v>
      </c>
      <c r="C162">
        <v>6730</v>
      </c>
    </row>
    <row r="163" spans="2:3" x14ac:dyDescent="0.35">
      <c r="B163" s="216" t="s">
        <v>2823</v>
      </c>
      <c r="C163">
        <v>16329</v>
      </c>
    </row>
    <row r="164" spans="2:3" x14ac:dyDescent="0.35">
      <c r="B164" s="216" t="s">
        <v>2824</v>
      </c>
      <c r="C164">
        <v>1295</v>
      </c>
    </row>
    <row r="165" spans="2:3" x14ac:dyDescent="0.35">
      <c r="B165" s="216" t="s">
        <v>2825</v>
      </c>
      <c r="C165">
        <v>2522</v>
      </c>
    </row>
  </sheetData>
  <mergeCells count="7">
    <mergeCell ref="AJ62:AL62"/>
    <mergeCell ref="C4:E4"/>
    <mergeCell ref="B62:E62"/>
    <mergeCell ref="H62:J62"/>
    <mergeCell ref="S62:U62"/>
    <mergeCell ref="X62:AA62"/>
    <mergeCell ref="AF62:AH62"/>
  </mergeCells>
  <conditionalFormatting sqref="I6:I35">
    <cfRule type="dataBar" priority="2">
      <dataBar>
        <cfvo type="min"/>
        <cfvo type="max"/>
        <color rgb="FF63C384"/>
      </dataBar>
      <extLst>
        <ext xmlns:x14="http://schemas.microsoft.com/office/spreadsheetml/2009/9/main" uri="{B025F937-C7B1-47D3-B67F-A62EFF666E3E}">
          <x14:id>{9DCC89A1-C9BE-4DFE-9189-D89FFD9303C6}</x14:id>
        </ext>
      </extLst>
    </cfRule>
  </conditionalFormatting>
  <conditionalFormatting sqref="S64:V93">
    <cfRule type="dataBar" priority="1">
      <dataBar>
        <cfvo type="min"/>
        <cfvo type="max"/>
        <color rgb="FF638EC6"/>
      </dataBar>
      <extLst>
        <ext xmlns:x14="http://schemas.microsoft.com/office/spreadsheetml/2009/9/main" uri="{B025F937-C7B1-47D3-B67F-A62EFF666E3E}">
          <x14:id>{DD3B4143-A794-445A-81F6-792233F22EE7}</x14:id>
        </ext>
      </extLst>
    </cfRule>
  </conditionalFormatting>
  <dataValidations disablePrompts="1" count="1">
    <dataValidation type="list" allowBlank="1" showInputMessage="1" showErrorMessage="1" sqref="AK56" xr:uid="{00000000-0002-0000-1100-000000000000}">
      <formula1>$AI$58:$AI$59</formula1>
    </dataValidation>
  </dataValidations>
  <hyperlinks>
    <hyperlink ref="W29" r:id="rId1" xr:uid="{00000000-0004-0000-1100-000000000000}"/>
    <hyperlink ref="P100" r:id="rId2" xr:uid="{00000000-0004-0000-1100-000001000000}"/>
  </hyperlinks>
  <pageMargins left="0.7" right="0.7" top="0.75" bottom="0.75" header="0.3" footer="0.3"/>
  <pageSetup orientation="portrait" r:id="rId3"/>
  <drawing r:id="rId4"/>
  <legacyDrawing r:id="rId5"/>
  <extLst>
    <ext xmlns:x14="http://schemas.microsoft.com/office/spreadsheetml/2009/9/main" uri="{78C0D931-6437-407d-A8EE-F0AAD7539E65}">
      <x14:conditionalFormattings>
        <x14:conditionalFormatting xmlns:xm="http://schemas.microsoft.com/office/excel/2006/main">
          <x14:cfRule type="dataBar" id="{9DCC89A1-C9BE-4DFE-9189-D89FFD9303C6}">
            <x14:dataBar minLength="0" maxLength="100" border="1" negativeBarBorderColorSameAsPositive="0">
              <x14:cfvo type="autoMin"/>
              <x14:cfvo type="autoMax"/>
              <x14:borderColor rgb="FF63C384"/>
              <x14:negativeFillColor rgb="FFFF0000"/>
              <x14:negativeBorderColor rgb="FFFF0000"/>
              <x14:axisColor rgb="FF000000"/>
            </x14:dataBar>
          </x14:cfRule>
          <xm:sqref>I6:I35</xm:sqref>
        </x14:conditionalFormatting>
        <x14:conditionalFormatting xmlns:xm="http://schemas.microsoft.com/office/excel/2006/main">
          <x14:cfRule type="dataBar" id="{DD3B4143-A794-445A-81F6-792233F22EE7}">
            <x14:dataBar minLength="0" maxLength="100" border="1" negativeBarBorderColorSameAsPositive="0">
              <x14:cfvo type="autoMin"/>
              <x14:cfvo type="autoMax"/>
              <x14:borderColor rgb="FF638EC6"/>
              <x14:negativeFillColor rgb="FFFF0000"/>
              <x14:negativeBorderColor rgb="FFFF0000"/>
              <x14:axisColor rgb="FF000000"/>
            </x14:dataBar>
          </x14:cfRule>
          <xm:sqref>S64:V93</xm:sqref>
        </x14:conditionalFormatting>
      </x14:conditionalFormattings>
    </ext>
  </extLst>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filterMode="1">
    <tabColor theme="8" tint="0.39997558519241921"/>
  </sheetPr>
  <dimension ref="A3:P94"/>
  <sheetViews>
    <sheetView workbookViewId="0">
      <selection activeCell="D32" sqref="D32"/>
    </sheetView>
  </sheetViews>
  <sheetFormatPr defaultColWidth="8.81640625" defaultRowHeight="14.5" x14ac:dyDescent="0.35"/>
  <cols>
    <col min="1" max="1" width="22.36328125" bestFit="1" customWidth="1"/>
    <col min="2" max="2" width="12" customWidth="1"/>
    <col min="4" max="4" width="16.6328125" style="159" bestFit="1" customWidth="1"/>
    <col min="6" max="6" width="15" bestFit="1" customWidth="1"/>
    <col min="10" max="10" width="28.453125" bestFit="1" customWidth="1"/>
    <col min="11" max="11" width="11.36328125" bestFit="1" customWidth="1"/>
  </cols>
  <sheetData>
    <row r="3" spans="1:16" x14ac:dyDescent="0.35">
      <c r="A3" s="323" t="s">
        <v>3062</v>
      </c>
      <c r="B3" s="301"/>
      <c r="C3" s="301"/>
      <c r="D3" s="325"/>
      <c r="E3" s="301"/>
      <c r="F3" s="301"/>
      <c r="J3" s="323" t="s">
        <v>3077</v>
      </c>
      <c r="K3" s="301"/>
      <c r="L3" s="301"/>
      <c r="N3" s="323" t="s">
        <v>3078</v>
      </c>
      <c r="O3" s="301"/>
      <c r="P3" s="301"/>
    </row>
    <row r="4" spans="1:16" x14ac:dyDescent="0.35">
      <c r="A4" s="94" t="s">
        <v>2960</v>
      </c>
      <c r="B4" s="94" t="s">
        <v>2886</v>
      </c>
      <c r="C4" s="94" t="s">
        <v>41</v>
      </c>
      <c r="D4" s="326" t="s">
        <v>3079</v>
      </c>
      <c r="E4" s="304" t="s">
        <v>2962</v>
      </c>
      <c r="F4" s="94" t="s">
        <v>2961</v>
      </c>
      <c r="J4" s="94" t="s">
        <v>2960</v>
      </c>
      <c r="K4" s="94" t="s">
        <v>2886</v>
      </c>
      <c r="L4" s="94" t="s">
        <v>3061</v>
      </c>
      <c r="N4" s="94" t="s">
        <v>2960</v>
      </c>
      <c r="O4" s="94" t="s">
        <v>2886</v>
      </c>
      <c r="P4" s="94" t="s">
        <v>3061</v>
      </c>
    </row>
    <row r="5" spans="1:16" x14ac:dyDescent="0.35">
      <c r="A5" s="281" t="str">
        <f t="shared" ref="A5:A68" si="0">C5&amp;"_"&amp;B5&amp;"_lumped"</f>
        <v>AT_hydro-ROR_lumped</v>
      </c>
      <c r="B5" s="278" t="s">
        <v>2882</v>
      </c>
      <c r="C5" s="216" t="s">
        <v>2797</v>
      </c>
      <c r="D5" s="327">
        <f>E5*F5</f>
        <v>5670</v>
      </c>
      <c r="E5">
        <f>VLOOKUP(C5,'Country Totals (All Aggregated)'!$AE$64:$AH$93,MATCH(B5,'Country Totals (All Aggregated)'!$AE$63:$AH$63,0),FALSE)</f>
        <v>81</v>
      </c>
      <c r="F5">
        <f>VLOOKUP(B5,'Country Totals (All Aggregated)'!$AC$54:$AE$56,3,FALSE)</f>
        <v>70</v>
      </c>
      <c r="J5" s="281" t="str">
        <f>C5&amp;"_"&amp;B5&amp;"_lumped_Head"</f>
        <v>AT_hydro-ROR_lumped_Head</v>
      </c>
      <c r="K5" s="278" t="s">
        <v>3048</v>
      </c>
      <c r="L5">
        <f>VLOOKUP(C5,'Country Totals (All Aggregated)'!$AI$64:$AL$93,MATCH(B5,'Country Totals (All Aggregated)'!$AI$63:$AL$63,0),FALSE)</f>
        <v>338.93</v>
      </c>
      <c r="N5" t="str">
        <f>C5&amp;"_"&amp;B5&amp;"_lumped_Tail"</f>
        <v>AT_hydro-ROR_lumped_Tail</v>
      </c>
    </row>
    <row r="6" spans="1:16" hidden="1" x14ac:dyDescent="0.35">
      <c r="A6" s="281" t="str">
        <f t="shared" si="0"/>
        <v>BE_hydro-ROR_lumped</v>
      </c>
      <c r="B6" s="278" t="s">
        <v>2882</v>
      </c>
      <c r="C6" s="216" t="s">
        <v>2798</v>
      </c>
      <c r="D6" s="327">
        <f t="shared" ref="D6:D69" si="1">E6*F6</f>
        <v>0</v>
      </c>
      <c r="E6">
        <f>VLOOKUP(C6,'Country Totals (All Aggregated)'!$AE$64:$AH$93,MATCH(B6,'Country Totals (All Aggregated)'!$AE$63:$AH$63,0),FALSE)</f>
        <v>0</v>
      </c>
      <c r="F6">
        <f>VLOOKUP(B6,'Country Totals (All Aggregated)'!$AC$54:$AE$56,3,FALSE)</f>
        <v>70</v>
      </c>
      <c r="J6" s="281" t="str">
        <f t="shared" ref="J6:J69" si="2">C6&amp;"_"&amp;B6&amp;"_lumped_Head"</f>
        <v>BE_hydro-ROR_lumped_Head</v>
      </c>
      <c r="K6" s="278" t="s">
        <v>3048</v>
      </c>
      <c r="L6">
        <f>VLOOKUP(C6,'Country Totals (All Aggregated)'!$AI$64:$AL$93,MATCH(B6,'Country Totals (All Aggregated)'!$AI$63:$AL$63,0),FALSE)</f>
        <v>0</v>
      </c>
    </row>
    <row r="7" spans="1:16" hidden="1" x14ac:dyDescent="0.35">
      <c r="A7" s="281" t="str">
        <f t="shared" si="0"/>
        <v>BG_hydro-ROR_lumped</v>
      </c>
      <c r="B7" s="278" t="s">
        <v>2882</v>
      </c>
      <c r="C7" s="216" t="s">
        <v>2799</v>
      </c>
      <c r="D7" s="327">
        <f t="shared" si="1"/>
        <v>0</v>
      </c>
      <c r="E7">
        <f>VLOOKUP(C7,'Country Totals (All Aggregated)'!$AE$64:$AH$93,MATCH(B7,'Country Totals (All Aggregated)'!$AE$63:$AH$63,0),FALSE)</f>
        <v>0</v>
      </c>
      <c r="F7">
        <f>VLOOKUP(B7,'Country Totals (All Aggregated)'!$AC$54:$AE$56,3,FALSE)</f>
        <v>70</v>
      </c>
      <c r="J7" s="281" t="str">
        <f t="shared" si="2"/>
        <v>BG_hydro-ROR_lumped_Head</v>
      </c>
      <c r="K7" s="278" t="s">
        <v>3048</v>
      </c>
      <c r="L7">
        <f>VLOOKUP(C7,'Country Totals (All Aggregated)'!$AI$64:$AL$93,MATCH(B7,'Country Totals (All Aggregated)'!$AI$63:$AL$63,0),FALSE)</f>
        <v>0</v>
      </c>
    </row>
    <row r="8" spans="1:16" x14ac:dyDescent="0.35">
      <c r="A8" s="281" t="str">
        <f t="shared" si="0"/>
        <v>CH_hydro-ROR_lumped</v>
      </c>
      <c r="B8" s="278" t="s">
        <v>2882</v>
      </c>
      <c r="C8" s="216" t="s">
        <v>2800</v>
      </c>
      <c r="D8" s="327">
        <f t="shared" si="1"/>
        <v>140</v>
      </c>
      <c r="E8">
        <f>VLOOKUP(C8,'Country Totals (All Aggregated)'!$AE$64:$AH$93,MATCH(B8,'Country Totals (All Aggregated)'!$AE$63:$AH$63,0),FALSE)</f>
        <v>2</v>
      </c>
      <c r="F8">
        <f>VLOOKUP(B8,'Country Totals (All Aggregated)'!$AC$54:$AE$56,3,FALSE)</f>
        <v>70</v>
      </c>
      <c r="J8" s="281" t="str">
        <f t="shared" si="2"/>
        <v>CH_hydro-ROR_lumped_Head</v>
      </c>
      <c r="K8" s="278" t="s">
        <v>3048</v>
      </c>
      <c r="L8">
        <f>VLOOKUP(C8,'Country Totals (All Aggregated)'!$AI$64:$AL$93,MATCH(B8,'Country Totals (All Aggregated)'!$AI$63:$AL$63,0),FALSE)</f>
        <v>8.3699999999999992</v>
      </c>
      <c r="N8" t="str">
        <f>C8&amp;"_"&amp;B8&amp;"_lumped_Tail"</f>
        <v>CH_hydro-ROR_lumped_Tail</v>
      </c>
    </row>
    <row r="9" spans="1:16" hidden="1" x14ac:dyDescent="0.35">
      <c r="A9" s="281" t="str">
        <f t="shared" si="0"/>
        <v>CY_hydro-ROR_lumped</v>
      </c>
      <c r="B9" s="278" t="s">
        <v>2882</v>
      </c>
      <c r="C9" s="216" t="s">
        <v>2801</v>
      </c>
      <c r="D9" s="327">
        <f t="shared" si="1"/>
        <v>0</v>
      </c>
      <c r="E9">
        <f>VLOOKUP(C9,'Country Totals (All Aggregated)'!$AE$64:$AH$93,MATCH(B9,'Country Totals (All Aggregated)'!$AE$63:$AH$63,0),FALSE)</f>
        <v>0</v>
      </c>
      <c r="F9">
        <f>VLOOKUP(B9,'Country Totals (All Aggregated)'!$AC$54:$AE$56,3,FALSE)</f>
        <v>70</v>
      </c>
      <c r="J9" s="281" t="str">
        <f t="shared" si="2"/>
        <v>CY_hydro-ROR_lumped_Head</v>
      </c>
      <c r="K9" s="278" t="s">
        <v>3048</v>
      </c>
      <c r="L9">
        <f>VLOOKUP(C9,'Country Totals (All Aggregated)'!$AI$64:$AL$93,MATCH(B9,'Country Totals (All Aggregated)'!$AI$63:$AL$63,0),FALSE)</f>
        <v>0</v>
      </c>
    </row>
    <row r="10" spans="1:16" hidden="1" x14ac:dyDescent="0.35">
      <c r="A10" s="281" t="str">
        <f t="shared" si="0"/>
        <v>CZ_hydro-ROR_lumped</v>
      </c>
      <c r="B10" s="278" t="s">
        <v>2882</v>
      </c>
      <c r="C10" s="216" t="s">
        <v>2802</v>
      </c>
      <c r="D10" s="327">
        <f t="shared" si="1"/>
        <v>0</v>
      </c>
      <c r="E10">
        <f>VLOOKUP(C10,'Country Totals (All Aggregated)'!$AE$64:$AH$93,MATCH(B10,'Country Totals (All Aggregated)'!$AE$63:$AH$63,0),FALSE)</f>
        <v>0</v>
      </c>
      <c r="F10">
        <f>VLOOKUP(B10,'Country Totals (All Aggregated)'!$AC$54:$AE$56,3,FALSE)</f>
        <v>70</v>
      </c>
      <c r="J10" s="281" t="str">
        <f t="shared" si="2"/>
        <v>CZ_hydro-ROR_lumped_Head</v>
      </c>
      <c r="K10" s="278" t="s">
        <v>3048</v>
      </c>
      <c r="L10">
        <f>VLOOKUP(C10,'Country Totals (All Aggregated)'!$AI$64:$AL$93,MATCH(B10,'Country Totals (All Aggregated)'!$AI$63:$AL$63,0),FALSE)</f>
        <v>0</v>
      </c>
    </row>
    <row r="11" spans="1:16" x14ac:dyDescent="0.35">
      <c r="A11" s="281" t="str">
        <f t="shared" si="0"/>
        <v>DE_hydro-ROR_lumped</v>
      </c>
      <c r="B11" s="278" t="s">
        <v>2882</v>
      </c>
      <c r="C11" s="216" t="s">
        <v>2803</v>
      </c>
      <c r="D11" s="327">
        <f t="shared" si="1"/>
        <v>1890</v>
      </c>
      <c r="E11">
        <f>VLOOKUP(C11,'Country Totals (All Aggregated)'!$AE$64:$AH$93,MATCH(B11,'Country Totals (All Aggregated)'!$AE$63:$AH$63,0),FALSE)</f>
        <v>27</v>
      </c>
      <c r="F11">
        <f>VLOOKUP(B11,'Country Totals (All Aggregated)'!$AC$54:$AE$56,3,FALSE)</f>
        <v>70</v>
      </c>
      <c r="J11" s="281" t="str">
        <f t="shared" si="2"/>
        <v>DE_hydro-ROR_lumped_Head</v>
      </c>
      <c r="K11" s="278" t="s">
        <v>3048</v>
      </c>
      <c r="L11">
        <f>VLOOKUP(C11,'Country Totals (All Aggregated)'!$AI$64:$AL$93,MATCH(B11,'Country Totals (All Aggregated)'!$AI$63:$AL$63,0),FALSE)</f>
        <v>112.98</v>
      </c>
      <c r="N11" t="str">
        <f>C11&amp;"_"&amp;B11&amp;"_lumped_Tail"</f>
        <v>DE_hydro-ROR_lumped_Tail</v>
      </c>
    </row>
    <row r="12" spans="1:16" hidden="1" x14ac:dyDescent="0.35">
      <c r="A12" s="281" t="str">
        <f t="shared" si="0"/>
        <v>DK_hydro-ROR_lumped</v>
      </c>
      <c r="B12" s="278" t="s">
        <v>2882</v>
      </c>
      <c r="C12" s="216" t="s">
        <v>2804</v>
      </c>
      <c r="D12" s="327">
        <f t="shared" si="1"/>
        <v>0</v>
      </c>
      <c r="E12">
        <f>VLOOKUP(C12,'Country Totals (All Aggregated)'!$AE$64:$AH$93,MATCH(B12,'Country Totals (All Aggregated)'!$AE$63:$AH$63,0),FALSE)</f>
        <v>0</v>
      </c>
      <c r="F12">
        <f>VLOOKUP(B12,'Country Totals (All Aggregated)'!$AC$54:$AE$56,3,FALSE)</f>
        <v>70</v>
      </c>
      <c r="J12" s="281" t="str">
        <f t="shared" si="2"/>
        <v>DK_hydro-ROR_lumped_Head</v>
      </c>
      <c r="K12" s="278" t="s">
        <v>3048</v>
      </c>
      <c r="L12">
        <f>VLOOKUP(C12,'Country Totals (All Aggregated)'!$AI$64:$AL$93,MATCH(B12,'Country Totals (All Aggregated)'!$AI$63:$AL$63,0),FALSE)</f>
        <v>0</v>
      </c>
    </row>
    <row r="13" spans="1:16" hidden="1" x14ac:dyDescent="0.35">
      <c r="A13" s="281" t="str">
        <f t="shared" si="0"/>
        <v>EE_hydro-ROR_lumped</v>
      </c>
      <c r="B13" s="278" t="s">
        <v>2882</v>
      </c>
      <c r="C13" s="216" t="s">
        <v>2805</v>
      </c>
      <c r="D13" s="327">
        <f t="shared" si="1"/>
        <v>0</v>
      </c>
      <c r="E13">
        <f>VLOOKUP(C13,'Country Totals (All Aggregated)'!$AE$64:$AH$93,MATCH(B13,'Country Totals (All Aggregated)'!$AE$63:$AH$63,0),FALSE)</f>
        <v>0</v>
      </c>
      <c r="F13">
        <f>VLOOKUP(B13,'Country Totals (All Aggregated)'!$AC$54:$AE$56,3,FALSE)</f>
        <v>70</v>
      </c>
      <c r="J13" s="281" t="str">
        <f t="shared" si="2"/>
        <v>EE_hydro-ROR_lumped_Head</v>
      </c>
      <c r="K13" s="278" t="s">
        <v>3048</v>
      </c>
      <c r="L13">
        <f>VLOOKUP(C13,'Country Totals (All Aggregated)'!$AI$64:$AL$93,MATCH(B13,'Country Totals (All Aggregated)'!$AI$63:$AL$63,0),FALSE)</f>
        <v>0</v>
      </c>
    </row>
    <row r="14" spans="1:16" hidden="1" x14ac:dyDescent="0.35">
      <c r="A14" s="281" t="str">
        <f t="shared" si="0"/>
        <v>ES_hydro-ROR_lumped</v>
      </c>
      <c r="B14" s="278" t="s">
        <v>2882</v>
      </c>
      <c r="C14" s="216" t="s">
        <v>2807</v>
      </c>
      <c r="D14" s="327">
        <f t="shared" si="1"/>
        <v>0</v>
      </c>
      <c r="E14">
        <f>VLOOKUP(C14,'Country Totals (All Aggregated)'!$AE$64:$AH$93,MATCH(B14,'Country Totals (All Aggregated)'!$AE$63:$AH$63,0),FALSE)</f>
        <v>0</v>
      </c>
      <c r="F14">
        <f>VLOOKUP(B14,'Country Totals (All Aggregated)'!$AC$54:$AE$56,3,FALSE)</f>
        <v>70</v>
      </c>
      <c r="J14" s="281" t="str">
        <f t="shared" si="2"/>
        <v>ES_hydro-ROR_lumped_Head</v>
      </c>
      <c r="K14" s="278" t="s">
        <v>3048</v>
      </c>
      <c r="L14">
        <f>VLOOKUP(C14,'Country Totals (All Aggregated)'!$AI$64:$AL$93,MATCH(B14,'Country Totals (All Aggregated)'!$AI$63:$AL$63,0),FALSE)</f>
        <v>0</v>
      </c>
    </row>
    <row r="15" spans="1:16" x14ac:dyDescent="0.35">
      <c r="A15" s="281" t="str">
        <f t="shared" si="0"/>
        <v>FI_hydro-ROR_lumped</v>
      </c>
      <c r="B15" s="278" t="s">
        <v>2882</v>
      </c>
      <c r="C15" s="216" t="s">
        <v>2808</v>
      </c>
      <c r="D15" s="327">
        <f t="shared" si="1"/>
        <v>3220</v>
      </c>
      <c r="E15">
        <f>VLOOKUP(C15,'Country Totals (All Aggregated)'!$AE$64:$AH$93,MATCH(B15,'Country Totals (All Aggregated)'!$AE$63:$AH$63,0),FALSE)</f>
        <v>46</v>
      </c>
      <c r="F15">
        <f>VLOOKUP(B15,'Country Totals (All Aggregated)'!$AC$54:$AE$56,3,FALSE)</f>
        <v>70</v>
      </c>
      <c r="J15" s="281" t="str">
        <f t="shared" si="2"/>
        <v>FI_hydro-ROR_lumped_Head</v>
      </c>
      <c r="K15" s="278" t="s">
        <v>3048</v>
      </c>
      <c r="L15">
        <f>VLOOKUP(C15,'Country Totals (All Aggregated)'!$AI$64:$AL$93,MATCH(B15,'Country Totals (All Aggregated)'!$AI$63:$AL$63,0),FALSE)</f>
        <v>192.48</v>
      </c>
      <c r="N15" t="str">
        <f t="shared" ref="N15:N17" si="3">C15&amp;"_"&amp;B15&amp;"_lumped_Tail"</f>
        <v>FI_hydro-ROR_lumped_Tail</v>
      </c>
    </row>
    <row r="16" spans="1:16" x14ac:dyDescent="0.35">
      <c r="A16" s="281" t="str">
        <f t="shared" si="0"/>
        <v>FR_hydro-ROR_lumped</v>
      </c>
      <c r="B16" s="278" t="s">
        <v>2882</v>
      </c>
      <c r="C16" s="216" t="s">
        <v>2809</v>
      </c>
      <c r="D16" s="327">
        <f t="shared" si="1"/>
        <v>7770</v>
      </c>
      <c r="E16">
        <f>VLOOKUP(C16,'Country Totals (All Aggregated)'!$AE$64:$AH$93,MATCH(B16,'Country Totals (All Aggregated)'!$AE$63:$AH$63,0),FALSE)</f>
        <v>111</v>
      </c>
      <c r="F16">
        <f>VLOOKUP(B16,'Country Totals (All Aggregated)'!$AC$54:$AE$56,3,FALSE)</f>
        <v>70</v>
      </c>
      <c r="J16" s="281" t="str">
        <f t="shared" si="2"/>
        <v>FR_hydro-ROR_lumped_Head</v>
      </c>
      <c r="K16" s="278" t="s">
        <v>3048</v>
      </c>
      <c r="L16">
        <f>VLOOKUP(C16,'Country Totals (All Aggregated)'!$AI$64:$AL$93,MATCH(B16,'Country Totals (All Aggregated)'!$AI$63:$AL$63,0),FALSE)</f>
        <v>464.47</v>
      </c>
      <c r="N16" t="str">
        <f t="shared" si="3"/>
        <v>FR_hydro-ROR_lumped_Tail</v>
      </c>
    </row>
    <row r="17" spans="1:14" x14ac:dyDescent="0.35">
      <c r="A17" s="281" t="str">
        <f t="shared" si="0"/>
        <v>GB_hydro-ROR_lumped</v>
      </c>
      <c r="B17" s="278" t="s">
        <v>2882</v>
      </c>
      <c r="C17" s="216" t="s">
        <v>2832</v>
      </c>
      <c r="D17" s="327">
        <f t="shared" si="1"/>
        <v>3780</v>
      </c>
      <c r="E17">
        <f>VLOOKUP(C17,'Country Totals (All Aggregated)'!$AE$64:$AH$93,MATCH(B17,'Country Totals (All Aggregated)'!$AE$63:$AH$63,0),FALSE)</f>
        <v>54</v>
      </c>
      <c r="F17">
        <f>VLOOKUP(B17,'Country Totals (All Aggregated)'!$AC$54:$AE$56,3,FALSE)</f>
        <v>70</v>
      </c>
      <c r="J17" s="281" t="str">
        <f t="shared" si="2"/>
        <v>GB_hydro-ROR_lumped_Head</v>
      </c>
      <c r="K17" s="278" t="s">
        <v>3048</v>
      </c>
      <c r="L17">
        <f>VLOOKUP(C17,'Country Totals (All Aggregated)'!$AI$64:$AL$93,MATCH(B17,'Country Totals (All Aggregated)'!$AI$63:$AL$63,0),FALSE)</f>
        <v>225.96</v>
      </c>
      <c r="N17" t="str">
        <f t="shared" si="3"/>
        <v>GB_hydro-ROR_lumped_Tail</v>
      </c>
    </row>
    <row r="18" spans="1:14" hidden="1" x14ac:dyDescent="0.35">
      <c r="A18" s="281" t="str">
        <f t="shared" si="0"/>
        <v>EL_hydro-ROR_lumped</v>
      </c>
      <c r="B18" s="278" t="s">
        <v>2882</v>
      </c>
      <c r="C18" s="216" t="s">
        <v>2806</v>
      </c>
      <c r="D18" s="327">
        <f t="shared" si="1"/>
        <v>0</v>
      </c>
      <c r="E18">
        <f>VLOOKUP(C18,'Country Totals (All Aggregated)'!$AE$64:$AH$93,MATCH(B18,'Country Totals (All Aggregated)'!$AE$63:$AH$63,0),FALSE)</f>
        <v>0</v>
      </c>
      <c r="F18">
        <f>VLOOKUP(B18,'Country Totals (All Aggregated)'!$AC$54:$AE$56,3,FALSE)</f>
        <v>70</v>
      </c>
      <c r="J18" s="281" t="str">
        <f t="shared" si="2"/>
        <v>EL_hydro-ROR_lumped_Head</v>
      </c>
      <c r="K18" s="278" t="s">
        <v>3048</v>
      </c>
      <c r="L18">
        <f>VLOOKUP(C18,'Country Totals (All Aggregated)'!$AI$64:$AL$93,MATCH(B18,'Country Totals (All Aggregated)'!$AI$63:$AL$63,0),FALSE)</f>
        <v>0</v>
      </c>
    </row>
    <row r="19" spans="1:14" x14ac:dyDescent="0.35">
      <c r="A19" s="281" t="str">
        <f t="shared" si="0"/>
        <v>HR_hydro-ROR_lumped</v>
      </c>
      <c r="B19" s="278" t="s">
        <v>2882</v>
      </c>
      <c r="C19" s="216" t="s">
        <v>2810</v>
      </c>
      <c r="D19" s="327" t="e">
        <f t="shared" si="1"/>
        <v>#N/A</v>
      </c>
      <c r="E19" t="e">
        <f>VLOOKUP(C19,'Country Totals (All Aggregated)'!$AE$64:$AH$93,MATCH(B19,'Country Totals (All Aggregated)'!$AE$63:$AH$63,0),FALSE)</f>
        <v>#N/A</v>
      </c>
      <c r="F19">
        <f>VLOOKUP(B19,'Country Totals (All Aggregated)'!$AC$54:$AE$56,3,FALSE)</f>
        <v>70</v>
      </c>
      <c r="J19" s="281" t="str">
        <f t="shared" si="2"/>
        <v>HR_hydro-ROR_lumped_Head</v>
      </c>
      <c r="K19" s="278" t="s">
        <v>3048</v>
      </c>
      <c r="L19" t="e">
        <f>VLOOKUP(C19,'Country Totals (All Aggregated)'!$AI$64:$AL$93,MATCH(B19,'Country Totals (All Aggregated)'!$AI$63:$AL$63,0),FALSE)</f>
        <v>#N/A</v>
      </c>
      <c r="N19" t="str">
        <f>C19&amp;"_"&amp;B19&amp;"_lumped_Tail"</f>
        <v>HR_hydro-ROR_lumped_Tail</v>
      </c>
    </row>
    <row r="20" spans="1:14" hidden="1" x14ac:dyDescent="0.35">
      <c r="A20" s="281" t="str">
        <f t="shared" si="0"/>
        <v>HU_hydro-ROR_lumped</v>
      </c>
      <c r="B20" s="278" t="s">
        <v>2882</v>
      </c>
      <c r="C20" s="216" t="s">
        <v>2811</v>
      </c>
      <c r="D20" s="327">
        <f t="shared" si="1"/>
        <v>0</v>
      </c>
      <c r="E20">
        <f>VLOOKUP(C20,'Country Totals (All Aggregated)'!$AE$64:$AH$93,MATCH(B20,'Country Totals (All Aggregated)'!$AE$63:$AH$63,0),FALSE)</f>
        <v>0</v>
      </c>
      <c r="F20">
        <f>VLOOKUP(B20,'Country Totals (All Aggregated)'!$AC$54:$AE$56,3,FALSE)</f>
        <v>70</v>
      </c>
      <c r="J20" s="281" t="str">
        <f t="shared" si="2"/>
        <v>HU_hydro-ROR_lumped_Head</v>
      </c>
      <c r="K20" s="278" t="s">
        <v>3048</v>
      </c>
      <c r="L20">
        <f>VLOOKUP(C20,'Country Totals (All Aggregated)'!$AI$64:$AL$93,MATCH(B20,'Country Totals (All Aggregated)'!$AI$63:$AL$63,0),FALSE)</f>
        <v>0</v>
      </c>
    </row>
    <row r="21" spans="1:14" x14ac:dyDescent="0.35">
      <c r="A21" s="281" t="str">
        <f t="shared" si="0"/>
        <v>IE_hydro-ROR_lumped</v>
      </c>
      <c r="B21" s="278" t="s">
        <v>2882</v>
      </c>
      <c r="C21" s="216" t="s">
        <v>2812</v>
      </c>
      <c r="D21" s="327">
        <f t="shared" si="1"/>
        <v>210</v>
      </c>
      <c r="E21">
        <f>VLOOKUP(C21,'Country Totals (All Aggregated)'!$AE$64:$AH$93,MATCH(B21,'Country Totals (All Aggregated)'!$AE$63:$AH$63,0),FALSE)</f>
        <v>3</v>
      </c>
      <c r="F21">
        <f>VLOOKUP(B21,'Country Totals (All Aggregated)'!$AC$54:$AE$56,3,FALSE)</f>
        <v>70</v>
      </c>
      <c r="J21" s="281" t="str">
        <f t="shared" si="2"/>
        <v>IE_hydro-ROR_lumped_Head</v>
      </c>
      <c r="K21" s="278" t="s">
        <v>3048</v>
      </c>
      <c r="L21">
        <f>VLOOKUP(C21,'Country Totals (All Aggregated)'!$AI$64:$AL$93,MATCH(B21,'Country Totals (All Aggregated)'!$AI$63:$AL$63,0),FALSE)</f>
        <v>12.55</v>
      </c>
      <c r="N21" t="str">
        <f t="shared" ref="N21:N23" si="4">C21&amp;"_"&amp;B21&amp;"_lumped_Tail"</f>
        <v>IE_hydro-ROR_lumped_Tail</v>
      </c>
    </row>
    <row r="22" spans="1:14" x14ac:dyDescent="0.35">
      <c r="A22" s="281" t="str">
        <f t="shared" si="0"/>
        <v>IT_hydro-ROR_lumped</v>
      </c>
      <c r="B22" s="278" t="s">
        <v>2882</v>
      </c>
      <c r="C22" s="216" t="s">
        <v>2813</v>
      </c>
      <c r="D22" s="327">
        <f t="shared" si="1"/>
        <v>9800</v>
      </c>
      <c r="E22">
        <f>VLOOKUP(C22,'Country Totals (All Aggregated)'!$AE$64:$AH$93,MATCH(B22,'Country Totals (All Aggregated)'!$AE$63:$AH$63,0),FALSE)</f>
        <v>140</v>
      </c>
      <c r="F22">
        <f>VLOOKUP(B22,'Country Totals (All Aggregated)'!$AC$54:$AE$56,3,FALSE)</f>
        <v>70</v>
      </c>
      <c r="J22" s="281" t="str">
        <f t="shared" si="2"/>
        <v>IT_hydro-ROR_lumped_Head</v>
      </c>
      <c r="K22" s="278" t="s">
        <v>3048</v>
      </c>
      <c r="L22">
        <f>VLOOKUP(C22,'Country Totals (All Aggregated)'!$AI$64:$AL$93,MATCH(B22,'Country Totals (All Aggregated)'!$AI$63:$AL$63,0),FALSE)</f>
        <v>585.80999999999995</v>
      </c>
      <c r="N22" t="str">
        <f t="shared" si="4"/>
        <v>IT_hydro-ROR_lumped_Tail</v>
      </c>
    </row>
    <row r="23" spans="1:14" x14ac:dyDescent="0.35">
      <c r="A23" s="281" t="str">
        <f t="shared" si="0"/>
        <v>LT_hydro-ROR_lumped</v>
      </c>
      <c r="B23" s="278" t="s">
        <v>2882</v>
      </c>
      <c r="C23" s="216" t="s">
        <v>2814</v>
      </c>
      <c r="D23" s="327">
        <f t="shared" si="1"/>
        <v>70</v>
      </c>
      <c r="E23">
        <f>VLOOKUP(C23,'Country Totals (All Aggregated)'!$AE$64:$AH$93,MATCH(B23,'Country Totals (All Aggregated)'!$AE$63:$AH$63,0),FALSE)</f>
        <v>1</v>
      </c>
      <c r="F23">
        <f>VLOOKUP(B23,'Country Totals (All Aggregated)'!$AC$54:$AE$56,3,FALSE)</f>
        <v>70</v>
      </c>
      <c r="J23" s="281" t="str">
        <f t="shared" si="2"/>
        <v>LT_hydro-ROR_lumped_Head</v>
      </c>
      <c r="K23" s="278" t="s">
        <v>3048</v>
      </c>
      <c r="L23">
        <f>VLOOKUP(C23,'Country Totals (All Aggregated)'!$AI$64:$AL$93,MATCH(B23,'Country Totals (All Aggregated)'!$AI$63:$AL$63,0),FALSE)</f>
        <v>4.18</v>
      </c>
      <c r="N23" t="str">
        <f t="shared" si="4"/>
        <v>LT_hydro-ROR_lumped_Tail</v>
      </c>
    </row>
    <row r="24" spans="1:14" hidden="1" x14ac:dyDescent="0.35">
      <c r="A24" s="281" t="str">
        <f t="shared" si="0"/>
        <v>LU_hydro-ROR_lumped</v>
      </c>
      <c r="B24" s="278" t="s">
        <v>2882</v>
      </c>
      <c r="C24" s="216" t="s">
        <v>2815</v>
      </c>
      <c r="D24" s="327" t="e">
        <f t="shared" si="1"/>
        <v>#N/A</v>
      </c>
      <c r="E24" t="e">
        <f>VLOOKUP(C24,'Country Totals (All Aggregated)'!$AE$64:$AH$93,MATCH(B24,'Country Totals (All Aggregated)'!$AE$63:$AH$63,0),FALSE)</f>
        <v>#N/A</v>
      </c>
      <c r="F24">
        <f>VLOOKUP(B24,'Country Totals (All Aggregated)'!$AC$54:$AE$56,3,FALSE)</f>
        <v>70</v>
      </c>
      <c r="J24" s="281" t="str">
        <f t="shared" si="2"/>
        <v>LU_hydro-ROR_lumped_Head</v>
      </c>
      <c r="K24" s="278" t="s">
        <v>3048</v>
      </c>
      <c r="L24" t="e">
        <f>VLOOKUP(C24,'Country Totals (All Aggregated)'!$AI$64:$AL$93,MATCH(B24,'Country Totals (All Aggregated)'!$AI$63:$AL$63,0),FALSE)</f>
        <v>#N/A</v>
      </c>
    </row>
    <row r="25" spans="1:14" x14ac:dyDescent="0.35">
      <c r="A25" s="281" t="str">
        <f t="shared" si="0"/>
        <v>LV_hydro-ROR_lumped</v>
      </c>
      <c r="B25" s="278" t="s">
        <v>2882</v>
      </c>
      <c r="C25" s="216" t="s">
        <v>2816</v>
      </c>
      <c r="D25" s="327">
        <f t="shared" si="1"/>
        <v>490</v>
      </c>
      <c r="E25">
        <f>VLOOKUP(C25,'Country Totals (All Aggregated)'!$AE$64:$AH$93,MATCH(B25,'Country Totals (All Aggregated)'!$AE$63:$AH$63,0),FALSE)</f>
        <v>7</v>
      </c>
      <c r="F25">
        <f>VLOOKUP(B25,'Country Totals (All Aggregated)'!$AC$54:$AE$56,3,FALSE)</f>
        <v>70</v>
      </c>
      <c r="J25" s="281" t="str">
        <f t="shared" si="2"/>
        <v>LV_hydro-ROR_lumped_Head</v>
      </c>
      <c r="K25" s="278" t="s">
        <v>3048</v>
      </c>
      <c r="L25">
        <f>VLOOKUP(C25,'Country Totals (All Aggregated)'!$AI$64:$AL$93,MATCH(B25,'Country Totals (All Aggregated)'!$AI$63:$AL$63,0),FALSE)</f>
        <v>29.29</v>
      </c>
      <c r="N25" t="str">
        <f>C25&amp;"_"&amp;B25&amp;"_lumped_Tail"</f>
        <v>LV_hydro-ROR_lumped_Tail</v>
      </c>
    </row>
    <row r="26" spans="1:14" hidden="1" x14ac:dyDescent="0.35">
      <c r="A26" s="281" t="str">
        <f t="shared" si="0"/>
        <v>NI_hydro-ROR_lumped</v>
      </c>
      <c r="B26" s="278" t="s">
        <v>2882</v>
      </c>
      <c r="C26" s="216" t="s">
        <v>2833</v>
      </c>
      <c r="D26" s="327">
        <f t="shared" si="1"/>
        <v>0</v>
      </c>
      <c r="E26">
        <f>VLOOKUP(C26,'Country Totals (All Aggregated)'!$AE$64:$AH$93,MATCH(B26,'Country Totals (All Aggregated)'!$AE$63:$AH$63,0),FALSE)</f>
        <v>0</v>
      </c>
      <c r="F26">
        <f>VLOOKUP(B26,'Country Totals (All Aggregated)'!$AC$54:$AE$56,3,FALSE)</f>
        <v>70</v>
      </c>
      <c r="J26" s="281" t="str">
        <f t="shared" si="2"/>
        <v>NI_hydro-ROR_lumped_Head</v>
      </c>
      <c r="K26" s="278" t="s">
        <v>3048</v>
      </c>
      <c r="L26">
        <f>VLOOKUP(C26,'Country Totals (All Aggregated)'!$AI$64:$AL$93,MATCH(B26,'Country Totals (All Aggregated)'!$AI$63:$AL$63,0),FALSE)</f>
        <v>0</v>
      </c>
    </row>
    <row r="27" spans="1:14" hidden="1" x14ac:dyDescent="0.35">
      <c r="A27" s="281" t="str">
        <f t="shared" si="0"/>
        <v>NL_hydro-ROR_lumped</v>
      </c>
      <c r="B27" s="278" t="s">
        <v>2882</v>
      </c>
      <c r="C27" s="216" t="s">
        <v>2818</v>
      </c>
      <c r="D27" s="327">
        <f t="shared" si="1"/>
        <v>0</v>
      </c>
      <c r="E27">
        <f>VLOOKUP(C27,'Country Totals (All Aggregated)'!$AE$64:$AH$93,MATCH(B27,'Country Totals (All Aggregated)'!$AE$63:$AH$63,0),FALSE)</f>
        <v>0</v>
      </c>
      <c r="F27">
        <f>VLOOKUP(B27,'Country Totals (All Aggregated)'!$AC$54:$AE$56,3,FALSE)</f>
        <v>70</v>
      </c>
      <c r="J27" s="281" t="str">
        <f t="shared" si="2"/>
        <v>NL_hydro-ROR_lumped_Head</v>
      </c>
      <c r="K27" s="278" t="s">
        <v>3048</v>
      </c>
      <c r="L27">
        <f>VLOOKUP(C27,'Country Totals (All Aggregated)'!$AI$64:$AL$93,MATCH(B27,'Country Totals (All Aggregated)'!$AI$63:$AL$63,0),FALSE)</f>
        <v>0</v>
      </c>
    </row>
    <row r="28" spans="1:14" x14ac:dyDescent="0.35">
      <c r="A28" s="281" t="str">
        <f t="shared" si="0"/>
        <v>NO_hydro-ROR_lumped</v>
      </c>
      <c r="B28" s="278" t="s">
        <v>2882</v>
      </c>
      <c r="C28" s="216" t="s">
        <v>2819</v>
      </c>
      <c r="D28" s="327">
        <f t="shared" si="1"/>
        <v>2240</v>
      </c>
      <c r="E28">
        <f>VLOOKUP(C28,'Country Totals (All Aggregated)'!$AE$64:$AH$93,MATCH(B28,'Country Totals (All Aggregated)'!$AE$63:$AH$63,0),FALSE)</f>
        <v>32</v>
      </c>
      <c r="F28">
        <f>VLOOKUP(B28,'Country Totals (All Aggregated)'!$AC$54:$AE$56,3,FALSE)</f>
        <v>70</v>
      </c>
      <c r="J28" s="281" t="str">
        <f t="shared" si="2"/>
        <v>NO_hydro-ROR_lumped_Head</v>
      </c>
      <c r="K28" s="278" t="s">
        <v>3048</v>
      </c>
      <c r="L28">
        <f>VLOOKUP(C28,'Country Totals (All Aggregated)'!$AI$64:$AL$93,MATCH(B28,'Country Totals (All Aggregated)'!$AI$63:$AL$63,0),FALSE)</f>
        <v>133.9</v>
      </c>
      <c r="N28" t="str">
        <f t="shared" ref="N28:N35" si="5">C28&amp;"_"&amp;B28&amp;"_lumped_Tail"</f>
        <v>NO_hydro-ROR_lumped_Tail</v>
      </c>
    </row>
    <row r="29" spans="1:14" x14ac:dyDescent="0.35">
      <c r="A29" s="281" t="str">
        <f t="shared" si="0"/>
        <v>PL_hydro-ROR_lumped</v>
      </c>
      <c r="B29" s="278" t="s">
        <v>2882</v>
      </c>
      <c r="C29" s="216" t="s">
        <v>2820</v>
      </c>
      <c r="D29" s="327">
        <f t="shared" si="1"/>
        <v>210</v>
      </c>
      <c r="E29">
        <f>VLOOKUP(C29,'Country Totals (All Aggregated)'!$AE$64:$AH$93,MATCH(B29,'Country Totals (All Aggregated)'!$AE$63:$AH$63,0),FALSE)</f>
        <v>3</v>
      </c>
      <c r="F29">
        <f>VLOOKUP(B29,'Country Totals (All Aggregated)'!$AC$54:$AE$56,3,FALSE)</f>
        <v>70</v>
      </c>
      <c r="J29" s="281" t="str">
        <f t="shared" si="2"/>
        <v>PL_hydro-ROR_lumped_Head</v>
      </c>
      <c r="K29" s="278" t="s">
        <v>3048</v>
      </c>
      <c r="L29">
        <f>VLOOKUP(C29,'Country Totals (All Aggregated)'!$AI$64:$AL$93,MATCH(B29,'Country Totals (All Aggregated)'!$AI$63:$AL$63,0),FALSE)</f>
        <v>12.55</v>
      </c>
      <c r="N29" t="str">
        <f t="shared" si="5"/>
        <v>PL_hydro-ROR_lumped_Tail</v>
      </c>
    </row>
    <row r="30" spans="1:14" x14ac:dyDescent="0.35">
      <c r="A30" s="281" t="str">
        <f t="shared" si="0"/>
        <v>PT_hydro-ROR_lumped</v>
      </c>
      <c r="B30" s="278" t="s">
        <v>2882</v>
      </c>
      <c r="C30" s="216" t="s">
        <v>2821</v>
      </c>
      <c r="D30" s="327">
        <f t="shared" si="1"/>
        <v>3080</v>
      </c>
      <c r="E30">
        <f>VLOOKUP(C30,'Country Totals (All Aggregated)'!$AE$64:$AH$93,MATCH(B30,'Country Totals (All Aggregated)'!$AE$63:$AH$63,0),FALSE)</f>
        <v>44</v>
      </c>
      <c r="F30">
        <f>VLOOKUP(B30,'Country Totals (All Aggregated)'!$AC$54:$AE$56,3,FALSE)</f>
        <v>70</v>
      </c>
      <c r="J30" s="281" t="str">
        <f t="shared" si="2"/>
        <v>PT_hydro-ROR_lumped_Head</v>
      </c>
      <c r="K30" s="278" t="s">
        <v>3048</v>
      </c>
      <c r="L30">
        <f>VLOOKUP(C30,'Country Totals (All Aggregated)'!$AI$64:$AL$93,MATCH(B30,'Country Totals (All Aggregated)'!$AI$63:$AL$63,0),FALSE)</f>
        <v>184.11</v>
      </c>
      <c r="N30" t="str">
        <f t="shared" si="5"/>
        <v>PT_hydro-ROR_lumped_Tail</v>
      </c>
    </row>
    <row r="31" spans="1:14" x14ac:dyDescent="0.35">
      <c r="A31" s="281" t="str">
        <f t="shared" si="0"/>
        <v>RO_hydro-ROR_lumped</v>
      </c>
      <c r="B31" s="278" t="s">
        <v>2882</v>
      </c>
      <c r="C31" s="216" t="s">
        <v>2822</v>
      </c>
      <c r="D31" s="327">
        <f t="shared" si="1"/>
        <v>2660</v>
      </c>
      <c r="E31">
        <f>VLOOKUP(C31,'Country Totals (All Aggregated)'!$AE$64:$AH$93,MATCH(B31,'Country Totals (All Aggregated)'!$AE$63:$AH$63,0),FALSE)</f>
        <v>38</v>
      </c>
      <c r="F31">
        <f>VLOOKUP(B31,'Country Totals (All Aggregated)'!$AC$54:$AE$56,3,FALSE)</f>
        <v>70</v>
      </c>
      <c r="J31" s="281" t="str">
        <f t="shared" si="2"/>
        <v>RO_hydro-ROR_lumped_Head</v>
      </c>
      <c r="K31" s="278" t="s">
        <v>3048</v>
      </c>
      <c r="L31">
        <f>VLOOKUP(C31,'Country Totals (All Aggregated)'!$AI$64:$AL$93,MATCH(B31,'Country Totals (All Aggregated)'!$AI$63:$AL$63,0),FALSE)</f>
        <v>159.01</v>
      </c>
      <c r="N31" t="str">
        <f t="shared" si="5"/>
        <v>RO_hydro-ROR_lumped_Tail</v>
      </c>
    </row>
    <row r="32" spans="1:14" x14ac:dyDescent="0.35">
      <c r="A32" s="281" t="str">
        <f t="shared" si="0"/>
        <v>SE_hydro-ROR_lumped</v>
      </c>
      <c r="B32" s="278" t="s">
        <v>2882</v>
      </c>
      <c r="C32" s="216" t="s">
        <v>2823</v>
      </c>
      <c r="D32" s="327">
        <f t="shared" si="1"/>
        <v>1540</v>
      </c>
      <c r="E32">
        <f>VLOOKUP(C32,'Country Totals (All Aggregated)'!$AE$64:$AH$93,MATCH(B32,'Country Totals (All Aggregated)'!$AE$63:$AH$63,0),FALSE)</f>
        <v>22</v>
      </c>
      <c r="F32">
        <f>VLOOKUP(B32,'Country Totals (All Aggregated)'!$AC$54:$AE$56,3,FALSE)</f>
        <v>70</v>
      </c>
      <c r="J32" s="281" t="str">
        <f t="shared" si="2"/>
        <v>SE_hydro-ROR_lumped_Head</v>
      </c>
      <c r="K32" s="278" t="s">
        <v>3048</v>
      </c>
      <c r="L32">
        <f>VLOOKUP(C32,'Country Totals (All Aggregated)'!$AI$64:$AL$93,MATCH(B32,'Country Totals (All Aggregated)'!$AI$63:$AL$63,0),FALSE)</f>
        <v>92.06</v>
      </c>
      <c r="N32" t="str">
        <f t="shared" si="5"/>
        <v>SE_hydro-ROR_lumped_Tail</v>
      </c>
    </row>
    <row r="33" spans="1:14" x14ac:dyDescent="0.35">
      <c r="A33" s="281" t="str">
        <f t="shared" si="0"/>
        <v>SI_hydro-ROR_lumped</v>
      </c>
      <c r="B33" s="278" t="s">
        <v>2882</v>
      </c>
      <c r="C33" s="216" t="s">
        <v>2824</v>
      </c>
      <c r="D33" s="327">
        <f t="shared" si="1"/>
        <v>770</v>
      </c>
      <c r="E33">
        <f>VLOOKUP(C33,'Country Totals (All Aggregated)'!$AE$64:$AH$93,MATCH(B33,'Country Totals (All Aggregated)'!$AE$63:$AH$63,0),FALSE)</f>
        <v>11</v>
      </c>
      <c r="F33">
        <f>VLOOKUP(B33,'Country Totals (All Aggregated)'!$AC$54:$AE$56,3,FALSE)</f>
        <v>70</v>
      </c>
      <c r="J33" s="281" t="str">
        <f t="shared" si="2"/>
        <v>SI_hydro-ROR_lumped_Head</v>
      </c>
      <c r="K33" s="278" t="s">
        <v>3048</v>
      </c>
      <c r="L33">
        <f>VLOOKUP(C33,'Country Totals (All Aggregated)'!$AI$64:$AL$93,MATCH(B33,'Country Totals (All Aggregated)'!$AI$63:$AL$63,0),FALSE)</f>
        <v>46.03</v>
      </c>
      <c r="N33" t="str">
        <f t="shared" si="5"/>
        <v>SI_hydro-ROR_lumped_Tail</v>
      </c>
    </row>
    <row r="34" spans="1:14" x14ac:dyDescent="0.35">
      <c r="A34" s="281" t="str">
        <f t="shared" si="0"/>
        <v>SK_hydro-ROR_lumped</v>
      </c>
      <c r="B34" s="278" t="s">
        <v>2882</v>
      </c>
      <c r="C34" s="216" t="s">
        <v>2825</v>
      </c>
      <c r="D34" s="327">
        <f t="shared" si="1"/>
        <v>1120</v>
      </c>
      <c r="E34">
        <f>VLOOKUP(C34,'Country Totals (All Aggregated)'!$AE$64:$AH$93,MATCH(B34,'Country Totals (All Aggregated)'!$AE$63:$AH$63,0),FALSE)</f>
        <v>16</v>
      </c>
      <c r="F34">
        <f>VLOOKUP(B34,'Country Totals (All Aggregated)'!$AC$54:$AE$56,3,FALSE)</f>
        <v>70</v>
      </c>
      <c r="J34" s="281" t="str">
        <f t="shared" si="2"/>
        <v>SK_hydro-ROR_lumped_Head</v>
      </c>
      <c r="K34" s="278" t="s">
        <v>3048</v>
      </c>
      <c r="L34">
        <f>VLOOKUP(C34,'Country Totals (All Aggregated)'!$AI$64:$AL$93,MATCH(B34,'Country Totals (All Aggregated)'!$AI$63:$AL$63,0),FALSE)</f>
        <v>66.95</v>
      </c>
      <c r="N34" t="str">
        <f t="shared" si="5"/>
        <v>SK_hydro-ROR_lumped_Tail</v>
      </c>
    </row>
    <row r="35" spans="1:14" x14ac:dyDescent="0.35">
      <c r="A35" s="148" t="str">
        <f t="shared" si="0"/>
        <v>AT_hydro-STO_lumped</v>
      </c>
      <c r="B35" s="278" t="s">
        <v>2883</v>
      </c>
      <c r="C35" s="216" t="s">
        <v>2797</v>
      </c>
      <c r="D35" s="327">
        <f t="shared" si="1"/>
        <v>2800</v>
      </c>
      <c r="E35">
        <f>VLOOKUP(C35,'Country Totals (All Aggregated)'!$AE$64:$AH$93,MATCH(B35,'Country Totals (All Aggregated)'!$AE$63:$AH$63,0),FALSE)</f>
        <v>28</v>
      </c>
      <c r="F35">
        <f>VLOOKUP(B35,'Country Totals (All Aggregated)'!$AC$54:$AE$56,3,FALSE)</f>
        <v>100</v>
      </c>
      <c r="J35" s="281" t="str">
        <f t="shared" si="2"/>
        <v>AT_hydro-STO_lumped_Head</v>
      </c>
      <c r="K35" s="278" t="s">
        <v>3019</v>
      </c>
      <c r="L35">
        <f>VLOOKUP(C35,'Country Totals (All Aggregated)'!$AI$64:$AL$93,MATCH(B35,'Country Totals (All Aggregated)'!$AI$63:$AL$63,0),FALSE)</f>
        <v>4503.7700000000004</v>
      </c>
      <c r="N35" t="str">
        <f t="shared" si="5"/>
        <v>AT_hydro-STO_lumped_Tail</v>
      </c>
    </row>
    <row r="36" spans="1:14" hidden="1" x14ac:dyDescent="0.35">
      <c r="A36" s="148" t="str">
        <f t="shared" si="0"/>
        <v>BE_hydro-STO_lumped</v>
      </c>
      <c r="B36" s="278" t="s">
        <v>2883</v>
      </c>
      <c r="C36" s="216" t="s">
        <v>2798</v>
      </c>
      <c r="D36" s="327">
        <f t="shared" si="1"/>
        <v>0</v>
      </c>
      <c r="E36">
        <f>VLOOKUP(C36,'Country Totals (All Aggregated)'!$AE$64:$AH$93,MATCH(B36,'Country Totals (All Aggregated)'!$AE$63:$AH$63,0),FALSE)</f>
        <v>0</v>
      </c>
      <c r="F36">
        <f>VLOOKUP(B36,'Country Totals (All Aggregated)'!$AC$54:$AE$56,3,FALSE)</f>
        <v>100</v>
      </c>
      <c r="J36" s="281" t="str">
        <f t="shared" si="2"/>
        <v>BE_hydro-STO_lumped_Head</v>
      </c>
      <c r="K36" s="278" t="s">
        <v>3019</v>
      </c>
      <c r="L36">
        <f>VLOOKUP(C36,'Country Totals (All Aggregated)'!$AI$64:$AL$93,MATCH(B36,'Country Totals (All Aggregated)'!$AI$63:$AL$63,0),FALSE)</f>
        <v>0</v>
      </c>
    </row>
    <row r="37" spans="1:14" x14ac:dyDescent="0.35">
      <c r="A37" s="148" t="str">
        <f t="shared" si="0"/>
        <v>BG_hydro-STO_lumped</v>
      </c>
      <c r="B37" s="278" t="s">
        <v>2883</v>
      </c>
      <c r="C37" s="216" t="s">
        <v>2799</v>
      </c>
      <c r="D37" s="327">
        <f t="shared" si="1"/>
        <v>1100</v>
      </c>
      <c r="E37">
        <f>VLOOKUP(C37,'Country Totals (All Aggregated)'!$AE$64:$AH$93,MATCH(B37,'Country Totals (All Aggregated)'!$AE$63:$AH$63,0),FALSE)</f>
        <v>11</v>
      </c>
      <c r="F37">
        <f>VLOOKUP(B37,'Country Totals (All Aggregated)'!$AC$54:$AE$56,3,FALSE)</f>
        <v>100</v>
      </c>
      <c r="J37" s="281" t="str">
        <f t="shared" si="2"/>
        <v>BG_hydro-STO_lumped_Head</v>
      </c>
      <c r="K37" s="278" t="s">
        <v>3019</v>
      </c>
      <c r="L37">
        <f>VLOOKUP(C37,'Country Totals (All Aggregated)'!$AI$64:$AL$93,MATCH(B37,'Country Totals (All Aggregated)'!$AI$63:$AL$63,0),FALSE)</f>
        <v>1769.34</v>
      </c>
      <c r="N37" t="str">
        <f t="shared" ref="N37:N38" si="6">C37&amp;"_"&amp;B37&amp;"_lumped_Tail"</f>
        <v>BG_hydro-STO_lumped_Tail</v>
      </c>
    </row>
    <row r="38" spans="1:14" x14ac:dyDescent="0.35">
      <c r="A38" s="148" t="str">
        <f t="shared" si="0"/>
        <v>CH_hydro-STO_lumped</v>
      </c>
      <c r="B38" s="278" t="s">
        <v>2883</v>
      </c>
      <c r="C38" s="216" t="s">
        <v>2800</v>
      </c>
      <c r="D38" s="327">
        <f t="shared" si="1"/>
        <v>7400</v>
      </c>
      <c r="E38">
        <f>VLOOKUP(C38,'Country Totals (All Aggregated)'!$AE$64:$AH$93,MATCH(B38,'Country Totals (All Aggregated)'!$AE$63:$AH$63,0),FALSE)</f>
        <v>74</v>
      </c>
      <c r="F38">
        <f>VLOOKUP(B38,'Country Totals (All Aggregated)'!$AC$54:$AE$56,3,FALSE)</f>
        <v>100</v>
      </c>
      <c r="J38" s="281" t="str">
        <f t="shared" si="2"/>
        <v>CH_hydro-STO_lumped_Head</v>
      </c>
      <c r="K38" s="278" t="s">
        <v>3019</v>
      </c>
      <c r="L38">
        <f>VLOOKUP(C38,'Country Totals (All Aggregated)'!$AI$64:$AL$93,MATCH(B38,'Country Totals (All Aggregated)'!$AI$63:$AL$63,0),FALSE)</f>
        <v>11902.82</v>
      </c>
      <c r="N38" t="str">
        <f t="shared" si="6"/>
        <v>CH_hydro-STO_lumped_Tail</v>
      </c>
    </row>
    <row r="39" spans="1:14" hidden="1" x14ac:dyDescent="0.35">
      <c r="A39" s="148" t="str">
        <f t="shared" si="0"/>
        <v>CY_hydro-STO_lumped</v>
      </c>
      <c r="B39" s="278" t="s">
        <v>2883</v>
      </c>
      <c r="C39" s="216" t="s">
        <v>2801</v>
      </c>
      <c r="D39" s="327">
        <f t="shared" si="1"/>
        <v>0</v>
      </c>
      <c r="E39">
        <f>VLOOKUP(C39,'Country Totals (All Aggregated)'!$AE$64:$AH$93,MATCH(B39,'Country Totals (All Aggregated)'!$AE$63:$AH$63,0),FALSE)</f>
        <v>0</v>
      </c>
      <c r="F39">
        <f>VLOOKUP(B39,'Country Totals (All Aggregated)'!$AC$54:$AE$56,3,FALSE)</f>
        <v>100</v>
      </c>
      <c r="J39" s="281" t="str">
        <f t="shared" si="2"/>
        <v>CY_hydro-STO_lumped_Head</v>
      </c>
      <c r="K39" s="278" t="s">
        <v>3019</v>
      </c>
      <c r="L39">
        <f>VLOOKUP(C39,'Country Totals (All Aggregated)'!$AI$64:$AL$93,MATCH(B39,'Country Totals (All Aggregated)'!$AI$63:$AL$63,0),FALSE)</f>
        <v>0</v>
      </c>
    </row>
    <row r="40" spans="1:14" x14ac:dyDescent="0.35">
      <c r="A40" s="148" t="str">
        <f t="shared" si="0"/>
        <v>CZ_hydro-STO_lumped</v>
      </c>
      <c r="B40" s="278" t="s">
        <v>2883</v>
      </c>
      <c r="C40" s="216" t="s">
        <v>2802</v>
      </c>
      <c r="D40" s="327">
        <f t="shared" si="1"/>
        <v>800</v>
      </c>
      <c r="E40">
        <f>VLOOKUP(C40,'Country Totals (All Aggregated)'!$AE$64:$AH$93,MATCH(B40,'Country Totals (All Aggregated)'!$AE$63:$AH$63,0),FALSE)</f>
        <v>8</v>
      </c>
      <c r="F40">
        <f>VLOOKUP(B40,'Country Totals (All Aggregated)'!$AC$54:$AE$56,3,FALSE)</f>
        <v>100</v>
      </c>
      <c r="J40" s="281" t="str">
        <f t="shared" si="2"/>
        <v>CZ_hydro-STO_lumped_Head</v>
      </c>
      <c r="K40" s="278" t="s">
        <v>3019</v>
      </c>
      <c r="L40">
        <f>VLOOKUP(C40,'Country Totals (All Aggregated)'!$AI$64:$AL$93,MATCH(B40,'Country Totals (All Aggregated)'!$AI$63:$AL$63,0),FALSE)</f>
        <v>1286.79</v>
      </c>
      <c r="N40" t="str">
        <f t="shared" ref="N40:N41" si="7">C40&amp;"_"&amp;B40&amp;"_lumped_Tail"</f>
        <v>CZ_hydro-STO_lumped_Tail</v>
      </c>
    </row>
    <row r="41" spans="1:14" x14ac:dyDescent="0.35">
      <c r="A41" s="148" t="str">
        <f t="shared" si="0"/>
        <v>DE_hydro-STO_lumped</v>
      </c>
      <c r="B41" s="278" t="s">
        <v>2883</v>
      </c>
      <c r="C41" s="216" t="s">
        <v>2803</v>
      </c>
      <c r="D41" s="327">
        <f t="shared" si="1"/>
        <v>1500</v>
      </c>
      <c r="E41">
        <f>VLOOKUP(C41,'Country Totals (All Aggregated)'!$AE$64:$AH$93,MATCH(B41,'Country Totals (All Aggregated)'!$AE$63:$AH$63,0),FALSE)</f>
        <v>15</v>
      </c>
      <c r="F41">
        <f>VLOOKUP(B41,'Country Totals (All Aggregated)'!$AC$54:$AE$56,3,FALSE)</f>
        <v>100</v>
      </c>
      <c r="J41" s="281" t="str">
        <f t="shared" si="2"/>
        <v>DE_hydro-STO_lumped_Head</v>
      </c>
      <c r="K41" s="278" t="s">
        <v>3019</v>
      </c>
      <c r="L41">
        <f>VLOOKUP(C41,'Country Totals (All Aggregated)'!$AI$64:$AL$93,MATCH(B41,'Country Totals (All Aggregated)'!$AI$63:$AL$63,0),FALSE)</f>
        <v>2412.73</v>
      </c>
      <c r="N41" t="str">
        <f t="shared" si="7"/>
        <v>DE_hydro-STO_lumped_Tail</v>
      </c>
    </row>
    <row r="42" spans="1:14" hidden="1" x14ac:dyDescent="0.35">
      <c r="A42" s="148" t="str">
        <f t="shared" si="0"/>
        <v>DK_hydro-STO_lumped</v>
      </c>
      <c r="B42" s="278" t="s">
        <v>2883</v>
      </c>
      <c r="C42" s="216" t="s">
        <v>2804</v>
      </c>
      <c r="D42" s="327">
        <f t="shared" si="1"/>
        <v>0</v>
      </c>
      <c r="E42">
        <f>VLOOKUP(C42,'Country Totals (All Aggregated)'!$AE$64:$AH$93,MATCH(B42,'Country Totals (All Aggregated)'!$AE$63:$AH$63,0),FALSE)</f>
        <v>0</v>
      </c>
      <c r="F42">
        <f>VLOOKUP(B42,'Country Totals (All Aggregated)'!$AC$54:$AE$56,3,FALSE)</f>
        <v>100</v>
      </c>
      <c r="J42" s="281" t="str">
        <f t="shared" si="2"/>
        <v>DK_hydro-STO_lumped_Head</v>
      </c>
      <c r="K42" s="278" t="s">
        <v>3019</v>
      </c>
      <c r="L42">
        <f>VLOOKUP(C42,'Country Totals (All Aggregated)'!$AI$64:$AL$93,MATCH(B42,'Country Totals (All Aggregated)'!$AI$63:$AL$63,0),FALSE)</f>
        <v>0</v>
      </c>
    </row>
    <row r="43" spans="1:14" hidden="1" x14ac:dyDescent="0.35">
      <c r="A43" s="148" t="str">
        <f t="shared" si="0"/>
        <v>EE_hydro-STO_lumped</v>
      </c>
      <c r="B43" s="278" t="s">
        <v>2883</v>
      </c>
      <c r="C43" s="216" t="s">
        <v>2805</v>
      </c>
      <c r="D43" s="327">
        <f t="shared" si="1"/>
        <v>0</v>
      </c>
      <c r="E43">
        <f>VLOOKUP(C43,'Country Totals (All Aggregated)'!$AE$64:$AH$93,MATCH(B43,'Country Totals (All Aggregated)'!$AE$63:$AH$63,0),FALSE)</f>
        <v>0</v>
      </c>
      <c r="F43">
        <f>VLOOKUP(B43,'Country Totals (All Aggregated)'!$AC$54:$AE$56,3,FALSE)</f>
        <v>100</v>
      </c>
      <c r="J43" s="281" t="str">
        <f t="shared" si="2"/>
        <v>EE_hydro-STO_lumped_Head</v>
      </c>
      <c r="K43" s="278" t="s">
        <v>3019</v>
      </c>
      <c r="L43">
        <f>VLOOKUP(C43,'Country Totals (All Aggregated)'!$AI$64:$AL$93,MATCH(B43,'Country Totals (All Aggregated)'!$AI$63:$AL$63,0),FALSE)</f>
        <v>0</v>
      </c>
    </row>
    <row r="44" spans="1:14" x14ac:dyDescent="0.35">
      <c r="A44" s="148" t="str">
        <f t="shared" si="0"/>
        <v>EL_hydro-STO_lumped</v>
      </c>
      <c r="B44" s="278" t="s">
        <v>2883</v>
      </c>
      <c r="C44" s="216" t="s">
        <v>2806</v>
      </c>
      <c r="D44" s="327">
        <f t="shared" si="1"/>
        <v>2600</v>
      </c>
      <c r="E44">
        <f>VLOOKUP(C44,'Country Totals (All Aggregated)'!$AE$64:$AH$93,MATCH(B44,'Country Totals (All Aggregated)'!$AE$63:$AH$63,0),FALSE)</f>
        <v>26</v>
      </c>
      <c r="F44">
        <f>VLOOKUP(B44,'Country Totals (All Aggregated)'!$AC$54:$AE$56,3,FALSE)</f>
        <v>100</v>
      </c>
      <c r="J44" s="281" t="str">
        <f t="shared" si="2"/>
        <v>EL_hydro-STO_lumped_Head</v>
      </c>
      <c r="K44" s="278" t="s">
        <v>3019</v>
      </c>
      <c r="L44">
        <f>VLOOKUP(C44,'Country Totals (All Aggregated)'!$AI$64:$AL$93,MATCH(B44,'Country Totals (All Aggregated)'!$AI$63:$AL$63,0),FALSE)</f>
        <v>4182.07</v>
      </c>
      <c r="N44" t="str">
        <f>C44&amp;"_"&amp;B44&amp;"_lumped_Tail"</f>
        <v>EL_hydro-STO_lumped_Tail</v>
      </c>
    </row>
    <row r="45" spans="1:14" hidden="1" x14ac:dyDescent="0.35">
      <c r="A45" s="148" t="str">
        <f t="shared" si="0"/>
        <v>FI_hydro-STO_lumped</v>
      </c>
      <c r="B45" s="278" t="s">
        <v>2883</v>
      </c>
      <c r="C45" s="216" t="s">
        <v>2808</v>
      </c>
      <c r="D45" s="327">
        <f t="shared" si="1"/>
        <v>0</v>
      </c>
      <c r="E45">
        <f>VLOOKUP(C45,'Country Totals (All Aggregated)'!$AE$64:$AH$93,MATCH(B45,'Country Totals (All Aggregated)'!$AE$63:$AH$63,0),FALSE)</f>
        <v>0</v>
      </c>
      <c r="F45">
        <f>VLOOKUP(B45,'Country Totals (All Aggregated)'!$AC$54:$AE$56,3,FALSE)</f>
        <v>100</v>
      </c>
      <c r="J45" s="281" t="str">
        <f t="shared" si="2"/>
        <v>FI_hydro-STO_lumped_Head</v>
      </c>
      <c r="K45" s="278" t="s">
        <v>3019</v>
      </c>
      <c r="L45">
        <f>VLOOKUP(C45,'Country Totals (All Aggregated)'!$AI$64:$AL$93,MATCH(B45,'Country Totals (All Aggregated)'!$AI$63:$AL$63,0),FALSE)</f>
        <v>0</v>
      </c>
    </row>
    <row r="46" spans="1:14" x14ac:dyDescent="0.35">
      <c r="A46" s="148" t="str">
        <f t="shared" si="0"/>
        <v>FR_hydro-STO_lumped</v>
      </c>
      <c r="B46" s="278" t="s">
        <v>2883</v>
      </c>
      <c r="C46" s="216" t="s">
        <v>2809</v>
      </c>
      <c r="D46" s="327">
        <f t="shared" si="1"/>
        <v>9300</v>
      </c>
      <c r="E46">
        <f>VLOOKUP(C46,'Country Totals (All Aggregated)'!$AE$64:$AH$93,MATCH(B46,'Country Totals (All Aggregated)'!$AE$63:$AH$63,0),FALSE)</f>
        <v>93</v>
      </c>
      <c r="F46">
        <f>VLOOKUP(B46,'Country Totals (All Aggregated)'!$AC$54:$AE$56,3,FALSE)</f>
        <v>100</v>
      </c>
      <c r="J46" s="281" t="str">
        <f t="shared" si="2"/>
        <v>FR_hydro-STO_lumped_Head</v>
      </c>
      <c r="K46" s="278" t="s">
        <v>3019</v>
      </c>
      <c r="L46">
        <f>VLOOKUP(C46,'Country Totals (All Aggregated)'!$AI$64:$AL$93,MATCH(B46,'Country Totals (All Aggregated)'!$AI$63:$AL$63,0),FALSE)</f>
        <v>14958.95</v>
      </c>
      <c r="N46" t="str">
        <f>C46&amp;"_"&amp;B46&amp;"_lumped_Tail"</f>
        <v>FR_hydro-STO_lumped_Tail</v>
      </c>
    </row>
    <row r="47" spans="1:14" hidden="1" x14ac:dyDescent="0.35">
      <c r="A47" s="148" t="str">
        <f t="shared" si="0"/>
        <v>GB_hydro-STO_lumped</v>
      </c>
      <c r="B47" s="278" t="s">
        <v>2883</v>
      </c>
      <c r="C47" s="216" t="s">
        <v>2832</v>
      </c>
      <c r="D47" s="327">
        <f t="shared" si="1"/>
        <v>0</v>
      </c>
      <c r="E47">
        <f>VLOOKUP(C47,'Country Totals (All Aggregated)'!$AE$64:$AH$93,MATCH(B47,'Country Totals (All Aggregated)'!$AE$63:$AH$63,0),FALSE)</f>
        <v>0</v>
      </c>
      <c r="F47">
        <f>VLOOKUP(B47,'Country Totals (All Aggregated)'!$AC$54:$AE$56,3,FALSE)</f>
        <v>100</v>
      </c>
      <c r="J47" s="281" t="str">
        <f t="shared" si="2"/>
        <v>GB_hydro-STO_lumped_Head</v>
      </c>
      <c r="K47" s="278" t="s">
        <v>3019</v>
      </c>
      <c r="L47">
        <f>VLOOKUP(C47,'Country Totals (All Aggregated)'!$AI$64:$AL$93,MATCH(B47,'Country Totals (All Aggregated)'!$AI$63:$AL$63,0),FALSE)</f>
        <v>0</v>
      </c>
    </row>
    <row r="48" spans="1:14" x14ac:dyDescent="0.35">
      <c r="A48" s="148" t="str">
        <f t="shared" si="0"/>
        <v>ES_hydro-STO_lumped</v>
      </c>
      <c r="B48" s="278" t="s">
        <v>2883</v>
      </c>
      <c r="C48" s="216" t="s">
        <v>2807</v>
      </c>
      <c r="D48" s="327">
        <f t="shared" si="1"/>
        <v>15400</v>
      </c>
      <c r="E48">
        <f>VLOOKUP(C48,'Country Totals (All Aggregated)'!$AE$64:$AH$93,MATCH(B48,'Country Totals (All Aggregated)'!$AE$63:$AH$63,0),FALSE)</f>
        <v>154</v>
      </c>
      <c r="F48">
        <f>VLOOKUP(B48,'Country Totals (All Aggregated)'!$AC$54:$AE$56,3,FALSE)</f>
        <v>100</v>
      </c>
      <c r="J48" s="281" t="str">
        <f t="shared" si="2"/>
        <v>ES_hydro-STO_lumped_Head</v>
      </c>
      <c r="K48" s="278" t="s">
        <v>3019</v>
      </c>
      <c r="L48">
        <f>VLOOKUP(C48,'Country Totals (All Aggregated)'!$AI$64:$AL$93,MATCH(B48,'Country Totals (All Aggregated)'!$AI$63:$AL$63,0),FALSE)</f>
        <v>24770.74</v>
      </c>
      <c r="N48" t="str">
        <f>C48&amp;"_"&amp;B48&amp;"_lumped_Tail"</f>
        <v>ES_hydro-STO_lumped_Tail</v>
      </c>
    </row>
    <row r="49" spans="1:14" hidden="1" x14ac:dyDescent="0.35">
      <c r="A49" s="148" t="str">
        <f t="shared" si="0"/>
        <v>HR_hydro-STO_lumped</v>
      </c>
      <c r="B49" s="278" t="s">
        <v>2883</v>
      </c>
      <c r="C49" s="216" t="s">
        <v>2810</v>
      </c>
      <c r="D49" s="327" t="e">
        <f t="shared" si="1"/>
        <v>#N/A</v>
      </c>
      <c r="E49" t="e">
        <f>VLOOKUP(C49,'Country Totals (All Aggregated)'!$AE$64:$AH$93,MATCH(B49,'Country Totals (All Aggregated)'!$AE$63:$AH$63,0),FALSE)</f>
        <v>#N/A</v>
      </c>
      <c r="F49">
        <f>VLOOKUP(B49,'Country Totals (All Aggregated)'!$AC$54:$AE$56,3,FALSE)</f>
        <v>100</v>
      </c>
      <c r="J49" s="281" t="str">
        <f t="shared" si="2"/>
        <v>HR_hydro-STO_lumped_Head</v>
      </c>
      <c r="K49" s="278" t="s">
        <v>3019</v>
      </c>
      <c r="L49" t="e">
        <f>VLOOKUP(C49,'Country Totals (All Aggregated)'!$AI$64:$AL$93,MATCH(B49,'Country Totals (All Aggregated)'!$AI$63:$AL$63,0),FALSE)</f>
        <v>#N/A</v>
      </c>
      <c r="N49" t="str">
        <f t="shared" ref="N49" si="8">C49&amp;"_"&amp;B49&amp;"_lumped_Tail"</f>
        <v>HR_hydro-STO_lumped_Tail</v>
      </c>
    </row>
    <row r="50" spans="1:14" hidden="1" x14ac:dyDescent="0.35">
      <c r="A50" s="148" t="str">
        <f t="shared" si="0"/>
        <v>HU_hydro-STO_lumped</v>
      </c>
      <c r="B50" s="278" t="s">
        <v>2883</v>
      </c>
      <c r="C50" s="216" t="s">
        <v>2811</v>
      </c>
      <c r="D50" s="327">
        <f t="shared" si="1"/>
        <v>0</v>
      </c>
      <c r="E50">
        <f>VLOOKUP(C50,'Country Totals (All Aggregated)'!$AE$64:$AH$93,MATCH(B50,'Country Totals (All Aggregated)'!$AE$63:$AH$63,0),FALSE)</f>
        <v>0</v>
      </c>
      <c r="F50">
        <f>VLOOKUP(B50,'Country Totals (All Aggregated)'!$AC$54:$AE$56,3,FALSE)</f>
        <v>100</v>
      </c>
      <c r="J50" s="281" t="str">
        <f t="shared" si="2"/>
        <v>HU_hydro-STO_lumped_Head</v>
      </c>
      <c r="K50" s="278" t="s">
        <v>3019</v>
      </c>
      <c r="L50">
        <f>VLOOKUP(C50,'Country Totals (All Aggregated)'!$AI$64:$AL$93,MATCH(B50,'Country Totals (All Aggregated)'!$AI$63:$AL$63,0),FALSE)</f>
        <v>0</v>
      </c>
    </row>
    <row r="51" spans="1:14" hidden="1" x14ac:dyDescent="0.35">
      <c r="A51" s="148" t="str">
        <f t="shared" si="0"/>
        <v>IE_hydro-STO_lumped</v>
      </c>
      <c r="B51" s="278" t="s">
        <v>2883</v>
      </c>
      <c r="C51" s="216" t="s">
        <v>2812</v>
      </c>
      <c r="D51" s="327">
        <f t="shared" si="1"/>
        <v>0</v>
      </c>
      <c r="E51">
        <f>VLOOKUP(C51,'Country Totals (All Aggregated)'!$AE$64:$AH$93,MATCH(B51,'Country Totals (All Aggregated)'!$AE$63:$AH$63,0),FALSE)</f>
        <v>0</v>
      </c>
      <c r="F51">
        <f>VLOOKUP(B51,'Country Totals (All Aggregated)'!$AC$54:$AE$56,3,FALSE)</f>
        <v>100</v>
      </c>
      <c r="J51" s="281" t="str">
        <f t="shared" si="2"/>
        <v>IE_hydro-STO_lumped_Head</v>
      </c>
      <c r="K51" s="278" t="s">
        <v>3019</v>
      </c>
      <c r="L51">
        <f>VLOOKUP(C51,'Country Totals (All Aggregated)'!$AI$64:$AL$93,MATCH(B51,'Country Totals (All Aggregated)'!$AI$63:$AL$63,0),FALSE)</f>
        <v>0</v>
      </c>
    </row>
    <row r="52" spans="1:14" x14ac:dyDescent="0.35">
      <c r="A52" s="148" t="str">
        <f t="shared" si="0"/>
        <v>IT_hydro-STO_lumped</v>
      </c>
      <c r="B52" s="278" t="s">
        <v>2883</v>
      </c>
      <c r="C52" s="216" t="s">
        <v>2813</v>
      </c>
      <c r="D52" s="327">
        <f t="shared" si="1"/>
        <v>4200</v>
      </c>
      <c r="E52">
        <f>VLOOKUP(C52,'Country Totals (All Aggregated)'!$AE$64:$AH$93,MATCH(B52,'Country Totals (All Aggregated)'!$AE$63:$AH$63,0),FALSE)</f>
        <v>42</v>
      </c>
      <c r="F52">
        <f>VLOOKUP(B52,'Country Totals (All Aggregated)'!$AC$54:$AE$56,3,FALSE)</f>
        <v>100</v>
      </c>
      <c r="J52" s="281" t="str">
        <f t="shared" si="2"/>
        <v>IT_hydro-STO_lumped_Head</v>
      </c>
      <c r="K52" s="278" t="s">
        <v>3019</v>
      </c>
      <c r="L52">
        <f>VLOOKUP(C52,'Country Totals (All Aggregated)'!$AI$64:$AL$93,MATCH(B52,'Country Totals (All Aggregated)'!$AI$63:$AL$63,0),FALSE)</f>
        <v>6755.66</v>
      </c>
      <c r="N52" t="str">
        <f>C52&amp;"_"&amp;B52&amp;"_lumped_Tail"</f>
        <v>IT_hydro-STO_lumped_Tail</v>
      </c>
    </row>
    <row r="53" spans="1:14" hidden="1" x14ac:dyDescent="0.35">
      <c r="A53" s="148" t="str">
        <f t="shared" si="0"/>
        <v>LT_hydro-STO_lumped</v>
      </c>
      <c r="B53" s="278" t="s">
        <v>2883</v>
      </c>
      <c r="C53" s="216" t="s">
        <v>2814</v>
      </c>
      <c r="D53" s="327">
        <f t="shared" si="1"/>
        <v>0</v>
      </c>
      <c r="E53">
        <f>VLOOKUP(C53,'Country Totals (All Aggregated)'!$AE$64:$AH$93,MATCH(B53,'Country Totals (All Aggregated)'!$AE$63:$AH$63,0),FALSE)</f>
        <v>0</v>
      </c>
      <c r="F53">
        <f>VLOOKUP(B53,'Country Totals (All Aggregated)'!$AC$54:$AE$56,3,FALSE)</f>
        <v>100</v>
      </c>
      <c r="J53" s="281" t="str">
        <f t="shared" si="2"/>
        <v>LT_hydro-STO_lumped_Head</v>
      </c>
      <c r="K53" s="278" t="s">
        <v>3019</v>
      </c>
      <c r="L53">
        <f>VLOOKUP(C53,'Country Totals (All Aggregated)'!$AI$64:$AL$93,MATCH(B53,'Country Totals (All Aggregated)'!$AI$63:$AL$63,0),FALSE)</f>
        <v>0</v>
      </c>
    </row>
    <row r="54" spans="1:14" hidden="1" x14ac:dyDescent="0.35">
      <c r="A54" s="148" t="str">
        <f t="shared" si="0"/>
        <v>LU_hydro-STO_lumped</v>
      </c>
      <c r="B54" s="278" t="s">
        <v>2883</v>
      </c>
      <c r="C54" s="216" t="s">
        <v>2815</v>
      </c>
      <c r="D54" s="327" t="e">
        <f t="shared" si="1"/>
        <v>#N/A</v>
      </c>
      <c r="E54" t="e">
        <f>VLOOKUP(C54,'Country Totals (All Aggregated)'!$AE$64:$AH$93,MATCH(B54,'Country Totals (All Aggregated)'!$AE$63:$AH$63,0),FALSE)</f>
        <v>#N/A</v>
      </c>
      <c r="F54">
        <f>VLOOKUP(B54,'Country Totals (All Aggregated)'!$AC$54:$AE$56,3,FALSE)</f>
        <v>100</v>
      </c>
      <c r="J54" s="281" t="str">
        <f t="shared" si="2"/>
        <v>LU_hydro-STO_lumped_Head</v>
      </c>
      <c r="K54" s="278" t="s">
        <v>3019</v>
      </c>
      <c r="L54" t="e">
        <f>VLOOKUP(C54,'Country Totals (All Aggregated)'!$AI$64:$AL$93,MATCH(B54,'Country Totals (All Aggregated)'!$AI$63:$AL$63,0),FALSE)</f>
        <v>#N/A</v>
      </c>
    </row>
    <row r="55" spans="1:14" x14ac:dyDescent="0.35">
      <c r="A55" s="148" t="str">
        <f t="shared" si="0"/>
        <v>LV_hydro-STO_lumped</v>
      </c>
      <c r="B55" s="278" t="s">
        <v>2883</v>
      </c>
      <c r="C55" s="216" t="s">
        <v>2816</v>
      </c>
      <c r="D55" s="327">
        <f t="shared" si="1"/>
        <v>800</v>
      </c>
      <c r="E55">
        <f>VLOOKUP(C55,'Country Totals (All Aggregated)'!$AE$64:$AH$93,MATCH(B55,'Country Totals (All Aggregated)'!$AE$63:$AH$63,0),FALSE)</f>
        <v>8</v>
      </c>
      <c r="F55">
        <f>VLOOKUP(B55,'Country Totals (All Aggregated)'!$AC$54:$AE$56,3,FALSE)</f>
        <v>100</v>
      </c>
      <c r="J55" s="281" t="str">
        <f t="shared" si="2"/>
        <v>LV_hydro-STO_lumped_Head</v>
      </c>
      <c r="K55" s="278" t="s">
        <v>3019</v>
      </c>
      <c r="L55">
        <f>VLOOKUP(C55,'Country Totals (All Aggregated)'!$AI$64:$AL$93,MATCH(B55,'Country Totals (All Aggregated)'!$AI$63:$AL$63,0),FALSE)</f>
        <v>1286.79</v>
      </c>
      <c r="N55" t="str">
        <f>C55&amp;"_"&amp;B55&amp;"_lumped_Tail"</f>
        <v>LV_hydro-STO_lumped_Tail</v>
      </c>
    </row>
    <row r="56" spans="1:14" hidden="1" x14ac:dyDescent="0.35">
      <c r="A56" s="148" t="str">
        <f t="shared" si="0"/>
        <v>NI_hydro-STO_lumped</v>
      </c>
      <c r="B56" s="278" t="s">
        <v>2883</v>
      </c>
      <c r="C56" s="216" t="s">
        <v>2833</v>
      </c>
      <c r="D56" s="327">
        <f t="shared" si="1"/>
        <v>0</v>
      </c>
      <c r="E56">
        <f>VLOOKUP(C56,'Country Totals (All Aggregated)'!$AE$64:$AH$93,MATCH(B56,'Country Totals (All Aggregated)'!$AE$63:$AH$63,0),FALSE)</f>
        <v>0</v>
      </c>
      <c r="F56">
        <f>VLOOKUP(B56,'Country Totals (All Aggregated)'!$AC$54:$AE$56,3,FALSE)</f>
        <v>100</v>
      </c>
      <c r="J56" s="281" t="str">
        <f t="shared" si="2"/>
        <v>NI_hydro-STO_lumped_Head</v>
      </c>
      <c r="K56" s="278" t="s">
        <v>3019</v>
      </c>
      <c r="L56">
        <f>VLOOKUP(C56,'Country Totals (All Aggregated)'!$AI$64:$AL$93,MATCH(B56,'Country Totals (All Aggregated)'!$AI$63:$AL$63,0),FALSE)</f>
        <v>0</v>
      </c>
    </row>
    <row r="57" spans="1:14" hidden="1" x14ac:dyDescent="0.35">
      <c r="A57" s="148" t="str">
        <f t="shared" si="0"/>
        <v>NL_hydro-STO_lumped</v>
      </c>
      <c r="B57" s="278" t="s">
        <v>2883</v>
      </c>
      <c r="C57" s="216" t="s">
        <v>2818</v>
      </c>
      <c r="D57" s="327">
        <f t="shared" si="1"/>
        <v>0</v>
      </c>
      <c r="E57">
        <f>VLOOKUP(C57,'Country Totals (All Aggregated)'!$AE$64:$AH$93,MATCH(B57,'Country Totals (All Aggregated)'!$AE$63:$AH$63,0),FALSE)</f>
        <v>0</v>
      </c>
      <c r="F57">
        <f>VLOOKUP(B57,'Country Totals (All Aggregated)'!$AC$54:$AE$56,3,FALSE)</f>
        <v>100</v>
      </c>
      <c r="J57" s="281" t="str">
        <f t="shared" si="2"/>
        <v>NL_hydro-STO_lumped_Head</v>
      </c>
      <c r="K57" s="278" t="s">
        <v>3019</v>
      </c>
      <c r="L57">
        <f>VLOOKUP(C57,'Country Totals (All Aggregated)'!$AI$64:$AL$93,MATCH(B57,'Country Totals (All Aggregated)'!$AI$63:$AL$63,0),FALSE)</f>
        <v>0</v>
      </c>
    </row>
    <row r="58" spans="1:14" x14ac:dyDescent="0.35">
      <c r="A58" s="148" t="str">
        <f t="shared" si="0"/>
        <v>NO_hydro-STO_lumped</v>
      </c>
      <c r="B58" s="278" t="s">
        <v>2883</v>
      </c>
      <c r="C58" s="216" t="s">
        <v>2819</v>
      </c>
      <c r="D58" s="327">
        <f t="shared" si="1"/>
        <v>28100</v>
      </c>
      <c r="E58">
        <f>VLOOKUP(C58,'Country Totals (All Aggregated)'!$AE$64:$AH$93,MATCH(B58,'Country Totals (All Aggregated)'!$AE$63:$AH$63,0),FALSE)</f>
        <v>281</v>
      </c>
      <c r="F58">
        <f>VLOOKUP(B58,'Country Totals (All Aggregated)'!$AC$54:$AE$56,3,FALSE)</f>
        <v>100</v>
      </c>
      <c r="J58" s="281" t="str">
        <f t="shared" si="2"/>
        <v>NO_hydro-STO_lumped_Head</v>
      </c>
      <c r="K58" s="278" t="s">
        <v>3019</v>
      </c>
      <c r="L58">
        <f>VLOOKUP(C58,'Country Totals (All Aggregated)'!$AI$64:$AL$93,MATCH(B58,'Country Totals (All Aggregated)'!$AI$63:$AL$63,0),FALSE)</f>
        <v>45198.559999999998</v>
      </c>
      <c r="N58" t="str">
        <f>C58&amp;"_"&amp;B58&amp;"_lumped_Tail"</f>
        <v>NO_hydro-STO_lumped_Tail</v>
      </c>
    </row>
    <row r="59" spans="1:14" hidden="1" x14ac:dyDescent="0.35">
      <c r="A59" s="148" t="str">
        <f t="shared" si="0"/>
        <v>PL_hydro-STO_lumped</v>
      </c>
      <c r="B59" s="278" t="s">
        <v>2883</v>
      </c>
      <c r="C59" s="216" t="s">
        <v>2820</v>
      </c>
      <c r="D59" s="327">
        <f t="shared" si="1"/>
        <v>0</v>
      </c>
      <c r="E59">
        <f>VLOOKUP(C59,'Country Totals (All Aggregated)'!$AE$64:$AH$93,MATCH(B59,'Country Totals (All Aggregated)'!$AE$63:$AH$63,0),FALSE)</f>
        <v>0</v>
      </c>
      <c r="F59">
        <f>VLOOKUP(B59,'Country Totals (All Aggregated)'!$AC$54:$AE$56,3,FALSE)</f>
        <v>100</v>
      </c>
      <c r="J59" s="281" t="str">
        <f t="shared" si="2"/>
        <v>PL_hydro-STO_lumped_Head</v>
      </c>
      <c r="K59" s="278" t="s">
        <v>3019</v>
      </c>
      <c r="L59">
        <f>VLOOKUP(C59,'Country Totals (All Aggregated)'!$AI$64:$AL$93,MATCH(B59,'Country Totals (All Aggregated)'!$AI$63:$AL$63,0),FALSE)</f>
        <v>0</v>
      </c>
    </row>
    <row r="60" spans="1:14" x14ac:dyDescent="0.35">
      <c r="A60" s="148" t="str">
        <f t="shared" si="0"/>
        <v>PT_hydro-STO_lumped</v>
      </c>
      <c r="B60" s="278" t="s">
        <v>2883</v>
      </c>
      <c r="C60" s="216" t="s">
        <v>2821</v>
      </c>
      <c r="D60" s="327">
        <f t="shared" si="1"/>
        <v>1100</v>
      </c>
      <c r="E60">
        <f>VLOOKUP(C60,'Country Totals (All Aggregated)'!$AE$64:$AH$93,MATCH(B60,'Country Totals (All Aggregated)'!$AE$63:$AH$63,0),FALSE)</f>
        <v>11</v>
      </c>
      <c r="F60">
        <f>VLOOKUP(B60,'Country Totals (All Aggregated)'!$AC$54:$AE$56,3,FALSE)</f>
        <v>100</v>
      </c>
      <c r="J60" s="281" t="str">
        <f t="shared" si="2"/>
        <v>PT_hydro-STO_lumped_Head</v>
      </c>
      <c r="K60" s="278" t="s">
        <v>3019</v>
      </c>
      <c r="L60">
        <f>VLOOKUP(C60,'Country Totals (All Aggregated)'!$AI$64:$AL$93,MATCH(B60,'Country Totals (All Aggregated)'!$AI$63:$AL$63,0),FALSE)</f>
        <v>1769.34</v>
      </c>
      <c r="N60" t="str">
        <f t="shared" ref="N60:N62" si="9">C60&amp;"_"&amp;B60&amp;"_lumped_Tail"</f>
        <v>PT_hydro-STO_lumped_Tail</v>
      </c>
    </row>
    <row r="61" spans="1:14" x14ac:dyDescent="0.35">
      <c r="A61" s="148" t="str">
        <f t="shared" si="0"/>
        <v>RO_hydro-STO_lumped</v>
      </c>
      <c r="B61" s="278" t="s">
        <v>2883</v>
      </c>
      <c r="C61" s="216" t="s">
        <v>2822</v>
      </c>
      <c r="D61" s="327">
        <f t="shared" si="1"/>
        <v>4100</v>
      </c>
      <c r="E61">
        <f>VLOOKUP(C61,'Country Totals (All Aggregated)'!$AE$64:$AH$93,MATCH(B61,'Country Totals (All Aggregated)'!$AE$63:$AH$63,0),FALSE)</f>
        <v>41</v>
      </c>
      <c r="F61">
        <f>VLOOKUP(B61,'Country Totals (All Aggregated)'!$AC$54:$AE$56,3,FALSE)</f>
        <v>100</v>
      </c>
      <c r="J61" s="281" t="str">
        <f t="shared" si="2"/>
        <v>RO_hydro-STO_lumped_Head</v>
      </c>
      <c r="K61" s="278" t="s">
        <v>3019</v>
      </c>
      <c r="L61">
        <f>VLOOKUP(C61,'Country Totals (All Aggregated)'!$AI$64:$AL$93,MATCH(B61,'Country Totals (All Aggregated)'!$AI$63:$AL$63,0),FALSE)</f>
        <v>6594.81</v>
      </c>
      <c r="N61" t="str">
        <f t="shared" si="9"/>
        <v>RO_hydro-STO_lumped_Tail</v>
      </c>
    </row>
    <row r="62" spans="1:14" x14ac:dyDescent="0.35">
      <c r="A62" s="148" t="str">
        <f t="shared" si="0"/>
        <v>SE_hydro-STO_lumped</v>
      </c>
      <c r="B62" s="278" t="s">
        <v>2883</v>
      </c>
      <c r="C62" s="216" t="s">
        <v>2823</v>
      </c>
      <c r="D62" s="327">
        <f t="shared" si="1"/>
        <v>14800</v>
      </c>
      <c r="E62">
        <f>VLOOKUP(C62,'Country Totals (All Aggregated)'!$AE$64:$AH$93,MATCH(B62,'Country Totals (All Aggregated)'!$AE$63:$AH$63,0),FALSE)</f>
        <v>148</v>
      </c>
      <c r="F62">
        <f>VLOOKUP(B62,'Country Totals (All Aggregated)'!$AC$54:$AE$56,3,FALSE)</f>
        <v>100</v>
      </c>
      <c r="J62" s="281" t="str">
        <f t="shared" si="2"/>
        <v>SE_hydro-STO_lumped_Head</v>
      </c>
      <c r="K62" s="278" t="s">
        <v>3019</v>
      </c>
      <c r="L62">
        <f>VLOOKUP(C62,'Country Totals (All Aggregated)'!$AI$64:$AL$93,MATCH(B62,'Country Totals (All Aggregated)'!$AI$63:$AL$63,0),FALSE)</f>
        <v>23805.65</v>
      </c>
      <c r="N62" t="str">
        <f t="shared" si="9"/>
        <v>SE_hydro-STO_lumped_Tail</v>
      </c>
    </row>
    <row r="63" spans="1:14" hidden="1" x14ac:dyDescent="0.35">
      <c r="A63" s="148" t="str">
        <f t="shared" si="0"/>
        <v>SI_hydro-STO_lumped</v>
      </c>
      <c r="B63" s="278" t="s">
        <v>2883</v>
      </c>
      <c r="C63" s="216" t="s">
        <v>2824</v>
      </c>
      <c r="D63" s="327">
        <f t="shared" si="1"/>
        <v>0</v>
      </c>
      <c r="E63">
        <f>VLOOKUP(C63,'Country Totals (All Aggregated)'!$AE$64:$AH$93,MATCH(B63,'Country Totals (All Aggregated)'!$AE$63:$AH$63,0),FALSE)</f>
        <v>0</v>
      </c>
      <c r="F63">
        <f>VLOOKUP(B63,'Country Totals (All Aggregated)'!$AC$54:$AE$56,3,FALSE)</f>
        <v>100</v>
      </c>
      <c r="J63" s="281" t="str">
        <f t="shared" si="2"/>
        <v>SI_hydro-STO_lumped_Head</v>
      </c>
      <c r="K63" s="278" t="s">
        <v>3019</v>
      </c>
      <c r="L63">
        <f>VLOOKUP(C63,'Country Totals (All Aggregated)'!$AI$64:$AL$93,MATCH(B63,'Country Totals (All Aggregated)'!$AI$63:$AL$63,0),FALSE)</f>
        <v>0</v>
      </c>
    </row>
    <row r="64" spans="1:14" x14ac:dyDescent="0.35">
      <c r="A64" s="148" t="str">
        <f t="shared" si="0"/>
        <v>SK_hydro-STO_lumped</v>
      </c>
      <c r="B64" s="278" t="s">
        <v>2883</v>
      </c>
      <c r="C64" s="216" t="s">
        <v>2825</v>
      </c>
      <c r="D64" s="327">
        <f t="shared" si="1"/>
        <v>300</v>
      </c>
      <c r="E64">
        <f>VLOOKUP(C64,'Country Totals (All Aggregated)'!$AE$64:$AH$93,MATCH(B64,'Country Totals (All Aggregated)'!$AE$63:$AH$63,0),FALSE)</f>
        <v>3</v>
      </c>
      <c r="F64">
        <f>VLOOKUP(B64,'Country Totals (All Aggregated)'!$AC$54:$AE$56,3,FALSE)</f>
        <v>100</v>
      </c>
      <c r="J64" s="281" t="str">
        <f t="shared" si="2"/>
        <v>SK_hydro-STO_lumped_Head</v>
      </c>
      <c r="K64" s="278" t="s">
        <v>3019</v>
      </c>
      <c r="L64">
        <f>VLOOKUP(C64,'Country Totals (All Aggregated)'!$AI$64:$AL$93,MATCH(B64,'Country Totals (All Aggregated)'!$AI$63:$AL$63,0),FALSE)</f>
        <v>482.55</v>
      </c>
      <c r="N64" t="str">
        <f t="shared" ref="N64:N68" si="10">C64&amp;"_"&amp;B64&amp;"_lumped_Tail"</f>
        <v>SK_hydro-STO_lumped_Tail</v>
      </c>
    </row>
    <row r="65" spans="1:14" x14ac:dyDescent="0.35">
      <c r="A65" s="282" t="str">
        <f t="shared" si="0"/>
        <v>AT_hydro-PHS_lumped</v>
      </c>
      <c r="B65" s="278" t="s">
        <v>2884</v>
      </c>
      <c r="C65" s="216" t="s">
        <v>2797</v>
      </c>
      <c r="D65" s="327">
        <f t="shared" si="1"/>
        <v>4800</v>
      </c>
      <c r="E65">
        <f>VLOOKUP(C65,'Country Totals (All Aggregated)'!$AE$64:$AH$93,MATCH(B65,'Country Totals (All Aggregated)'!$AE$63:$AH$63,0),FALSE)</f>
        <v>12</v>
      </c>
      <c r="F65">
        <f>VLOOKUP(B65,'Country Totals (All Aggregated)'!$AC$54:$AE$56,3,FALSE)</f>
        <v>400</v>
      </c>
      <c r="J65" s="281" t="str">
        <f t="shared" si="2"/>
        <v>AT_hydro-PHS_lumped_Head</v>
      </c>
      <c r="K65" s="278" t="s">
        <v>3020</v>
      </c>
      <c r="L65">
        <f>VLOOKUP(C65,'Country Totals (All Aggregated)'!$AI$64:$AL$93,MATCH(B65,'Country Totals (All Aggregated)'!$AI$63:$AL$63,0),FALSE)</f>
        <v>540.14</v>
      </c>
      <c r="N65" t="str">
        <f t="shared" si="10"/>
        <v>AT_hydro-PHS_lumped_Tail</v>
      </c>
    </row>
    <row r="66" spans="1:14" x14ac:dyDescent="0.35">
      <c r="A66" s="282" t="str">
        <f t="shared" si="0"/>
        <v>BE_hydro-PHS_lumped</v>
      </c>
      <c r="B66" s="278" t="s">
        <v>2884</v>
      </c>
      <c r="C66" s="216" t="s">
        <v>2798</v>
      </c>
      <c r="D66" s="327">
        <f t="shared" si="1"/>
        <v>1600</v>
      </c>
      <c r="E66">
        <f>VLOOKUP(C66,'Country Totals (All Aggregated)'!$AE$64:$AH$93,MATCH(B66,'Country Totals (All Aggregated)'!$AE$63:$AH$63,0),FALSE)</f>
        <v>4</v>
      </c>
      <c r="F66">
        <f>VLOOKUP(B66,'Country Totals (All Aggregated)'!$AC$54:$AE$56,3,FALSE)</f>
        <v>400</v>
      </c>
      <c r="J66" s="281" t="str">
        <f t="shared" si="2"/>
        <v>BE_hydro-PHS_lumped_Head</v>
      </c>
      <c r="K66" s="278" t="s">
        <v>3020</v>
      </c>
      <c r="L66">
        <f>VLOOKUP(C66,'Country Totals (All Aggregated)'!$AI$64:$AL$93,MATCH(B66,'Country Totals (All Aggregated)'!$AI$63:$AL$63,0),FALSE)</f>
        <v>180.05</v>
      </c>
      <c r="N66" t="str">
        <f t="shared" si="10"/>
        <v>BE_hydro-PHS_lumped_Tail</v>
      </c>
    </row>
    <row r="67" spans="1:14" x14ac:dyDescent="0.35">
      <c r="A67" s="282" t="str">
        <f t="shared" si="0"/>
        <v>BG_hydro-PHS_lumped</v>
      </c>
      <c r="B67" s="278" t="s">
        <v>2884</v>
      </c>
      <c r="C67" s="216" t="s">
        <v>2799</v>
      </c>
      <c r="D67" s="327">
        <f t="shared" si="1"/>
        <v>2000</v>
      </c>
      <c r="E67">
        <f>VLOOKUP(C67,'Country Totals (All Aggregated)'!$AE$64:$AH$93,MATCH(B67,'Country Totals (All Aggregated)'!$AE$63:$AH$63,0),FALSE)</f>
        <v>5</v>
      </c>
      <c r="F67">
        <f>VLOOKUP(B67,'Country Totals (All Aggregated)'!$AC$54:$AE$56,3,FALSE)</f>
        <v>400</v>
      </c>
      <c r="J67" s="281" t="str">
        <f t="shared" si="2"/>
        <v>BG_hydro-PHS_lumped_Head</v>
      </c>
      <c r="K67" s="278" t="s">
        <v>3020</v>
      </c>
      <c r="L67">
        <f>VLOOKUP(C67,'Country Totals (All Aggregated)'!$AI$64:$AL$93,MATCH(B67,'Country Totals (All Aggregated)'!$AI$63:$AL$63,0),FALSE)</f>
        <v>225.06</v>
      </c>
      <c r="N67" t="str">
        <f t="shared" si="10"/>
        <v>BG_hydro-PHS_lumped_Tail</v>
      </c>
    </row>
    <row r="68" spans="1:14" x14ac:dyDescent="0.35">
      <c r="A68" s="282" t="str">
        <f t="shared" si="0"/>
        <v>CH_hydro-PHS_lumped</v>
      </c>
      <c r="B68" s="278" t="s">
        <v>2884</v>
      </c>
      <c r="C68" s="216" t="s">
        <v>2800</v>
      </c>
      <c r="D68" s="327">
        <f t="shared" si="1"/>
        <v>6400</v>
      </c>
      <c r="E68">
        <f>VLOOKUP(C68,'Country Totals (All Aggregated)'!$AE$64:$AH$93,MATCH(B68,'Country Totals (All Aggregated)'!$AE$63:$AH$63,0),FALSE)</f>
        <v>16</v>
      </c>
      <c r="F68">
        <f>VLOOKUP(B68,'Country Totals (All Aggregated)'!$AC$54:$AE$56,3,FALSE)</f>
        <v>400</v>
      </c>
      <c r="J68" s="281" t="str">
        <f t="shared" si="2"/>
        <v>CH_hydro-PHS_lumped_Head</v>
      </c>
      <c r="K68" s="278" t="s">
        <v>3020</v>
      </c>
      <c r="L68">
        <f>VLOOKUP(C68,'Country Totals (All Aggregated)'!$AI$64:$AL$93,MATCH(B68,'Country Totals (All Aggregated)'!$AI$63:$AL$63,0),FALSE)</f>
        <v>720.19</v>
      </c>
      <c r="N68" t="str">
        <f t="shared" si="10"/>
        <v>CH_hydro-PHS_lumped_Tail</v>
      </c>
    </row>
    <row r="69" spans="1:14" hidden="1" x14ac:dyDescent="0.35">
      <c r="A69" s="282" t="str">
        <f t="shared" ref="A69:A94" si="11">C69&amp;"_"&amp;B69&amp;"_lumped"</f>
        <v>CY_hydro-PHS_lumped</v>
      </c>
      <c r="B69" s="278" t="s">
        <v>2884</v>
      </c>
      <c r="C69" s="216" t="s">
        <v>2801</v>
      </c>
      <c r="D69" s="327">
        <f t="shared" si="1"/>
        <v>0</v>
      </c>
      <c r="E69">
        <f>VLOOKUP(C69,'Country Totals (All Aggregated)'!$AE$64:$AH$93,MATCH(B69,'Country Totals (All Aggregated)'!$AE$63:$AH$63,0),FALSE)</f>
        <v>0</v>
      </c>
      <c r="F69">
        <f>VLOOKUP(B69,'Country Totals (All Aggregated)'!$AC$54:$AE$56,3,FALSE)</f>
        <v>400</v>
      </c>
      <c r="J69" s="281" t="str">
        <f t="shared" si="2"/>
        <v>CY_hydro-PHS_lumped_Head</v>
      </c>
      <c r="K69" s="278" t="s">
        <v>3020</v>
      </c>
      <c r="L69">
        <f>VLOOKUP(C69,'Country Totals (All Aggregated)'!$AI$64:$AL$93,MATCH(B69,'Country Totals (All Aggregated)'!$AI$63:$AL$63,0),FALSE)</f>
        <v>0</v>
      </c>
    </row>
    <row r="70" spans="1:14" x14ac:dyDescent="0.35">
      <c r="A70" s="282" t="str">
        <f t="shared" si="11"/>
        <v>CZ_hydro-PHS_lumped</v>
      </c>
      <c r="B70" s="278" t="s">
        <v>2884</v>
      </c>
      <c r="C70" s="216" t="s">
        <v>2802</v>
      </c>
      <c r="D70" s="327">
        <f t="shared" ref="D70:D94" si="12">E70*F70</f>
        <v>1600</v>
      </c>
      <c r="E70">
        <f>VLOOKUP(C70,'Country Totals (All Aggregated)'!$AE$64:$AH$93,MATCH(B70,'Country Totals (All Aggregated)'!$AE$63:$AH$63,0),FALSE)</f>
        <v>4</v>
      </c>
      <c r="F70">
        <f>VLOOKUP(B70,'Country Totals (All Aggregated)'!$AC$54:$AE$56,3,FALSE)</f>
        <v>400</v>
      </c>
      <c r="J70" s="281" t="str">
        <f t="shared" ref="J70:J94" si="13">C70&amp;"_"&amp;B70&amp;"_lumped_Head"</f>
        <v>CZ_hydro-PHS_lumped_Head</v>
      </c>
      <c r="K70" s="278" t="s">
        <v>3020</v>
      </c>
      <c r="L70">
        <f>VLOOKUP(C70,'Country Totals (All Aggregated)'!$AI$64:$AL$93,MATCH(B70,'Country Totals (All Aggregated)'!$AI$63:$AL$63,0),FALSE)</f>
        <v>180.05</v>
      </c>
      <c r="N70" t="str">
        <f t="shared" ref="N70:N71" si="14">C70&amp;"_"&amp;B70&amp;"_lumped_Tail"</f>
        <v>CZ_hydro-PHS_lumped_Tail</v>
      </c>
    </row>
    <row r="71" spans="1:14" x14ac:dyDescent="0.35">
      <c r="A71" s="282" t="str">
        <f t="shared" si="11"/>
        <v>DE_hydro-PHS_lumped</v>
      </c>
      <c r="B71" s="278" t="s">
        <v>2884</v>
      </c>
      <c r="C71" s="216" t="s">
        <v>2803</v>
      </c>
      <c r="D71" s="327">
        <f t="shared" si="12"/>
        <v>8000</v>
      </c>
      <c r="E71">
        <f>VLOOKUP(C71,'Country Totals (All Aggregated)'!$AE$64:$AH$93,MATCH(B71,'Country Totals (All Aggregated)'!$AE$63:$AH$63,0),FALSE)</f>
        <v>20</v>
      </c>
      <c r="F71">
        <f>VLOOKUP(B71,'Country Totals (All Aggregated)'!$AC$54:$AE$56,3,FALSE)</f>
        <v>400</v>
      </c>
      <c r="J71" s="281" t="str">
        <f t="shared" si="13"/>
        <v>DE_hydro-PHS_lumped_Head</v>
      </c>
      <c r="K71" s="278" t="s">
        <v>3020</v>
      </c>
      <c r="L71">
        <f>VLOOKUP(C71,'Country Totals (All Aggregated)'!$AI$64:$AL$93,MATCH(B71,'Country Totals (All Aggregated)'!$AI$63:$AL$63,0),FALSE)</f>
        <v>900.24</v>
      </c>
      <c r="N71" t="str">
        <f t="shared" si="14"/>
        <v>DE_hydro-PHS_lumped_Tail</v>
      </c>
    </row>
    <row r="72" spans="1:14" hidden="1" x14ac:dyDescent="0.35">
      <c r="A72" s="282" t="str">
        <f t="shared" si="11"/>
        <v>DK_hydro-PHS_lumped</v>
      </c>
      <c r="B72" s="278" t="s">
        <v>2884</v>
      </c>
      <c r="C72" s="216" t="s">
        <v>2804</v>
      </c>
      <c r="D72" s="327">
        <f t="shared" si="12"/>
        <v>0</v>
      </c>
      <c r="E72">
        <f>VLOOKUP(C72,'Country Totals (All Aggregated)'!$AE$64:$AH$93,MATCH(B72,'Country Totals (All Aggregated)'!$AE$63:$AH$63,0),FALSE)</f>
        <v>0</v>
      </c>
      <c r="F72">
        <f>VLOOKUP(B72,'Country Totals (All Aggregated)'!$AC$54:$AE$56,3,FALSE)</f>
        <v>400</v>
      </c>
      <c r="J72" s="281" t="str">
        <f t="shared" si="13"/>
        <v>DK_hydro-PHS_lumped_Head</v>
      </c>
      <c r="K72" s="278" t="s">
        <v>3020</v>
      </c>
      <c r="L72">
        <f>VLOOKUP(C72,'Country Totals (All Aggregated)'!$AI$64:$AL$93,MATCH(B72,'Country Totals (All Aggregated)'!$AI$63:$AL$63,0),FALSE)</f>
        <v>0</v>
      </c>
    </row>
    <row r="73" spans="1:14" hidden="1" x14ac:dyDescent="0.35">
      <c r="A73" s="282" t="str">
        <f t="shared" si="11"/>
        <v>EE_hydro-PHS_lumped</v>
      </c>
      <c r="B73" s="278" t="s">
        <v>2884</v>
      </c>
      <c r="C73" s="216" t="s">
        <v>2805</v>
      </c>
      <c r="D73" s="327">
        <f t="shared" si="12"/>
        <v>0</v>
      </c>
      <c r="E73">
        <f>VLOOKUP(C73,'Country Totals (All Aggregated)'!$AE$64:$AH$93,MATCH(B73,'Country Totals (All Aggregated)'!$AE$63:$AH$63,0),FALSE)</f>
        <v>0</v>
      </c>
      <c r="F73">
        <f>VLOOKUP(B73,'Country Totals (All Aggregated)'!$AC$54:$AE$56,3,FALSE)</f>
        <v>400</v>
      </c>
      <c r="J73" s="281" t="str">
        <f t="shared" si="13"/>
        <v>EE_hydro-PHS_lumped_Head</v>
      </c>
      <c r="K73" s="278" t="s">
        <v>3020</v>
      </c>
      <c r="L73">
        <f>VLOOKUP(C73,'Country Totals (All Aggregated)'!$AI$64:$AL$93,MATCH(B73,'Country Totals (All Aggregated)'!$AI$63:$AL$63,0),FALSE)</f>
        <v>0</v>
      </c>
    </row>
    <row r="74" spans="1:14" x14ac:dyDescent="0.35">
      <c r="A74" s="282" t="str">
        <f t="shared" si="11"/>
        <v>EL_hydro-PHS_lumped</v>
      </c>
      <c r="B74" s="278" t="s">
        <v>2884</v>
      </c>
      <c r="C74" s="216" t="s">
        <v>2806</v>
      </c>
      <c r="D74" s="327">
        <f t="shared" si="12"/>
        <v>800</v>
      </c>
      <c r="E74">
        <f>VLOOKUP(C74,'Country Totals (All Aggregated)'!$AE$64:$AH$93,MATCH(B74,'Country Totals (All Aggregated)'!$AE$63:$AH$63,0),FALSE)</f>
        <v>2</v>
      </c>
      <c r="F74">
        <f>VLOOKUP(B74,'Country Totals (All Aggregated)'!$AC$54:$AE$56,3,FALSE)</f>
        <v>400</v>
      </c>
      <c r="J74" s="281" t="str">
        <f t="shared" si="13"/>
        <v>EL_hydro-PHS_lumped_Head</v>
      </c>
      <c r="K74" s="278" t="s">
        <v>3020</v>
      </c>
      <c r="L74">
        <f>VLOOKUP(C74,'Country Totals (All Aggregated)'!$AI$64:$AL$93,MATCH(B74,'Country Totals (All Aggregated)'!$AI$63:$AL$63,0),FALSE)</f>
        <v>90.02</v>
      </c>
      <c r="N74" t="str">
        <f>C74&amp;"_"&amp;B74&amp;"_lumped_Tail"</f>
        <v>EL_hydro-PHS_lumped_Tail</v>
      </c>
    </row>
    <row r="75" spans="1:14" hidden="1" x14ac:dyDescent="0.35">
      <c r="A75" s="282" t="str">
        <f t="shared" si="11"/>
        <v>FI_hydro-PHS_lumped</v>
      </c>
      <c r="B75" s="278" t="s">
        <v>2884</v>
      </c>
      <c r="C75" s="216" t="s">
        <v>2808</v>
      </c>
      <c r="D75" s="327">
        <f t="shared" si="12"/>
        <v>0</v>
      </c>
      <c r="E75">
        <f>VLOOKUP(C75,'Country Totals (All Aggregated)'!$AE$64:$AH$93,MATCH(B75,'Country Totals (All Aggregated)'!$AE$63:$AH$63,0),FALSE)</f>
        <v>0</v>
      </c>
      <c r="F75">
        <f>VLOOKUP(B75,'Country Totals (All Aggregated)'!$AC$54:$AE$56,3,FALSE)</f>
        <v>400</v>
      </c>
      <c r="J75" s="281" t="str">
        <f t="shared" si="13"/>
        <v>FI_hydro-PHS_lumped_Head</v>
      </c>
      <c r="K75" s="278" t="s">
        <v>3020</v>
      </c>
      <c r="L75">
        <f>VLOOKUP(C75,'Country Totals (All Aggregated)'!$AI$64:$AL$93,MATCH(B75,'Country Totals (All Aggregated)'!$AI$63:$AL$63,0),FALSE)</f>
        <v>0</v>
      </c>
    </row>
    <row r="76" spans="1:14" x14ac:dyDescent="0.35">
      <c r="A76" s="282" t="str">
        <f t="shared" si="11"/>
        <v>FR_hydro-PHS_lumped</v>
      </c>
      <c r="B76" s="278" t="s">
        <v>2884</v>
      </c>
      <c r="C76" s="216" t="s">
        <v>2809</v>
      </c>
      <c r="D76" s="327">
        <f t="shared" si="12"/>
        <v>8400</v>
      </c>
      <c r="E76">
        <f>VLOOKUP(C76,'Country Totals (All Aggregated)'!$AE$64:$AH$93,MATCH(B76,'Country Totals (All Aggregated)'!$AE$63:$AH$63,0),FALSE)</f>
        <v>21</v>
      </c>
      <c r="F76">
        <f>VLOOKUP(B76,'Country Totals (All Aggregated)'!$AC$54:$AE$56,3,FALSE)</f>
        <v>400</v>
      </c>
      <c r="J76" s="281" t="str">
        <f t="shared" si="13"/>
        <v>FR_hydro-PHS_lumped_Head</v>
      </c>
      <c r="K76" s="278" t="s">
        <v>3020</v>
      </c>
      <c r="L76">
        <f>VLOOKUP(C76,'Country Totals (All Aggregated)'!$AI$64:$AL$93,MATCH(B76,'Country Totals (All Aggregated)'!$AI$63:$AL$63,0),FALSE)</f>
        <v>945.25</v>
      </c>
      <c r="N76" t="str">
        <f t="shared" ref="N76:N78" si="15">C76&amp;"_"&amp;B76&amp;"_lumped_Tail"</f>
        <v>FR_hydro-PHS_lumped_Tail</v>
      </c>
    </row>
    <row r="77" spans="1:14" x14ac:dyDescent="0.35">
      <c r="A77" s="282" t="str">
        <f t="shared" si="11"/>
        <v>GB_hydro-PHS_lumped</v>
      </c>
      <c r="B77" s="278" t="s">
        <v>2884</v>
      </c>
      <c r="C77" s="216" t="s">
        <v>2832</v>
      </c>
      <c r="D77" s="327">
        <f t="shared" si="12"/>
        <v>800</v>
      </c>
      <c r="E77">
        <f>VLOOKUP(C77,'Country Totals (All Aggregated)'!$AE$64:$AH$93,MATCH(B77,'Country Totals (All Aggregated)'!$AE$63:$AH$63,0),FALSE)</f>
        <v>2</v>
      </c>
      <c r="F77">
        <f>VLOOKUP(B77,'Country Totals (All Aggregated)'!$AC$54:$AE$56,3,FALSE)</f>
        <v>400</v>
      </c>
      <c r="J77" s="281" t="str">
        <f t="shared" si="13"/>
        <v>GB_hydro-PHS_lumped_Head</v>
      </c>
      <c r="K77" s="278" t="s">
        <v>3020</v>
      </c>
      <c r="L77">
        <f>VLOOKUP(C77,'Country Totals (All Aggregated)'!$AI$64:$AL$93,MATCH(B77,'Country Totals (All Aggregated)'!$AI$63:$AL$63,0),FALSE)</f>
        <v>90.02</v>
      </c>
      <c r="N77" t="str">
        <f t="shared" si="15"/>
        <v>GB_hydro-PHS_lumped_Tail</v>
      </c>
    </row>
    <row r="78" spans="1:14" x14ac:dyDescent="0.35">
      <c r="A78" s="282" t="str">
        <f t="shared" si="11"/>
        <v>ES_hydro-PHS_lumped</v>
      </c>
      <c r="B78" s="278" t="s">
        <v>2884</v>
      </c>
      <c r="C78" s="216" t="s">
        <v>2807</v>
      </c>
      <c r="D78" s="327">
        <f t="shared" si="12"/>
        <v>4800</v>
      </c>
      <c r="E78">
        <f>VLOOKUP(C78,'Country Totals (All Aggregated)'!$AE$64:$AH$93,MATCH(B78,'Country Totals (All Aggregated)'!$AE$63:$AH$63,0),FALSE)</f>
        <v>12</v>
      </c>
      <c r="F78">
        <f>VLOOKUP(B78,'Country Totals (All Aggregated)'!$AC$54:$AE$56,3,FALSE)</f>
        <v>400</v>
      </c>
      <c r="J78" s="281" t="str">
        <f t="shared" si="13"/>
        <v>ES_hydro-PHS_lumped_Head</v>
      </c>
      <c r="K78" s="278" t="s">
        <v>3020</v>
      </c>
      <c r="L78">
        <f>VLOOKUP(C78,'Country Totals (All Aggregated)'!$AI$64:$AL$93,MATCH(B78,'Country Totals (All Aggregated)'!$AI$63:$AL$63,0),FALSE)</f>
        <v>540.14</v>
      </c>
      <c r="N78" t="str">
        <f t="shared" si="15"/>
        <v>ES_hydro-PHS_lumped_Tail</v>
      </c>
    </row>
    <row r="79" spans="1:14" hidden="1" x14ac:dyDescent="0.35">
      <c r="A79" s="282" t="str">
        <f t="shared" si="11"/>
        <v>HR_hydro-PHS_lumped</v>
      </c>
      <c r="B79" s="278" t="s">
        <v>2884</v>
      </c>
      <c r="C79" s="216" t="s">
        <v>2810</v>
      </c>
      <c r="D79" s="327" t="e">
        <f t="shared" si="12"/>
        <v>#N/A</v>
      </c>
      <c r="E79" t="e">
        <f>VLOOKUP(C79,'Country Totals (All Aggregated)'!$AE$64:$AH$93,MATCH(B79,'Country Totals (All Aggregated)'!$AE$63:$AH$63,0),FALSE)</f>
        <v>#N/A</v>
      </c>
      <c r="F79">
        <f>VLOOKUP(B79,'Country Totals (All Aggregated)'!$AC$54:$AE$56,3,FALSE)</f>
        <v>400</v>
      </c>
      <c r="J79" s="281" t="str">
        <f t="shared" si="13"/>
        <v>HR_hydro-PHS_lumped_Head</v>
      </c>
      <c r="K79" s="278" t="s">
        <v>3020</v>
      </c>
      <c r="L79" t="e">
        <f>VLOOKUP(C79,'Country Totals (All Aggregated)'!$AI$64:$AL$93,MATCH(B79,'Country Totals (All Aggregated)'!$AI$63:$AL$63,0),FALSE)</f>
        <v>#N/A</v>
      </c>
      <c r="N79" t="str">
        <f t="shared" ref="N79" si="16">C79&amp;"_"&amp;B79&amp;"_lumped_Tail"</f>
        <v>HR_hydro-PHS_lumped_Tail</v>
      </c>
    </row>
    <row r="80" spans="1:14" hidden="1" x14ac:dyDescent="0.35">
      <c r="A80" s="282" t="str">
        <f t="shared" si="11"/>
        <v>HU_hydro-PHS_lumped</v>
      </c>
      <c r="B80" s="278" t="s">
        <v>2884</v>
      </c>
      <c r="C80" s="216" t="s">
        <v>2811</v>
      </c>
      <c r="D80" s="327">
        <f t="shared" si="12"/>
        <v>0</v>
      </c>
      <c r="E80">
        <f>VLOOKUP(C80,'Country Totals (All Aggregated)'!$AE$64:$AH$93,MATCH(B80,'Country Totals (All Aggregated)'!$AE$63:$AH$63,0),FALSE)</f>
        <v>0</v>
      </c>
      <c r="F80">
        <f>VLOOKUP(B80,'Country Totals (All Aggregated)'!$AC$54:$AE$56,3,FALSE)</f>
        <v>400</v>
      </c>
      <c r="J80" s="281" t="str">
        <f t="shared" si="13"/>
        <v>HU_hydro-PHS_lumped_Head</v>
      </c>
      <c r="K80" s="278" t="s">
        <v>3020</v>
      </c>
      <c r="L80">
        <f>VLOOKUP(C80,'Country Totals (All Aggregated)'!$AI$64:$AL$93,MATCH(B80,'Country Totals (All Aggregated)'!$AI$63:$AL$63,0),FALSE)</f>
        <v>0</v>
      </c>
    </row>
    <row r="81" spans="1:14" x14ac:dyDescent="0.35">
      <c r="A81" s="282" t="str">
        <f t="shared" si="11"/>
        <v>IE_hydro-PHS_lumped</v>
      </c>
      <c r="B81" s="278" t="s">
        <v>2884</v>
      </c>
      <c r="C81" s="216" t="s">
        <v>2812</v>
      </c>
      <c r="D81" s="327">
        <f t="shared" si="12"/>
        <v>400</v>
      </c>
      <c r="E81">
        <f>VLOOKUP(C81,'Country Totals (All Aggregated)'!$AE$64:$AH$93,MATCH(B81,'Country Totals (All Aggregated)'!$AE$63:$AH$63,0),FALSE)</f>
        <v>1</v>
      </c>
      <c r="F81">
        <f>VLOOKUP(B81,'Country Totals (All Aggregated)'!$AC$54:$AE$56,3,FALSE)</f>
        <v>400</v>
      </c>
      <c r="J81" s="281" t="str">
        <f t="shared" si="13"/>
        <v>IE_hydro-PHS_lumped_Head</v>
      </c>
      <c r="K81" s="278" t="s">
        <v>3020</v>
      </c>
      <c r="L81">
        <f>VLOOKUP(C81,'Country Totals (All Aggregated)'!$AI$64:$AL$93,MATCH(B81,'Country Totals (All Aggregated)'!$AI$63:$AL$63,0),FALSE)</f>
        <v>45.01</v>
      </c>
      <c r="N81" t="str">
        <f t="shared" ref="N81:N85" si="17">C81&amp;"_"&amp;B81&amp;"_lumped_Tail"</f>
        <v>IE_hydro-PHS_lumped_Tail</v>
      </c>
    </row>
    <row r="82" spans="1:14" x14ac:dyDescent="0.35">
      <c r="A82" s="282" t="str">
        <f t="shared" si="11"/>
        <v>IT_hydro-PHS_lumped</v>
      </c>
      <c r="B82" s="278" t="s">
        <v>2884</v>
      </c>
      <c r="C82" s="216" t="s">
        <v>2813</v>
      </c>
      <c r="D82" s="327">
        <f t="shared" si="12"/>
        <v>8400</v>
      </c>
      <c r="E82">
        <f>VLOOKUP(C82,'Country Totals (All Aggregated)'!$AE$64:$AH$93,MATCH(B82,'Country Totals (All Aggregated)'!$AE$63:$AH$63,0),FALSE)</f>
        <v>21</v>
      </c>
      <c r="F82">
        <f>VLOOKUP(B82,'Country Totals (All Aggregated)'!$AC$54:$AE$56,3,FALSE)</f>
        <v>400</v>
      </c>
      <c r="J82" s="281" t="str">
        <f t="shared" si="13"/>
        <v>IT_hydro-PHS_lumped_Head</v>
      </c>
      <c r="K82" s="278" t="s">
        <v>3020</v>
      </c>
      <c r="L82">
        <f>VLOOKUP(C82,'Country Totals (All Aggregated)'!$AI$64:$AL$93,MATCH(B82,'Country Totals (All Aggregated)'!$AI$63:$AL$63,0),FALSE)</f>
        <v>945.25</v>
      </c>
      <c r="N82" t="str">
        <f t="shared" si="17"/>
        <v>IT_hydro-PHS_lumped_Tail</v>
      </c>
    </row>
    <row r="83" spans="1:14" x14ac:dyDescent="0.35">
      <c r="A83" s="282" t="str">
        <f t="shared" si="11"/>
        <v>LT_hydro-PHS_lumped</v>
      </c>
      <c r="B83" s="278" t="s">
        <v>2884</v>
      </c>
      <c r="C83" s="216" t="s">
        <v>2814</v>
      </c>
      <c r="D83" s="327">
        <f t="shared" si="12"/>
        <v>800</v>
      </c>
      <c r="E83">
        <f>VLOOKUP(C83,'Country Totals (All Aggregated)'!$AE$64:$AH$93,MATCH(B83,'Country Totals (All Aggregated)'!$AE$63:$AH$63,0),FALSE)</f>
        <v>2</v>
      </c>
      <c r="F83">
        <f>VLOOKUP(B83,'Country Totals (All Aggregated)'!$AC$54:$AE$56,3,FALSE)</f>
        <v>400</v>
      </c>
      <c r="J83" s="281" t="str">
        <f t="shared" si="13"/>
        <v>LT_hydro-PHS_lumped_Head</v>
      </c>
      <c r="K83" s="278" t="s">
        <v>3020</v>
      </c>
      <c r="L83">
        <f>VLOOKUP(C83,'Country Totals (All Aggregated)'!$AI$64:$AL$93,MATCH(B83,'Country Totals (All Aggregated)'!$AI$63:$AL$63,0),FALSE)</f>
        <v>90.02</v>
      </c>
      <c r="N83" t="str">
        <f t="shared" si="17"/>
        <v>LT_hydro-PHS_lumped_Tail</v>
      </c>
    </row>
    <row r="84" spans="1:14" x14ac:dyDescent="0.35">
      <c r="A84" s="282" t="str">
        <f t="shared" si="11"/>
        <v>LU_hydro-PHS_lumped</v>
      </c>
      <c r="B84" s="278" t="s">
        <v>2884</v>
      </c>
      <c r="C84" s="216" t="s">
        <v>2815</v>
      </c>
      <c r="D84" s="327" t="e">
        <f t="shared" si="12"/>
        <v>#N/A</v>
      </c>
      <c r="E84" t="e">
        <f>VLOOKUP(C84,'Country Totals (All Aggregated)'!$AE$64:$AH$93,MATCH(B84,'Country Totals (All Aggregated)'!$AE$63:$AH$63,0),FALSE)</f>
        <v>#N/A</v>
      </c>
      <c r="F84">
        <f>VLOOKUP(B84,'Country Totals (All Aggregated)'!$AC$54:$AE$56,3,FALSE)</f>
        <v>400</v>
      </c>
      <c r="J84" s="281" t="str">
        <f t="shared" si="13"/>
        <v>LU_hydro-PHS_lumped_Head</v>
      </c>
      <c r="K84" s="278" t="s">
        <v>3020</v>
      </c>
      <c r="L84" t="e">
        <f>VLOOKUP(C84,'Country Totals (All Aggregated)'!$AI$64:$AL$93,MATCH(B84,'Country Totals (All Aggregated)'!$AI$63:$AL$63,0),FALSE)</f>
        <v>#N/A</v>
      </c>
      <c r="N84" t="str">
        <f t="shared" si="17"/>
        <v>LU_hydro-PHS_lumped_Tail</v>
      </c>
    </row>
    <row r="85" spans="1:14" x14ac:dyDescent="0.35">
      <c r="A85" s="282" t="str">
        <f t="shared" si="11"/>
        <v>LV_hydro-PHS_lumped</v>
      </c>
      <c r="B85" s="278" t="s">
        <v>2884</v>
      </c>
      <c r="C85" s="216" t="s">
        <v>2816</v>
      </c>
      <c r="D85" s="327">
        <f t="shared" si="12"/>
        <v>400</v>
      </c>
      <c r="E85">
        <f>VLOOKUP(C85,'Country Totals (All Aggregated)'!$AE$64:$AH$93,MATCH(B85,'Country Totals (All Aggregated)'!$AE$63:$AH$63,0),FALSE)</f>
        <v>1</v>
      </c>
      <c r="F85">
        <f>VLOOKUP(B85,'Country Totals (All Aggregated)'!$AC$54:$AE$56,3,FALSE)</f>
        <v>400</v>
      </c>
      <c r="J85" s="281" t="str">
        <f t="shared" si="13"/>
        <v>LV_hydro-PHS_lumped_Head</v>
      </c>
      <c r="K85" s="278" t="s">
        <v>3020</v>
      </c>
      <c r="L85">
        <f>VLOOKUP(C85,'Country Totals (All Aggregated)'!$AI$64:$AL$93,MATCH(B85,'Country Totals (All Aggregated)'!$AI$63:$AL$63,0),FALSE)</f>
        <v>45.01</v>
      </c>
      <c r="N85" t="str">
        <f t="shared" si="17"/>
        <v>LV_hydro-PHS_lumped_Tail</v>
      </c>
    </row>
    <row r="86" spans="1:14" hidden="1" x14ac:dyDescent="0.35">
      <c r="A86" s="282" t="str">
        <f t="shared" si="11"/>
        <v>NI_hydro-PHS_lumped</v>
      </c>
      <c r="B86" s="278" t="s">
        <v>2884</v>
      </c>
      <c r="C86" s="216" t="s">
        <v>2833</v>
      </c>
      <c r="D86" s="327">
        <f t="shared" si="12"/>
        <v>0</v>
      </c>
      <c r="E86">
        <f>VLOOKUP(C86,'Country Totals (All Aggregated)'!$AE$64:$AH$93,MATCH(B86,'Country Totals (All Aggregated)'!$AE$63:$AH$63,0),FALSE)</f>
        <v>0</v>
      </c>
      <c r="F86">
        <f>VLOOKUP(B86,'Country Totals (All Aggregated)'!$AC$54:$AE$56,3,FALSE)</f>
        <v>400</v>
      </c>
      <c r="J86" s="281" t="str">
        <f t="shared" si="13"/>
        <v>NI_hydro-PHS_lumped_Head</v>
      </c>
      <c r="K86" s="278" t="s">
        <v>3020</v>
      </c>
      <c r="L86">
        <f>VLOOKUP(C86,'Country Totals (All Aggregated)'!$AI$64:$AL$93,MATCH(B86,'Country Totals (All Aggregated)'!$AI$63:$AL$63,0),FALSE)</f>
        <v>0</v>
      </c>
    </row>
    <row r="87" spans="1:14" hidden="1" x14ac:dyDescent="0.35">
      <c r="A87" s="282" t="str">
        <f t="shared" si="11"/>
        <v>NL_hydro-PHS_lumped</v>
      </c>
      <c r="B87" s="278" t="s">
        <v>2884</v>
      </c>
      <c r="C87" s="216" t="s">
        <v>2818</v>
      </c>
      <c r="D87" s="327">
        <f t="shared" si="12"/>
        <v>0</v>
      </c>
      <c r="E87">
        <f>VLOOKUP(C87,'Country Totals (All Aggregated)'!$AE$64:$AH$93,MATCH(B87,'Country Totals (All Aggregated)'!$AE$63:$AH$63,0),FALSE)</f>
        <v>0</v>
      </c>
      <c r="F87">
        <f>VLOOKUP(B87,'Country Totals (All Aggregated)'!$AC$54:$AE$56,3,FALSE)</f>
        <v>400</v>
      </c>
      <c r="J87" s="281" t="str">
        <f t="shared" si="13"/>
        <v>NL_hydro-PHS_lumped_Head</v>
      </c>
      <c r="K87" s="278" t="s">
        <v>3020</v>
      </c>
      <c r="L87">
        <f>VLOOKUP(C87,'Country Totals (All Aggregated)'!$AI$64:$AL$93,MATCH(B87,'Country Totals (All Aggregated)'!$AI$63:$AL$63,0),FALSE)</f>
        <v>0</v>
      </c>
    </row>
    <row r="88" spans="1:14" x14ac:dyDescent="0.35">
      <c r="A88" s="282" t="str">
        <f t="shared" si="11"/>
        <v>NO_hydro-PHS_lumped</v>
      </c>
      <c r="B88" s="278" t="s">
        <v>2884</v>
      </c>
      <c r="C88" s="216" t="s">
        <v>2819</v>
      </c>
      <c r="D88" s="327">
        <f t="shared" si="12"/>
        <v>1200</v>
      </c>
      <c r="E88">
        <f>VLOOKUP(C88,'Country Totals (All Aggregated)'!$AE$64:$AH$93,MATCH(B88,'Country Totals (All Aggregated)'!$AE$63:$AH$63,0),FALSE)</f>
        <v>3</v>
      </c>
      <c r="F88">
        <f>VLOOKUP(B88,'Country Totals (All Aggregated)'!$AC$54:$AE$56,3,FALSE)</f>
        <v>400</v>
      </c>
      <c r="J88" s="281" t="str">
        <f t="shared" si="13"/>
        <v>NO_hydro-PHS_lumped_Head</v>
      </c>
      <c r="K88" s="278" t="s">
        <v>3020</v>
      </c>
      <c r="L88">
        <f>VLOOKUP(C88,'Country Totals (All Aggregated)'!$AI$64:$AL$93,MATCH(B88,'Country Totals (All Aggregated)'!$AI$63:$AL$63,0),FALSE)</f>
        <v>135.04</v>
      </c>
      <c r="N88" t="str">
        <f t="shared" ref="N88:N90" si="18">C88&amp;"_"&amp;B88&amp;"_lumped_Tail"</f>
        <v>NO_hydro-PHS_lumped_Tail</v>
      </c>
    </row>
    <row r="89" spans="1:14" x14ac:dyDescent="0.35">
      <c r="A89" s="282" t="str">
        <f t="shared" si="11"/>
        <v>PL_hydro-PHS_lumped</v>
      </c>
      <c r="B89" s="278" t="s">
        <v>2884</v>
      </c>
      <c r="C89" s="216" t="s">
        <v>2820</v>
      </c>
      <c r="D89" s="327">
        <f t="shared" si="12"/>
        <v>2000</v>
      </c>
      <c r="E89">
        <f>VLOOKUP(C89,'Country Totals (All Aggregated)'!$AE$64:$AH$93,MATCH(B89,'Country Totals (All Aggregated)'!$AE$63:$AH$63,0),FALSE)</f>
        <v>5</v>
      </c>
      <c r="F89">
        <f>VLOOKUP(B89,'Country Totals (All Aggregated)'!$AC$54:$AE$56,3,FALSE)</f>
        <v>400</v>
      </c>
      <c r="J89" s="281" t="str">
        <f t="shared" si="13"/>
        <v>PL_hydro-PHS_lumped_Head</v>
      </c>
      <c r="K89" s="278" t="s">
        <v>3020</v>
      </c>
      <c r="L89">
        <f>VLOOKUP(C89,'Country Totals (All Aggregated)'!$AI$64:$AL$93,MATCH(B89,'Country Totals (All Aggregated)'!$AI$63:$AL$63,0),FALSE)</f>
        <v>225.06</v>
      </c>
      <c r="N89" t="str">
        <f t="shared" si="18"/>
        <v>PL_hydro-PHS_lumped_Tail</v>
      </c>
    </row>
    <row r="90" spans="1:14" x14ac:dyDescent="0.35">
      <c r="A90" s="282" t="str">
        <f t="shared" si="11"/>
        <v>PT_hydro-PHS_lumped</v>
      </c>
      <c r="B90" s="278" t="s">
        <v>2884</v>
      </c>
      <c r="C90" s="216" t="s">
        <v>2821</v>
      </c>
      <c r="D90" s="327">
        <f t="shared" si="12"/>
        <v>2000</v>
      </c>
      <c r="E90">
        <f>VLOOKUP(C90,'Country Totals (All Aggregated)'!$AE$64:$AH$93,MATCH(B90,'Country Totals (All Aggregated)'!$AE$63:$AH$63,0),FALSE)</f>
        <v>5</v>
      </c>
      <c r="F90">
        <f>VLOOKUP(B90,'Country Totals (All Aggregated)'!$AC$54:$AE$56,3,FALSE)</f>
        <v>400</v>
      </c>
      <c r="J90" s="281" t="str">
        <f t="shared" si="13"/>
        <v>PT_hydro-PHS_lumped_Head</v>
      </c>
      <c r="K90" s="278" t="s">
        <v>3020</v>
      </c>
      <c r="L90">
        <f>VLOOKUP(C90,'Country Totals (All Aggregated)'!$AI$64:$AL$93,MATCH(B90,'Country Totals (All Aggregated)'!$AI$63:$AL$63,0),FALSE)</f>
        <v>225.06</v>
      </c>
      <c r="N90" t="str">
        <f t="shared" si="18"/>
        <v>PT_hydro-PHS_lumped_Tail</v>
      </c>
    </row>
    <row r="91" spans="1:14" hidden="1" x14ac:dyDescent="0.35">
      <c r="A91" s="282" t="str">
        <f t="shared" si="11"/>
        <v>RO_hydro-PHS_lumped</v>
      </c>
      <c r="B91" s="278" t="s">
        <v>2884</v>
      </c>
      <c r="C91" s="216" t="s">
        <v>2822</v>
      </c>
      <c r="D91" s="327">
        <f t="shared" si="12"/>
        <v>0</v>
      </c>
      <c r="E91">
        <f>VLOOKUP(C91,'Country Totals (All Aggregated)'!$AE$64:$AH$93,MATCH(B91,'Country Totals (All Aggregated)'!$AE$63:$AH$63,0),FALSE)</f>
        <v>0</v>
      </c>
      <c r="F91">
        <f>VLOOKUP(B91,'Country Totals (All Aggregated)'!$AC$54:$AE$56,3,FALSE)</f>
        <v>400</v>
      </c>
      <c r="J91" s="281" t="str">
        <f t="shared" si="13"/>
        <v>RO_hydro-PHS_lumped_Head</v>
      </c>
      <c r="K91" s="278" t="s">
        <v>3020</v>
      </c>
      <c r="L91">
        <f>VLOOKUP(C91,'Country Totals (All Aggregated)'!$AI$64:$AL$93,MATCH(B91,'Country Totals (All Aggregated)'!$AI$63:$AL$63,0),FALSE)</f>
        <v>0</v>
      </c>
    </row>
    <row r="92" spans="1:14" hidden="1" x14ac:dyDescent="0.35">
      <c r="A92" s="282" t="str">
        <f t="shared" si="11"/>
        <v>SE_hydro-PHS_lumped</v>
      </c>
      <c r="B92" s="278" t="s">
        <v>2884</v>
      </c>
      <c r="C92" s="216" t="s">
        <v>2823</v>
      </c>
      <c r="D92" s="327">
        <f t="shared" si="12"/>
        <v>0</v>
      </c>
      <c r="E92">
        <f>VLOOKUP(C92,'Country Totals (All Aggregated)'!$AE$64:$AH$93,MATCH(B92,'Country Totals (All Aggregated)'!$AE$63:$AH$63,0),FALSE)</f>
        <v>0</v>
      </c>
      <c r="F92">
        <f>VLOOKUP(B92,'Country Totals (All Aggregated)'!$AC$54:$AE$56,3,FALSE)</f>
        <v>400</v>
      </c>
      <c r="J92" s="281" t="str">
        <f t="shared" si="13"/>
        <v>SE_hydro-PHS_lumped_Head</v>
      </c>
      <c r="K92" s="278" t="s">
        <v>3020</v>
      </c>
      <c r="L92">
        <f>VLOOKUP(C92,'Country Totals (All Aggregated)'!$AI$64:$AL$93,MATCH(B92,'Country Totals (All Aggregated)'!$AI$63:$AL$63,0),FALSE)</f>
        <v>0</v>
      </c>
    </row>
    <row r="93" spans="1:14" x14ac:dyDescent="0.35">
      <c r="A93" s="282" t="str">
        <f t="shared" si="11"/>
        <v>SI_hydro-PHS_lumped</v>
      </c>
      <c r="B93" s="278" t="s">
        <v>2884</v>
      </c>
      <c r="C93" s="216" t="s">
        <v>2824</v>
      </c>
      <c r="D93" s="327">
        <f t="shared" si="12"/>
        <v>400</v>
      </c>
      <c r="E93">
        <f>VLOOKUP(C93,'Country Totals (All Aggregated)'!$AE$64:$AH$93,MATCH(B93,'Country Totals (All Aggregated)'!$AE$63:$AH$63,0),FALSE)</f>
        <v>1</v>
      </c>
      <c r="F93">
        <f>VLOOKUP(B93,'Country Totals (All Aggregated)'!$AC$54:$AE$56,3,FALSE)</f>
        <v>400</v>
      </c>
      <c r="J93" s="281" t="str">
        <f t="shared" si="13"/>
        <v>SI_hydro-PHS_lumped_Head</v>
      </c>
      <c r="K93" s="278" t="s">
        <v>3020</v>
      </c>
      <c r="L93">
        <f>VLOOKUP(C93,'Country Totals (All Aggregated)'!$AI$64:$AL$93,MATCH(B93,'Country Totals (All Aggregated)'!$AI$63:$AL$63,0),FALSE)</f>
        <v>45.01</v>
      </c>
      <c r="N93" t="str">
        <f t="shared" ref="N93:N94" si="19">C93&amp;"_"&amp;B93&amp;"_lumped_Tail"</f>
        <v>SI_hydro-PHS_lumped_Tail</v>
      </c>
    </row>
    <row r="94" spans="1:14" x14ac:dyDescent="0.35">
      <c r="A94" s="282" t="str">
        <f t="shared" si="11"/>
        <v>SK_hydro-PHS_lumped</v>
      </c>
      <c r="B94" s="278" t="s">
        <v>2884</v>
      </c>
      <c r="C94" s="216" t="s">
        <v>2825</v>
      </c>
      <c r="D94" s="327">
        <f t="shared" si="12"/>
        <v>1200</v>
      </c>
      <c r="E94">
        <f>VLOOKUP(C94,'Country Totals (All Aggregated)'!$AE$64:$AH$93,MATCH(B94,'Country Totals (All Aggregated)'!$AE$63:$AH$63,0),FALSE)</f>
        <v>3</v>
      </c>
      <c r="F94">
        <f>VLOOKUP(B94,'Country Totals (All Aggregated)'!$AC$54:$AE$56,3,FALSE)</f>
        <v>400</v>
      </c>
      <c r="J94" s="281" t="str">
        <f t="shared" si="13"/>
        <v>SK_hydro-PHS_lumped_Head</v>
      </c>
      <c r="K94" s="278" t="s">
        <v>3020</v>
      </c>
      <c r="L94">
        <f>VLOOKUP(C94,'Country Totals (All Aggregated)'!$AI$64:$AL$93,MATCH(B94,'Country Totals (All Aggregated)'!$AI$63:$AL$63,0),FALSE)</f>
        <v>135.04</v>
      </c>
      <c r="N94" t="str">
        <f t="shared" si="19"/>
        <v>SK_hydro-PHS_lumped_Tail</v>
      </c>
    </row>
  </sheetData>
  <autoFilter ref="A4:L94" xr:uid="{00000000-0009-0000-0000-000012000000}">
    <filterColumn colId="4">
      <filters>
        <filter val="1"/>
        <filter val="11"/>
        <filter val="111"/>
        <filter val="12"/>
        <filter val="140"/>
        <filter val="148"/>
        <filter val="15"/>
        <filter val="154"/>
        <filter val="16"/>
        <filter val="2"/>
        <filter val="20"/>
        <filter val="21"/>
        <filter val="22"/>
        <filter val="26"/>
        <filter val="27"/>
        <filter val="28"/>
        <filter val="281"/>
        <filter val="3"/>
        <filter val="32"/>
        <filter val="38"/>
        <filter val="4"/>
        <filter val="41"/>
        <filter val="42"/>
        <filter val="44"/>
        <filter val="46"/>
        <filter val="5"/>
        <filter val="54"/>
        <filter val="7"/>
        <filter val="74"/>
        <filter val="8"/>
        <filter val="81"/>
        <filter val="93"/>
      </filters>
    </filterColumn>
  </autoFilter>
  <pageMargins left="0.7" right="0.7" top="0.75" bottom="0.75" header="0.3" footer="0.3"/>
  <pageSetup orientation="portrait" r:id="rId1"/>
  <legacyDrawing r:id="rId2"/>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tabColor theme="8" tint="0.39997558519241921"/>
  </sheetPr>
  <dimension ref="A1:S53"/>
  <sheetViews>
    <sheetView workbookViewId="0">
      <selection activeCell="Q33" sqref="Q33"/>
    </sheetView>
  </sheetViews>
  <sheetFormatPr defaultColWidth="8.81640625" defaultRowHeight="14.5" x14ac:dyDescent="0.35"/>
  <cols>
    <col min="1" max="1" width="22.6328125" bestFit="1" customWidth="1"/>
    <col min="2" max="2" width="23.1796875" bestFit="1" customWidth="1"/>
    <col min="12" max="12" width="21.453125" customWidth="1"/>
  </cols>
  <sheetData>
    <row r="1" spans="1:19" x14ac:dyDescent="0.35">
      <c r="A1" t="s">
        <v>3193</v>
      </c>
      <c r="B1" t="s">
        <v>3194</v>
      </c>
      <c r="C1" s="214">
        <f t="shared" ref="C1:C18" si="0">VLOOKUP(MID(A1,1,2),$Q$2:$S$31,2,FALSE)*100</f>
        <v>33.089936233983067</v>
      </c>
      <c r="E1" t="s">
        <v>3195</v>
      </c>
      <c r="F1">
        <v>1</v>
      </c>
      <c r="J1" t="s">
        <v>3196</v>
      </c>
      <c r="L1" t="s">
        <v>3294</v>
      </c>
      <c r="Q1" s="336"/>
      <c r="R1" s="337" t="s">
        <v>2789</v>
      </c>
      <c r="S1" s="338" t="s">
        <v>3263</v>
      </c>
    </row>
    <row r="2" spans="1:19" x14ac:dyDescent="0.35">
      <c r="A2" t="s">
        <v>3268</v>
      </c>
      <c r="B2" t="s">
        <v>3194</v>
      </c>
      <c r="C2" s="214">
        <f t="shared" si="0"/>
        <v>29.70789344563433</v>
      </c>
      <c r="E2" t="s">
        <v>3195</v>
      </c>
      <c r="F2">
        <v>1</v>
      </c>
      <c r="J2" t="s">
        <v>3196</v>
      </c>
      <c r="L2" t="s">
        <v>3294</v>
      </c>
      <c r="Q2" s="339" t="s">
        <v>2797</v>
      </c>
      <c r="R2" s="340">
        <v>0.33089936233983064</v>
      </c>
      <c r="S2" s="341">
        <v>0.38266554267498115</v>
      </c>
    </row>
    <row r="3" spans="1:19" x14ac:dyDescent="0.35">
      <c r="A3" t="s">
        <v>3201</v>
      </c>
      <c r="B3" t="s">
        <v>3194</v>
      </c>
      <c r="C3" s="214">
        <f t="shared" si="0"/>
        <v>23.282971254207386</v>
      </c>
      <c r="E3" t="s">
        <v>3195</v>
      </c>
      <c r="F3">
        <v>1</v>
      </c>
      <c r="J3" t="s">
        <v>3196</v>
      </c>
      <c r="L3" t="s">
        <v>3294</v>
      </c>
      <c r="Q3" s="339" t="s">
        <v>2798</v>
      </c>
      <c r="R3" s="340">
        <v>7.3088693985704931E-2</v>
      </c>
      <c r="S3" s="341">
        <v>0.11647009199837136</v>
      </c>
    </row>
    <row r="4" spans="1:19" x14ac:dyDescent="0.35">
      <c r="A4" t="s">
        <v>3203</v>
      </c>
      <c r="B4" t="s">
        <v>3194</v>
      </c>
      <c r="C4" s="214">
        <f t="shared" si="0"/>
        <v>36.895504482993296</v>
      </c>
      <c r="E4" t="s">
        <v>3195</v>
      </c>
      <c r="F4">
        <v>1</v>
      </c>
      <c r="J4" t="s">
        <v>3196</v>
      </c>
      <c r="L4" t="s">
        <v>3294</v>
      </c>
      <c r="Q4" s="339" t="s">
        <v>2799</v>
      </c>
      <c r="R4" s="340">
        <v>8.4850586671290681E-2</v>
      </c>
      <c r="S4" s="341">
        <v>0.14817418671669411</v>
      </c>
    </row>
    <row r="5" spans="1:19" x14ac:dyDescent="0.35">
      <c r="A5" t="s">
        <v>3205</v>
      </c>
      <c r="B5" t="s">
        <v>3194</v>
      </c>
      <c r="C5" s="214">
        <f t="shared" si="0"/>
        <v>22.552054794520547</v>
      </c>
      <c r="E5" t="s">
        <v>3195</v>
      </c>
      <c r="F5">
        <v>1</v>
      </c>
      <c r="J5" t="s">
        <v>3196</v>
      </c>
      <c r="L5" t="s">
        <v>3294</v>
      </c>
      <c r="Q5" s="339" t="s">
        <v>2800</v>
      </c>
      <c r="R5" s="340">
        <v>0.29707893445634331</v>
      </c>
      <c r="S5" s="341">
        <v>0.30605483604973749</v>
      </c>
    </row>
    <row r="6" spans="1:19" x14ac:dyDescent="0.35">
      <c r="A6" t="s">
        <v>3206</v>
      </c>
      <c r="B6" t="s">
        <v>3194</v>
      </c>
      <c r="C6" s="214">
        <f t="shared" si="0"/>
        <v>12.107459328718216</v>
      </c>
      <c r="E6" t="s">
        <v>3195</v>
      </c>
      <c r="F6">
        <v>1</v>
      </c>
      <c r="J6" t="s">
        <v>3196</v>
      </c>
      <c r="L6" t="s">
        <v>3294</v>
      </c>
      <c r="Q6" s="339" t="s">
        <v>2801</v>
      </c>
      <c r="R6" s="340"/>
      <c r="S6" s="341"/>
    </row>
    <row r="7" spans="1:19" x14ac:dyDescent="0.35">
      <c r="A7" t="s">
        <v>3208</v>
      </c>
      <c r="B7" t="s">
        <v>3194</v>
      </c>
      <c r="C7" s="214">
        <f t="shared" si="0"/>
        <v>22.797768813983517</v>
      </c>
      <c r="E7" t="s">
        <v>3195</v>
      </c>
      <c r="F7">
        <v>1</v>
      </c>
      <c r="J7" t="s">
        <v>3196</v>
      </c>
      <c r="L7" t="s">
        <v>3294</v>
      </c>
      <c r="Q7" s="339" t="s">
        <v>2802</v>
      </c>
      <c r="R7" s="340">
        <v>8.0179132465167433E-2</v>
      </c>
      <c r="S7" s="341">
        <v>0.12534419166849495</v>
      </c>
    </row>
    <row r="8" spans="1:19" x14ac:dyDescent="0.35">
      <c r="A8" t="s">
        <v>3209</v>
      </c>
      <c r="B8" t="s">
        <v>3194</v>
      </c>
      <c r="C8" s="214">
        <f t="shared" si="0"/>
        <v>19.815628500043079</v>
      </c>
      <c r="E8" t="s">
        <v>3195</v>
      </c>
      <c r="F8">
        <v>1</v>
      </c>
      <c r="J8" t="s">
        <v>3196</v>
      </c>
      <c r="L8" t="s">
        <v>3294</v>
      </c>
      <c r="Q8" s="339" t="s">
        <v>2803</v>
      </c>
      <c r="R8" s="340">
        <v>0.23282971254207385</v>
      </c>
      <c r="S8" s="341">
        <v>0.28220545348364728</v>
      </c>
    </row>
    <row r="9" spans="1:19" x14ac:dyDescent="0.35">
      <c r="A9" t="s">
        <v>3211</v>
      </c>
      <c r="B9" t="s">
        <v>3194</v>
      </c>
      <c r="C9" s="214">
        <f t="shared" si="0"/>
        <v>19.651398711685065</v>
      </c>
      <c r="E9" t="s">
        <v>3195</v>
      </c>
      <c r="F9">
        <v>1</v>
      </c>
      <c r="J9" t="s">
        <v>3196</v>
      </c>
      <c r="L9" t="s">
        <v>3294</v>
      </c>
      <c r="Q9" s="339" t="s">
        <v>2804</v>
      </c>
      <c r="R9" s="340">
        <v>0.16489091831557584</v>
      </c>
      <c r="S9" s="341">
        <v>0.28180434481804345</v>
      </c>
    </row>
    <row r="10" spans="1:19" x14ac:dyDescent="0.35">
      <c r="A10" t="s">
        <v>3269</v>
      </c>
      <c r="B10" t="s">
        <v>3194</v>
      </c>
      <c r="C10" s="214">
        <f t="shared" si="0"/>
        <v>8.5186537352444738</v>
      </c>
      <c r="E10" t="s">
        <v>3195</v>
      </c>
      <c r="F10">
        <v>1</v>
      </c>
      <c r="J10" t="s">
        <v>3196</v>
      </c>
      <c r="L10" t="s">
        <v>3294</v>
      </c>
      <c r="Q10" s="339" t="s">
        <v>2805</v>
      </c>
      <c r="R10" s="340">
        <v>0.11415525114155251</v>
      </c>
      <c r="S10" s="341">
        <v>0.42306751467710368</v>
      </c>
    </row>
    <row r="11" spans="1:19" x14ac:dyDescent="0.35">
      <c r="A11" t="s">
        <v>3270</v>
      </c>
      <c r="B11" t="s">
        <v>3194</v>
      </c>
      <c r="C11" s="214">
        <f t="shared" si="0"/>
        <v>13.968997837058399</v>
      </c>
      <c r="E11" t="s">
        <v>3195</v>
      </c>
      <c r="F11">
        <v>1</v>
      </c>
      <c r="J11" t="s">
        <v>3196</v>
      </c>
      <c r="L11" t="s">
        <v>3294</v>
      </c>
      <c r="Q11" s="339" t="s">
        <v>2807</v>
      </c>
      <c r="R11" s="340">
        <v>0.14127931936151114</v>
      </c>
      <c r="S11" s="341">
        <v>0.20212165169776483</v>
      </c>
    </row>
    <row r="12" spans="1:19" x14ac:dyDescent="0.35">
      <c r="A12" t="s">
        <v>3213</v>
      </c>
      <c r="B12" t="s">
        <v>3194</v>
      </c>
      <c r="C12" s="214">
        <f t="shared" si="0"/>
        <v>40.783580127505452</v>
      </c>
      <c r="E12" t="s">
        <v>3195</v>
      </c>
      <c r="F12">
        <v>1</v>
      </c>
      <c r="J12" t="s">
        <v>3196</v>
      </c>
      <c r="L12" t="s">
        <v>3294</v>
      </c>
      <c r="Q12" s="339" t="s">
        <v>2808</v>
      </c>
      <c r="R12" s="340">
        <v>0.36895504482993297</v>
      </c>
      <c r="S12" s="341">
        <v>0.5085721054521416</v>
      </c>
    </row>
    <row r="13" spans="1:19" x14ac:dyDescent="0.35">
      <c r="A13" t="s">
        <v>3214</v>
      </c>
      <c r="B13" t="s">
        <v>3194</v>
      </c>
      <c r="C13" s="214">
        <f t="shared" si="0"/>
        <v>11.964441853686973</v>
      </c>
      <c r="E13" t="s">
        <v>3195</v>
      </c>
      <c r="F13">
        <v>1</v>
      </c>
      <c r="J13" t="s">
        <v>3196</v>
      </c>
      <c r="L13" t="s">
        <v>3294</v>
      </c>
      <c r="Q13" s="339" t="s">
        <v>2809</v>
      </c>
      <c r="R13" s="340">
        <v>0.22552054794520549</v>
      </c>
      <c r="S13" s="341">
        <v>0.30324166150520321</v>
      </c>
    </row>
    <row r="14" spans="1:19" x14ac:dyDescent="0.35">
      <c r="A14" t="s">
        <v>3216</v>
      </c>
      <c r="B14" t="s">
        <v>3194</v>
      </c>
      <c r="C14" s="214">
        <f t="shared" si="0"/>
        <v>11.641056342712698</v>
      </c>
      <c r="E14" t="s">
        <v>3195</v>
      </c>
      <c r="F14">
        <v>1</v>
      </c>
      <c r="J14" t="s">
        <v>3196</v>
      </c>
      <c r="L14" t="s">
        <v>3294</v>
      </c>
      <c r="Q14" s="345" t="s">
        <v>2832</v>
      </c>
      <c r="R14" s="346">
        <v>0.12107459328718216</v>
      </c>
      <c r="S14" s="347">
        <v>0.17765314891169812</v>
      </c>
    </row>
    <row r="15" spans="1:19" x14ac:dyDescent="0.35">
      <c r="A15" t="s">
        <v>3271</v>
      </c>
      <c r="B15" t="s">
        <v>3194</v>
      </c>
      <c r="C15" s="214">
        <f t="shared" si="0"/>
        <v>21.538292852873244</v>
      </c>
      <c r="E15" t="s">
        <v>3195</v>
      </c>
      <c r="F15">
        <v>1</v>
      </c>
      <c r="J15" t="s">
        <v>3196</v>
      </c>
      <c r="L15" t="s">
        <v>3294</v>
      </c>
      <c r="Q15" s="339" t="s">
        <v>2806</v>
      </c>
      <c r="R15" s="340">
        <v>9.4671111515647999E-2</v>
      </c>
      <c r="S15" s="341">
        <v>0.16494446480267946</v>
      </c>
    </row>
    <row r="16" spans="1:19" x14ac:dyDescent="0.35">
      <c r="A16" t="s">
        <v>3218</v>
      </c>
      <c r="B16" t="s">
        <v>3194</v>
      </c>
      <c r="C16" s="214">
        <f t="shared" si="0"/>
        <v>36.371360203442862</v>
      </c>
      <c r="E16" t="s">
        <v>3195</v>
      </c>
      <c r="F16">
        <v>1</v>
      </c>
      <c r="J16" t="s">
        <v>3196</v>
      </c>
      <c r="L16" t="s">
        <v>3294</v>
      </c>
      <c r="Q16" s="339" t="s">
        <v>2810</v>
      </c>
      <c r="R16" s="340">
        <v>0.22797768813983518</v>
      </c>
      <c r="S16" s="341">
        <v>0.34726984955822315</v>
      </c>
    </row>
    <row r="17" spans="1:19" x14ac:dyDescent="0.35">
      <c r="A17" t="s">
        <v>3219</v>
      </c>
      <c r="B17" t="s">
        <v>3194</v>
      </c>
      <c r="C17" s="214">
        <f t="shared" si="0"/>
        <v>35.953382087766009</v>
      </c>
      <c r="E17" t="s">
        <v>3195</v>
      </c>
      <c r="F17">
        <v>1</v>
      </c>
      <c r="J17" t="s">
        <v>3196</v>
      </c>
      <c r="L17" t="s">
        <v>3294</v>
      </c>
      <c r="Q17" s="339" t="s">
        <v>2811</v>
      </c>
      <c r="R17" s="340">
        <v>0.36149162861491629</v>
      </c>
      <c r="S17" s="341">
        <v>0.44357293034223594</v>
      </c>
    </row>
    <row r="18" spans="1:19" x14ac:dyDescent="0.35">
      <c r="A18" t="s">
        <v>3272</v>
      </c>
      <c r="B18" t="s">
        <v>3194</v>
      </c>
      <c r="C18" s="214">
        <f t="shared" si="0"/>
        <v>16.491720077888605</v>
      </c>
      <c r="E18" t="s">
        <v>3195</v>
      </c>
      <c r="F18">
        <v>1</v>
      </c>
      <c r="J18" t="s">
        <v>3196</v>
      </c>
      <c r="L18" t="s">
        <v>3294</v>
      </c>
      <c r="Q18" s="339" t="s">
        <v>2812</v>
      </c>
      <c r="R18" s="340">
        <v>0.19815628500043078</v>
      </c>
      <c r="S18" s="341">
        <v>0.23950862960797037</v>
      </c>
    </row>
    <row r="19" spans="1:19" x14ac:dyDescent="0.35">
      <c r="A19" t="s">
        <v>3222</v>
      </c>
      <c r="B19" t="s">
        <v>3194</v>
      </c>
      <c r="C19" s="214">
        <f t="shared" ref="C19:C53" si="1">VLOOKUP(MID(A19,1,2),$Q$2:$S$31,2,FALSE)*100</f>
        <v>33.089936233983067</v>
      </c>
      <c r="E19" t="s">
        <v>3195</v>
      </c>
      <c r="F19">
        <v>1</v>
      </c>
      <c r="J19" t="s">
        <v>3196</v>
      </c>
      <c r="L19" t="s">
        <v>3294</v>
      </c>
      <c r="Q19" s="339" t="s">
        <v>2813</v>
      </c>
      <c r="R19" s="340">
        <v>0.19651398711685064</v>
      </c>
      <c r="S19" s="341">
        <v>0.25436132556927743</v>
      </c>
    </row>
    <row r="20" spans="1:19" x14ac:dyDescent="0.35">
      <c r="A20" t="s">
        <v>3224</v>
      </c>
      <c r="B20" t="s">
        <v>3194</v>
      </c>
      <c r="C20" s="214">
        <f t="shared" si="1"/>
        <v>8.4850586671290689</v>
      </c>
      <c r="E20" t="s">
        <v>3195</v>
      </c>
      <c r="F20">
        <v>1</v>
      </c>
      <c r="J20" t="s">
        <v>3196</v>
      </c>
      <c r="L20" t="s">
        <v>3294</v>
      </c>
      <c r="Q20" s="339" t="s">
        <v>2814</v>
      </c>
      <c r="R20" s="340">
        <v>8.5186537352444747E-2</v>
      </c>
      <c r="S20" s="341">
        <v>0.15122474067646888</v>
      </c>
    </row>
    <row r="21" spans="1:19" x14ac:dyDescent="0.35">
      <c r="A21" t="s">
        <v>3226</v>
      </c>
      <c r="B21" t="s">
        <v>3194</v>
      </c>
      <c r="C21" s="214">
        <f t="shared" si="1"/>
        <v>29.70789344563433</v>
      </c>
      <c r="E21" t="s">
        <v>3195</v>
      </c>
      <c r="F21">
        <v>1</v>
      </c>
      <c r="J21" t="s">
        <v>3196</v>
      </c>
      <c r="L21" t="s">
        <v>3294</v>
      </c>
      <c r="Q21" s="339" t="s">
        <v>2815</v>
      </c>
      <c r="R21" s="340">
        <v>4.5984800813204899E-2</v>
      </c>
      <c r="S21" s="341">
        <v>9.1067462161925211E-2</v>
      </c>
    </row>
    <row r="22" spans="1:19" x14ac:dyDescent="0.35">
      <c r="A22" t="s">
        <v>3227</v>
      </c>
      <c r="B22" t="s">
        <v>3194</v>
      </c>
      <c r="C22" s="214">
        <f t="shared" si="1"/>
        <v>8.0179132465167431</v>
      </c>
      <c r="E22" t="s">
        <v>3195</v>
      </c>
      <c r="F22">
        <v>1</v>
      </c>
      <c r="J22" t="s">
        <v>3196</v>
      </c>
      <c r="L22" t="s">
        <v>3294</v>
      </c>
      <c r="Q22" s="339" t="s">
        <v>2816</v>
      </c>
      <c r="R22" s="340">
        <v>0.139689978370584</v>
      </c>
      <c r="S22" s="341">
        <v>0.22434749359644615</v>
      </c>
    </row>
    <row r="23" spans="1:19" x14ac:dyDescent="0.35">
      <c r="A23" t="s">
        <v>3228</v>
      </c>
      <c r="B23" t="s">
        <v>3194</v>
      </c>
      <c r="C23" s="214">
        <f t="shared" si="1"/>
        <v>23.282971254207386</v>
      </c>
      <c r="E23" t="s">
        <v>3195</v>
      </c>
      <c r="F23">
        <v>1</v>
      </c>
      <c r="J23" t="s">
        <v>3196</v>
      </c>
      <c r="L23" t="s">
        <v>3294</v>
      </c>
      <c r="Q23" s="345" t="s">
        <v>2833</v>
      </c>
      <c r="R23" s="346">
        <v>0.12107459328718216</v>
      </c>
      <c r="S23" s="347">
        <v>0.17765314891169812</v>
      </c>
    </row>
    <row r="24" spans="1:19" x14ac:dyDescent="0.35">
      <c r="A24" t="s">
        <v>3230</v>
      </c>
      <c r="B24" t="s">
        <v>3194</v>
      </c>
      <c r="C24" s="214">
        <f t="shared" si="1"/>
        <v>9.4671111515648008</v>
      </c>
      <c r="E24" t="s">
        <v>3195</v>
      </c>
      <c r="F24">
        <v>1</v>
      </c>
      <c r="J24" t="s">
        <v>3196</v>
      </c>
      <c r="L24" t="s">
        <v>3294</v>
      </c>
      <c r="Q24" s="339" t="s">
        <v>2818</v>
      </c>
      <c r="R24" s="340">
        <v>0.17586079229914847</v>
      </c>
      <c r="S24" s="341">
        <v>0.30754041712945823</v>
      </c>
    </row>
    <row r="25" spans="1:19" x14ac:dyDescent="0.35">
      <c r="A25" t="s">
        <v>3234</v>
      </c>
      <c r="B25" t="s">
        <v>3194</v>
      </c>
      <c r="C25" s="214">
        <f t="shared" si="1"/>
        <v>22.552054794520547</v>
      </c>
      <c r="E25" t="s">
        <v>3195</v>
      </c>
      <c r="F25">
        <v>1</v>
      </c>
      <c r="J25" t="s">
        <v>3196</v>
      </c>
      <c r="L25" t="s">
        <v>3294</v>
      </c>
      <c r="Q25" s="339" t="s">
        <v>2819</v>
      </c>
      <c r="R25" s="340">
        <v>0.40783580127505453</v>
      </c>
      <c r="S25" s="341">
        <v>0.48383938131292603</v>
      </c>
    </row>
    <row r="26" spans="1:19" x14ac:dyDescent="0.35">
      <c r="A26" t="s">
        <v>3232</v>
      </c>
      <c r="B26" t="s">
        <v>3194</v>
      </c>
      <c r="C26" s="214">
        <f t="shared" si="1"/>
        <v>14.127931936151114</v>
      </c>
      <c r="E26" t="s">
        <v>3195</v>
      </c>
      <c r="F26">
        <v>1</v>
      </c>
      <c r="J26" t="s">
        <v>3196</v>
      </c>
      <c r="L26" t="s">
        <v>3294</v>
      </c>
      <c r="Q26" s="339" t="s">
        <v>2820</v>
      </c>
      <c r="R26" s="340">
        <v>0.11964441853686972</v>
      </c>
      <c r="S26" s="341">
        <v>0.18154578131047999</v>
      </c>
    </row>
    <row r="27" spans="1:19" x14ac:dyDescent="0.35">
      <c r="A27" t="s">
        <v>3237</v>
      </c>
      <c r="B27" t="s">
        <v>3194</v>
      </c>
      <c r="C27" s="214">
        <f t="shared" si="1"/>
        <v>19.651398711685065</v>
      </c>
      <c r="E27" t="s">
        <v>3195</v>
      </c>
      <c r="F27">
        <v>1</v>
      </c>
      <c r="J27" t="s">
        <v>3196</v>
      </c>
      <c r="L27" t="s">
        <v>3294</v>
      </c>
      <c r="Q27" s="339" t="s">
        <v>2821</v>
      </c>
      <c r="R27" s="340">
        <v>0.11641056342712698</v>
      </c>
      <c r="S27" s="341">
        <v>0.26488813010377926</v>
      </c>
    </row>
    <row r="28" spans="1:19" x14ac:dyDescent="0.35">
      <c r="A28" t="s">
        <v>3273</v>
      </c>
      <c r="B28" t="s">
        <v>3194</v>
      </c>
      <c r="C28" s="214">
        <f t="shared" si="1"/>
        <v>13.968997837058399</v>
      </c>
      <c r="E28" t="s">
        <v>3195</v>
      </c>
      <c r="F28">
        <v>1</v>
      </c>
      <c r="J28" t="s">
        <v>3196</v>
      </c>
      <c r="L28" t="s">
        <v>3294</v>
      </c>
      <c r="Q28" s="339" t="s">
        <v>2822</v>
      </c>
      <c r="R28" s="340">
        <v>0.21538292852873245</v>
      </c>
      <c r="S28" s="341">
        <v>0.30082996544938206</v>
      </c>
    </row>
    <row r="29" spans="1:19" x14ac:dyDescent="0.35">
      <c r="A29" t="s">
        <v>3239</v>
      </c>
      <c r="B29" t="s">
        <v>3194</v>
      </c>
      <c r="C29" s="214">
        <f t="shared" si="1"/>
        <v>40.783580127505452</v>
      </c>
      <c r="E29" t="s">
        <v>3195</v>
      </c>
      <c r="F29">
        <v>1</v>
      </c>
      <c r="J29" t="s">
        <v>3196</v>
      </c>
      <c r="L29" t="s">
        <v>3294</v>
      </c>
      <c r="Q29" s="339" t="s">
        <v>2823</v>
      </c>
      <c r="R29" s="340">
        <v>0.36371360203442865</v>
      </c>
      <c r="S29" s="341">
        <v>0.47098550619691543</v>
      </c>
    </row>
    <row r="30" spans="1:19" x14ac:dyDescent="0.35">
      <c r="A30" t="s">
        <v>3240</v>
      </c>
      <c r="B30" t="s">
        <v>3194</v>
      </c>
      <c r="C30" s="214">
        <f t="shared" si="1"/>
        <v>11.641056342712698</v>
      </c>
      <c r="E30" t="s">
        <v>3195</v>
      </c>
      <c r="F30">
        <v>1</v>
      </c>
      <c r="J30" t="s">
        <v>3196</v>
      </c>
      <c r="L30" t="s">
        <v>3294</v>
      </c>
      <c r="Q30" s="339" t="s">
        <v>2824</v>
      </c>
      <c r="R30" s="340">
        <v>0.35953382087766012</v>
      </c>
      <c r="S30" s="341">
        <v>0.4745227263751472</v>
      </c>
    </row>
    <row r="31" spans="1:19" ht="15" thickBot="1" x14ac:dyDescent="0.4">
      <c r="A31" t="s">
        <v>3242</v>
      </c>
      <c r="B31" t="s">
        <v>3194</v>
      </c>
      <c r="C31" s="214">
        <f t="shared" si="1"/>
        <v>21.538292852873244</v>
      </c>
      <c r="E31" t="s">
        <v>3195</v>
      </c>
      <c r="F31">
        <v>1</v>
      </c>
      <c r="J31" t="s">
        <v>3196</v>
      </c>
      <c r="L31" t="s">
        <v>3294</v>
      </c>
      <c r="Q31" s="342" t="s">
        <v>2825</v>
      </c>
      <c r="R31" s="343">
        <v>0.16491720077888605</v>
      </c>
      <c r="S31" s="344">
        <v>0.21415456824147383</v>
      </c>
    </row>
    <row r="32" spans="1:19" x14ac:dyDescent="0.35">
      <c r="A32" t="s">
        <v>3244</v>
      </c>
      <c r="B32" t="s">
        <v>3194</v>
      </c>
      <c r="C32" s="214">
        <f t="shared" si="1"/>
        <v>36.371360203442862</v>
      </c>
      <c r="E32" t="s">
        <v>3195</v>
      </c>
      <c r="F32">
        <v>1</v>
      </c>
      <c r="J32" t="s">
        <v>3196</v>
      </c>
      <c r="L32" t="s">
        <v>3294</v>
      </c>
      <c r="Q32" s="216" t="s">
        <v>3296</v>
      </c>
    </row>
    <row r="33" spans="1:12" x14ac:dyDescent="0.35">
      <c r="A33" t="s">
        <v>3245</v>
      </c>
      <c r="B33" t="s">
        <v>3194</v>
      </c>
      <c r="C33" s="214">
        <f t="shared" si="1"/>
        <v>16.491720077888605</v>
      </c>
      <c r="E33" t="s">
        <v>3195</v>
      </c>
      <c r="F33">
        <v>1</v>
      </c>
      <c r="J33" t="s">
        <v>3196</v>
      </c>
      <c r="L33" t="s">
        <v>3294</v>
      </c>
    </row>
    <row r="34" spans="1:12" x14ac:dyDescent="0.35">
      <c r="A34" t="s">
        <v>3274</v>
      </c>
      <c r="B34" t="s">
        <v>3194</v>
      </c>
      <c r="C34" s="214">
        <f t="shared" si="1"/>
        <v>33.089936233983067</v>
      </c>
      <c r="E34" t="s">
        <v>3195</v>
      </c>
      <c r="F34">
        <v>1</v>
      </c>
      <c r="J34" t="s">
        <v>3196</v>
      </c>
      <c r="L34" t="s">
        <v>3294</v>
      </c>
    </row>
    <row r="35" spans="1:12" x14ac:dyDescent="0.35">
      <c r="A35" t="s">
        <v>3275</v>
      </c>
      <c r="B35" t="s">
        <v>3194</v>
      </c>
      <c r="C35" s="214">
        <f t="shared" si="1"/>
        <v>7.3088693985704927</v>
      </c>
      <c r="E35" t="s">
        <v>3195</v>
      </c>
      <c r="F35">
        <v>1</v>
      </c>
      <c r="J35" t="s">
        <v>3196</v>
      </c>
      <c r="L35" t="s">
        <v>3294</v>
      </c>
    </row>
    <row r="36" spans="1:12" x14ac:dyDescent="0.35">
      <c r="A36" t="s">
        <v>3276</v>
      </c>
      <c r="B36" t="s">
        <v>3194</v>
      </c>
      <c r="C36" s="214">
        <f t="shared" si="1"/>
        <v>8.4850586671290689</v>
      </c>
      <c r="E36" t="s">
        <v>3195</v>
      </c>
      <c r="F36">
        <v>1</v>
      </c>
      <c r="J36" t="s">
        <v>3196</v>
      </c>
      <c r="L36" t="s">
        <v>3294</v>
      </c>
    </row>
    <row r="37" spans="1:12" x14ac:dyDescent="0.35">
      <c r="A37" t="s">
        <v>3277</v>
      </c>
      <c r="B37" t="s">
        <v>3194</v>
      </c>
      <c r="C37" s="214">
        <f t="shared" si="1"/>
        <v>29.70789344563433</v>
      </c>
      <c r="E37" t="s">
        <v>3195</v>
      </c>
      <c r="F37">
        <v>1</v>
      </c>
      <c r="J37" t="s">
        <v>3196</v>
      </c>
      <c r="L37" t="s">
        <v>3294</v>
      </c>
    </row>
    <row r="38" spans="1:12" x14ac:dyDescent="0.35">
      <c r="A38" t="s">
        <v>3278</v>
      </c>
      <c r="B38" t="s">
        <v>3194</v>
      </c>
      <c r="C38" s="214">
        <f t="shared" si="1"/>
        <v>8.0179132465167431</v>
      </c>
      <c r="E38" t="s">
        <v>3195</v>
      </c>
      <c r="F38">
        <v>1</v>
      </c>
      <c r="J38" t="s">
        <v>3196</v>
      </c>
      <c r="L38" t="s">
        <v>3294</v>
      </c>
    </row>
    <row r="39" spans="1:12" x14ac:dyDescent="0.35">
      <c r="A39" t="s">
        <v>3279</v>
      </c>
      <c r="B39" t="s">
        <v>3194</v>
      </c>
      <c r="C39" s="214">
        <f t="shared" si="1"/>
        <v>23.282971254207386</v>
      </c>
      <c r="E39" t="s">
        <v>3195</v>
      </c>
      <c r="F39">
        <v>1</v>
      </c>
      <c r="J39" t="s">
        <v>3196</v>
      </c>
      <c r="L39" t="s">
        <v>3294</v>
      </c>
    </row>
    <row r="40" spans="1:12" x14ac:dyDescent="0.35">
      <c r="A40" t="s">
        <v>3280</v>
      </c>
      <c r="B40" t="s">
        <v>3194</v>
      </c>
      <c r="C40" s="214">
        <f t="shared" si="1"/>
        <v>9.4671111515648008</v>
      </c>
      <c r="E40" t="s">
        <v>3195</v>
      </c>
      <c r="F40">
        <v>1</v>
      </c>
      <c r="J40" t="s">
        <v>3196</v>
      </c>
      <c r="L40" t="s">
        <v>3294</v>
      </c>
    </row>
    <row r="41" spans="1:12" x14ac:dyDescent="0.35">
      <c r="A41" t="s">
        <v>3281</v>
      </c>
      <c r="B41" t="s">
        <v>3194</v>
      </c>
      <c r="C41" s="214">
        <f t="shared" si="1"/>
        <v>22.552054794520547</v>
      </c>
      <c r="E41" t="s">
        <v>3195</v>
      </c>
      <c r="F41">
        <v>1</v>
      </c>
      <c r="J41" t="s">
        <v>3196</v>
      </c>
      <c r="L41" t="s">
        <v>3294</v>
      </c>
    </row>
    <row r="42" spans="1:12" x14ac:dyDescent="0.35">
      <c r="A42" t="s">
        <v>3282</v>
      </c>
      <c r="B42" t="s">
        <v>3194</v>
      </c>
      <c r="C42" s="214">
        <f t="shared" si="1"/>
        <v>12.107459328718216</v>
      </c>
      <c r="E42" t="s">
        <v>3195</v>
      </c>
      <c r="F42">
        <v>1</v>
      </c>
      <c r="J42" t="s">
        <v>3196</v>
      </c>
      <c r="L42" t="s">
        <v>3294</v>
      </c>
    </row>
    <row r="43" spans="1:12" x14ac:dyDescent="0.35">
      <c r="A43" t="s">
        <v>3283</v>
      </c>
      <c r="B43" t="s">
        <v>3194</v>
      </c>
      <c r="C43" s="214">
        <f t="shared" si="1"/>
        <v>14.127931936151114</v>
      </c>
      <c r="E43" t="s">
        <v>3195</v>
      </c>
      <c r="F43">
        <v>1</v>
      </c>
      <c r="J43" t="s">
        <v>3196</v>
      </c>
      <c r="L43" t="s">
        <v>3294</v>
      </c>
    </row>
    <row r="44" spans="1:12" x14ac:dyDescent="0.35">
      <c r="A44" t="s">
        <v>3284</v>
      </c>
      <c r="B44" t="s">
        <v>3194</v>
      </c>
      <c r="C44" s="214">
        <f t="shared" si="1"/>
        <v>19.815628500043079</v>
      </c>
      <c r="E44" t="s">
        <v>3195</v>
      </c>
      <c r="F44">
        <v>1</v>
      </c>
      <c r="J44" t="s">
        <v>3196</v>
      </c>
      <c r="L44" t="s">
        <v>3294</v>
      </c>
    </row>
    <row r="45" spans="1:12" x14ac:dyDescent="0.35">
      <c r="A45" t="s">
        <v>3285</v>
      </c>
      <c r="B45" t="s">
        <v>3194</v>
      </c>
      <c r="C45" s="214">
        <f t="shared" si="1"/>
        <v>19.651398711685065</v>
      </c>
      <c r="E45" t="s">
        <v>3195</v>
      </c>
      <c r="F45">
        <v>1</v>
      </c>
      <c r="J45" t="s">
        <v>3196</v>
      </c>
      <c r="L45" t="s">
        <v>3294</v>
      </c>
    </row>
    <row r="46" spans="1:12" x14ac:dyDescent="0.35">
      <c r="A46" t="s">
        <v>3286</v>
      </c>
      <c r="B46" t="s">
        <v>3194</v>
      </c>
      <c r="C46" s="214">
        <f t="shared" si="1"/>
        <v>8.5186537352444738</v>
      </c>
      <c r="E46" t="s">
        <v>3195</v>
      </c>
      <c r="F46">
        <v>1</v>
      </c>
      <c r="J46" t="s">
        <v>3196</v>
      </c>
      <c r="L46" t="s">
        <v>3294</v>
      </c>
    </row>
    <row r="47" spans="1:12" x14ac:dyDescent="0.35">
      <c r="A47" t="s">
        <v>3287</v>
      </c>
      <c r="B47" t="s">
        <v>3194</v>
      </c>
      <c r="C47" s="214">
        <f t="shared" si="1"/>
        <v>4.5984800813204902</v>
      </c>
      <c r="E47" t="s">
        <v>3195</v>
      </c>
      <c r="F47">
        <v>1</v>
      </c>
      <c r="J47" t="s">
        <v>3196</v>
      </c>
      <c r="L47" t="s">
        <v>3294</v>
      </c>
    </row>
    <row r="48" spans="1:12" x14ac:dyDescent="0.35">
      <c r="A48" t="s">
        <v>3288</v>
      </c>
      <c r="B48" t="s">
        <v>3194</v>
      </c>
      <c r="C48" s="214">
        <f t="shared" si="1"/>
        <v>13.968997837058399</v>
      </c>
      <c r="E48" t="s">
        <v>3195</v>
      </c>
      <c r="F48">
        <v>1</v>
      </c>
      <c r="J48" t="s">
        <v>3196</v>
      </c>
      <c r="L48" t="s">
        <v>3294</v>
      </c>
    </row>
    <row r="49" spans="1:12" x14ac:dyDescent="0.35">
      <c r="A49" t="s">
        <v>3289</v>
      </c>
      <c r="B49" t="s">
        <v>3194</v>
      </c>
      <c r="C49" s="214">
        <f t="shared" si="1"/>
        <v>40.783580127505452</v>
      </c>
      <c r="E49" t="s">
        <v>3195</v>
      </c>
      <c r="F49">
        <v>1</v>
      </c>
      <c r="J49" t="s">
        <v>3196</v>
      </c>
      <c r="L49" t="s">
        <v>3294</v>
      </c>
    </row>
    <row r="50" spans="1:12" x14ac:dyDescent="0.35">
      <c r="A50" t="s">
        <v>3290</v>
      </c>
      <c r="B50" t="s">
        <v>3194</v>
      </c>
      <c r="C50" s="214">
        <f t="shared" si="1"/>
        <v>11.964441853686973</v>
      </c>
      <c r="E50" t="s">
        <v>3195</v>
      </c>
      <c r="F50">
        <v>1</v>
      </c>
      <c r="J50" t="s">
        <v>3196</v>
      </c>
      <c r="L50" t="s">
        <v>3294</v>
      </c>
    </row>
    <row r="51" spans="1:12" x14ac:dyDescent="0.35">
      <c r="A51" t="s">
        <v>3291</v>
      </c>
      <c r="B51" t="s">
        <v>3194</v>
      </c>
      <c r="C51" s="214">
        <f t="shared" si="1"/>
        <v>11.641056342712698</v>
      </c>
      <c r="E51" t="s">
        <v>3195</v>
      </c>
      <c r="F51">
        <v>1</v>
      </c>
      <c r="J51" t="s">
        <v>3196</v>
      </c>
      <c r="L51" t="s">
        <v>3294</v>
      </c>
    </row>
    <row r="52" spans="1:12" x14ac:dyDescent="0.35">
      <c r="A52" t="s">
        <v>3292</v>
      </c>
      <c r="B52" t="s">
        <v>3194</v>
      </c>
      <c r="C52" s="214">
        <f t="shared" si="1"/>
        <v>35.953382087766009</v>
      </c>
      <c r="E52" t="s">
        <v>3195</v>
      </c>
      <c r="F52">
        <v>1</v>
      </c>
      <c r="J52" t="s">
        <v>3196</v>
      </c>
      <c r="L52" t="s">
        <v>3294</v>
      </c>
    </row>
    <row r="53" spans="1:12" x14ac:dyDescent="0.35">
      <c r="A53" t="s">
        <v>3293</v>
      </c>
      <c r="B53" t="s">
        <v>3194</v>
      </c>
      <c r="C53" s="214">
        <f t="shared" si="1"/>
        <v>16.491720077888605</v>
      </c>
      <c r="E53" t="s">
        <v>3195</v>
      </c>
      <c r="F53">
        <v>1</v>
      </c>
      <c r="J53" t="s">
        <v>3196</v>
      </c>
      <c r="L53" t="s">
        <v>3294</v>
      </c>
    </row>
  </sheetData>
  <pageMargins left="0.7" right="0.7" top="0.75" bottom="0.75" header="0.3" footer="0.3"/>
  <legacyDrawing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7">
    <tabColor rgb="FF7030A0"/>
  </sheetPr>
  <dimension ref="A1:H32"/>
  <sheetViews>
    <sheetView workbookViewId="0">
      <selection activeCell="A27" sqref="A27"/>
    </sheetView>
  </sheetViews>
  <sheetFormatPr defaultColWidth="8.81640625" defaultRowHeight="14.5" x14ac:dyDescent="0.35"/>
  <cols>
    <col min="1" max="1" width="15.1796875" customWidth="1"/>
    <col min="8" max="8" width="10.453125" bestFit="1" customWidth="1"/>
  </cols>
  <sheetData>
    <row r="1" spans="1:8" x14ac:dyDescent="0.35">
      <c r="A1" s="93" t="s">
        <v>13</v>
      </c>
      <c r="B1" t="s">
        <v>2797</v>
      </c>
      <c r="E1" t="s">
        <v>2840</v>
      </c>
      <c r="G1" t="s">
        <v>962</v>
      </c>
      <c r="H1" s="144" t="s">
        <v>2884</v>
      </c>
    </row>
    <row r="2" spans="1:8" x14ac:dyDescent="0.35">
      <c r="A2" s="93" t="s">
        <v>0</v>
      </c>
      <c r="B2" t="s">
        <v>2798</v>
      </c>
      <c r="E2" t="s">
        <v>2841</v>
      </c>
      <c r="G2" t="s">
        <v>2787</v>
      </c>
      <c r="H2" s="144" t="s">
        <v>2883</v>
      </c>
    </row>
    <row r="3" spans="1:8" x14ac:dyDescent="0.35">
      <c r="A3" s="93" t="s">
        <v>1</v>
      </c>
      <c r="B3" t="s">
        <v>2799</v>
      </c>
      <c r="G3" t="s">
        <v>2881</v>
      </c>
      <c r="H3" s="144" t="s">
        <v>2882</v>
      </c>
    </row>
    <row r="4" spans="1:8" x14ac:dyDescent="0.35">
      <c r="A4" s="93" t="s">
        <v>8</v>
      </c>
      <c r="B4" t="s">
        <v>2810</v>
      </c>
    </row>
    <row r="5" spans="1:8" x14ac:dyDescent="0.35">
      <c r="A5" s="93" t="s">
        <v>1374</v>
      </c>
      <c r="B5" t="s">
        <v>2801</v>
      </c>
    </row>
    <row r="6" spans="1:8" x14ac:dyDescent="0.35">
      <c r="A6" s="93" t="s">
        <v>2</v>
      </c>
      <c r="B6" t="s">
        <v>2802</v>
      </c>
    </row>
    <row r="7" spans="1:8" x14ac:dyDescent="0.35">
      <c r="A7" s="93" t="s">
        <v>1375</v>
      </c>
      <c r="B7" t="s">
        <v>2804</v>
      </c>
    </row>
    <row r="8" spans="1:8" x14ac:dyDescent="0.35">
      <c r="A8" s="93" t="s">
        <v>1376</v>
      </c>
      <c r="B8" t="s">
        <v>2805</v>
      </c>
    </row>
    <row r="9" spans="1:8" x14ac:dyDescent="0.35">
      <c r="A9" s="93" t="s">
        <v>19</v>
      </c>
      <c r="B9" t="s">
        <v>2808</v>
      </c>
    </row>
    <row r="10" spans="1:8" x14ac:dyDescent="0.35">
      <c r="A10" s="93" t="s">
        <v>7</v>
      </c>
      <c r="B10" t="s">
        <v>2809</v>
      </c>
    </row>
    <row r="11" spans="1:8" x14ac:dyDescent="0.35">
      <c r="A11" s="93" t="s">
        <v>3</v>
      </c>
      <c r="B11" t="s">
        <v>2803</v>
      </c>
    </row>
    <row r="12" spans="1:8" x14ac:dyDescent="0.35">
      <c r="A12" s="93" t="s">
        <v>5</v>
      </c>
      <c r="B12" t="s">
        <v>2806</v>
      </c>
    </row>
    <row r="13" spans="1:8" x14ac:dyDescent="0.35">
      <c r="A13" s="93" t="s">
        <v>2839</v>
      </c>
      <c r="B13" t="s">
        <v>2832</v>
      </c>
    </row>
    <row r="14" spans="1:8" x14ac:dyDescent="0.35">
      <c r="A14" s="93" t="s">
        <v>1377</v>
      </c>
      <c r="B14" t="s">
        <v>2811</v>
      </c>
    </row>
    <row r="15" spans="1:8" x14ac:dyDescent="0.35">
      <c r="A15" s="93" t="s">
        <v>4</v>
      </c>
      <c r="B15" t="s">
        <v>2812</v>
      </c>
    </row>
    <row r="16" spans="1:8" x14ac:dyDescent="0.35">
      <c r="A16" s="93" t="s">
        <v>9</v>
      </c>
      <c r="B16" t="s">
        <v>2813</v>
      </c>
    </row>
    <row r="17" spans="1:2" x14ac:dyDescent="0.35">
      <c r="A17" s="93" t="s">
        <v>10</v>
      </c>
      <c r="B17" t="s">
        <v>2816</v>
      </c>
    </row>
    <row r="18" spans="1:2" x14ac:dyDescent="0.35">
      <c r="A18" s="93" t="s">
        <v>1378</v>
      </c>
      <c r="B18" t="s">
        <v>2814</v>
      </c>
    </row>
    <row r="19" spans="1:2" x14ac:dyDescent="0.35">
      <c r="A19" s="93" t="s">
        <v>11</v>
      </c>
      <c r="B19" t="s">
        <v>2815</v>
      </c>
    </row>
    <row r="20" spans="1:2" x14ac:dyDescent="0.35">
      <c r="A20" s="93" t="s">
        <v>1379</v>
      </c>
      <c r="B20" t="s">
        <v>2817</v>
      </c>
    </row>
    <row r="21" spans="1:2" x14ac:dyDescent="0.35">
      <c r="A21" s="93" t="s">
        <v>12</v>
      </c>
      <c r="B21" t="s">
        <v>2818</v>
      </c>
    </row>
    <row r="22" spans="1:2" x14ac:dyDescent="0.35">
      <c r="A22" s="93" t="s">
        <v>1386</v>
      </c>
      <c r="B22" t="s">
        <v>2833</v>
      </c>
    </row>
    <row r="23" spans="1:2" x14ac:dyDescent="0.35">
      <c r="A23" s="93" t="s">
        <v>21</v>
      </c>
      <c r="B23" t="s">
        <v>2819</v>
      </c>
    </row>
    <row r="24" spans="1:2" x14ac:dyDescent="0.35">
      <c r="A24" s="93" t="s">
        <v>14</v>
      </c>
      <c r="B24" t="s">
        <v>2820</v>
      </c>
    </row>
    <row r="25" spans="1:2" x14ac:dyDescent="0.35">
      <c r="A25" s="93" t="s">
        <v>15</v>
      </c>
      <c r="B25" t="s">
        <v>2821</v>
      </c>
    </row>
    <row r="26" spans="1:2" x14ac:dyDescent="0.35">
      <c r="A26" s="93" t="s">
        <v>16</v>
      </c>
      <c r="B26" t="s">
        <v>2822</v>
      </c>
    </row>
    <row r="27" spans="1:2" x14ac:dyDescent="0.35">
      <c r="A27" s="93" t="s">
        <v>18</v>
      </c>
      <c r="B27" t="s">
        <v>2825</v>
      </c>
    </row>
    <row r="28" spans="1:2" x14ac:dyDescent="0.35">
      <c r="A28" s="93" t="s">
        <v>17</v>
      </c>
      <c r="B28" t="s">
        <v>2824</v>
      </c>
    </row>
    <row r="29" spans="1:2" x14ac:dyDescent="0.35">
      <c r="A29" s="93" t="s">
        <v>6</v>
      </c>
      <c r="B29" t="s">
        <v>2807</v>
      </c>
    </row>
    <row r="30" spans="1:2" x14ac:dyDescent="0.35">
      <c r="A30" s="93" t="s">
        <v>20</v>
      </c>
      <c r="B30" t="s">
        <v>2823</v>
      </c>
    </row>
    <row r="31" spans="1:2" x14ac:dyDescent="0.35">
      <c r="A31" s="93" t="s">
        <v>22</v>
      </c>
      <c r="B31" t="s">
        <v>2800</v>
      </c>
    </row>
    <row r="32" spans="1:2" x14ac:dyDescent="0.35">
      <c r="A32" s="93" t="s">
        <v>1048</v>
      </c>
      <c r="B32" t="s">
        <v>1048</v>
      </c>
    </row>
  </sheetData>
  <sortState ref="A1:B30">
    <sortCondition ref="A1:A30"/>
  </sortState>
  <dataValidations count="1">
    <dataValidation type="list" allowBlank="1" showInputMessage="1" showErrorMessage="1" sqref="B1:B32" xr:uid="{00000000-0002-0000-1400-000000000000}">
      <formula1>nodeList</formula1>
    </dataValidation>
  </dataValidations>
  <pageMargins left="0.7" right="0.7" top="0.75" bottom="0.75" header="0.3" footer="0.3"/>
  <pageSetup orientation="portrait" r:id="rId1"/>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7:X136"/>
  <sheetViews>
    <sheetView topLeftCell="A16" workbookViewId="0">
      <selection activeCell="F20" sqref="F20"/>
    </sheetView>
  </sheetViews>
  <sheetFormatPr defaultColWidth="8.81640625" defaultRowHeight="14.5" x14ac:dyDescent="0.35"/>
  <cols>
    <col min="1" max="1" width="26" style="221" bestFit="1" customWidth="1"/>
    <col min="2" max="11" width="8.81640625" style="221"/>
    <col min="12" max="12" width="23.453125" style="221" bestFit="1" customWidth="1"/>
    <col min="13" max="13" width="8.81640625" style="221"/>
    <col min="14" max="14" width="10.6328125" style="221" bestFit="1" customWidth="1"/>
    <col min="15" max="16384" width="8.81640625" style="221"/>
  </cols>
  <sheetData>
    <row r="7" spans="1:24" x14ac:dyDescent="0.35">
      <c r="A7" s="331" t="s">
        <v>3193</v>
      </c>
      <c r="B7" s="331" t="s">
        <v>3194</v>
      </c>
      <c r="C7" s="332">
        <v>38.26655427</v>
      </c>
      <c r="D7" s="331"/>
      <c r="E7" s="331" t="s">
        <v>3195</v>
      </c>
      <c r="F7" s="332">
        <v>1</v>
      </c>
      <c r="G7" s="331"/>
      <c r="H7" s="331"/>
      <c r="I7" s="331"/>
      <c r="J7" s="331" t="s">
        <v>3196</v>
      </c>
      <c r="K7" s="331"/>
      <c r="L7" s="331" t="s">
        <v>3197</v>
      </c>
      <c r="M7" s="331"/>
      <c r="N7" s="331" t="s">
        <v>3048</v>
      </c>
      <c r="V7"/>
      <c r="W7" s="333" t="s">
        <v>2789</v>
      </c>
      <c r="X7" s="333" t="s">
        <v>3263</v>
      </c>
    </row>
    <row r="8" spans="1:24" x14ac:dyDescent="0.35">
      <c r="A8" s="331" t="s">
        <v>3198</v>
      </c>
      <c r="B8" s="331" t="s">
        <v>3194</v>
      </c>
      <c r="C8" s="332">
        <v>30.605483599999999</v>
      </c>
      <c r="D8" s="331"/>
      <c r="E8" s="331" t="s">
        <v>3195</v>
      </c>
      <c r="F8" s="332">
        <v>1</v>
      </c>
      <c r="G8" s="331"/>
      <c r="H8" s="331"/>
      <c r="I8" s="331"/>
      <c r="J8" s="331" t="s">
        <v>3196</v>
      </c>
      <c r="K8" s="331"/>
      <c r="L8" s="331" t="s">
        <v>3199</v>
      </c>
      <c r="M8" s="331"/>
      <c r="N8" s="331" t="s">
        <v>3048</v>
      </c>
      <c r="V8" s="216" t="s">
        <v>2797</v>
      </c>
      <c r="W8" s="334">
        <v>0.33089936233983064</v>
      </c>
      <c r="X8" s="334">
        <v>0.38266554267498115</v>
      </c>
    </row>
    <row r="9" spans="1:24" x14ac:dyDescent="0.35">
      <c r="A9" s="331" t="s">
        <v>3200</v>
      </c>
      <c r="B9" s="331" t="s">
        <v>3194</v>
      </c>
      <c r="C9" s="332">
        <v>12.53441917</v>
      </c>
      <c r="D9" s="331"/>
      <c r="E9" s="331" t="s">
        <v>3195</v>
      </c>
      <c r="F9" s="332">
        <v>1</v>
      </c>
      <c r="G9" s="331"/>
      <c r="H9" s="331"/>
      <c r="I9" s="331"/>
      <c r="J9" s="331" t="s">
        <v>3196</v>
      </c>
      <c r="K9" s="331"/>
      <c r="L9" s="331" t="s">
        <v>3199</v>
      </c>
      <c r="M9" s="331"/>
      <c r="N9" s="331" t="s">
        <v>3048</v>
      </c>
      <c r="V9" s="216" t="s">
        <v>2798</v>
      </c>
      <c r="W9" s="334">
        <v>7.3088693985704931E-2</v>
      </c>
      <c r="X9" s="334">
        <v>0.11647009199837136</v>
      </c>
    </row>
    <row r="10" spans="1:24" x14ac:dyDescent="0.35">
      <c r="A10" s="331" t="s">
        <v>3201</v>
      </c>
      <c r="B10" s="331" t="s">
        <v>3194</v>
      </c>
      <c r="C10" s="332">
        <v>28.220545349999998</v>
      </c>
      <c r="D10" s="331"/>
      <c r="E10" s="331" t="s">
        <v>3195</v>
      </c>
      <c r="F10" s="332">
        <v>1</v>
      </c>
      <c r="G10" s="331"/>
      <c r="H10" s="331"/>
      <c r="I10" s="331"/>
      <c r="J10" s="331" t="s">
        <v>3196</v>
      </c>
      <c r="K10" s="331"/>
      <c r="L10" s="331" t="s">
        <v>3197</v>
      </c>
      <c r="M10" s="331"/>
      <c r="N10" s="331" t="s">
        <v>3048</v>
      </c>
      <c r="V10" s="216" t="s">
        <v>2799</v>
      </c>
      <c r="W10" s="334">
        <v>8.4850586671290681E-2</v>
      </c>
      <c r="X10" s="334">
        <v>0.14817418671669411</v>
      </c>
    </row>
    <row r="11" spans="1:24" x14ac:dyDescent="0.35">
      <c r="A11" s="331" t="s">
        <v>3202</v>
      </c>
      <c r="B11" s="331" t="s">
        <v>3194</v>
      </c>
      <c r="C11" s="332">
        <v>20.212165169999999</v>
      </c>
      <c r="D11" s="331"/>
      <c r="E11" s="331" t="s">
        <v>3195</v>
      </c>
      <c r="F11" s="332">
        <v>1</v>
      </c>
      <c r="G11" s="331"/>
      <c r="H11" s="331"/>
      <c r="I11" s="331"/>
      <c r="J11" s="331" t="s">
        <v>3196</v>
      </c>
      <c r="K11" s="331"/>
      <c r="L11" s="331" t="s">
        <v>3199</v>
      </c>
      <c r="M11" s="331"/>
      <c r="N11" s="331" t="s">
        <v>3048</v>
      </c>
      <c r="V11" s="216" t="s">
        <v>2800</v>
      </c>
      <c r="W11" s="334">
        <v>0.29707893445634331</v>
      </c>
      <c r="X11" s="334">
        <v>0.30605483604973749</v>
      </c>
    </row>
    <row r="12" spans="1:24" x14ac:dyDescent="0.35">
      <c r="A12" s="331" t="s">
        <v>3203</v>
      </c>
      <c r="B12" s="331" t="s">
        <v>3194</v>
      </c>
      <c r="C12" s="332">
        <v>50.857210549999998</v>
      </c>
      <c r="D12" s="331"/>
      <c r="E12" s="331" t="s">
        <v>3195</v>
      </c>
      <c r="F12" s="332">
        <v>1</v>
      </c>
      <c r="G12" s="331"/>
      <c r="H12" s="331"/>
      <c r="I12" s="331"/>
      <c r="J12" s="331" t="s">
        <v>3196</v>
      </c>
      <c r="K12" s="331"/>
      <c r="L12" s="331" t="s">
        <v>3197</v>
      </c>
      <c r="M12" s="331"/>
      <c r="N12" s="331" t="s">
        <v>3048</v>
      </c>
      <c r="V12" s="216" t="s">
        <v>2801</v>
      </c>
      <c r="W12" s="334"/>
      <c r="X12" s="334"/>
    </row>
    <row r="13" spans="1:24" x14ac:dyDescent="0.35">
      <c r="A13" s="331" t="s">
        <v>3204</v>
      </c>
      <c r="B13" s="331" t="s">
        <v>3194</v>
      </c>
      <c r="C13" s="332">
        <v>30.32416615</v>
      </c>
      <c r="D13" s="331"/>
      <c r="E13" s="331" t="s">
        <v>3195</v>
      </c>
      <c r="F13" s="332">
        <v>1</v>
      </c>
      <c r="G13" s="331"/>
      <c r="H13" s="331"/>
      <c r="I13" s="331"/>
      <c r="J13" s="331" t="s">
        <v>3196</v>
      </c>
      <c r="K13" s="331"/>
      <c r="L13" s="331" t="s">
        <v>3199</v>
      </c>
      <c r="M13" s="331"/>
      <c r="N13" s="331" t="s">
        <v>3048</v>
      </c>
      <c r="V13" s="216" t="s">
        <v>2802</v>
      </c>
      <c r="W13" s="334">
        <v>8.0179132465167433E-2</v>
      </c>
      <c r="X13" s="334">
        <v>0.12534419166849495</v>
      </c>
    </row>
    <row r="14" spans="1:24" x14ac:dyDescent="0.35">
      <c r="A14" s="331" t="s">
        <v>3205</v>
      </c>
      <c r="B14" s="331" t="s">
        <v>3194</v>
      </c>
      <c r="C14" s="332">
        <v>30.32416615</v>
      </c>
      <c r="D14" s="331"/>
      <c r="E14" s="331" t="s">
        <v>3195</v>
      </c>
      <c r="F14" s="332">
        <v>1</v>
      </c>
      <c r="G14" s="331"/>
      <c r="H14" s="331"/>
      <c r="I14" s="331"/>
      <c r="J14" s="331" t="s">
        <v>3196</v>
      </c>
      <c r="K14" s="331"/>
      <c r="L14" s="331" t="s">
        <v>3197</v>
      </c>
      <c r="M14" s="331"/>
      <c r="N14" s="331" t="s">
        <v>3048</v>
      </c>
      <c r="V14" s="216" t="s">
        <v>2803</v>
      </c>
      <c r="W14" s="334">
        <v>0.23282971254207385</v>
      </c>
      <c r="X14" s="334">
        <v>0.28220545348364728</v>
      </c>
    </row>
    <row r="15" spans="1:24" x14ac:dyDescent="0.35">
      <c r="A15" s="331" t="s">
        <v>3206</v>
      </c>
      <c r="B15" s="331" t="s">
        <v>3194</v>
      </c>
      <c r="C15" s="332">
        <v>17.765314889999999</v>
      </c>
      <c r="D15" s="331"/>
      <c r="E15" s="331" t="s">
        <v>3195</v>
      </c>
      <c r="F15" s="332">
        <v>1</v>
      </c>
      <c r="G15" s="331"/>
      <c r="H15" s="331"/>
      <c r="I15" s="331"/>
      <c r="J15" s="331" t="s">
        <v>3196</v>
      </c>
      <c r="K15" s="331"/>
      <c r="L15" s="331" t="s">
        <v>3197</v>
      </c>
      <c r="M15" s="331"/>
      <c r="N15" s="331" t="s">
        <v>3048</v>
      </c>
      <c r="V15" s="216" t="s">
        <v>2804</v>
      </c>
      <c r="W15" s="334">
        <v>0.16489091831557584</v>
      </c>
      <c r="X15" s="334">
        <v>0.28180434481804345</v>
      </c>
    </row>
    <row r="16" spans="1:24" x14ac:dyDescent="0.35">
      <c r="A16" s="331" t="s">
        <v>3207</v>
      </c>
      <c r="B16" s="331" t="s">
        <v>3194</v>
      </c>
      <c r="C16" s="332">
        <v>34.726984960000003</v>
      </c>
      <c r="D16" s="331"/>
      <c r="E16" s="331" t="s">
        <v>3195</v>
      </c>
      <c r="F16" s="332">
        <v>1</v>
      </c>
      <c r="G16" s="331"/>
      <c r="H16" s="331"/>
      <c r="I16" s="331"/>
      <c r="J16" s="331" t="s">
        <v>3196</v>
      </c>
      <c r="K16" s="331"/>
      <c r="L16" s="331" t="s">
        <v>3199</v>
      </c>
      <c r="M16" s="331"/>
      <c r="N16" s="331" t="s">
        <v>3048</v>
      </c>
      <c r="V16" s="216" t="s">
        <v>2805</v>
      </c>
      <c r="W16" s="334">
        <v>0.11415525114155251</v>
      </c>
      <c r="X16" s="334">
        <v>0.42306751467710368</v>
      </c>
    </row>
    <row r="17" spans="1:24" x14ac:dyDescent="0.35">
      <c r="A17" s="331" t="s">
        <v>3208</v>
      </c>
      <c r="B17" s="331" t="s">
        <v>3194</v>
      </c>
      <c r="C17" s="332">
        <v>34.726984960000003</v>
      </c>
      <c r="D17" s="331"/>
      <c r="E17" s="331" t="s">
        <v>3195</v>
      </c>
      <c r="F17" s="332">
        <v>1</v>
      </c>
      <c r="G17" s="331"/>
      <c r="H17" s="331"/>
      <c r="I17" s="331"/>
      <c r="J17" s="331" t="s">
        <v>3196</v>
      </c>
      <c r="K17" s="331"/>
      <c r="L17" s="331" t="s">
        <v>3197</v>
      </c>
      <c r="M17" s="331"/>
      <c r="N17" s="331" t="s">
        <v>3048</v>
      </c>
      <c r="V17" s="216" t="s">
        <v>2807</v>
      </c>
      <c r="W17" s="334">
        <v>0.14127931936151114</v>
      </c>
      <c r="X17" s="334">
        <v>0.20212165169776483</v>
      </c>
    </row>
    <row r="18" spans="1:24" x14ac:dyDescent="0.35">
      <c r="A18" s="331" t="s">
        <v>3209</v>
      </c>
      <c r="B18" s="331" t="s">
        <v>3194</v>
      </c>
      <c r="C18" s="332">
        <v>23.950862959999998</v>
      </c>
      <c r="D18" s="331"/>
      <c r="E18" s="331" t="s">
        <v>3195</v>
      </c>
      <c r="F18" s="332">
        <v>1</v>
      </c>
      <c r="G18" s="331"/>
      <c r="H18" s="331"/>
      <c r="I18" s="331"/>
      <c r="J18" s="331" t="s">
        <v>3196</v>
      </c>
      <c r="K18" s="331"/>
      <c r="L18" s="331" t="s">
        <v>3197</v>
      </c>
      <c r="M18" s="331"/>
      <c r="N18" s="331" t="s">
        <v>3048</v>
      </c>
      <c r="V18" s="216" t="s">
        <v>2808</v>
      </c>
      <c r="W18" s="334">
        <v>0.36895504482993297</v>
      </c>
      <c r="X18" s="334">
        <v>0.5085721054521416</v>
      </c>
    </row>
    <row r="19" spans="1:24" x14ac:dyDescent="0.35">
      <c r="A19" s="331" t="s">
        <v>3210</v>
      </c>
      <c r="B19" s="331" t="s">
        <v>3194</v>
      </c>
      <c r="C19" s="332">
        <v>25.436132560000001</v>
      </c>
      <c r="D19" s="331"/>
      <c r="E19" s="331" t="s">
        <v>3195</v>
      </c>
      <c r="F19" s="332">
        <v>1</v>
      </c>
      <c r="G19" s="331"/>
      <c r="H19" s="331"/>
      <c r="I19" s="331"/>
      <c r="J19" s="331" t="s">
        <v>3196</v>
      </c>
      <c r="K19" s="331"/>
      <c r="L19" s="331" t="s">
        <v>3199</v>
      </c>
      <c r="M19" s="331"/>
      <c r="N19" s="331" t="s">
        <v>3048</v>
      </c>
      <c r="V19" s="216" t="s">
        <v>2809</v>
      </c>
      <c r="W19" s="334">
        <v>0.22552054794520549</v>
      </c>
      <c r="X19" s="334">
        <v>0.30324166150520321</v>
      </c>
    </row>
    <row r="20" spans="1:24" x14ac:dyDescent="0.35">
      <c r="A20" s="331" t="s">
        <v>3211</v>
      </c>
      <c r="B20" s="331" t="s">
        <v>3194</v>
      </c>
      <c r="C20" s="332">
        <v>25.436132560000001</v>
      </c>
      <c r="D20" s="331"/>
      <c r="E20" s="331" t="s">
        <v>3195</v>
      </c>
      <c r="F20" s="332">
        <v>1</v>
      </c>
      <c r="G20" s="331"/>
      <c r="H20" s="331"/>
      <c r="I20" s="331"/>
      <c r="J20" s="331" t="s">
        <v>3196</v>
      </c>
      <c r="K20" s="331"/>
      <c r="L20" s="331" t="s">
        <v>3197</v>
      </c>
      <c r="M20" s="331"/>
      <c r="N20" s="331" t="s">
        <v>3048</v>
      </c>
      <c r="V20" s="216" t="s">
        <v>1048</v>
      </c>
      <c r="W20" s="334">
        <v>0.12107459328718216</v>
      </c>
      <c r="X20" s="334">
        <v>0.17765314891169812</v>
      </c>
    </row>
    <row r="21" spans="1:24" x14ac:dyDescent="0.35">
      <c r="A21" s="331" t="s">
        <v>3212</v>
      </c>
      <c r="B21" s="331" t="s">
        <v>3194</v>
      </c>
      <c r="C21" s="332">
        <v>22.434749360000001</v>
      </c>
      <c r="D21" s="331"/>
      <c r="E21" s="331" t="s">
        <v>3195</v>
      </c>
      <c r="F21" s="332">
        <v>1</v>
      </c>
      <c r="G21" s="331"/>
      <c r="H21" s="331"/>
      <c r="I21" s="331"/>
      <c r="J21" s="331" t="s">
        <v>3196</v>
      </c>
      <c r="K21" s="331"/>
      <c r="L21" s="331" t="s">
        <v>3199</v>
      </c>
      <c r="M21" s="331"/>
      <c r="N21" s="331" t="s">
        <v>3048</v>
      </c>
      <c r="V21" s="216" t="s">
        <v>2806</v>
      </c>
      <c r="W21" s="334">
        <v>9.4671111515647999E-2</v>
      </c>
      <c r="X21" s="334">
        <v>0.16494446480267946</v>
      </c>
    </row>
    <row r="22" spans="1:24" x14ac:dyDescent="0.35">
      <c r="A22" s="331" t="s">
        <v>3213</v>
      </c>
      <c r="B22" s="331" t="s">
        <v>3194</v>
      </c>
      <c r="C22" s="332">
        <v>48.383938129999997</v>
      </c>
      <c r="D22" s="331"/>
      <c r="E22" s="331" t="s">
        <v>3195</v>
      </c>
      <c r="F22" s="332">
        <v>1</v>
      </c>
      <c r="G22" s="331"/>
      <c r="H22" s="331"/>
      <c r="I22" s="331"/>
      <c r="J22" s="331" t="s">
        <v>3196</v>
      </c>
      <c r="K22" s="331"/>
      <c r="L22" s="331" t="s">
        <v>3197</v>
      </c>
      <c r="M22" s="331"/>
      <c r="N22" s="331" t="s">
        <v>3048</v>
      </c>
      <c r="V22" s="216" t="s">
        <v>2810</v>
      </c>
      <c r="W22" s="334">
        <v>0.22797768813983518</v>
      </c>
      <c r="X22" s="334">
        <v>0.34726984955822315</v>
      </c>
    </row>
    <row r="23" spans="1:24" x14ac:dyDescent="0.35">
      <c r="A23" s="331" t="s">
        <v>3214</v>
      </c>
      <c r="B23" s="331" t="s">
        <v>3194</v>
      </c>
      <c r="C23" s="332">
        <v>18.154578130000001</v>
      </c>
      <c r="D23" s="331"/>
      <c r="E23" s="331" t="s">
        <v>3195</v>
      </c>
      <c r="F23" s="332">
        <v>1</v>
      </c>
      <c r="G23" s="331"/>
      <c r="H23" s="331"/>
      <c r="I23" s="331"/>
      <c r="J23" s="331" t="s">
        <v>3196</v>
      </c>
      <c r="K23" s="331"/>
      <c r="L23" s="331" t="s">
        <v>3197</v>
      </c>
      <c r="M23" s="331"/>
      <c r="N23" s="331" t="s">
        <v>3048</v>
      </c>
      <c r="V23" s="216" t="s">
        <v>2811</v>
      </c>
      <c r="W23" s="334">
        <v>0.36149162861491629</v>
      </c>
      <c r="X23" s="334">
        <v>0.44357293034223594</v>
      </c>
    </row>
    <row r="24" spans="1:24" x14ac:dyDescent="0.35">
      <c r="A24" s="331" t="s">
        <v>3215</v>
      </c>
      <c r="B24" s="331" t="s">
        <v>3194</v>
      </c>
      <c r="C24" s="332">
        <v>26.488813010000001</v>
      </c>
      <c r="D24" s="331"/>
      <c r="E24" s="331" t="s">
        <v>3195</v>
      </c>
      <c r="F24" s="332">
        <v>1</v>
      </c>
      <c r="G24" s="331"/>
      <c r="H24" s="331"/>
      <c r="I24" s="331"/>
      <c r="J24" s="331" t="s">
        <v>3196</v>
      </c>
      <c r="K24" s="331"/>
      <c r="L24" s="331" t="s">
        <v>3199</v>
      </c>
      <c r="M24" s="331"/>
      <c r="N24" s="331" t="s">
        <v>3048</v>
      </c>
      <c r="V24" s="216" t="s">
        <v>2812</v>
      </c>
      <c r="W24" s="334">
        <v>0.19815628500043078</v>
      </c>
      <c r="X24" s="334">
        <v>0.23950862960797037</v>
      </c>
    </row>
    <row r="25" spans="1:24" x14ac:dyDescent="0.35">
      <c r="A25" s="331" t="s">
        <v>3216</v>
      </c>
      <c r="B25" s="331" t="s">
        <v>3194</v>
      </c>
      <c r="C25" s="332">
        <v>26.488813010000001</v>
      </c>
      <c r="D25" s="331"/>
      <c r="E25" s="331" t="s">
        <v>3195</v>
      </c>
      <c r="F25" s="332">
        <v>1</v>
      </c>
      <c r="G25" s="331"/>
      <c r="H25" s="331"/>
      <c r="I25" s="331"/>
      <c r="J25" s="331" t="s">
        <v>3196</v>
      </c>
      <c r="K25" s="331"/>
      <c r="L25" s="331" t="s">
        <v>3197</v>
      </c>
      <c r="M25" s="331"/>
      <c r="N25" s="331" t="s">
        <v>3048</v>
      </c>
      <c r="V25" s="216" t="s">
        <v>2813</v>
      </c>
      <c r="W25" s="334">
        <v>0.19651398711685064</v>
      </c>
      <c r="X25" s="334">
        <v>0.25436132556927743</v>
      </c>
    </row>
    <row r="26" spans="1:24" x14ac:dyDescent="0.35">
      <c r="A26" s="331" t="s">
        <v>3217</v>
      </c>
      <c r="B26" s="331" t="s">
        <v>3194</v>
      </c>
      <c r="C26" s="332">
        <v>30.08299654</v>
      </c>
      <c r="D26" s="331"/>
      <c r="E26" s="331" t="s">
        <v>3195</v>
      </c>
      <c r="F26" s="332">
        <v>1</v>
      </c>
      <c r="G26" s="331"/>
      <c r="H26" s="331"/>
      <c r="I26" s="331"/>
      <c r="J26" s="331" t="s">
        <v>3196</v>
      </c>
      <c r="K26" s="331"/>
      <c r="L26" s="331" t="s">
        <v>3199</v>
      </c>
      <c r="M26" s="331"/>
      <c r="N26" s="331" t="s">
        <v>3048</v>
      </c>
      <c r="V26" s="216" t="s">
        <v>2814</v>
      </c>
      <c r="W26" s="334">
        <v>8.5186537352444747E-2</v>
      </c>
      <c r="X26" s="334">
        <v>0.15122474067646888</v>
      </c>
    </row>
    <row r="27" spans="1:24" x14ac:dyDescent="0.35">
      <c r="A27" s="331" t="s">
        <v>3218</v>
      </c>
      <c r="B27" s="331" t="s">
        <v>3194</v>
      </c>
      <c r="C27" s="332">
        <v>47.098550619999997</v>
      </c>
      <c r="D27" s="331"/>
      <c r="E27" s="331" t="s">
        <v>3195</v>
      </c>
      <c r="F27" s="332">
        <v>1</v>
      </c>
      <c r="G27" s="331"/>
      <c r="H27" s="331"/>
      <c r="I27" s="331"/>
      <c r="J27" s="331" t="s">
        <v>3196</v>
      </c>
      <c r="K27" s="331"/>
      <c r="L27" s="331" t="s">
        <v>3197</v>
      </c>
      <c r="M27" s="331"/>
      <c r="N27" s="331" t="s">
        <v>3048</v>
      </c>
      <c r="V27" s="216" t="s">
        <v>2815</v>
      </c>
      <c r="W27" s="334">
        <v>4.5984800813204899E-2</v>
      </c>
      <c r="X27" s="334">
        <v>9.1067462161925211E-2</v>
      </c>
    </row>
    <row r="28" spans="1:24" x14ac:dyDescent="0.35">
      <c r="A28" s="331" t="s">
        <v>3219</v>
      </c>
      <c r="B28" s="331" t="s">
        <v>3194</v>
      </c>
      <c r="C28" s="332">
        <v>47.452272639999997</v>
      </c>
      <c r="D28" s="331"/>
      <c r="E28" s="331" t="s">
        <v>3195</v>
      </c>
      <c r="F28" s="332">
        <v>1</v>
      </c>
      <c r="G28" s="331"/>
      <c r="H28" s="331"/>
      <c r="I28" s="331"/>
      <c r="J28" s="331" t="s">
        <v>3196</v>
      </c>
      <c r="K28" s="331"/>
      <c r="L28" s="331" t="s">
        <v>3197</v>
      </c>
      <c r="M28" s="331"/>
      <c r="N28" s="331" t="s">
        <v>3048</v>
      </c>
      <c r="V28" s="216" t="s">
        <v>2816</v>
      </c>
      <c r="W28" s="334">
        <v>0.139689978370584</v>
      </c>
      <c r="X28" s="334">
        <v>0.22434749359644615</v>
      </c>
    </row>
    <row r="29" spans="1:24" x14ac:dyDescent="0.35">
      <c r="A29" s="331" t="s">
        <v>3220</v>
      </c>
      <c r="B29" s="331" t="s">
        <v>3194</v>
      </c>
      <c r="C29" s="332">
        <v>21.415456819999999</v>
      </c>
      <c r="D29" s="331"/>
      <c r="E29" s="331" t="s">
        <v>3195</v>
      </c>
      <c r="F29" s="332">
        <v>1</v>
      </c>
      <c r="G29" s="331"/>
      <c r="H29" s="331"/>
      <c r="I29" s="331"/>
      <c r="J29" s="331" t="s">
        <v>3196</v>
      </c>
      <c r="K29" s="331"/>
      <c r="L29" s="331" t="s">
        <v>3199</v>
      </c>
      <c r="M29" s="331"/>
      <c r="N29" s="331" t="s">
        <v>3048</v>
      </c>
      <c r="V29" s="216" t="s">
        <v>2818</v>
      </c>
      <c r="W29" s="334">
        <v>0.17586079229914847</v>
      </c>
      <c r="X29" s="334">
        <v>0.30754041712945823</v>
      </c>
    </row>
    <row r="30" spans="1:24" x14ac:dyDescent="0.35">
      <c r="A30" s="331" t="s">
        <v>3221</v>
      </c>
      <c r="B30" s="331" t="s">
        <v>3194</v>
      </c>
      <c r="C30" s="332">
        <v>38.26655427</v>
      </c>
      <c r="D30" s="331"/>
      <c r="E30" s="331" t="s">
        <v>3195</v>
      </c>
      <c r="F30" s="332">
        <v>1</v>
      </c>
      <c r="G30" s="331"/>
      <c r="H30" s="331"/>
      <c r="I30" s="331"/>
      <c r="J30" s="331" t="s">
        <v>3196</v>
      </c>
      <c r="K30" s="331"/>
      <c r="L30" s="331" t="s">
        <v>3199</v>
      </c>
      <c r="M30" s="331"/>
      <c r="N30" s="331" t="s">
        <v>3019</v>
      </c>
      <c r="V30" s="216" t="s">
        <v>2819</v>
      </c>
      <c r="W30" s="334">
        <v>0.40783580127505453</v>
      </c>
      <c r="X30" s="334">
        <v>0.48383938131292603</v>
      </c>
    </row>
    <row r="31" spans="1:24" x14ac:dyDescent="0.35">
      <c r="A31" s="331" t="s">
        <v>3222</v>
      </c>
      <c r="B31" s="331" t="s">
        <v>3194</v>
      </c>
      <c r="C31" s="332">
        <v>38.26655427</v>
      </c>
      <c r="D31" s="331"/>
      <c r="E31" s="331" t="s">
        <v>3195</v>
      </c>
      <c r="F31" s="332">
        <v>1</v>
      </c>
      <c r="G31" s="331"/>
      <c r="H31" s="331"/>
      <c r="I31" s="331"/>
      <c r="J31" s="331" t="s">
        <v>3196</v>
      </c>
      <c r="K31" s="331"/>
      <c r="L31" s="331" t="s">
        <v>3223</v>
      </c>
      <c r="M31" s="331"/>
      <c r="N31" s="331" t="s">
        <v>3019</v>
      </c>
      <c r="V31" s="216" t="s">
        <v>2820</v>
      </c>
      <c r="W31" s="334">
        <v>0.11964441853686972</v>
      </c>
      <c r="X31" s="334">
        <v>0.18154578131047999</v>
      </c>
    </row>
    <row r="32" spans="1:24" x14ac:dyDescent="0.35">
      <c r="A32" s="331" t="s">
        <v>3224</v>
      </c>
      <c r="B32" s="331" t="s">
        <v>3194</v>
      </c>
      <c r="C32" s="332">
        <v>14.81741867</v>
      </c>
      <c r="D32" s="331"/>
      <c r="E32" s="331" t="s">
        <v>3195</v>
      </c>
      <c r="F32" s="332">
        <v>1</v>
      </c>
      <c r="G32" s="331"/>
      <c r="H32" s="331"/>
      <c r="I32" s="331"/>
      <c r="J32" s="331" t="s">
        <v>3196</v>
      </c>
      <c r="K32" s="331"/>
      <c r="L32" s="331" t="s">
        <v>3223</v>
      </c>
      <c r="M32" s="331"/>
      <c r="N32" s="331" t="s">
        <v>3019</v>
      </c>
      <c r="V32" s="216" t="s">
        <v>2821</v>
      </c>
      <c r="W32" s="334">
        <v>0.11641056342712698</v>
      </c>
      <c r="X32" s="334">
        <v>0.26488813010377926</v>
      </c>
    </row>
    <row r="33" spans="1:24" x14ac:dyDescent="0.35">
      <c r="A33" s="331" t="s">
        <v>3225</v>
      </c>
      <c r="B33" s="331" t="s">
        <v>3194</v>
      </c>
      <c r="C33" s="332">
        <v>30.605483599999999</v>
      </c>
      <c r="D33" s="331"/>
      <c r="E33" s="331" t="s">
        <v>3195</v>
      </c>
      <c r="F33" s="332">
        <v>1</v>
      </c>
      <c r="G33" s="331"/>
      <c r="H33" s="331"/>
      <c r="I33" s="331"/>
      <c r="J33" s="331" t="s">
        <v>3196</v>
      </c>
      <c r="K33" s="331"/>
      <c r="L33" s="331" t="s">
        <v>3199</v>
      </c>
      <c r="M33" s="331"/>
      <c r="N33" s="331" t="s">
        <v>3019</v>
      </c>
      <c r="V33" s="216" t="s">
        <v>2822</v>
      </c>
      <c r="W33" s="334">
        <v>0.21538292852873245</v>
      </c>
      <c r="X33" s="334">
        <v>0.30082996544938206</v>
      </c>
    </row>
    <row r="34" spans="1:24" x14ac:dyDescent="0.35">
      <c r="A34" s="331" t="s">
        <v>3226</v>
      </c>
      <c r="B34" s="331" t="s">
        <v>3194</v>
      </c>
      <c r="C34" s="332">
        <v>30.605483599999999</v>
      </c>
      <c r="D34" s="331"/>
      <c r="E34" s="331" t="s">
        <v>3195</v>
      </c>
      <c r="F34" s="332">
        <v>1</v>
      </c>
      <c r="G34" s="331"/>
      <c r="H34" s="331"/>
      <c r="I34" s="331"/>
      <c r="J34" s="331" t="s">
        <v>3196</v>
      </c>
      <c r="K34" s="331"/>
      <c r="L34" s="331" t="s">
        <v>3223</v>
      </c>
      <c r="M34" s="331"/>
      <c r="N34" s="331" t="s">
        <v>3019</v>
      </c>
      <c r="V34" s="216" t="s">
        <v>2823</v>
      </c>
      <c r="W34" s="334">
        <v>0.36371360203442865</v>
      </c>
      <c r="X34" s="334">
        <v>0.47098550619691543</v>
      </c>
    </row>
    <row r="35" spans="1:24" x14ac:dyDescent="0.35">
      <c r="A35" s="331" t="s">
        <v>3227</v>
      </c>
      <c r="B35" s="331" t="s">
        <v>3194</v>
      </c>
      <c r="C35" s="332">
        <v>12.53441917</v>
      </c>
      <c r="D35" s="331"/>
      <c r="E35" s="331" t="s">
        <v>3195</v>
      </c>
      <c r="F35" s="332">
        <v>1</v>
      </c>
      <c r="G35" s="331"/>
      <c r="H35" s="331"/>
      <c r="I35" s="331"/>
      <c r="J35" s="331" t="s">
        <v>3196</v>
      </c>
      <c r="K35" s="331"/>
      <c r="L35" s="331" t="s">
        <v>3223</v>
      </c>
      <c r="M35" s="331"/>
      <c r="N35" s="331" t="s">
        <v>3019</v>
      </c>
      <c r="V35" s="216" t="s">
        <v>2824</v>
      </c>
      <c r="W35" s="334">
        <v>0.35953382087766012</v>
      </c>
      <c r="X35" s="334">
        <v>0.4745227263751472</v>
      </c>
    </row>
    <row r="36" spans="1:24" x14ac:dyDescent="0.35">
      <c r="A36" s="331" t="s">
        <v>3228</v>
      </c>
      <c r="B36" s="331" t="s">
        <v>3194</v>
      </c>
      <c r="C36" s="332">
        <v>28.220545349999998</v>
      </c>
      <c r="D36" s="331"/>
      <c r="E36" s="331" t="s">
        <v>3195</v>
      </c>
      <c r="F36" s="332">
        <v>1</v>
      </c>
      <c r="G36" s="331"/>
      <c r="H36" s="331"/>
      <c r="I36" s="331"/>
      <c r="J36" s="331" t="s">
        <v>3196</v>
      </c>
      <c r="K36" s="331"/>
      <c r="L36" s="331" t="s">
        <v>3223</v>
      </c>
      <c r="M36" s="331"/>
      <c r="N36" s="331" t="s">
        <v>3019</v>
      </c>
      <c r="V36" s="216" t="s">
        <v>2825</v>
      </c>
      <c r="W36" s="334">
        <v>0.16491720077888605</v>
      </c>
      <c r="X36" s="334">
        <v>0.21415456824147383</v>
      </c>
    </row>
    <row r="37" spans="1:24" x14ac:dyDescent="0.35">
      <c r="A37" s="331" t="s">
        <v>3229</v>
      </c>
      <c r="B37" s="331" t="s">
        <v>3194</v>
      </c>
      <c r="C37" s="332">
        <v>16.494446480000001</v>
      </c>
      <c r="D37" s="331"/>
      <c r="E37" s="331" t="s">
        <v>3195</v>
      </c>
      <c r="F37" s="332">
        <v>1</v>
      </c>
      <c r="G37" s="331"/>
      <c r="H37" s="331"/>
      <c r="I37" s="331"/>
      <c r="J37" s="331" t="s">
        <v>3196</v>
      </c>
      <c r="K37" s="331"/>
      <c r="L37" s="331" t="s">
        <v>3199</v>
      </c>
      <c r="M37" s="331"/>
      <c r="N37" s="331" t="s">
        <v>3019</v>
      </c>
    </row>
    <row r="38" spans="1:24" x14ac:dyDescent="0.35">
      <c r="A38" s="331" t="s">
        <v>3230</v>
      </c>
      <c r="B38" s="331" t="s">
        <v>3194</v>
      </c>
      <c r="C38" s="332">
        <v>16.494446480000001</v>
      </c>
      <c r="D38" s="331"/>
      <c r="E38" s="331" t="s">
        <v>3195</v>
      </c>
      <c r="F38" s="332">
        <v>1</v>
      </c>
      <c r="G38" s="331"/>
      <c r="H38" s="331"/>
      <c r="I38" s="331"/>
      <c r="J38" s="331" t="s">
        <v>3196</v>
      </c>
      <c r="K38" s="331"/>
      <c r="L38" s="331" t="s">
        <v>3223</v>
      </c>
      <c r="M38" s="331"/>
      <c r="N38" s="331" t="s">
        <v>3019</v>
      </c>
    </row>
    <row r="39" spans="1:24" x14ac:dyDescent="0.35">
      <c r="A39" s="331" t="s">
        <v>3231</v>
      </c>
      <c r="B39" s="331" t="s">
        <v>3194</v>
      </c>
      <c r="C39" s="332">
        <v>20.212165169999999</v>
      </c>
      <c r="D39" s="331"/>
      <c r="E39" s="331" t="s">
        <v>3195</v>
      </c>
      <c r="F39" s="332">
        <v>1</v>
      </c>
      <c r="G39" s="331"/>
      <c r="H39" s="331"/>
      <c r="I39" s="331"/>
      <c r="J39" s="331" t="s">
        <v>3196</v>
      </c>
      <c r="K39" s="331"/>
      <c r="L39" s="331" t="s">
        <v>3199</v>
      </c>
      <c r="M39" s="331"/>
      <c r="N39" s="331" t="s">
        <v>3019</v>
      </c>
    </row>
    <row r="40" spans="1:24" x14ac:dyDescent="0.35">
      <c r="A40" s="331" t="s">
        <v>3232</v>
      </c>
      <c r="B40" s="331" t="s">
        <v>3194</v>
      </c>
      <c r="C40" s="332">
        <v>20.212165169999999</v>
      </c>
      <c r="D40" s="331"/>
      <c r="E40" s="331" t="s">
        <v>3195</v>
      </c>
      <c r="F40" s="332">
        <v>1</v>
      </c>
      <c r="G40" s="331"/>
      <c r="H40" s="331"/>
      <c r="I40" s="331"/>
      <c r="J40" s="331" t="s">
        <v>3196</v>
      </c>
      <c r="K40" s="331"/>
      <c r="L40" s="331" t="s">
        <v>3223</v>
      </c>
      <c r="M40" s="331"/>
      <c r="N40" s="331" t="s">
        <v>3019</v>
      </c>
    </row>
    <row r="41" spans="1:24" x14ac:dyDescent="0.35">
      <c r="A41" s="331" t="s">
        <v>3233</v>
      </c>
      <c r="B41" s="331" t="s">
        <v>3194</v>
      </c>
      <c r="C41" s="332">
        <v>30.32416615</v>
      </c>
      <c r="D41" s="331"/>
      <c r="E41" s="331" t="s">
        <v>3195</v>
      </c>
      <c r="F41" s="332">
        <v>1</v>
      </c>
      <c r="G41" s="331"/>
      <c r="H41" s="331"/>
      <c r="I41" s="331"/>
      <c r="J41" s="331" t="s">
        <v>3196</v>
      </c>
      <c r="K41" s="331"/>
      <c r="L41" s="331" t="s">
        <v>3199</v>
      </c>
      <c r="M41" s="331"/>
      <c r="N41" s="331" t="s">
        <v>3019</v>
      </c>
    </row>
    <row r="42" spans="1:24" x14ac:dyDescent="0.35">
      <c r="A42" s="331" t="s">
        <v>3234</v>
      </c>
      <c r="B42" s="331" t="s">
        <v>3194</v>
      </c>
      <c r="C42" s="332">
        <v>30.32416615</v>
      </c>
      <c r="D42" s="331"/>
      <c r="E42" s="331" t="s">
        <v>3195</v>
      </c>
      <c r="F42" s="332">
        <v>1</v>
      </c>
      <c r="G42" s="331"/>
      <c r="H42" s="331"/>
      <c r="I42" s="331"/>
      <c r="J42" s="331" t="s">
        <v>3196</v>
      </c>
      <c r="K42" s="331"/>
      <c r="L42" s="331" t="s">
        <v>3223</v>
      </c>
      <c r="M42" s="331"/>
      <c r="N42" s="331" t="s">
        <v>3019</v>
      </c>
    </row>
    <row r="43" spans="1:24" x14ac:dyDescent="0.35">
      <c r="A43" s="331" t="s">
        <v>3235</v>
      </c>
      <c r="B43" s="331" t="s">
        <v>3194</v>
      </c>
      <c r="C43" s="332">
        <v>34.726984960000003</v>
      </c>
      <c r="D43" s="331"/>
      <c r="E43" s="331" t="s">
        <v>3195</v>
      </c>
      <c r="F43" s="332">
        <v>1</v>
      </c>
      <c r="G43" s="331"/>
      <c r="H43" s="331"/>
      <c r="I43" s="331"/>
      <c r="J43" s="331" t="s">
        <v>3196</v>
      </c>
      <c r="K43" s="331"/>
      <c r="L43" s="331" t="s">
        <v>3223</v>
      </c>
      <c r="M43" s="331"/>
      <c r="N43" s="331" t="s">
        <v>3019</v>
      </c>
    </row>
    <row r="44" spans="1:24" x14ac:dyDescent="0.35">
      <c r="A44" s="331" t="s">
        <v>3236</v>
      </c>
      <c r="B44" s="331" t="s">
        <v>3194</v>
      </c>
      <c r="C44" s="332">
        <v>25.436132560000001</v>
      </c>
      <c r="D44" s="331"/>
      <c r="E44" s="331" t="s">
        <v>3195</v>
      </c>
      <c r="F44" s="332">
        <v>1</v>
      </c>
      <c r="G44" s="331"/>
      <c r="H44" s="331"/>
      <c r="I44" s="331"/>
      <c r="J44" s="331" t="s">
        <v>3196</v>
      </c>
      <c r="K44" s="331"/>
      <c r="L44" s="331" t="s">
        <v>3199</v>
      </c>
      <c r="M44" s="331"/>
      <c r="N44" s="331" t="s">
        <v>3019</v>
      </c>
    </row>
    <row r="45" spans="1:24" x14ac:dyDescent="0.35">
      <c r="A45" s="331" t="s">
        <v>3237</v>
      </c>
      <c r="B45" s="331" t="s">
        <v>3194</v>
      </c>
      <c r="C45" s="332">
        <v>25.436132560000001</v>
      </c>
      <c r="D45" s="331"/>
      <c r="E45" s="331" t="s">
        <v>3195</v>
      </c>
      <c r="F45" s="332">
        <v>1</v>
      </c>
      <c r="G45" s="331"/>
      <c r="H45" s="331"/>
      <c r="I45" s="331"/>
      <c r="J45" s="331" t="s">
        <v>3196</v>
      </c>
      <c r="K45" s="331"/>
      <c r="L45" s="331" t="s">
        <v>3223</v>
      </c>
      <c r="M45" s="331"/>
      <c r="N45" s="331" t="s">
        <v>3019</v>
      </c>
    </row>
    <row r="46" spans="1:24" x14ac:dyDescent="0.35">
      <c r="A46" s="331" t="s">
        <v>3238</v>
      </c>
      <c r="B46" s="331" t="s">
        <v>3194</v>
      </c>
      <c r="C46" s="332">
        <v>48.383938129999997</v>
      </c>
      <c r="D46" s="331"/>
      <c r="E46" s="331" t="s">
        <v>3195</v>
      </c>
      <c r="F46" s="332">
        <v>1</v>
      </c>
      <c r="G46" s="331"/>
      <c r="H46" s="331"/>
      <c r="I46" s="331"/>
      <c r="J46" s="331" t="s">
        <v>3196</v>
      </c>
      <c r="K46" s="331"/>
      <c r="L46" s="331" t="s">
        <v>3199</v>
      </c>
      <c r="M46" s="331"/>
      <c r="N46" s="331" t="s">
        <v>3019</v>
      </c>
    </row>
    <row r="47" spans="1:24" x14ac:dyDescent="0.35">
      <c r="A47" s="331" t="s">
        <v>3239</v>
      </c>
      <c r="B47" s="331" t="s">
        <v>3194</v>
      </c>
      <c r="C47" s="332">
        <v>48.383938129999997</v>
      </c>
      <c r="D47" s="331"/>
      <c r="E47" s="331" t="s">
        <v>3195</v>
      </c>
      <c r="F47" s="332">
        <v>1</v>
      </c>
      <c r="G47" s="331"/>
      <c r="H47" s="331"/>
      <c r="I47" s="331"/>
      <c r="J47" s="331" t="s">
        <v>3196</v>
      </c>
      <c r="K47" s="331"/>
      <c r="L47" s="331" t="s">
        <v>3223</v>
      </c>
      <c r="M47" s="331"/>
      <c r="N47" s="331" t="s">
        <v>3019</v>
      </c>
    </row>
    <row r="48" spans="1:24" x14ac:dyDescent="0.35">
      <c r="A48" s="331" t="s">
        <v>3240</v>
      </c>
      <c r="B48" s="331" t="s">
        <v>3194</v>
      </c>
      <c r="C48" s="332">
        <v>26.488813010000001</v>
      </c>
      <c r="D48" s="331"/>
      <c r="E48" s="331" t="s">
        <v>3195</v>
      </c>
      <c r="F48" s="332">
        <v>1</v>
      </c>
      <c r="G48" s="331"/>
      <c r="H48" s="331"/>
      <c r="I48" s="331"/>
      <c r="J48" s="331" t="s">
        <v>3196</v>
      </c>
      <c r="K48" s="331"/>
      <c r="L48" s="331" t="s">
        <v>3223</v>
      </c>
      <c r="M48" s="331"/>
      <c r="N48" s="331" t="s">
        <v>3019</v>
      </c>
    </row>
    <row r="49" spans="1:14" x14ac:dyDescent="0.35">
      <c r="A49" s="331" t="s">
        <v>3241</v>
      </c>
      <c r="B49" s="331" t="s">
        <v>3194</v>
      </c>
      <c r="C49" s="332">
        <v>30.08299654</v>
      </c>
      <c r="D49" s="331"/>
      <c r="E49" s="331" t="s">
        <v>3195</v>
      </c>
      <c r="F49" s="332">
        <v>1</v>
      </c>
      <c r="G49" s="331"/>
      <c r="H49" s="331"/>
      <c r="I49" s="331"/>
      <c r="J49" s="331" t="s">
        <v>3196</v>
      </c>
      <c r="K49" s="331"/>
      <c r="L49" s="331" t="s">
        <v>3199</v>
      </c>
      <c r="M49" s="331"/>
      <c r="N49" s="331" t="s">
        <v>3019</v>
      </c>
    </row>
    <row r="50" spans="1:14" x14ac:dyDescent="0.35">
      <c r="A50" s="331" t="s">
        <v>3242</v>
      </c>
      <c r="B50" s="331" t="s">
        <v>3194</v>
      </c>
      <c r="C50" s="332">
        <v>30.08299654</v>
      </c>
      <c r="D50" s="331"/>
      <c r="E50" s="331" t="s">
        <v>3195</v>
      </c>
      <c r="F50" s="332">
        <v>1</v>
      </c>
      <c r="G50" s="331"/>
      <c r="H50" s="331"/>
      <c r="I50" s="331"/>
      <c r="J50" s="331" t="s">
        <v>3196</v>
      </c>
      <c r="K50" s="331"/>
      <c r="L50" s="331" t="s">
        <v>3223</v>
      </c>
      <c r="M50" s="331"/>
      <c r="N50" s="331" t="s">
        <v>3019</v>
      </c>
    </row>
    <row r="51" spans="1:14" x14ac:dyDescent="0.35">
      <c r="A51" s="331" t="s">
        <v>3243</v>
      </c>
      <c r="B51" s="331" t="s">
        <v>3194</v>
      </c>
      <c r="C51" s="332">
        <v>47.098550619999997</v>
      </c>
      <c r="D51" s="331"/>
      <c r="E51" s="331" t="s">
        <v>3195</v>
      </c>
      <c r="F51" s="332">
        <v>1</v>
      </c>
      <c r="G51" s="331"/>
      <c r="H51" s="331"/>
      <c r="I51" s="331"/>
      <c r="J51" s="331" t="s">
        <v>3196</v>
      </c>
      <c r="K51" s="331"/>
      <c r="L51" s="331" t="s">
        <v>3199</v>
      </c>
      <c r="M51" s="331"/>
      <c r="N51" s="331" t="s">
        <v>3019</v>
      </c>
    </row>
    <row r="52" spans="1:14" x14ac:dyDescent="0.35">
      <c r="A52" s="331" t="s">
        <v>3244</v>
      </c>
      <c r="B52" s="331" t="s">
        <v>3194</v>
      </c>
      <c r="C52" s="332">
        <v>47.098550619999997</v>
      </c>
      <c r="D52" s="331"/>
      <c r="E52" s="331" t="s">
        <v>3195</v>
      </c>
      <c r="F52" s="332">
        <v>1</v>
      </c>
      <c r="G52" s="331"/>
      <c r="H52" s="331"/>
      <c r="I52" s="331"/>
      <c r="J52" s="331" t="s">
        <v>3196</v>
      </c>
      <c r="K52" s="331"/>
      <c r="L52" s="331" t="s">
        <v>3223</v>
      </c>
      <c r="M52" s="331"/>
      <c r="N52" s="331" t="s">
        <v>3019</v>
      </c>
    </row>
    <row r="53" spans="1:14" x14ac:dyDescent="0.35">
      <c r="A53" s="331" t="s">
        <v>3245</v>
      </c>
      <c r="B53" s="331" t="s">
        <v>3194</v>
      </c>
      <c r="C53" s="332">
        <v>21.415456819999999</v>
      </c>
      <c r="D53" s="331"/>
      <c r="E53" s="331" t="s">
        <v>3195</v>
      </c>
      <c r="F53" s="332">
        <v>1</v>
      </c>
      <c r="G53" s="331"/>
      <c r="H53" s="331"/>
      <c r="I53" s="331"/>
      <c r="J53" s="331" t="s">
        <v>3196</v>
      </c>
      <c r="K53" s="331"/>
      <c r="L53" s="331" t="s">
        <v>3223</v>
      </c>
      <c r="M53" s="331"/>
      <c r="N53" s="331" t="s">
        <v>3019</v>
      </c>
    </row>
    <row r="54" spans="1:14" x14ac:dyDescent="0.35">
      <c r="A54" s="331" t="s">
        <v>3246</v>
      </c>
      <c r="B54" s="331" t="s">
        <v>3194</v>
      </c>
      <c r="C54" s="332">
        <v>38.26655427</v>
      </c>
      <c r="D54" s="331"/>
      <c r="E54" s="331" t="s">
        <v>3195</v>
      </c>
      <c r="F54" s="332">
        <v>1</v>
      </c>
      <c r="G54" s="331"/>
      <c r="H54" s="331"/>
      <c r="I54" s="331"/>
      <c r="J54" s="331" t="s">
        <v>3196</v>
      </c>
      <c r="K54" s="331"/>
      <c r="L54" s="331" t="s">
        <v>3199</v>
      </c>
      <c r="M54" s="331"/>
      <c r="N54" s="331" t="s">
        <v>3020</v>
      </c>
    </row>
    <row r="55" spans="1:14" x14ac:dyDescent="0.35">
      <c r="A55" s="331" t="s">
        <v>3247</v>
      </c>
      <c r="B55" s="331" t="s">
        <v>3194</v>
      </c>
      <c r="C55" s="332">
        <v>11.647009199999999</v>
      </c>
      <c r="D55" s="331"/>
      <c r="E55" s="331" t="s">
        <v>3195</v>
      </c>
      <c r="F55" s="332">
        <v>1</v>
      </c>
      <c r="G55" s="331"/>
      <c r="H55" s="331"/>
      <c r="I55" s="331"/>
      <c r="J55" s="331" t="s">
        <v>3196</v>
      </c>
      <c r="K55" s="331"/>
      <c r="L55" s="331" t="s">
        <v>3199</v>
      </c>
      <c r="M55" s="331"/>
      <c r="N55" s="331" t="s">
        <v>3020</v>
      </c>
    </row>
    <row r="56" spans="1:14" x14ac:dyDescent="0.35">
      <c r="A56" s="331" t="s">
        <v>3248</v>
      </c>
      <c r="B56" s="331" t="s">
        <v>3194</v>
      </c>
      <c r="C56" s="332">
        <v>14.81741867</v>
      </c>
      <c r="D56" s="331"/>
      <c r="E56" s="331" t="s">
        <v>3195</v>
      </c>
      <c r="F56" s="332">
        <v>1</v>
      </c>
      <c r="G56" s="331"/>
      <c r="H56" s="331"/>
      <c r="I56" s="331"/>
      <c r="J56" s="331" t="s">
        <v>3196</v>
      </c>
      <c r="K56" s="331"/>
      <c r="L56" s="331" t="s">
        <v>3199</v>
      </c>
      <c r="M56" s="331"/>
      <c r="N56" s="331" t="s">
        <v>3020</v>
      </c>
    </row>
    <row r="57" spans="1:14" x14ac:dyDescent="0.35">
      <c r="A57" s="331" t="s">
        <v>3249</v>
      </c>
      <c r="B57" s="331" t="s">
        <v>3194</v>
      </c>
      <c r="C57" s="332">
        <v>30.605483599999999</v>
      </c>
      <c r="D57" s="331"/>
      <c r="E57" s="331" t="s">
        <v>3195</v>
      </c>
      <c r="F57" s="332">
        <v>1</v>
      </c>
      <c r="G57" s="331"/>
      <c r="H57" s="331"/>
      <c r="I57" s="331"/>
      <c r="J57" s="331" t="s">
        <v>3196</v>
      </c>
      <c r="K57" s="331"/>
      <c r="L57" s="331" t="s">
        <v>3199</v>
      </c>
      <c r="M57" s="331"/>
      <c r="N57" s="331" t="s">
        <v>3020</v>
      </c>
    </row>
    <row r="58" spans="1:14" x14ac:dyDescent="0.35">
      <c r="A58" s="331" t="s">
        <v>3250</v>
      </c>
      <c r="B58" s="331" t="s">
        <v>3194</v>
      </c>
      <c r="C58" s="332">
        <v>12.53441917</v>
      </c>
      <c r="D58" s="331"/>
      <c r="E58" s="331" t="s">
        <v>3195</v>
      </c>
      <c r="F58" s="332">
        <v>1</v>
      </c>
      <c r="G58" s="331"/>
      <c r="H58" s="331"/>
      <c r="I58" s="331"/>
      <c r="J58" s="331" t="s">
        <v>3196</v>
      </c>
      <c r="K58" s="331"/>
      <c r="L58" s="331" t="s">
        <v>3199</v>
      </c>
      <c r="M58" s="331"/>
      <c r="N58" s="331" t="s">
        <v>3020</v>
      </c>
    </row>
    <row r="59" spans="1:14" x14ac:dyDescent="0.35">
      <c r="A59" s="331" t="s">
        <v>3251</v>
      </c>
      <c r="B59" s="331" t="s">
        <v>3194</v>
      </c>
      <c r="C59" s="332">
        <v>28.220545349999998</v>
      </c>
      <c r="D59" s="331"/>
      <c r="E59" s="331" t="s">
        <v>3195</v>
      </c>
      <c r="F59" s="332">
        <v>1</v>
      </c>
      <c r="G59" s="331"/>
      <c r="H59" s="331"/>
      <c r="I59" s="331"/>
      <c r="J59" s="331" t="s">
        <v>3196</v>
      </c>
      <c r="K59" s="331"/>
      <c r="L59" s="331" t="s">
        <v>3199</v>
      </c>
      <c r="M59" s="331"/>
      <c r="N59" s="331" t="s">
        <v>3020</v>
      </c>
    </row>
    <row r="60" spans="1:14" x14ac:dyDescent="0.35">
      <c r="A60" s="331" t="s">
        <v>3252</v>
      </c>
      <c r="B60" s="331" t="s">
        <v>3194</v>
      </c>
      <c r="C60" s="332">
        <v>16.494446480000001</v>
      </c>
      <c r="D60" s="331"/>
      <c r="E60" s="331" t="s">
        <v>3195</v>
      </c>
      <c r="F60" s="332">
        <v>1</v>
      </c>
      <c r="G60" s="331"/>
      <c r="H60" s="331"/>
      <c r="I60" s="331"/>
      <c r="J60" s="331" t="s">
        <v>3196</v>
      </c>
      <c r="K60" s="331"/>
      <c r="L60" s="331" t="s">
        <v>3199</v>
      </c>
      <c r="M60" s="331"/>
      <c r="N60" s="331" t="s">
        <v>3020</v>
      </c>
    </row>
    <row r="61" spans="1:14" x14ac:dyDescent="0.35">
      <c r="A61" s="331" t="s">
        <v>3253</v>
      </c>
      <c r="B61" s="331" t="s">
        <v>3194</v>
      </c>
      <c r="C61" s="332">
        <v>20.212165169999999</v>
      </c>
      <c r="D61" s="331"/>
      <c r="E61" s="331" t="s">
        <v>3195</v>
      </c>
      <c r="F61" s="332">
        <v>1</v>
      </c>
      <c r="G61" s="331"/>
      <c r="H61" s="331"/>
      <c r="I61" s="331"/>
      <c r="J61" s="331" t="s">
        <v>3196</v>
      </c>
      <c r="K61" s="331"/>
      <c r="L61" s="331" t="s">
        <v>3199</v>
      </c>
      <c r="M61" s="331"/>
      <c r="N61" s="331" t="s">
        <v>3020</v>
      </c>
    </row>
    <row r="62" spans="1:14" x14ac:dyDescent="0.35">
      <c r="A62" s="331" t="s">
        <v>3254</v>
      </c>
      <c r="B62" s="331" t="s">
        <v>3194</v>
      </c>
      <c r="C62" s="332">
        <v>30.32416615</v>
      </c>
      <c r="D62" s="331"/>
      <c r="E62" s="331" t="s">
        <v>3195</v>
      </c>
      <c r="F62" s="332">
        <v>1</v>
      </c>
      <c r="G62" s="331"/>
      <c r="H62" s="331"/>
      <c r="I62" s="331"/>
      <c r="J62" s="331" t="s">
        <v>3196</v>
      </c>
      <c r="K62" s="331"/>
      <c r="L62" s="331" t="s">
        <v>3199</v>
      </c>
      <c r="M62" s="331"/>
      <c r="N62" s="331" t="s">
        <v>3020</v>
      </c>
    </row>
    <row r="63" spans="1:14" x14ac:dyDescent="0.35">
      <c r="A63" s="331" t="s">
        <v>3255</v>
      </c>
      <c r="B63" s="331" t="s">
        <v>3194</v>
      </c>
      <c r="C63" s="332">
        <v>17.765314889999999</v>
      </c>
      <c r="D63" s="331"/>
      <c r="E63" s="331" t="s">
        <v>3195</v>
      </c>
      <c r="F63" s="332">
        <v>1</v>
      </c>
      <c r="G63" s="331"/>
      <c r="H63" s="331"/>
      <c r="I63" s="331"/>
      <c r="J63" s="331" t="s">
        <v>3196</v>
      </c>
      <c r="K63" s="331"/>
      <c r="L63" s="331" t="s">
        <v>3199</v>
      </c>
      <c r="M63" s="331"/>
      <c r="N63" s="331" t="s">
        <v>3020</v>
      </c>
    </row>
    <row r="64" spans="1:14" x14ac:dyDescent="0.35">
      <c r="A64" s="331" t="s">
        <v>3256</v>
      </c>
      <c r="B64" s="331" t="s">
        <v>3194</v>
      </c>
      <c r="C64" s="332">
        <v>25.436132560000001</v>
      </c>
      <c r="D64" s="331"/>
      <c r="E64" s="331" t="s">
        <v>3195</v>
      </c>
      <c r="F64" s="332">
        <v>1</v>
      </c>
      <c r="G64" s="331"/>
      <c r="H64" s="331"/>
      <c r="I64" s="331"/>
      <c r="J64" s="331" t="s">
        <v>3196</v>
      </c>
      <c r="K64" s="331"/>
      <c r="L64" s="331" t="s">
        <v>3199</v>
      </c>
      <c r="M64" s="331"/>
      <c r="N64" s="331" t="s">
        <v>3020</v>
      </c>
    </row>
    <row r="65" spans="1:14" x14ac:dyDescent="0.35">
      <c r="A65" s="331" t="s">
        <v>3257</v>
      </c>
      <c r="B65" s="331" t="s">
        <v>3194</v>
      </c>
      <c r="C65" s="332">
        <v>15.122474070000001</v>
      </c>
      <c r="D65" s="331"/>
      <c r="E65" s="331" t="s">
        <v>3195</v>
      </c>
      <c r="F65" s="332">
        <v>1</v>
      </c>
      <c r="G65" s="331"/>
      <c r="H65" s="331"/>
      <c r="I65" s="331"/>
      <c r="J65" s="331" t="s">
        <v>3196</v>
      </c>
      <c r="K65" s="331"/>
      <c r="L65" s="331" t="s">
        <v>3199</v>
      </c>
      <c r="M65" s="331"/>
      <c r="N65" s="331" t="s">
        <v>3020</v>
      </c>
    </row>
    <row r="66" spans="1:14" x14ac:dyDescent="0.35">
      <c r="A66" s="331" t="s">
        <v>3258</v>
      </c>
      <c r="B66" s="331" t="s">
        <v>3194</v>
      </c>
      <c r="C66" s="332">
        <v>9.1067462159999994</v>
      </c>
      <c r="D66" s="331"/>
      <c r="E66" s="331" t="s">
        <v>3195</v>
      </c>
      <c r="F66" s="332">
        <v>1</v>
      </c>
      <c r="G66" s="331"/>
      <c r="H66" s="331"/>
      <c r="I66" s="331"/>
      <c r="J66" s="331" t="s">
        <v>3196</v>
      </c>
      <c r="K66" s="331"/>
      <c r="L66" s="331" t="s">
        <v>3199</v>
      </c>
      <c r="M66" s="331"/>
      <c r="N66" s="331" t="s">
        <v>3020</v>
      </c>
    </row>
    <row r="67" spans="1:14" x14ac:dyDescent="0.35">
      <c r="A67" s="331" t="s">
        <v>3259</v>
      </c>
      <c r="B67" s="331" t="s">
        <v>3194</v>
      </c>
      <c r="C67" s="332">
        <v>48.383938129999997</v>
      </c>
      <c r="D67" s="331"/>
      <c r="E67" s="331" t="s">
        <v>3195</v>
      </c>
      <c r="F67" s="332">
        <v>1</v>
      </c>
      <c r="G67" s="331"/>
      <c r="H67" s="331"/>
      <c r="I67" s="331"/>
      <c r="J67" s="331" t="s">
        <v>3196</v>
      </c>
      <c r="K67" s="331"/>
      <c r="L67" s="331" t="s">
        <v>3199</v>
      </c>
      <c r="M67" s="331"/>
      <c r="N67" s="331" t="s">
        <v>3020</v>
      </c>
    </row>
    <row r="68" spans="1:14" x14ac:dyDescent="0.35">
      <c r="A68" s="331" t="s">
        <v>3260</v>
      </c>
      <c r="B68" s="331" t="s">
        <v>3194</v>
      </c>
      <c r="C68" s="332">
        <v>18.154578130000001</v>
      </c>
      <c r="D68" s="331"/>
      <c r="E68" s="331" t="s">
        <v>3195</v>
      </c>
      <c r="F68" s="332">
        <v>1</v>
      </c>
      <c r="G68" s="331"/>
      <c r="H68" s="331"/>
      <c r="I68" s="331"/>
      <c r="J68" s="331" t="s">
        <v>3196</v>
      </c>
      <c r="K68" s="331"/>
      <c r="L68" s="331" t="s">
        <v>3199</v>
      </c>
      <c r="M68" s="331"/>
      <c r="N68" s="331" t="s">
        <v>3020</v>
      </c>
    </row>
    <row r="69" spans="1:14" x14ac:dyDescent="0.35">
      <c r="A69" s="331" t="s">
        <v>3261</v>
      </c>
      <c r="B69" s="331" t="s">
        <v>3194</v>
      </c>
      <c r="C69" s="332">
        <v>26.488813010000001</v>
      </c>
      <c r="D69" s="331"/>
      <c r="E69" s="331" t="s">
        <v>3195</v>
      </c>
      <c r="F69" s="332">
        <v>1</v>
      </c>
      <c r="G69" s="331"/>
      <c r="H69" s="331"/>
      <c r="I69" s="331"/>
      <c r="J69" s="331" t="s">
        <v>3196</v>
      </c>
      <c r="K69" s="331"/>
      <c r="L69" s="331" t="s">
        <v>3199</v>
      </c>
      <c r="M69" s="331"/>
      <c r="N69" s="331" t="s">
        <v>3020</v>
      </c>
    </row>
    <row r="70" spans="1:14" x14ac:dyDescent="0.35">
      <c r="A70" s="331" t="s">
        <v>3262</v>
      </c>
      <c r="B70" s="331" t="s">
        <v>3194</v>
      </c>
      <c r="C70" s="332">
        <v>21.415456819999999</v>
      </c>
      <c r="D70" s="331"/>
      <c r="E70" s="331" t="s">
        <v>3195</v>
      </c>
      <c r="F70" s="332">
        <v>1</v>
      </c>
      <c r="G70" s="331"/>
      <c r="H70" s="331"/>
      <c r="I70" s="331"/>
      <c r="J70" s="331" t="s">
        <v>3196</v>
      </c>
      <c r="K70" s="331"/>
      <c r="L70" s="331" t="s">
        <v>3199</v>
      </c>
      <c r="M70" s="331"/>
      <c r="N70" s="331" t="s">
        <v>3020</v>
      </c>
    </row>
    <row r="73" spans="1:14" x14ac:dyDescent="0.35">
      <c r="A73" s="331" t="s">
        <v>3193</v>
      </c>
      <c r="B73" s="331" t="s">
        <v>3194</v>
      </c>
      <c r="C73" s="332">
        <f>VLOOKUP(IF(OR(MID(A73,1,2)="NI",MID(A73,1,2)="GB"),"UK",MID(A73,1,2)),$V$8:$X$36,2,FALSE)*100</f>
        <v>33.089936233983067</v>
      </c>
      <c r="D73" s="331"/>
      <c r="E73" s="331" t="s">
        <v>3195</v>
      </c>
      <c r="F73" s="332">
        <v>1</v>
      </c>
      <c r="G73" s="331"/>
      <c r="H73" s="331"/>
      <c r="I73" s="331"/>
      <c r="J73" s="331" t="s">
        <v>3196</v>
      </c>
      <c r="K73" s="331"/>
      <c r="L73" s="331" t="s">
        <v>3264</v>
      </c>
      <c r="M73" s="331"/>
      <c r="N73" s="331" t="s">
        <v>3048</v>
      </c>
    </row>
    <row r="74" spans="1:14" x14ac:dyDescent="0.35">
      <c r="A74" s="331" t="s">
        <v>3198</v>
      </c>
      <c r="B74" s="331" t="s">
        <v>3194</v>
      </c>
      <c r="C74" s="332">
        <f t="shared" ref="C74:C136" si="0">VLOOKUP(IF(OR(MID(A74,1,2)="NI",MID(A74,1,2)="GB"),"UK",MID(A74,1,2)),$V$8:$X$36,2,FALSE)*100</f>
        <v>29.70789344563433</v>
      </c>
      <c r="D74" s="331"/>
      <c r="E74" s="331" t="s">
        <v>3195</v>
      </c>
      <c r="F74" s="332">
        <v>1</v>
      </c>
      <c r="G74" s="331"/>
      <c r="H74" s="331"/>
      <c r="I74" s="331"/>
      <c r="J74" s="331" t="s">
        <v>3196</v>
      </c>
      <c r="K74" s="331"/>
      <c r="L74" s="331" t="s">
        <v>3264</v>
      </c>
      <c r="M74" s="331"/>
      <c r="N74" s="331" t="s">
        <v>3048</v>
      </c>
    </row>
    <row r="75" spans="1:14" x14ac:dyDescent="0.35">
      <c r="A75" s="331" t="s">
        <v>3200</v>
      </c>
      <c r="B75" s="331" t="s">
        <v>3194</v>
      </c>
      <c r="C75" s="332">
        <f t="shared" si="0"/>
        <v>8.0179132465167431</v>
      </c>
      <c r="D75" s="331"/>
      <c r="E75" s="331" t="s">
        <v>3195</v>
      </c>
      <c r="F75" s="332">
        <v>1</v>
      </c>
      <c r="G75" s="331"/>
      <c r="H75" s="331"/>
      <c r="I75" s="331"/>
      <c r="J75" s="331" t="s">
        <v>3196</v>
      </c>
      <c r="K75" s="331"/>
      <c r="L75" s="331" t="s">
        <v>3264</v>
      </c>
      <c r="M75" s="331"/>
      <c r="N75" s="331" t="s">
        <v>3048</v>
      </c>
    </row>
    <row r="76" spans="1:14" x14ac:dyDescent="0.35">
      <c r="A76" s="331" t="s">
        <v>3201</v>
      </c>
      <c r="B76" s="331" t="s">
        <v>3194</v>
      </c>
      <c r="C76" s="332">
        <f t="shared" si="0"/>
        <v>23.282971254207386</v>
      </c>
      <c r="D76" s="331"/>
      <c r="E76" s="331" t="s">
        <v>3195</v>
      </c>
      <c r="F76" s="332">
        <v>1</v>
      </c>
      <c r="G76" s="331"/>
      <c r="H76" s="331"/>
      <c r="I76" s="331"/>
      <c r="J76" s="331" t="s">
        <v>3196</v>
      </c>
      <c r="K76" s="331"/>
      <c r="L76" s="331" t="s">
        <v>3264</v>
      </c>
      <c r="M76" s="331"/>
      <c r="N76" s="331" t="s">
        <v>3048</v>
      </c>
    </row>
    <row r="77" spans="1:14" x14ac:dyDescent="0.35">
      <c r="A77" s="331" t="s">
        <v>3202</v>
      </c>
      <c r="B77" s="331" t="s">
        <v>3194</v>
      </c>
      <c r="C77" s="332">
        <f t="shared" si="0"/>
        <v>14.127931936151114</v>
      </c>
      <c r="D77" s="331"/>
      <c r="E77" s="331" t="s">
        <v>3195</v>
      </c>
      <c r="F77" s="332">
        <v>1</v>
      </c>
      <c r="G77" s="331"/>
      <c r="H77" s="331"/>
      <c r="I77" s="331"/>
      <c r="J77" s="331" t="s">
        <v>3196</v>
      </c>
      <c r="K77" s="331"/>
      <c r="L77" s="331" t="s">
        <v>3264</v>
      </c>
      <c r="M77" s="331"/>
      <c r="N77" s="331" t="s">
        <v>3048</v>
      </c>
    </row>
    <row r="78" spans="1:14" x14ac:dyDescent="0.35">
      <c r="A78" s="331" t="s">
        <v>3203</v>
      </c>
      <c r="B78" s="331" t="s">
        <v>3194</v>
      </c>
      <c r="C78" s="332">
        <f t="shared" si="0"/>
        <v>36.895504482993296</v>
      </c>
      <c r="D78" s="331"/>
      <c r="E78" s="331" t="s">
        <v>3195</v>
      </c>
      <c r="F78" s="332">
        <v>1</v>
      </c>
      <c r="G78" s="331"/>
      <c r="H78" s="331"/>
      <c r="I78" s="331"/>
      <c r="J78" s="331" t="s">
        <v>3196</v>
      </c>
      <c r="K78" s="331"/>
      <c r="L78" s="331" t="s">
        <v>3264</v>
      </c>
      <c r="M78" s="331"/>
      <c r="N78" s="331" t="s">
        <v>3048</v>
      </c>
    </row>
    <row r="79" spans="1:14" x14ac:dyDescent="0.35">
      <c r="A79" s="331" t="s">
        <v>3204</v>
      </c>
      <c r="B79" s="331" t="s">
        <v>3194</v>
      </c>
      <c r="C79" s="332">
        <f t="shared" si="0"/>
        <v>22.552054794520547</v>
      </c>
      <c r="D79" s="331"/>
      <c r="E79" s="331" t="s">
        <v>3195</v>
      </c>
      <c r="F79" s="332">
        <v>1</v>
      </c>
      <c r="G79" s="331"/>
      <c r="H79" s="331"/>
      <c r="I79" s="331"/>
      <c r="J79" s="331" t="s">
        <v>3196</v>
      </c>
      <c r="K79" s="331"/>
      <c r="L79" s="331" t="s">
        <v>3264</v>
      </c>
      <c r="M79" s="331"/>
      <c r="N79" s="331" t="s">
        <v>3048</v>
      </c>
    </row>
    <row r="80" spans="1:14" x14ac:dyDescent="0.35">
      <c r="A80" s="331" t="s">
        <v>3205</v>
      </c>
      <c r="B80" s="331" t="s">
        <v>3194</v>
      </c>
      <c r="C80" s="332">
        <f>VLOOKUP(IF(OR(MID(A80,1,2)="NI",MID(A80,1,2)="GB"),"UK",MID(A80,1,2)),$V$8:$X$36,2,FALSE)*100</f>
        <v>22.552054794520547</v>
      </c>
      <c r="D80" s="331"/>
      <c r="E80" s="331" t="s">
        <v>3195</v>
      </c>
      <c r="F80" s="332">
        <v>1</v>
      </c>
      <c r="G80" s="331"/>
      <c r="H80" s="331"/>
      <c r="I80" s="331"/>
      <c r="J80" s="331" t="s">
        <v>3196</v>
      </c>
      <c r="K80" s="331"/>
      <c r="L80" s="331" t="s">
        <v>3264</v>
      </c>
      <c r="M80" s="331"/>
      <c r="N80" s="331" t="s">
        <v>3048</v>
      </c>
    </row>
    <row r="81" spans="1:14" x14ac:dyDescent="0.35">
      <c r="A81" s="331" t="s">
        <v>3206</v>
      </c>
      <c r="B81" s="331" t="s">
        <v>3194</v>
      </c>
      <c r="C81" s="332">
        <f t="shared" si="0"/>
        <v>12.107459328718216</v>
      </c>
      <c r="D81" s="331"/>
      <c r="E81" s="331" t="s">
        <v>3195</v>
      </c>
      <c r="F81" s="332">
        <v>1</v>
      </c>
      <c r="G81" s="331"/>
      <c r="H81" s="331"/>
      <c r="I81" s="331"/>
      <c r="J81" s="331" t="s">
        <v>3196</v>
      </c>
      <c r="K81" s="331"/>
      <c r="L81" s="331" t="s">
        <v>3264</v>
      </c>
      <c r="M81" s="331"/>
      <c r="N81" s="331" t="s">
        <v>3048</v>
      </c>
    </row>
    <row r="82" spans="1:14" x14ac:dyDescent="0.35">
      <c r="A82" s="331" t="s">
        <v>3207</v>
      </c>
      <c r="B82" s="331" t="s">
        <v>3194</v>
      </c>
      <c r="C82" s="332">
        <f t="shared" si="0"/>
        <v>22.797768813983517</v>
      </c>
      <c r="D82" s="331"/>
      <c r="E82" s="331" t="s">
        <v>3195</v>
      </c>
      <c r="F82" s="332">
        <v>1</v>
      </c>
      <c r="G82" s="331"/>
      <c r="H82" s="331"/>
      <c r="I82" s="331"/>
      <c r="J82" s="331" t="s">
        <v>3196</v>
      </c>
      <c r="K82" s="331"/>
      <c r="L82" s="331" t="s">
        <v>3264</v>
      </c>
      <c r="M82" s="331"/>
      <c r="N82" s="331" t="s">
        <v>3048</v>
      </c>
    </row>
    <row r="83" spans="1:14" x14ac:dyDescent="0.35">
      <c r="A83" s="331" t="s">
        <v>3208</v>
      </c>
      <c r="B83" s="331" t="s">
        <v>3194</v>
      </c>
      <c r="C83" s="332">
        <f t="shared" si="0"/>
        <v>22.797768813983517</v>
      </c>
      <c r="D83" s="331"/>
      <c r="E83" s="331" t="s">
        <v>3195</v>
      </c>
      <c r="F83" s="332">
        <v>1</v>
      </c>
      <c r="G83" s="331"/>
      <c r="H83" s="331"/>
      <c r="I83" s="331"/>
      <c r="J83" s="331" t="s">
        <v>3196</v>
      </c>
      <c r="K83" s="331"/>
      <c r="L83" s="331" t="s">
        <v>3264</v>
      </c>
      <c r="M83" s="331"/>
      <c r="N83" s="331" t="s">
        <v>3048</v>
      </c>
    </row>
    <row r="84" spans="1:14" x14ac:dyDescent="0.35">
      <c r="A84" s="331" t="s">
        <v>3209</v>
      </c>
      <c r="B84" s="331" t="s">
        <v>3194</v>
      </c>
      <c r="C84" s="332">
        <f t="shared" si="0"/>
        <v>19.815628500043079</v>
      </c>
      <c r="D84" s="331"/>
      <c r="E84" s="331" t="s">
        <v>3195</v>
      </c>
      <c r="F84" s="332">
        <v>1</v>
      </c>
      <c r="G84" s="331"/>
      <c r="H84" s="331"/>
      <c r="I84" s="331"/>
      <c r="J84" s="331" t="s">
        <v>3196</v>
      </c>
      <c r="K84" s="331"/>
      <c r="L84" s="331" t="s">
        <v>3264</v>
      </c>
      <c r="M84" s="331"/>
      <c r="N84" s="331" t="s">
        <v>3048</v>
      </c>
    </row>
    <row r="85" spans="1:14" x14ac:dyDescent="0.35">
      <c r="A85" s="331" t="s">
        <v>3210</v>
      </c>
      <c r="B85" s="331" t="s">
        <v>3194</v>
      </c>
      <c r="C85" s="332">
        <f t="shared" si="0"/>
        <v>19.651398711685065</v>
      </c>
      <c r="D85" s="331"/>
      <c r="E85" s="331" t="s">
        <v>3195</v>
      </c>
      <c r="F85" s="332">
        <v>1</v>
      </c>
      <c r="G85" s="331"/>
      <c r="H85" s="331"/>
      <c r="I85" s="331"/>
      <c r="J85" s="331" t="s">
        <v>3196</v>
      </c>
      <c r="K85" s="331"/>
      <c r="L85" s="331" t="s">
        <v>3264</v>
      </c>
      <c r="M85" s="331"/>
      <c r="N85" s="331" t="s">
        <v>3048</v>
      </c>
    </row>
    <row r="86" spans="1:14" x14ac:dyDescent="0.35">
      <c r="A86" s="331" t="s">
        <v>3211</v>
      </c>
      <c r="B86" s="331" t="s">
        <v>3194</v>
      </c>
      <c r="C86" s="332">
        <f t="shared" si="0"/>
        <v>19.651398711685065</v>
      </c>
      <c r="D86" s="331"/>
      <c r="E86" s="331" t="s">
        <v>3195</v>
      </c>
      <c r="F86" s="332">
        <v>1</v>
      </c>
      <c r="G86" s="331"/>
      <c r="H86" s="331"/>
      <c r="I86" s="331"/>
      <c r="J86" s="331" t="s">
        <v>3196</v>
      </c>
      <c r="K86" s="331"/>
      <c r="L86" s="331" t="s">
        <v>3264</v>
      </c>
      <c r="M86" s="331"/>
      <c r="N86" s="331" t="s">
        <v>3048</v>
      </c>
    </row>
    <row r="87" spans="1:14" x14ac:dyDescent="0.35">
      <c r="A87" s="331" t="s">
        <v>3212</v>
      </c>
      <c r="B87" s="331" t="s">
        <v>3194</v>
      </c>
      <c r="C87" s="332">
        <f t="shared" si="0"/>
        <v>13.968997837058399</v>
      </c>
      <c r="D87" s="331"/>
      <c r="E87" s="331" t="s">
        <v>3195</v>
      </c>
      <c r="F87" s="332">
        <v>1</v>
      </c>
      <c r="G87" s="331"/>
      <c r="H87" s="331"/>
      <c r="I87" s="331"/>
      <c r="J87" s="331" t="s">
        <v>3196</v>
      </c>
      <c r="K87" s="331"/>
      <c r="L87" s="331" t="s">
        <v>3264</v>
      </c>
      <c r="M87" s="331"/>
      <c r="N87" s="331" t="s">
        <v>3048</v>
      </c>
    </row>
    <row r="88" spans="1:14" x14ac:dyDescent="0.35">
      <c r="A88" s="331" t="s">
        <v>3213</v>
      </c>
      <c r="B88" s="331" t="s">
        <v>3194</v>
      </c>
      <c r="C88" s="332">
        <f t="shared" si="0"/>
        <v>40.783580127505452</v>
      </c>
      <c r="D88" s="331"/>
      <c r="E88" s="331" t="s">
        <v>3195</v>
      </c>
      <c r="F88" s="332">
        <v>1</v>
      </c>
      <c r="G88" s="331"/>
      <c r="H88" s="331"/>
      <c r="I88" s="331"/>
      <c r="J88" s="331" t="s">
        <v>3196</v>
      </c>
      <c r="K88" s="331"/>
      <c r="L88" s="331" t="s">
        <v>3264</v>
      </c>
      <c r="M88" s="331"/>
      <c r="N88" s="331" t="s">
        <v>3048</v>
      </c>
    </row>
    <row r="89" spans="1:14" x14ac:dyDescent="0.35">
      <c r="A89" s="331" t="s">
        <v>3214</v>
      </c>
      <c r="B89" s="331" t="s">
        <v>3194</v>
      </c>
      <c r="C89" s="332">
        <f t="shared" si="0"/>
        <v>11.964441853686973</v>
      </c>
      <c r="D89" s="331"/>
      <c r="E89" s="331" t="s">
        <v>3195</v>
      </c>
      <c r="F89" s="332">
        <v>1</v>
      </c>
      <c r="G89" s="331"/>
      <c r="H89" s="331"/>
      <c r="I89" s="331"/>
      <c r="J89" s="331" t="s">
        <v>3196</v>
      </c>
      <c r="K89" s="331"/>
      <c r="L89" s="331" t="s">
        <v>3264</v>
      </c>
      <c r="M89" s="331"/>
      <c r="N89" s="331" t="s">
        <v>3048</v>
      </c>
    </row>
    <row r="90" spans="1:14" x14ac:dyDescent="0.35">
      <c r="A90" s="331" t="s">
        <v>3215</v>
      </c>
      <c r="B90" s="331" t="s">
        <v>3194</v>
      </c>
      <c r="C90" s="332">
        <f t="shared" si="0"/>
        <v>11.641056342712698</v>
      </c>
      <c r="D90" s="331"/>
      <c r="E90" s="331" t="s">
        <v>3195</v>
      </c>
      <c r="F90" s="332">
        <v>1</v>
      </c>
      <c r="G90" s="331"/>
      <c r="H90" s="331"/>
      <c r="I90" s="331"/>
      <c r="J90" s="331" t="s">
        <v>3196</v>
      </c>
      <c r="K90" s="331"/>
      <c r="L90" s="331" t="s">
        <v>3264</v>
      </c>
      <c r="M90" s="331"/>
      <c r="N90" s="331" t="s">
        <v>3048</v>
      </c>
    </row>
    <row r="91" spans="1:14" x14ac:dyDescent="0.35">
      <c r="A91" s="331" t="s">
        <v>3216</v>
      </c>
      <c r="B91" s="331" t="s">
        <v>3194</v>
      </c>
      <c r="C91" s="332">
        <f t="shared" si="0"/>
        <v>11.641056342712698</v>
      </c>
      <c r="D91" s="331"/>
      <c r="E91" s="331" t="s">
        <v>3195</v>
      </c>
      <c r="F91" s="332">
        <v>1</v>
      </c>
      <c r="G91" s="331"/>
      <c r="H91" s="331"/>
      <c r="I91" s="331"/>
      <c r="J91" s="331" t="s">
        <v>3196</v>
      </c>
      <c r="K91" s="331"/>
      <c r="L91" s="331" t="s">
        <v>3264</v>
      </c>
      <c r="M91" s="331"/>
      <c r="N91" s="331" t="s">
        <v>3048</v>
      </c>
    </row>
    <row r="92" spans="1:14" x14ac:dyDescent="0.35">
      <c r="A92" s="331" t="s">
        <v>3217</v>
      </c>
      <c r="B92" s="331" t="s">
        <v>3194</v>
      </c>
      <c r="C92" s="332">
        <f t="shared" si="0"/>
        <v>21.538292852873244</v>
      </c>
      <c r="D92" s="331"/>
      <c r="E92" s="331" t="s">
        <v>3195</v>
      </c>
      <c r="F92" s="332">
        <v>1</v>
      </c>
      <c r="G92" s="331"/>
      <c r="H92" s="331"/>
      <c r="I92" s="331"/>
      <c r="J92" s="331" t="s">
        <v>3196</v>
      </c>
      <c r="K92" s="331"/>
      <c r="L92" s="331" t="s">
        <v>3264</v>
      </c>
      <c r="M92" s="331"/>
      <c r="N92" s="331" t="s">
        <v>3048</v>
      </c>
    </row>
    <row r="93" spans="1:14" x14ac:dyDescent="0.35">
      <c r="A93" s="331" t="s">
        <v>3218</v>
      </c>
      <c r="B93" s="331" t="s">
        <v>3194</v>
      </c>
      <c r="C93" s="332">
        <f t="shared" si="0"/>
        <v>36.371360203442862</v>
      </c>
      <c r="D93" s="331"/>
      <c r="E93" s="331" t="s">
        <v>3195</v>
      </c>
      <c r="F93" s="332">
        <v>1</v>
      </c>
      <c r="G93" s="331"/>
      <c r="H93" s="331"/>
      <c r="I93" s="331"/>
      <c r="J93" s="331" t="s">
        <v>3196</v>
      </c>
      <c r="K93" s="331"/>
      <c r="L93" s="331" t="s">
        <v>3264</v>
      </c>
      <c r="M93" s="331"/>
      <c r="N93" s="331" t="s">
        <v>3048</v>
      </c>
    </row>
    <row r="94" spans="1:14" x14ac:dyDescent="0.35">
      <c r="A94" s="331" t="s">
        <v>3219</v>
      </c>
      <c r="B94" s="331" t="s">
        <v>3194</v>
      </c>
      <c r="C94" s="332">
        <f t="shared" si="0"/>
        <v>35.953382087766009</v>
      </c>
      <c r="D94" s="331"/>
      <c r="E94" s="331" t="s">
        <v>3195</v>
      </c>
      <c r="F94" s="332">
        <v>1</v>
      </c>
      <c r="G94" s="331"/>
      <c r="H94" s="331"/>
      <c r="I94" s="331"/>
      <c r="J94" s="331" t="s">
        <v>3196</v>
      </c>
      <c r="K94" s="331"/>
      <c r="L94" s="331" t="s">
        <v>3264</v>
      </c>
      <c r="M94" s="331"/>
      <c r="N94" s="331" t="s">
        <v>3048</v>
      </c>
    </row>
    <row r="95" spans="1:14" x14ac:dyDescent="0.35">
      <c r="A95" s="331" t="s">
        <v>3220</v>
      </c>
      <c r="B95" s="331" t="s">
        <v>3194</v>
      </c>
      <c r="C95" s="332">
        <f t="shared" si="0"/>
        <v>16.491720077888605</v>
      </c>
      <c r="D95" s="331"/>
      <c r="E95" s="331" t="s">
        <v>3195</v>
      </c>
      <c r="F95" s="332">
        <v>1</v>
      </c>
      <c r="G95" s="331"/>
      <c r="H95" s="331"/>
      <c r="I95" s="331"/>
      <c r="J95" s="331" t="s">
        <v>3196</v>
      </c>
      <c r="K95" s="331"/>
      <c r="L95" s="331" t="s">
        <v>3264</v>
      </c>
      <c r="M95" s="331"/>
      <c r="N95" s="331" t="s">
        <v>3048</v>
      </c>
    </row>
    <row r="96" spans="1:14" x14ac:dyDescent="0.35">
      <c r="A96" s="331" t="s">
        <v>3221</v>
      </c>
      <c r="B96" s="331" t="s">
        <v>3194</v>
      </c>
      <c r="C96" s="332">
        <f t="shared" si="0"/>
        <v>33.089936233983067</v>
      </c>
      <c r="D96" s="331"/>
      <c r="E96" s="331" t="s">
        <v>3195</v>
      </c>
      <c r="F96" s="332">
        <v>1</v>
      </c>
      <c r="G96" s="331"/>
      <c r="H96" s="331"/>
      <c r="I96" s="331"/>
      <c r="J96" s="331" t="s">
        <v>3196</v>
      </c>
      <c r="K96" s="331"/>
      <c r="L96" s="331" t="s">
        <v>3264</v>
      </c>
      <c r="M96" s="331"/>
      <c r="N96" s="331" t="s">
        <v>3019</v>
      </c>
    </row>
    <row r="97" spans="1:14" x14ac:dyDescent="0.35">
      <c r="A97" s="331" t="s">
        <v>3222</v>
      </c>
      <c r="B97" s="331" t="s">
        <v>3194</v>
      </c>
      <c r="C97" s="332">
        <f t="shared" si="0"/>
        <v>33.089936233983067</v>
      </c>
      <c r="D97" s="331"/>
      <c r="E97" s="331" t="s">
        <v>3195</v>
      </c>
      <c r="F97" s="332">
        <v>1</v>
      </c>
      <c r="G97" s="331"/>
      <c r="H97" s="331"/>
      <c r="I97" s="331"/>
      <c r="J97" s="331" t="s">
        <v>3196</v>
      </c>
      <c r="K97" s="331"/>
      <c r="L97" s="331" t="s">
        <v>3264</v>
      </c>
      <c r="M97" s="331"/>
      <c r="N97" s="331" t="s">
        <v>3019</v>
      </c>
    </row>
    <row r="98" spans="1:14" x14ac:dyDescent="0.35">
      <c r="A98" s="331" t="s">
        <v>3224</v>
      </c>
      <c r="B98" s="331" t="s">
        <v>3194</v>
      </c>
      <c r="C98" s="332">
        <f t="shared" si="0"/>
        <v>8.4850586671290689</v>
      </c>
      <c r="D98" s="331"/>
      <c r="E98" s="331" t="s">
        <v>3195</v>
      </c>
      <c r="F98" s="332">
        <v>1</v>
      </c>
      <c r="G98" s="331"/>
      <c r="H98" s="331"/>
      <c r="I98" s="331"/>
      <c r="J98" s="331" t="s">
        <v>3196</v>
      </c>
      <c r="K98" s="331"/>
      <c r="L98" s="331" t="s">
        <v>3264</v>
      </c>
      <c r="M98" s="331"/>
      <c r="N98" s="331" t="s">
        <v>3019</v>
      </c>
    </row>
    <row r="99" spans="1:14" x14ac:dyDescent="0.35">
      <c r="A99" s="331" t="s">
        <v>3225</v>
      </c>
      <c r="B99" s="331" t="s">
        <v>3194</v>
      </c>
      <c r="C99" s="332">
        <f t="shared" si="0"/>
        <v>29.70789344563433</v>
      </c>
      <c r="D99" s="331"/>
      <c r="E99" s="331" t="s">
        <v>3195</v>
      </c>
      <c r="F99" s="332">
        <v>1</v>
      </c>
      <c r="G99" s="331"/>
      <c r="H99" s="331"/>
      <c r="I99" s="331"/>
      <c r="J99" s="331" t="s">
        <v>3196</v>
      </c>
      <c r="K99" s="331"/>
      <c r="L99" s="331" t="s">
        <v>3264</v>
      </c>
      <c r="M99" s="331"/>
      <c r="N99" s="331" t="s">
        <v>3019</v>
      </c>
    </row>
    <row r="100" spans="1:14" x14ac:dyDescent="0.35">
      <c r="A100" s="331" t="s">
        <v>3226</v>
      </c>
      <c r="B100" s="331" t="s">
        <v>3194</v>
      </c>
      <c r="C100" s="332">
        <f t="shared" si="0"/>
        <v>29.70789344563433</v>
      </c>
      <c r="D100" s="331"/>
      <c r="E100" s="331" t="s">
        <v>3195</v>
      </c>
      <c r="F100" s="332">
        <v>1</v>
      </c>
      <c r="G100" s="331"/>
      <c r="H100" s="331"/>
      <c r="I100" s="331"/>
      <c r="J100" s="331" t="s">
        <v>3196</v>
      </c>
      <c r="K100" s="331"/>
      <c r="L100" s="331" t="s">
        <v>3264</v>
      </c>
      <c r="M100" s="331"/>
      <c r="N100" s="331" t="s">
        <v>3019</v>
      </c>
    </row>
    <row r="101" spans="1:14" x14ac:dyDescent="0.35">
      <c r="A101" s="331" t="s">
        <v>3227</v>
      </c>
      <c r="B101" s="331" t="s">
        <v>3194</v>
      </c>
      <c r="C101" s="332">
        <f t="shared" si="0"/>
        <v>8.0179132465167431</v>
      </c>
      <c r="D101" s="331"/>
      <c r="E101" s="331" t="s">
        <v>3195</v>
      </c>
      <c r="F101" s="332">
        <v>1</v>
      </c>
      <c r="G101" s="331"/>
      <c r="H101" s="331"/>
      <c r="I101" s="331"/>
      <c r="J101" s="331" t="s">
        <v>3196</v>
      </c>
      <c r="K101" s="331"/>
      <c r="L101" s="331" t="s">
        <v>3264</v>
      </c>
      <c r="M101" s="331"/>
      <c r="N101" s="331" t="s">
        <v>3019</v>
      </c>
    </row>
    <row r="102" spans="1:14" x14ac:dyDescent="0.35">
      <c r="A102" s="331" t="s">
        <v>3228</v>
      </c>
      <c r="B102" s="331" t="s">
        <v>3194</v>
      </c>
      <c r="C102" s="332">
        <f t="shared" si="0"/>
        <v>23.282971254207386</v>
      </c>
      <c r="D102" s="331"/>
      <c r="E102" s="331" t="s">
        <v>3195</v>
      </c>
      <c r="F102" s="332">
        <v>1</v>
      </c>
      <c r="G102" s="331"/>
      <c r="H102" s="331"/>
      <c r="I102" s="331"/>
      <c r="J102" s="331" t="s">
        <v>3196</v>
      </c>
      <c r="K102" s="331"/>
      <c r="L102" s="331" t="s">
        <v>3264</v>
      </c>
      <c r="M102" s="331"/>
      <c r="N102" s="331" t="s">
        <v>3019</v>
      </c>
    </row>
    <row r="103" spans="1:14" x14ac:dyDescent="0.35">
      <c r="A103" s="331" t="s">
        <v>3229</v>
      </c>
      <c r="B103" s="331" t="s">
        <v>3194</v>
      </c>
      <c r="C103" s="332">
        <f t="shared" si="0"/>
        <v>9.4671111515648008</v>
      </c>
      <c r="D103" s="331"/>
      <c r="E103" s="331" t="s">
        <v>3195</v>
      </c>
      <c r="F103" s="332">
        <v>1</v>
      </c>
      <c r="G103" s="331"/>
      <c r="H103" s="331"/>
      <c r="I103" s="331"/>
      <c r="J103" s="331" t="s">
        <v>3196</v>
      </c>
      <c r="K103" s="331"/>
      <c r="L103" s="331" t="s">
        <v>3264</v>
      </c>
      <c r="M103" s="331"/>
      <c r="N103" s="331" t="s">
        <v>3019</v>
      </c>
    </row>
    <row r="104" spans="1:14" x14ac:dyDescent="0.35">
      <c r="A104" s="331" t="s">
        <v>3230</v>
      </c>
      <c r="B104" s="331" t="s">
        <v>3194</v>
      </c>
      <c r="C104" s="332">
        <f t="shared" si="0"/>
        <v>9.4671111515648008</v>
      </c>
      <c r="D104" s="331"/>
      <c r="E104" s="331" t="s">
        <v>3195</v>
      </c>
      <c r="F104" s="332">
        <v>1</v>
      </c>
      <c r="G104" s="331"/>
      <c r="H104" s="331"/>
      <c r="I104" s="331"/>
      <c r="J104" s="331" t="s">
        <v>3196</v>
      </c>
      <c r="K104" s="331"/>
      <c r="L104" s="331" t="s">
        <v>3264</v>
      </c>
      <c r="M104" s="331"/>
      <c r="N104" s="331" t="s">
        <v>3019</v>
      </c>
    </row>
    <row r="105" spans="1:14" x14ac:dyDescent="0.35">
      <c r="A105" s="331" t="s">
        <v>3231</v>
      </c>
      <c r="B105" s="331" t="s">
        <v>3194</v>
      </c>
      <c r="C105" s="332">
        <f t="shared" si="0"/>
        <v>14.127931936151114</v>
      </c>
      <c r="D105" s="331"/>
      <c r="E105" s="331" t="s">
        <v>3195</v>
      </c>
      <c r="F105" s="332">
        <v>1</v>
      </c>
      <c r="G105" s="331"/>
      <c r="H105" s="331"/>
      <c r="I105" s="331"/>
      <c r="J105" s="331" t="s">
        <v>3196</v>
      </c>
      <c r="K105" s="331"/>
      <c r="L105" s="331" t="s">
        <v>3264</v>
      </c>
      <c r="M105" s="331"/>
      <c r="N105" s="331" t="s">
        <v>3019</v>
      </c>
    </row>
    <row r="106" spans="1:14" x14ac:dyDescent="0.35">
      <c r="A106" s="331" t="s">
        <v>3232</v>
      </c>
      <c r="B106" s="331" t="s">
        <v>3194</v>
      </c>
      <c r="C106" s="332">
        <f t="shared" si="0"/>
        <v>14.127931936151114</v>
      </c>
      <c r="D106" s="331"/>
      <c r="E106" s="331" t="s">
        <v>3195</v>
      </c>
      <c r="F106" s="332">
        <v>1</v>
      </c>
      <c r="G106" s="331"/>
      <c r="H106" s="331"/>
      <c r="I106" s="331"/>
      <c r="J106" s="331" t="s">
        <v>3196</v>
      </c>
      <c r="K106" s="331"/>
      <c r="L106" s="331" t="s">
        <v>3264</v>
      </c>
      <c r="M106" s="331"/>
      <c r="N106" s="331" t="s">
        <v>3019</v>
      </c>
    </row>
    <row r="107" spans="1:14" x14ac:dyDescent="0.35">
      <c r="A107" s="331" t="s">
        <v>3233</v>
      </c>
      <c r="B107" s="331" t="s">
        <v>3194</v>
      </c>
      <c r="C107" s="332">
        <f t="shared" si="0"/>
        <v>22.552054794520547</v>
      </c>
      <c r="D107" s="331"/>
      <c r="E107" s="331" t="s">
        <v>3195</v>
      </c>
      <c r="F107" s="332">
        <v>1</v>
      </c>
      <c r="G107" s="331"/>
      <c r="H107" s="331"/>
      <c r="I107" s="331"/>
      <c r="J107" s="331" t="s">
        <v>3196</v>
      </c>
      <c r="K107" s="331"/>
      <c r="L107" s="331" t="s">
        <v>3264</v>
      </c>
      <c r="M107" s="331"/>
      <c r="N107" s="331" t="s">
        <v>3019</v>
      </c>
    </row>
    <row r="108" spans="1:14" x14ac:dyDescent="0.35">
      <c r="A108" s="331" t="s">
        <v>3234</v>
      </c>
      <c r="B108" s="331" t="s">
        <v>3194</v>
      </c>
      <c r="C108" s="332">
        <f t="shared" si="0"/>
        <v>22.552054794520547</v>
      </c>
      <c r="D108" s="331"/>
      <c r="E108" s="331" t="s">
        <v>3195</v>
      </c>
      <c r="F108" s="332">
        <v>1</v>
      </c>
      <c r="G108" s="331"/>
      <c r="H108" s="331"/>
      <c r="I108" s="331"/>
      <c r="J108" s="331" t="s">
        <v>3196</v>
      </c>
      <c r="K108" s="331"/>
      <c r="L108" s="331" t="s">
        <v>3264</v>
      </c>
      <c r="M108" s="331"/>
      <c r="N108" s="331" t="s">
        <v>3019</v>
      </c>
    </row>
    <row r="109" spans="1:14" x14ac:dyDescent="0.35">
      <c r="A109" s="331" t="s">
        <v>3235</v>
      </c>
      <c r="B109" s="331" t="s">
        <v>3194</v>
      </c>
      <c r="C109" s="332">
        <f t="shared" si="0"/>
        <v>22.797768813983517</v>
      </c>
      <c r="D109" s="331"/>
      <c r="E109" s="331" t="s">
        <v>3195</v>
      </c>
      <c r="F109" s="332">
        <v>1</v>
      </c>
      <c r="G109" s="331"/>
      <c r="H109" s="331"/>
      <c r="I109" s="331"/>
      <c r="J109" s="331" t="s">
        <v>3196</v>
      </c>
      <c r="K109" s="331"/>
      <c r="L109" s="331" t="s">
        <v>3264</v>
      </c>
      <c r="M109" s="331"/>
      <c r="N109" s="331" t="s">
        <v>3019</v>
      </c>
    </row>
    <row r="110" spans="1:14" x14ac:dyDescent="0.35">
      <c r="A110" s="331" t="s">
        <v>3236</v>
      </c>
      <c r="B110" s="331" t="s">
        <v>3194</v>
      </c>
      <c r="C110" s="332">
        <f t="shared" si="0"/>
        <v>19.651398711685065</v>
      </c>
      <c r="D110" s="331"/>
      <c r="E110" s="331" t="s">
        <v>3195</v>
      </c>
      <c r="F110" s="332">
        <v>1</v>
      </c>
      <c r="G110" s="331"/>
      <c r="H110" s="331"/>
      <c r="I110" s="331"/>
      <c r="J110" s="331" t="s">
        <v>3196</v>
      </c>
      <c r="K110" s="331"/>
      <c r="L110" s="331" t="s">
        <v>3264</v>
      </c>
      <c r="M110" s="331"/>
      <c r="N110" s="331" t="s">
        <v>3019</v>
      </c>
    </row>
    <row r="111" spans="1:14" x14ac:dyDescent="0.35">
      <c r="A111" s="331" t="s">
        <v>3237</v>
      </c>
      <c r="B111" s="331" t="s">
        <v>3194</v>
      </c>
      <c r="C111" s="332">
        <f t="shared" si="0"/>
        <v>19.651398711685065</v>
      </c>
      <c r="D111" s="331"/>
      <c r="E111" s="331" t="s">
        <v>3195</v>
      </c>
      <c r="F111" s="332">
        <v>1</v>
      </c>
      <c r="G111" s="331"/>
      <c r="H111" s="331"/>
      <c r="I111" s="331"/>
      <c r="J111" s="331" t="s">
        <v>3196</v>
      </c>
      <c r="K111" s="331"/>
      <c r="L111" s="331" t="s">
        <v>3264</v>
      </c>
      <c r="M111" s="331"/>
      <c r="N111" s="331" t="s">
        <v>3019</v>
      </c>
    </row>
    <row r="112" spans="1:14" x14ac:dyDescent="0.35">
      <c r="A112" s="331" t="s">
        <v>3238</v>
      </c>
      <c r="B112" s="331" t="s">
        <v>3194</v>
      </c>
      <c r="C112" s="332">
        <f t="shared" si="0"/>
        <v>40.783580127505452</v>
      </c>
      <c r="D112" s="331"/>
      <c r="E112" s="331" t="s">
        <v>3195</v>
      </c>
      <c r="F112" s="332">
        <v>1</v>
      </c>
      <c r="G112" s="331"/>
      <c r="H112" s="331"/>
      <c r="I112" s="331"/>
      <c r="J112" s="331" t="s">
        <v>3196</v>
      </c>
      <c r="K112" s="331"/>
      <c r="L112" s="331" t="s">
        <v>3264</v>
      </c>
      <c r="M112" s="331"/>
      <c r="N112" s="331" t="s">
        <v>3019</v>
      </c>
    </row>
    <row r="113" spans="1:14" x14ac:dyDescent="0.35">
      <c r="A113" s="331" t="s">
        <v>3239</v>
      </c>
      <c r="B113" s="331" t="s">
        <v>3194</v>
      </c>
      <c r="C113" s="332">
        <f t="shared" si="0"/>
        <v>40.783580127505452</v>
      </c>
      <c r="D113" s="331"/>
      <c r="E113" s="331" t="s">
        <v>3195</v>
      </c>
      <c r="F113" s="332">
        <v>1</v>
      </c>
      <c r="G113" s="331"/>
      <c r="H113" s="331"/>
      <c r="I113" s="331"/>
      <c r="J113" s="331" t="s">
        <v>3196</v>
      </c>
      <c r="K113" s="331"/>
      <c r="L113" s="331" t="s">
        <v>3264</v>
      </c>
      <c r="M113" s="331"/>
      <c r="N113" s="331" t="s">
        <v>3019</v>
      </c>
    </row>
    <row r="114" spans="1:14" x14ac:dyDescent="0.35">
      <c r="A114" s="331" t="s">
        <v>3240</v>
      </c>
      <c r="B114" s="331" t="s">
        <v>3194</v>
      </c>
      <c r="C114" s="332">
        <f t="shared" si="0"/>
        <v>11.641056342712698</v>
      </c>
      <c r="D114" s="331"/>
      <c r="E114" s="331" t="s">
        <v>3195</v>
      </c>
      <c r="F114" s="332">
        <v>1</v>
      </c>
      <c r="G114" s="331"/>
      <c r="H114" s="331"/>
      <c r="I114" s="331"/>
      <c r="J114" s="331" t="s">
        <v>3196</v>
      </c>
      <c r="K114" s="331"/>
      <c r="L114" s="331" t="s">
        <v>3264</v>
      </c>
      <c r="M114" s="331"/>
      <c r="N114" s="331" t="s">
        <v>3019</v>
      </c>
    </row>
    <row r="115" spans="1:14" x14ac:dyDescent="0.35">
      <c r="A115" s="331" t="s">
        <v>3241</v>
      </c>
      <c r="B115" s="331" t="s">
        <v>3194</v>
      </c>
      <c r="C115" s="332">
        <f t="shared" si="0"/>
        <v>21.538292852873244</v>
      </c>
      <c r="D115" s="331"/>
      <c r="E115" s="331" t="s">
        <v>3195</v>
      </c>
      <c r="F115" s="332">
        <v>1</v>
      </c>
      <c r="G115" s="331"/>
      <c r="H115" s="331"/>
      <c r="I115" s="331"/>
      <c r="J115" s="331" t="s">
        <v>3196</v>
      </c>
      <c r="K115" s="331"/>
      <c r="L115" s="331" t="s">
        <v>3264</v>
      </c>
      <c r="M115" s="331"/>
      <c r="N115" s="331" t="s">
        <v>3019</v>
      </c>
    </row>
    <row r="116" spans="1:14" x14ac:dyDescent="0.35">
      <c r="A116" s="331" t="s">
        <v>3242</v>
      </c>
      <c r="B116" s="331" t="s">
        <v>3194</v>
      </c>
      <c r="C116" s="332">
        <f t="shared" si="0"/>
        <v>21.538292852873244</v>
      </c>
      <c r="D116" s="331"/>
      <c r="E116" s="331" t="s">
        <v>3195</v>
      </c>
      <c r="F116" s="332">
        <v>1</v>
      </c>
      <c r="G116" s="331"/>
      <c r="H116" s="331"/>
      <c r="I116" s="331"/>
      <c r="J116" s="331" t="s">
        <v>3196</v>
      </c>
      <c r="K116" s="331"/>
      <c r="L116" s="331" t="s">
        <v>3264</v>
      </c>
      <c r="M116" s="331"/>
      <c r="N116" s="331" t="s">
        <v>3019</v>
      </c>
    </row>
    <row r="117" spans="1:14" x14ac:dyDescent="0.35">
      <c r="A117" s="331" t="s">
        <v>3243</v>
      </c>
      <c r="B117" s="331" t="s">
        <v>3194</v>
      </c>
      <c r="C117" s="332">
        <f t="shared" si="0"/>
        <v>36.371360203442862</v>
      </c>
      <c r="D117" s="331"/>
      <c r="E117" s="331" t="s">
        <v>3195</v>
      </c>
      <c r="F117" s="332">
        <v>1</v>
      </c>
      <c r="G117" s="331"/>
      <c r="H117" s="331"/>
      <c r="I117" s="331"/>
      <c r="J117" s="331" t="s">
        <v>3196</v>
      </c>
      <c r="K117" s="331"/>
      <c r="L117" s="331" t="s">
        <v>3264</v>
      </c>
      <c r="M117" s="331"/>
      <c r="N117" s="331" t="s">
        <v>3019</v>
      </c>
    </row>
    <row r="118" spans="1:14" x14ac:dyDescent="0.35">
      <c r="A118" s="331" t="s">
        <v>3244</v>
      </c>
      <c r="B118" s="331" t="s">
        <v>3194</v>
      </c>
      <c r="C118" s="332">
        <f t="shared" si="0"/>
        <v>36.371360203442862</v>
      </c>
      <c r="D118" s="331"/>
      <c r="E118" s="331" t="s">
        <v>3195</v>
      </c>
      <c r="F118" s="332">
        <v>1</v>
      </c>
      <c r="G118" s="331"/>
      <c r="H118" s="331"/>
      <c r="I118" s="331"/>
      <c r="J118" s="331" t="s">
        <v>3196</v>
      </c>
      <c r="K118" s="331"/>
      <c r="L118" s="331" t="s">
        <v>3264</v>
      </c>
      <c r="M118" s="331"/>
      <c r="N118" s="331" t="s">
        <v>3019</v>
      </c>
    </row>
    <row r="119" spans="1:14" x14ac:dyDescent="0.35">
      <c r="A119" s="331" t="s">
        <v>3245</v>
      </c>
      <c r="B119" s="331" t="s">
        <v>3194</v>
      </c>
      <c r="C119" s="332">
        <f t="shared" si="0"/>
        <v>16.491720077888605</v>
      </c>
      <c r="D119" s="331"/>
      <c r="E119" s="331" t="s">
        <v>3195</v>
      </c>
      <c r="F119" s="332">
        <v>1</v>
      </c>
      <c r="G119" s="331"/>
      <c r="H119" s="331"/>
      <c r="I119" s="331"/>
      <c r="J119" s="331" t="s">
        <v>3196</v>
      </c>
      <c r="K119" s="331"/>
      <c r="L119" s="331" t="s">
        <v>3264</v>
      </c>
      <c r="M119" s="331"/>
      <c r="N119" s="331" t="s">
        <v>3019</v>
      </c>
    </row>
    <row r="120" spans="1:14" x14ac:dyDescent="0.35">
      <c r="A120" s="331" t="s">
        <v>3246</v>
      </c>
      <c r="B120" s="331" t="s">
        <v>3194</v>
      </c>
      <c r="C120" s="332">
        <f t="shared" si="0"/>
        <v>33.089936233983067</v>
      </c>
      <c r="D120" s="331"/>
      <c r="E120" s="331" t="s">
        <v>3195</v>
      </c>
      <c r="F120" s="332">
        <v>1</v>
      </c>
      <c r="G120" s="331"/>
      <c r="H120" s="331"/>
      <c r="I120" s="331"/>
      <c r="J120" s="331" t="s">
        <v>3196</v>
      </c>
      <c r="K120" s="331"/>
      <c r="L120" s="331" t="s">
        <v>3264</v>
      </c>
      <c r="M120" s="331"/>
      <c r="N120" s="331" t="s">
        <v>3020</v>
      </c>
    </row>
    <row r="121" spans="1:14" x14ac:dyDescent="0.35">
      <c r="A121" s="331" t="s">
        <v>3247</v>
      </c>
      <c r="B121" s="331" t="s">
        <v>3194</v>
      </c>
      <c r="C121" s="332">
        <f t="shared" si="0"/>
        <v>7.3088693985704927</v>
      </c>
      <c r="D121" s="331"/>
      <c r="E121" s="331" t="s">
        <v>3195</v>
      </c>
      <c r="F121" s="332">
        <v>1</v>
      </c>
      <c r="G121" s="331"/>
      <c r="H121" s="331"/>
      <c r="I121" s="331"/>
      <c r="J121" s="331" t="s">
        <v>3196</v>
      </c>
      <c r="K121" s="331"/>
      <c r="L121" s="331" t="s">
        <v>3264</v>
      </c>
      <c r="M121" s="331"/>
      <c r="N121" s="331" t="s">
        <v>3020</v>
      </c>
    </row>
    <row r="122" spans="1:14" x14ac:dyDescent="0.35">
      <c r="A122" s="331" t="s">
        <v>3248</v>
      </c>
      <c r="B122" s="331" t="s">
        <v>3194</v>
      </c>
      <c r="C122" s="332">
        <f t="shared" si="0"/>
        <v>8.4850586671290689</v>
      </c>
      <c r="D122" s="331"/>
      <c r="E122" s="331" t="s">
        <v>3195</v>
      </c>
      <c r="F122" s="332">
        <v>1</v>
      </c>
      <c r="G122" s="331"/>
      <c r="H122" s="331"/>
      <c r="I122" s="331"/>
      <c r="J122" s="331" t="s">
        <v>3196</v>
      </c>
      <c r="K122" s="331"/>
      <c r="L122" s="331" t="s">
        <v>3264</v>
      </c>
      <c r="M122" s="331"/>
      <c r="N122" s="331" t="s">
        <v>3020</v>
      </c>
    </row>
    <row r="123" spans="1:14" x14ac:dyDescent="0.35">
      <c r="A123" s="331" t="s">
        <v>3249</v>
      </c>
      <c r="B123" s="331" t="s">
        <v>3194</v>
      </c>
      <c r="C123" s="332">
        <f t="shared" si="0"/>
        <v>29.70789344563433</v>
      </c>
      <c r="D123" s="331"/>
      <c r="E123" s="331" t="s">
        <v>3195</v>
      </c>
      <c r="F123" s="332">
        <v>1</v>
      </c>
      <c r="G123" s="331"/>
      <c r="H123" s="331"/>
      <c r="I123" s="331"/>
      <c r="J123" s="331" t="s">
        <v>3196</v>
      </c>
      <c r="K123" s="331"/>
      <c r="L123" s="331" t="s">
        <v>3264</v>
      </c>
      <c r="M123" s="331"/>
      <c r="N123" s="331" t="s">
        <v>3020</v>
      </c>
    </row>
    <row r="124" spans="1:14" x14ac:dyDescent="0.35">
      <c r="A124" s="331" t="s">
        <v>3250</v>
      </c>
      <c r="B124" s="331" t="s">
        <v>3194</v>
      </c>
      <c r="C124" s="332">
        <f t="shared" si="0"/>
        <v>8.0179132465167431</v>
      </c>
      <c r="D124" s="331"/>
      <c r="E124" s="331" t="s">
        <v>3195</v>
      </c>
      <c r="F124" s="332">
        <v>1</v>
      </c>
      <c r="G124" s="331"/>
      <c r="H124" s="331"/>
      <c r="I124" s="331"/>
      <c r="J124" s="331" t="s">
        <v>3196</v>
      </c>
      <c r="K124" s="331"/>
      <c r="L124" s="331" t="s">
        <v>3264</v>
      </c>
      <c r="M124" s="331"/>
      <c r="N124" s="331" t="s">
        <v>3020</v>
      </c>
    </row>
    <row r="125" spans="1:14" x14ac:dyDescent="0.35">
      <c r="A125" s="331" t="s">
        <v>3251</v>
      </c>
      <c r="B125" s="331" t="s">
        <v>3194</v>
      </c>
      <c r="C125" s="332">
        <f t="shared" si="0"/>
        <v>23.282971254207386</v>
      </c>
      <c r="D125" s="331"/>
      <c r="E125" s="331" t="s">
        <v>3195</v>
      </c>
      <c r="F125" s="332">
        <v>1</v>
      </c>
      <c r="G125" s="331"/>
      <c r="H125" s="331"/>
      <c r="I125" s="331"/>
      <c r="J125" s="331" t="s">
        <v>3196</v>
      </c>
      <c r="K125" s="331"/>
      <c r="L125" s="331" t="s">
        <v>3264</v>
      </c>
      <c r="M125" s="331"/>
      <c r="N125" s="331" t="s">
        <v>3020</v>
      </c>
    </row>
    <row r="126" spans="1:14" x14ac:dyDescent="0.35">
      <c r="A126" s="331" t="s">
        <v>3252</v>
      </c>
      <c r="B126" s="331" t="s">
        <v>3194</v>
      </c>
      <c r="C126" s="332">
        <f t="shared" si="0"/>
        <v>9.4671111515648008</v>
      </c>
      <c r="D126" s="331"/>
      <c r="E126" s="331" t="s">
        <v>3195</v>
      </c>
      <c r="F126" s="332">
        <v>1</v>
      </c>
      <c r="G126" s="331"/>
      <c r="H126" s="331"/>
      <c r="I126" s="331"/>
      <c r="J126" s="331" t="s">
        <v>3196</v>
      </c>
      <c r="K126" s="331"/>
      <c r="L126" s="331" t="s">
        <v>3264</v>
      </c>
      <c r="M126" s="331"/>
      <c r="N126" s="331" t="s">
        <v>3020</v>
      </c>
    </row>
    <row r="127" spans="1:14" x14ac:dyDescent="0.35">
      <c r="A127" s="331" t="s">
        <v>3253</v>
      </c>
      <c r="B127" s="331" t="s">
        <v>3194</v>
      </c>
      <c r="C127" s="332">
        <f t="shared" si="0"/>
        <v>14.127931936151114</v>
      </c>
      <c r="D127" s="331"/>
      <c r="E127" s="331" t="s">
        <v>3195</v>
      </c>
      <c r="F127" s="332">
        <v>1</v>
      </c>
      <c r="G127" s="331"/>
      <c r="H127" s="331"/>
      <c r="I127" s="331"/>
      <c r="J127" s="331" t="s">
        <v>3196</v>
      </c>
      <c r="K127" s="331"/>
      <c r="L127" s="331" t="s">
        <v>3264</v>
      </c>
      <c r="M127" s="331"/>
      <c r="N127" s="331" t="s">
        <v>3020</v>
      </c>
    </row>
    <row r="128" spans="1:14" x14ac:dyDescent="0.35">
      <c r="A128" s="331" t="s">
        <v>3254</v>
      </c>
      <c r="B128" s="331" t="s">
        <v>3194</v>
      </c>
      <c r="C128" s="332">
        <f t="shared" si="0"/>
        <v>22.552054794520547</v>
      </c>
      <c r="D128" s="331"/>
      <c r="E128" s="331" t="s">
        <v>3195</v>
      </c>
      <c r="F128" s="332">
        <v>1</v>
      </c>
      <c r="G128" s="331"/>
      <c r="H128" s="331"/>
      <c r="I128" s="331"/>
      <c r="J128" s="331" t="s">
        <v>3196</v>
      </c>
      <c r="K128" s="331"/>
      <c r="L128" s="331" t="s">
        <v>3264</v>
      </c>
      <c r="M128" s="331"/>
      <c r="N128" s="331" t="s">
        <v>3020</v>
      </c>
    </row>
    <row r="129" spans="1:14" x14ac:dyDescent="0.35">
      <c r="A129" s="331" t="s">
        <v>3255</v>
      </c>
      <c r="B129" s="331" t="s">
        <v>3194</v>
      </c>
      <c r="C129" s="332">
        <f t="shared" si="0"/>
        <v>12.107459328718216</v>
      </c>
      <c r="D129" s="331"/>
      <c r="E129" s="331" t="s">
        <v>3195</v>
      </c>
      <c r="F129" s="332">
        <v>1</v>
      </c>
      <c r="G129" s="331"/>
      <c r="H129" s="331"/>
      <c r="I129" s="331"/>
      <c r="J129" s="331" t="s">
        <v>3196</v>
      </c>
      <c r="K129" s="331"/>
      <c r="L129" s="331" t="s">
        <v>3264</v>
      </c>
      <c r="M129" s="331"/>
      <c r="N129" s="331" t="s">
        <v>3020</v>
      </c>
    </row>
    <row r="130" spans="1:14" x14ac:dyDescent="0.35">
      <c r="A130" s="331" t="s">
        <v>3256</v>
      </c>
      <c r="B130" s="331" t="s">
        <v>3194</v>
      </c>
      <c r="C130" s="332">
        <f t="shared" si="0"/>
        <v>19.651398711685065</v>
      </c>
      <c r="D130" s="331"/>
      <c r="E130" s="331" t="s">
        <v>3195</v>
      </c>
      <c r="F130" s="332">
        <v>1</v>
      </c>
      <c r="G130" s="331"/>
      <c r="H130" s="331"/>
      <c r="I130" s="331"/>
      <c r="J130" s="331" t="s">
        <v>3196</v>
      </c>
      <c r="K130" s="331"/>
      <c r="L130" s="331" t="s">
        <v>3264</v>
      </c>
      <c r="M130" s="331"/>
      <c r="N130" s="331" t="s">
        <v>3020</v>
      </c>
    </row>
    <row r="131" spans="1:14" x14ac:dyDescent="0.35">
      <c r="A131" s="331" t="s">
        <v>3257</v>
      </c>
      <c r="B131" s="331" t="s">
        <v>3194</v>
      </c>
      <c r="C131" s="332">
        <f t="shared" si="0"/>
        <v>8.5186537352444738</v>
      </c>
      <c r="D131" s="331"/>
      <c r="E131" s="331" t="s">
        <v>3195</v>
      </c>
      <c r="F131" s="332">
        <v>1</v>
      </c>
      <c r="G131" s="331"/>
      <c r="H131" s="331"/>
      <c r="I131" s="331"/>
      <c r="J131" s="331" t="s">
        <v>3196</v>
      </c>
      <c r="K131" s="331"/>
      <c r="L131" s="331" t="s">
        <v>3264</v>
      </c>
      <c r="M131" s="331"/>
      <c r="N131" s="331" t="s">
        <v>3020</v>
      </c>
    </row>
    <row r="132" spans="1:14" x14ac:dyDescent="0.35">
      <c r="A132" s="331" t="s">
        <v>3258</v>
      </c>
      <c r="B132" s="331" t="s">
        <v>3194</v>
      </c>
      <c r="C132" s="332">
        <f t="shared" si="0"/>
        <v>4.5984800813204902</v>
      </c>
      <c r="D132" s="331"/>
      <c r="E132" s="331" t="s">
        <v>3195</v>
      </c>
      <c r="F132" s="332">
        <v>1</v>
      </c>
      <c r="G132" s="331"/>
      <c r="H132" s="331"/>
      <c r="I132" s="331"/>
      <c r="J132" s="331" t="s">
        <v>3196</v>
      </c>
      <c r="K132" s="331"/>
      <c r="L132" s="331" t="s">
        <v>3264</v>
      </c>
      <c r="M132" s="331"/>
      <c r="N132" s="331" t="s">
        <v>3020</v>
      </c>
    </row>
    <row r="133" spans="1:14" x14ac:dyDescent="0.35">
      <c r="A133" s="331" t="s">
        <v>3259</v>
      </c>
      <c r="B133" s="331" t="s">
        <v>3194</v>
      </c>
      <c r="C133" s="332">
        <f t="shared" si="0"/>
        <v>40.783580127505452</v>
      </c>
      <c r="D133" s="331"/>
      <c r="E133" s="331" t="s">
        <v>3195</v>
      </c>
      <c r="F133" s="332">
        <v>1</v>
      </c>
      <c r="G133" s="331"/>
      <c r="H133" s="331"/>
      <c r="I133" s="331"/>
      <c r="J133" s="331" t="s">
        <v>3196</v>
      </c>
      <c r="K133" s="331"/>
      <c r="L133" s="331" t="s">
        <v>3264</v>
      </c>
      <c r="M133" s="331"/>
      <c r="N133" s="331" t="s">
        <v>3020</v>
      </c>
    </row>
    <row r="134" spans="1:14" x14ac:dyDescent="0.35">
      <c r="A134" s="331" t="s">
        <v>3260</v>
      </c>
      <c r="B134" s="331" t="s">
        <v>3194</v>
      </c>
      <c r="C134" s="332">
        <f t="shared" si="0"/>
        <v>11.964441853686973</v>
      </c>
      <c r="D134" s="331"/>
      <c r="E134" s="331" t="s">
        <v>3195</v>
      </c>
      <c r="F134" s="332">
        <v>1</v>
      </c>
      <c r="G134" s="331"/>
      <c r="H134" s="331"/>
      <c r="I134" s="331"/>
      <c r="J134" s="331" t="s">
        <v>3196</v>
      </c>
      <c r="K134" s="331"/>
      <c r="L134" s="331" t="s">
        <v>3264</v>
      </c>
      <c r="M134" s="331"/>
      <c r="N134" s="331" t="s">
        <v>3020</v>
      </c>
    </row>
    <row r="135" spans="1:14" x14ac:dyDescent="0.35">
      <c r="A135" s="331" t="s">
        <v>3261</v>
      </c>
      <c r="B135" s="331" t="s">
        <v>3194</v>
      </c>
      <c r="C135" s="332">
        <f t="shared" si="0"/>
        <v>11.641056342712698</v>
      </c>
      <c r="D135" s="331"/>
      <c r="E135" s="331" t="s">
        <v>3195</v>
      </c>
      <c r="F135" s="332">
        <v>1</v>
      </c>
      <c r="G135" s="331"/>
      <c r="H135" s="331"/>
      <c r="I135" s="331"/>
      <c r="J135" s="331" t="s">
        <v>3196</v>
      </c>
      <c r="K135" s="331"/>
      <c r="L135" s="331" t="s">
        <v>3264</v>
      </c>
      <c r="M135" s="331"/>
      <c r="N135" s="331" t="s">
        <v>3020</v>
      </c>
    </row>
    <row r="136" spans="1:14" x14ac:dyDescent="0.35">
      <c r="A136" s="331" t="s">
        <v>3262</v>
      </c>
      <c r="B136" s="331" t="s">
        <v>3194</v>
      </c>
      <c r="C136" s="332">
        <f t="shared" si="0"/>
        <v>16.491720077888605</v>
      </c>
      <c r="D136" s="331"/>
      <c r="E136" s="331" t="s">
        <v>3195</v>
      </c>
      <c r="F136" s="332">
        <v>1</v>
      </c>
      <c r="G136" s="331"/>
      <c r="H136" s="331"/>
      <c r="I136" s="331"/>
      <c r="J136" s="331" t="s">
        <v>3196</v>
      </c>
      <c r="K136" s="331"/>
      <c r="L136" s="331" t="s">
        <v>3264</v>
      </c>
      <c r="M136" s="331"/>
      <c r="N136" s="331" t="s">
        <v>3020</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Werkbladen</vt:lpstr>
      </vt:variant>
      <vt:variant>
        <vt:i4>23</vt:i4>
      </vt:variant>
      <vt:variant>
        <vt:lpstr>Benoemde bereiken</vt:lpstr>
      </vt:variant>
      <vt:variant>
        <vt:i4>7</vt:i4>
      </vt:variant>
    </vt:vector>
  </HeadingPairs>
  <TitlesOfParts>
    <vt:vector size="30" baseType="lpstr">
      <vt:lpstr>All</vt:lpstr>
      <vt:lpstr>Analysis all data</vt:lpstr>
      <vt:lpstr>V3 David data within eu28</vt:lpstr>
      <vt:lpstr>Info + Todo</vt:lpstr>
      <vt:lpstr>Generators</vt:lpstr>
      <vt:lpstr>Usuable storage capacity</vt:lpstr>
      <vt:lpstr>Unique Waterways</vt:lpstr>
      <vt:lpstr>Generator-Storage Assignment</vt:lpstr>
      <vt:lpstr>Unique Generator Objects</vt:lpstr>
      <vt:lpstr>Unique Generator Properties</vt:lpstr>
      <vt:lpstr>Prep Unique Storage List</vt:lpstr>
      <vt:lpstr>Unique Storage Objects</vt:lpstr>
      <vt:lpstr>Unique Storage Properties</vt:lpstr>
      <vt:lpstr>Natural inflow m3_s</vt:lpstr>
      <vt:lpstr>Country Totals</vt:lpstr>
      <vt:lpstr>Lumped Generators</vt:lpstr>
      <vt:lpstr>Lumped Detailed Generators</vt:lpstr>
      <vt:lpstr>Hydro Plant Data Sources</vt:lpstr>
      <vt:lpstr>Country Totals (All Aggregated)</vt:lpstr>
      <vt:lpstr>Lumped Generators (All aggreg)</vt:lpstr>
      <vt:lpstr>Lumped (All) Min CFs for LT Pla</vt:lpstr>
      <vt:lpstr>Codes</vt:lpstr>
      <vt:lpstr>Capacity Factors</vt:lpstr>
      <vt:lpstr>'Country Totals (All Aggregated)'!capacities</vt:lpstr>
      <vt:lpstr>capacities</vt:lpstr>
      <vt:lpstr>'Prep Unique Storage List'!Ophalen</vt:lpstr>
      <vt:lpstr>'Unique Generator Objects'!Ophalen</vt:lpstr>
      <vt:lpstr>turbPumpEff</vt:lpstr>
      <vt:lpstr>'Country Totals (All Aggregated)'!types</vt:lpstr>
      <vt:lpstr>types</vt:lpstr>
    </vt:vector>
  </TitlesOfParts>
  <Company>Utrecht University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Marte</dc:creator>
  <cp:lastModifiedBy>Diede</cp:lastModifiedBy>
  <cp:lastPrinted>2017-06-29T11:56:51Z</cp:lastPrinted>
  <dcterms:created xsi:type="dcterms:W3CDTF">2016-03-10T12:39:18Z</dcterms:created>
  <dcterms:modified xsi:type="dcterms:W3CDTF">2018-01-23T23:41:25Z</dcterms:modified>
</cp:coreProperties>
</file>